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Q:\LGF3\LGF3Data\NNDR 1 - 3\NNDR1\2024-25\Form to LAs\"/>
    </mc:Choice>
  </mc:AlternateContent>
  <xr:revisionPtr revIDLastSave="0" documentId="8_{C82B3DEE-43E8-4BC8-8238-E566FAEE305B}" xr6:coauthVersionLast="47" xr6:coauthVersionMax="47" xr10:uidLastSave="{00000000-0000-0000-0000-000000000000}"/>
  <bookViews>
    <workbookView xWindow="-120" yWindow="-120" windowWidth="22770" windowHeight="13335" tabRatio="803" xr2:uid="{A426BC63-C833-499C-B937-89CF60BF1C8D}"/>
  </bookViews>
  <sheets>
    <sheet name="Title" sheetId="32" r:id="rId1"/>
    <sheet name="Part 1" sheetId="1" r:id="rId2"/>
    <sheet name="Part 2" sheetId="6" r:id="rId3"/>
    <sheet name="Part 3" sheetId="41" r:id="rId4"/>
    <sheet name="Part 3 DA summary" sheetId="51" r:id="rId5"/>
    <sheet name="Part 4" sheetId="23" r:id="rId6"/>
    <sheet name="Supplementary Information" sheetId="22" r:id="rId7"/>
    <sheet name="Main Validation" sheetId="24" r:id="rId8"/>
    <sheet name="Supplementary Validation" sheetId="30" r:id="rId9"/>
    <sheet name="Backsheet" sheetId="74" state="veryHidden" r:id="rId10"/>
    <sheet name="Data" sheetId="9" state="veryHidden" r:id="rId11"/>
    <sheet name="TierSplit" sheetId="12" state="veryHidden" r:id="rId12"/>
    <sheet name="EZ list" sheetId="52" state="veryHidden" r:id="rId13"/>
    <sheet name="LA List" sheetId="53" state="veryHidden" r:id="rId14"/>
    <sheet name="Hardcoded Values" sheetId="108" state="veryHidden" r:id="rId15"/>
    <sheet name="Cost of Collecton Calculation" sheetId="90" state="veryHidden" r:id="rId16"/>
    <sheet name="Placeholder Allocations" sheetId="101" state="veryHidden" r:id="rId17"/>
    <sheet name="Sheet1" sheetId="109" state="veryHidden" r:id="rId18"/>
    <sheet name="LA_info" sheetId="55" state="veryHidden" r:id="rId1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9" hidden="1">Backsheet!$A$1:$K$1381</definedName>
    <definedName name="_xlnm._FilterDatabase" localSheetId="15" hidden="1">'Cost of Collecton Calculation'!$A$3:$R$299</definedName>
    <definedName name="_xlnm._FilterDatabase" localSheetId="10" hidden="1">Data!$A$7:$CT$304</definedName>
    <definedName name="_xlnm._FilterDatabase" localSheetId="12" hidden="1">'EZ list'!$A$3:$AH$460</definedName>
    <definedName name="_xlnm._FilterDatabase" localSheetId="13" hidden="1">'LA List'!$A$2:$CB$298</definedName>
    <definedName name="_xlnm._FilterDatabase" localSheetId="1" hidden="1">'Part 1'!$C$105:$I$106</definedName>
    <definedName name="_xlnm._FilterDatabase" localSheetId="11" hidden="1">TierSplit!$A$5:$CL$302</definedName>
    <definedName name="_xlnm._FilterDatabase" hidden="1">#REF!</definedName>
    <definedName name="_Order1" hidden="1">255</definedName>
    <definedName name="_Order2" hidden="1">0</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dj_factor">'Part 1'!$F$255</definedName>
    <definedName name="adj_factor_supp">'Part 1'!$F$256</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17aug_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FD_1"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_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FA_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FD_1"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CONTACT">'Part 1'!$K$15:$N$19</definedName>
    <definedName name="CTRprint1" localSheetId="4">'Part 3 DA summary'!$B$1:$J$1</definedName>
    <definedName name="CTRprint2" localSheetId="4">'Part 3 DA summary'!$B$7:$J$54</definedName>
    <definedName name="datar">Data!$A$8:$BI$304</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eh" hidden="1">{"'Trust by name'!$A$6:$E$350","'Trust by name'!$A$1:$D$348"}</definedName>
    <definedName name="eh_1" hidden="1">{"'Trust by name'!$A$6:$E$350","'Trust by name'!$A$1:$D$348"}</definedName>
    <definedName name="FDDD" hidden="1">{#N/A,#N/A,FALSE,"TMCOMP96";#N/A,#N/A,FALSE,"MAT96";#N/A,#N/A,FALSE,"FANDA96";#N/A,#N/A,FALSE,"INTRAN96";#N/A,#N/A,FALSE,"NAA9697";#N/A,#N/A,FALSE,"ECWEBB";#N/A,#N/A,FALSE,"MFT96";#N/A,#N/A,FALSE,"CTrecon"}</definedName>
    <definedName name="FDDD_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ghfgh_1"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HTML_CodePage" hidden="1">1252</definedName>
    <definedName name="HTML_Control" hidden="1">{"'Trust by name'!$A$6:$E$350","'Trust by name'!$A$1:$D$348"}</definedName>
    <definedName name="HTML_Control_1"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port_AuditData" localSheetId="9">Backsheet!#REF!</definedName>
    <definedName name="Import_FormData" localSheetId="9">Backsheet!#REF!</definedName>
    <definedName name="Import_LA_Code">'Part 1'!$K$16</definedName>
    <definedName name="Import_LA_Name">'Part 1'!$K$15</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Local_Share_Total">'Part 1'!$K$255</definedName>
    <definedName name="MHCLG_CONTROL">Backsheet!$A$1:$E$1381</definedName>
    <definedName name="n" hidden="1">{#N/A,#N/A,FALSE,"TMCOMP96";#N/A,#N/A,FALSE,"MAT96";#N/A,#N/A,FALSE,"FANDA96";#N/A,#N/A,FALSE,"INTRAN96";#N/A,#N/A,FALSE,"NAA9697";#N/A,#N/A,FALSE,"ECWEBB";#N/A,#N/A,FALSE,"MFT96";#N/A,#N/A,FALSE,"CTrecon"}</definedName>
    <definedName name="n_1"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ame_1"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CONFLICT_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Pal_Workbook_GUID" hidden="1">"N7IQZZD5YBE28RGZHB5UQVKH"</definedName>
    <definedName name="_xlnm.Print_Area" localSheetId="10">Data!$AQ$1:$BE$300</definedName>
    <definedName name="_xlnm.Print_Area" localSheetId="12">'EZ list'!$A$1:$E$460</definedName>
    <definedName name="_xlnm.Print_Area" localSheetId="7">'Main Validation'!$A$1:$P$53</definedName>
    <definedName name="_xlnm.Print_Area" localSheetId="1">'Part 1'!$B$1:$T$248</definedName>
    <definedName name="_xlnm.Print_Area" localSheetId="2">'Part 2'!$A$1:$AD$186</definedName>
    <definedName name="_xlnm.Print_Area" localSheetId="3">'Part 3'!$A$1:$O$69</definedName>
    <definedName name="_xlnm.Print_Area" localSheetId="4">'Part 3 DA summary'!$A$1:$AC$58</definedName>
    <definedName name="_xlnm.Print_Area" localSheetId="5">'Part 4'!$A$1:$K$79</definedName>
    <definedName name="_xlnm.Print_Area" localSheetId="6">'Supplementary Information'!$A$1:$I$141</definedName>
    <definedName name="_xlnm.Print_Area" localSheetId="8">'Supplementary Validation'!$A$1:$P$59</definedName>
    <definedName name="_xlnm.Print_Area" localSheetId="11">TierSplit!$A$1:$CI$302</definedName>
    <definedName name="_xlnm.Print_Area" localSheetId="0">Title!$A$1:$D$99</definedName>
    <definedName name="_xlnm.Print_Titles" localSheetId="10">Data!$1:$7</definedName>
    <definedName name="_xlnm.Print_Titles" localSheetId="12">'EZ list'!$3:$3</definedName>
    <definedName name="_xlnm.Print_Titles" localSheetId="7">'Main Validation'!$1:$18</definedName>
    <definedName name="_xlnm.Print_Titles" localSheetId="1">'Part 1'!$1:$9</definedName>
    <definedName name="_xlnm.Print_Titles" localSheetId="2">'Part 2'!$1:$15</definedName>
    <definedName name="_xlnm.Print_Titles" localSheetId="4">'Part 3 DA summary'!$1:$4</definedName>
    <definedName name="_xlnm.Print_Titles" localSheetId="8">'Supplementary Validation'!$1:$18</definedName>
    <definedName name="Ref_LA_Codes">Data!$C:$C</definedName>
    <definedName name="Ref_LA_Codes2">TierSplit!$A:$A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BRR_Multiple">'Part 1'!$N$255</definedName>
    <definedName name="SBRR_supp_historic">'Part 1'!$F$257</definedName>
    <definedName name="SBRR_Supplement">'Part 1'!$Q$255</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mall_share_baa">'Part 3'!$T$24</definedName>
    <definedName name="small_share_da">'Part 3'!$T$25</definedName>
    <definedName name="small_share_total">'Part 3'!$T$26</definedName>
    <definedName name="standard_share_baa">'Part 3'!$U$24</definedName>
    <definedName name="standard_share_da">'Part 3'!$U$25</definedName>
    <definedName name="standard_share_total">'Part 3'!$U$26</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iersplit">TierSplit!$A$6:$CA$302</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wrn.table1." hidden="1">{#N/A,#N/A,FALSE,"CGBR95C"}</definedName>
    <definedName name="wrn.table1._1" hidden="1">{#N/A,#N/A,FALSE,"CGBR95C"}</definedName>
    <definedName name="wrn.table2." hidden="1">{#N/A,#N/A,FALSE,"CGBR95C"}</definedName>
    <definedName name="wrn.table2._1" hidden="1">{#N/A,#N/A,FALSE,"CGBR95C"}</definedName>
    <definedName name="wrn.tablea." hidden="1">{#N/A,#N/A,FALSE,"CGBR95C"}</definedName>
    <definedName name="wrn.tablea._1" hidden="1">{#N/A,#N/A,FALSE,"CGBR95C"}</definedName>
    <definedName name="wrn.tableb." hidden="1">{#N/A,#N/A,FALSE,"CGBR95C"}</definedName>
    <definedName name="wrn.tableb._1" hidden="1">{#N/A,#N/A,FALSE,"CGBR95C"}</definedName>
    <definedName name="wrn.tableq." hidden="1">{#N/A,#N/A,FALSE,"CGBR95C"}</definedName>
    <definedName name="wrn.tableq._1"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Z_2F8E6036_5947_4F5E_945D_9873F436F281_.wvu.PrintArea" localSheetId="0" hidden="1">Title!$A$1:$D$100</definedName>
    <definedName name="Z_B5645A3C_E444_45D4_B9DE_32E69EE26ECE_.wvu.PrintArea" localSheetId="0" hidden="1">Title!$A$1:$D$100</definedName>
    <definedName name="Z_D2D98166_124C_48C3_869D_DCCD58CD63A0_.wvu.PrintArea" localSheetId="0" hidden="1">Title!$A$1:$D$100</definedName>
    <definedName name="Z_F1E7C9C0_14EA_4AAE_8057_0C463392B390_.wvu.PrintArea" localSheetId="0" hidden="1">Title!$A$1:$D$100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2" i="74" l="1"/>
  <c r="A404" i="52"/>
  <c r="A402" i="52"/>
  <c r="B402" i="52"/>
  <c r="B403" i="52"/>
  <c r="B129" i="52"/>
  <c r="B130" i="52"/>
  <c r="B426" i="52"/>
  <c r="B409" i="52"/>
  <c r="B387" i="52"/>
  <c r="B370" i="52"/>
  <c r="B361" i="52"/>
  <c r="B338" i="52"/>
  <c r="B331" i="52"/>
  <c r="B332" i="52"/>
  <c r="B297" i="52"/>
  <c r="B248" i="52"/>
  <c r="B249" i="52"/>
  <c r="B111" i="52"/>
  <c r="B24" i="52"/>
  <c r="B25" i="52"/>
  <c r="W7" i="51" l="1"/>
  <c r="K15" i="1"/>
  <c r="M20" i="6" l="1"/>
  <c r="AB20" i="6"/>
  <c r="Y20" i="6"/>
  <c r="V20" i="6"/>
  <c r="AF134" i="6"/>
  <c r="X126" i="6" l="1"/>
  <c r="V19" i="6"/>
  <c r="J19" i="6" s="1"/>
  <c r="S19" i="6"/>
  <c r="C22" i="6"/>
  <c r="C21" i="6"/>
  <c r="G19" i="6" l="1"/>
  <c r="Y19" i="6"/>
  <c r="X130" i="6"/>
  <c r="V181" i="6"/>
  <c r="G160" i="6"/>
  <c r="J160" i="6"/>
  <c r="S160" i="6"/>
  <c r="V160" i="6"/>
  <c r="G79" i="6" l="1"/>
  <c r="J79" i="6"/>
  <c r="S79" i="6"/>
  <c r="V79" i="6"/>
  <c r="P24" i="6"/>
  <c r="J19" i="41"/>
  <c r="J22" i="41"/>
  <c r="Y59" i="6"/>
  <c r="Y57" i="6"/>
  <c r="F255" i="1" l="1"/>
  <c r="F256" i="1"/>
  <c r="D24" i="6"/>
  <c r="G39" i="6"/>
  <c r="N1" i="52"/>
  <c r="I7" i="51"/>
  <c r="G7" i="51"/>
  <c r="G9" i="41"/>
  <c r="B542" i="74" l="1"/>
  <c r="B513" i="74"/>
  <c r="B512" i="74"/>
  <c r="B510" i="74"/>
  <c r="B509" i="74"/>
  <c r="M19" i="41"/>
  <c r="B511" i="74" s="1"/>
  <c r="M18" i="6"/>
  <c r="Q33" i="1" l="1"/>
  <c r="C19" i="6"/>
  <c r="G20" i="6"/>
  <c r="S20" i="6"/>
  <c r="J20" i="6"/>
  <c r="S41" i="6"/>
  <c r="M19" i="6" l="1"/>
  <c r="AB19" i="6" s="1"/>
  <c r="S39" i="6"/>
  <c r="M22" i="41"/>
  <c r="AB31" i="6"/>
  <c r="AF32" i="6" s="1"/>
  <c r="E44" i="24" l="1"/>
  <c r="Q35" i="1"/>
  <c r="B514" i="74"/>
  <c r="B472" i="74"/>
  <c r="B471" i="74"/>
  <c r="B353" i="74"/>
  <c r="B352" i="74"/>
  <c r="M133" i="6"/>
  <c r="Y133" i="6"/>
  <c r="B473" i="74" s="1"/>
  <c r="B234" i="74"/>
  <c r="B233" i="74"/>
  <c r="S203" i="1"/>
  <c r="AA133" i="6" l="1"/>
  <c r="B235" i="74" s="1"/>
  <c r="B354" i="74"/>
  <c r="B684" i="74" l="1"/>
  <c r="J168" i="6" l="1"/>
  <c r="D3" i="101" l="1"/>
  <c r="D4" i="101"/>
  <c r="D5" i="101"/>
  <c r="D6" i="101"/>
  <c r="D7" i="101"/>
  <c r="D8" i="101"/>
  <c r="D9" i="101"/>
  <c r="D10" i="101"/>
  <c r="D11" i="101"/>
  <c r="D12" i="101"/>
  <c r="D13" i="101"/>
  <c r="D14" i="101"/>
  <c r="D15" i="101"/>
  <c r="D16" i="101"/>
  <c r="D17" i="101"/>
  <c r="D18" i="101"/>
  <c r="D19" i="101"/>
  <c r="D20" i="101"/>
  <c r="D21" i="101"/>
  <c r="D22" i="101"/>
  <c r="D23" i="101"/>
  <c r="D24" i="101"/>
  <c r="D25" i="101"/>
  <c r="D26" i="101"/>
  <c r="D27" i="101"/>
  <c r="D28" i="101"/>
  <c r="D29" i="101"/>
  <c r="D30" i="101"/>
  <c r="D31" i="101"/>
  <c r="D32" i="101"/>
  <c r="D33" i="101"/>
  <c r="D34" i="101"/>
  <c r="D35" i="101"/>
  <c r="D36" i="101"/>
  <c r="D37" i="101"/>
  <c r="D38" i="101"/>
  <c r="D39" i="101"/>
  <c r="D40" i="101"/>
  <c r="D41" i="101"/>
  <c r="D42" i="101"/>
  <c r="D43" i="101"/>
  <c r="D44" i="101"/>
  <c r="D45" i="101"/>
  <c r="D46" i="101"/>
  <c r="D47" i="101"/>
  <c r="D48" i="101"/>
  <c r="D49" i="101"/>
  <c r="D50" i="101"/>
  <c r="D51" i="101"/>
  <c r="D52" i="101"/>
  <c r="D53" i="101"/>
  <c r="D54" i="101"/>
  <c r="D55" i="101"/>
  <c r="D56" i="101"/>
  <c r="D57" i="101"/>
  <c r="D58" i="101"/>
  <c r="D59" i="101"/>
  <c r="D60" i="101"/>
  <c r="D61" i="101"/>
  <c r="D62" i="101"/>
  <c r="D63" i="101"/>
  <c r="D64" i="101"/>
  <c r="D65" i="101"/>
  <c r="D66" i="101"/>
  <c r="D67" i="101"/>
  <c r="D68" i="101"/>
  <c r="D69" i="101"/>
  <c r="D70" i="101"/>
  <c r="D71" i="101"/>
  <c r="D72" i="101"/>
  <c r="D73" i="101"/>
  <c r="D74" i="101"/>
  <c r="D75" i="101"/>
  <c r="D76" i="101"/>
  <c r="D77" i="101"/>
  <c r="D78" i="101"/>
  <c r="D79" i="101"/>
  <c r="D80" i="101"/>
  <c r="D81" i="101"/>
  <c r="D82" i="101"/>
  <c r="D83" i="101"/>
  <c r="D84" i="101"/>
  <c r="D85" i="101"/>
  <c r="D86" i="101"/>
  <c r="D87" i="101"/>
  <c r="D88" i="101"/>
  <c r="D89" i="101"/>
  <c r="D90" i="101"/>
  <c r="D91" i="101"/>
  <c r="D92" i="101"/>
  <c r="D93" i="101"/>
  <c r="D94" i="101"/>
  <c r="D95" i="101"/>
  <c r="D96" i="101"/>
  <c r="D97" i="101"/>
  <c r="D98" i="101"/>
  <c r="D99" i="101"/>
  <c r="D100" i="101"/>
  <c r="D101" i="101"/>
  <c r="D102" i="101"/>
  <c r="D103" i="101"/>
  <c r="D104" i="101"/>
  <c r="D105" i="101"/>
  <c r="D106" i="101"/>
  <c r="D107" i="101"/>
  <c r="D108" i="101"/>
  <c r="D109" i="101"/>
  <c r="D110" i="101"/>
  <c r="D111" i="101"/>
  <c r="D112" i="101"/>
  <c r="D113" i="101"/>
  <c r="D114" i="101"/>
  <c r="D115" i="101"/>
  <c r="D116" i="101"/>
  <c r="D117" i="101"/>
  <c r="D118" i="101"/>
  <c r="D119" i="101"/>
  <c r="D120" i="101"/>
  <c r="D121" i="101"/>
  <c r="D122" i="101"/>
  <c r="D123" i="101"/>
  <c r="D124" i="101"/>
  <c r="D125" i="101"/>
  <c r="D126" i="101"/>
  <c r="D127" i="101"/>
  <c r="D128" i="101"/>
  <c r="D129" i="101"/>
  <c r="D130" i="101"/>
  <c r="D131" i="101"/>
  <c r="D132" i="101"/>
  <c r="D133" i="101"/>
  <c r="D134" i="101"/>
  <c r="D135" i="101"/>
  <c r="D136" i="101"/>
  <c r="D137" i="101"/>
  <c r="D138" i="101"/>
  <c r="D139" i="101"/>
  <c r="D140" i="101"/>
  <c r="D141" i="101"/>
  <c r="D142" i="101"/>
  <c r="D143" i="101"/>
  <c r="D144" i="101"/>
  <c r="D145" i="101"/>
  <c r="D146" i="101"/>
  <c r="D147" i="101"/>
  <c r="D148" i="101"/>
  <c r="D149" i="101"/>
  <c r="D150" i="101"/>
  <c r="D151" i="101"/>
  <c r="D152" i="101"/>
  <c r="D153" i="101"/>
  <c r="D154" i="101"/>
  <c r="D155" i="101"/>
  <c r="D156" i="101"/>
  <c r="D157" i="101"/>
  <c r="D158" i="101"/>
  <c r="D159" i="101"/>
  <c r="D160" i="101"/>
  <c r="D161" i="101"/>
  <c r="D162" i="101"/>
  <c r="D163" i="101"/>
  <c r="D164" i="101"/>
  <c r="D165" i="101"/>
  <c r="D166" i="101"/>
  <c r="D167" i="101"/>
  <c r="D168" i="101"/>
  <c r="D169" i="101"/>
  <c r="D170" i="101"/>
  <c r="D171" i="101"/>
  <c r="D172" i="101"/>
  <c r="D173" i="101"/>
  <c r="D174" i="101"/>
  <c r="D175" i="101"/>
  <c r="D176" i="101"/>
  <c r="D177" i="101"/>
  <c r="D178" i="101"/>
  <c r="D179" i="101"/>
  <c r="D180" i="101"/>
  <c r="D181" i="101"/>
  <c r="D182" i="101"/>
  <c r="D183" i="101"/>
  <c r="D184" i="101"/>
  <c r="D185" i="101"/>
  <c r="D186" i="101"/>
  <c r="D187" i="101"/>
  <c r="D188" i="101"/>
  <c r="D189" i="101"/>
  <c r="D190" i="101"/>
  <c r="D191" i="101"/>
  <c r="D192" i="101"/>
  <c r="D193" i="101"/>
  <c r="D194" i="101"/>
  <c r="D195" i="101"/>
  <c r="D196" i="101"/>
  <c r="D197" i="101"/>
  <c r="D198" i="101"/>
  <c r="D199" i="101"/>
  <c r="D200" i="101"/>
  <c r="D201" i="101"/>
  <c r="D202" i="101"/>
  <c r="D203" i="101"/>
  <c r="D204" i="101"/>
  <c r="D205" i="101"/>
  <c r="D206" i="101"/>
  <c r="D207" i="101"/>
  <c r="D208" i="101"/>
  <c r="D209" i="101"/>
  <c r="D210" i="101"/>
  <c r="D211" i="101"/>
  <c r="D212" i="101"/>
  <c r="D213" i="101"/>
  <c r="D214" i="101"/>
  <c r="D215" i="101"/>
  <c r="D216" i="101"/>
  <c r="D217" i="101"/>
  <c r="D218" i="101"/>
  <c r="D219" i="101"/>
  <c r="D220" i="101"/>
  <c r="D221" i="101"/>
  <c r="D222" i="101"/>
  <c r="D223" i="101"/>
  <c r="D224" i="101"/>
  <c r="D225" i="101"/>
  <c r="D226" i="101"/>
  <c r="D227" i="101"/>
  <c r="D228" i="101"/>
  <c r="D229" i="101"/>
  <c r="D230" i="101"/>
  <c r="D231" i="101"/>
  <c r="D232" i="101"/>
  <c r="D233" i="101"/>
  <c r="D234" i="101"/>
  <c r="D235" i="101"/>
  <c r="D236" i="101"/>
  <c r="D237" i="101"/>
  <c r="D238" i="101"/>
  <c r="D239" i="101"/>
  <c r="D240" i="101"/>
  <c r="D241" i="101"/>
  <c r="D242" i="101"/>
  <c r="D243" i="101"/>
  <c r="D244" i="101"/>
  <c r="D245" i="101"/>
  <c r="D246" i="101"/>
  <c r="D247" i="101"/>
  <c r="D248" i="101"/>
  <c r="D249" i="101"/>
  <c r="D250" i="101"/>
  <c r="D251" i="101"/>
  <c r="D252" i="101"/>
  <c r="D253" i="101"/>
  <c r="D254" i="101"/>
  <c r="D255" i="101"/>
  <c r="D256" i="101"/>
  <c r="D257" i="101"/>
  <c r="D258" i="101"/>
  <c r="D259" i="101"/>
  <c r="D260" i="101"/>
  <c r="D261" i="101"/>
  <c r="D262" i="101"/>
  <c r="D263" i="101"/>
  <c r="D264" i="101"/>
  <c r="D265" i="101"/>
  <c r="D266" i="101"/>
  <c r="D267" i="101"/>
  <c r="D268" i="101"/>
  <c r="D269" i="101"/>
  <c r="D270" i="101"/>
  <c r="D271" i="101"/>
  <c r="D272" i="101"/>
  <c r="D273" i="101"/>
  <c r="D274" i="101"/>
  <c r="D275" i="101"/>
  <c r="D276" i="101"/>
  <c r="D277" i="101"/>
  <c r="D278" i="101"/>
  <c r="D279" i="101"/>
  <c r="D280" i="101"/>
  <c r="D281" i="101"/>
  <c r="D282" i="101"/>
  <c r="D283" i="101"/>
  <c r="D284" i="101"/>
  <c r="D285" i="101"/>
  <c r="D286" i="101"/>
  <c r="D287" i="101"/>
  <c r="D288" i="101"/>
  <c r="D289" i="101"/>
  <c r="D290" i="101"/>
  <c r="D291" i="101"/>
  <c r="D292" i="101"/>
  <c r="D293" i="101"/>
  <c r="D294" i="101"/>
  <c r="D295" i="101"/>
  <c r="D296" i="101"/>
  <c r="D297" i="101"/>
  <c r="D2" i="101"/>
  <c r="B154" i="74" l="1"/>
  <c r="S58" i="6" l="1"/>
  <c r="B425" i="74" l="1"/>
  <c r="B424" i="74"/>
  <c r="B306" i="74"/>
  <c r="B305" i="74"/>
  <c r="B187" i="74"/>
  <c r="B186" i="74"/>
  <c r="V137" i="6"/>
  <c r="S137" i="6"/>
  <c r="J137" i="6"/>
  <c r="J144" i="6" s="1"/>
  <c r="G137" i="6"/>
  <c r="Y75" i="6"/>
  <c r="M75" i="6"/>
  <c r="B307" i="74" s="1"/>
  <c r="AB75" i="6" l="1"/>
  <c r="B426" i="74"/>
  <c r="N5" i="52"/>
  <c r="N6" i="52"/>
  <c r="N7" i="52"/>
  <c r="N8" i="52"/>
  <c r="N9" i="52"/>
  <c r="N10" i="52"/>
  <c r="N11" i="52"/>
  <c r="N12" i="52"/>
  <c r="N13" i="52"/>
  <c r="N14" i="52"/>
  <c r="N15" i="52"/>
  <c r="N16" i="52"/>
  <c r="N17" i="52"/>
  <c r="N18" i="52"/>
  <c r="N19" i="52"/>
  <c r="N20" i="52"/>
  <c r="N21" i="52"/>
  <c r="N22" i="52"/>
  <c r="N23"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90" i="52"/>
  <c r="N91" i="52"/>
  <c r="N92" i="52"/>
  <c r="N93" i="52"/>
  <c r="N94" i="52"/>
  <c r="N95" i="52"/>
  <c r="N96" i="52"/>
  <c r="N97" i="52"/>
  <c r="N98" i="52"/>
  <c r="N99" i="52"/>
  <c r="N100" i="52"/>
  <c r="N101" i="52"/>
  <c r="N103" i="52"/>
  <c r="N104" i="52"/>
  <c r="N105" i="52"/>
  <c r="N106" i="52"/>
  <c r="N107" i="52"/>
  <c r="N108" i="52"/>
  <c r="N109" i="52"/>
  <c r="N110" i="52"/>
  <c r="N112" i="52"/>
  <c r="N113" i="52"/>
  <c r="N114" i="52"/>
  <c r="N115" i="52"/>
  <c r="N116" i="52"/>
  <c r="N117" i="52"/>
  <c r="N118" i="52"/>
  <c r="N119" i="52"/>
  <c r="N120" i="52"/>
  <c r="N121" i="52"/>
  <c r="N122" i="52"/>
  <c r="N123" i="52"/>
  <c r="N124" i="52"/>
  <c r="N125" i="52"/>
  <c r="N126" i="52"/>
  <c r="N127" i="52"/>
  <c r="N128"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N167" i="52"/>
  <c r="N168" i="52"/>
  <c r="N169" i="52"/>
  <c r="N170" i="52"/>
  <c r="N171" i="52"/>
  <c r="N172" i="52"/>
  <c r="N173" i="52"/>
  <c r="N174" i="52"/>
  <c r="N175" i="52"/>
  <c r="N176" i="52"/>
  <c r="N177" i="52"/>
  <c r="N178" i="52"/>
  <c r="N179" i="52"/>
  <c r="N180" i="52"/>
  <c r="N181" i="52"/>
  <c r="N182" i="52"/>
  <c r="N183" i="52"/>
  <c r="N184" i="52"/>
  <c r="N185" i="52"/>
  <c r="N186" i="52"/>
  <c r="N187" i="52"/>
  <c r="N188" i="52"/>
  <c r="N189" i="52"/>
  <c r="N190" i="52"/>
  <c r="N191" i="52"/>
  <c r="N192" i="52"/>
  <c r="N193" i="52"/>
  <c r="N194" i="52"/>
  <c r="N195" i="52"/>
  <c r="N196" i="52"/>
  <c r="N197" i="52"/>
  <c r="N198" i="52"/>
  <c r="N199" i="52"/>
  <c r="N200" i="52"/>
  <c r="N201" i="52"/>
  <c r="N202" i="52"/>
  <c r="N203" i="52"/>
  <c r="N204" i="52"/>
  <c r="N205" i="52"/>
  <c r="N206" i="52"/>
  <c r="N207" i="52"/>
  <c r="N208" i="52"/>
  <c r="N209" i="52"/>
  <c r="N210" i="52"/>
  <c r="N211" i="52"/>
  <c r="N212" i="52"/>
  <c r="N213" i="52"/>
  <c r="N214" i="52"/>
  <c r="N215" i="52"/>
  <c r="N216" i="52"/>
  <c r="N217" i="52"/>
  <c r="N218" i="52"/>
  <c r="N219" i="52"/>
  <c r="N220" i="52"/>
  <c r="N221" i="52"/>
  <c r="N222" i="52"/>
  <c r="N223" i="52"/>
  <c r="N224" i="52"/>
  <c r="N225" i="52"/>
  <c r="N226" i="52"/>
  <c r="N227" i="52"/>
  <c r="N228" i="52"/>
  <c r="N229" i="52"/>
  <c r="N230" i="52"/>
  <c r="N231" i="52"/>
  <c r="N232" i="52"/>
  <c r="N233" i="52"/>
  <c r="N234" i="52"/>
  <c r="N235" i="52"/>
  <c r="N236" i="52"/>
  <c r="N237" i="52"/>
  <c r="N238" i="52"/>
  <c r="N239" i="52"/>
  <c r="N240" i="52"/>
  <c r="N241" i="52"/>
  <c r="N242" i="52"/>
  <c r="N243" i="52"/>
  <c r="N244" i="52"/>
  <c r="N245" i="52"/>
  <c r="N246" i="52"/>
  <c r="N247" i="52"/>
  <c r="N250" i="52"/>
  <c r="N251" i="52"/>
  <c r="N252" i="52"/>
  <c r="N253" i="52"/>
  <c r="N254" i="52"/>
  <c r="N255" i="52"/>
  <c r="N256" i="52"/>
  <c r="N257" i="52"/>
  <c r="N258" i="52"/>
  <c r="N259" i="52"/>
  <c r="N260" i="52"/>
  <c r="N261" i="52"/>
  <c r="N262" i="52"/>
  <c r="N263" i="52"/>
  <c r="N264" i="52"/>
  <c r="N265" i="52"/>
  <c r="N266" i="52"/>
  <c r="N267" i="52"/>
  <c r="N268" i="52"/>
  <c r="N269" i="52"/>
  <c r="N270" i="52"/>
  <c r="N271" i="52"/>
  <c r="N272" i="52"/>
  <c r="N273" i="52"/>
  <c r="N274" i="52"/>
  <c r="N275" i="52"/>
  <c r="N276" i="52"/>
  <c r="N277" i="52"/>
  <c r="N278" i="52"/>
  <c r="N279" i="52"/>
  <c r="N280" i="52"/>
  <c r="N281" i="52"/>
  <c r="N282" i="52"/>
  <c r="N283" i="52"/>
  <c r="N285" i="52"/>
  <c r="N286" i="52"/>
  <c r="N287" i="52"/>
  <c r="N288" i="52"/>
  <c r="N289" i="52"/>
  <c r="N290" i="52"/>
  <c r="N291" i="52"/>
  <c r="N292" i="52"/>
  <c r="N293" i="52"/>
  <c r="N294" i="52"/>
  <c r="N295" i="52"/>
  <c r="N296" i="52"/>
  <c r="N298" i="52"/>
  <c r="N299" i="52"/>
  <c r="N300" i="52"/>
  <c r="N301" i="52"/>
  <c r="N302" i="52"/>
  <c r="N303" i="52"/>
  <c r="N304" i="52"/>
  <c r="N305" i="52"/>
  <c r="N306" i="52"/>
  <c r="N307" i="52"/>
  <c r="N308" i="52"/>
  <c r="N309" i="52"/>
  <c r="N310" i="52"/>
  <c r="N311" i="52"/>
  <c r="N312" i="52"/>
  <c r="N313" i="52"/>
  <c r="N314" i="52"/>
  <c r="N315" i="52"/>
  <c r="N316" i="52"/>
  <c r="N317" i="52"/>
  <c r="N318" i="52"/>
  <c r="N319" i="52"/>
  <c r="N321" i="52"/>
  <c r="N322" i="52"/>
  <c r="N323" i="52"/>
  <c r="N324" i="52"/>
  <c r="N325" i="52"/>
  <c r="N326" i="52"/>
  <c r="N327" i="52"/>
  <c r="N328" i="52"/>
  <c r="N329" i="52"/>
  <c r="N334" i="52"/>
  <c r="N335" i="52"/>
  <c r="N336" i="52"/>
  <c r="N337" i="52"/>
  <c r="N339" i="52"/>
  <c r="N340" i="52"/>
  <c r="N341" i="52"/>
  <c r="N343" i="52"/>
  <c r="N344" i="52"/>
  <c r="N345" i="52"/>
  <c r="N346" i="52"/>
  <c r="N347" i="52"/>
  <c r="N348" i="52"/>
  <c r="N349" i="52"/>
  <c r="N350" i="52"/>
  <c r="N351" i="52"/>
  <c r="N352" i="52"/>
  <c r="N353" i="52"/>
  <c r="N354" i="52"/>
  <c r="N355" i="52"/>
  <c r="N356" i="52"/>
  <c r="N357" i="52"/>
  <c r="N358" i="52"/>
  <c r="N359" i="52"/>
  <c r="N360" i="52"/>
  <c r="N362" i="52"/>
  <c r="N363" i="52"/>
  <c r="N364" i="52"/>
  <c r="N365" i="52"/>
  <c r="N366" i="52"/>
  <c r="N367" i="52"/>
  <c r="N368" i="52"/>
  <c r="N369" i="52"/>
  <c r="N371" i="52"/>
  <c r="N372" i="52"/>
  <c r="N373" i="52"/>
  <c r="N374" i="52"/>
  <c r="N375" i="52"/>
  <c r="N376" i="52"/>
  <c r="N377" i="52"/>
  <c r="N378" i="52"/>
  <c r="N379" i="52"/>
  <c r="N380" i="52"/>
  <c r="N381" i="52"/>
  <c r="N382" i="52"/>
  <c r="N383" i="52"/>
  <c r="N384" i="52"/>
  <c r="N385" i="52"/>
  <c r="N386" i="52"/>
  <c r="N388" i="52"/>
  <c r="N389" i="52"/>
  <c r="N390" i="52"/>
  <c r="N391" i="52"/>
  <c r="N392" i="52"/>
  <c r="N393" i="52"/>
  <c r="N394" i="52"/>
  <c r="N395" i="52"/>
  <c r="N396" i="52"/>
  <c r="N397" i="52"/>
  <c r="N398" i="52"/>
  <c r="N399" i="52"/>
  <c r="N400" i="52"/>
  <c r="N401" i="52"/>
  <c r="N404" i="52"/>
  <c r="N405" i="52"/>
  <c r="N406" i="52"/>
  <c r="N407" i="52"/>
  <c r="N410" i="52"/>
  <c r="N411" i="52"/>
  <c r="N412" i="52"/>
  <c r="N413" i="52"/>
  <c r="N414" i="52"/>
  <c r="N415" i="52"/>
  <c r="N416" i="52"/>
  <c r="N417" i="52"/>
  <c r="N418" i="52"/>
  <c r="N419" i="52"/>
  <c r="N420" i="52"/>
  <c r="N421" i="52"/>
  <c r="N422" i="52"/>
  <c r="N423" i="52"/>
  <c r="N424" i="52"/>
  <c r="N425" i="52"/>
  <c r="N427" i="52"/>
  <c r="N428" i="52"/>
  <c r="N429" i="52"/>
  <c r="N431" i="52"/>
  <c r="N432" i="52"/>
  <c r="N433" i="52"/>
  <c r="N434" i="52"/>
  <c r="N435" i="52"/>
  <c r="N436" i="52"/>
  <c r="N437" i="52"/>
  <c r="N438" i="52"/>
  <c r="N439" i="52"/>
  <c r="N440" i="52"/>
  <c r="N441" i="52"/>
  <c r="N442" i="52"/>
  <c r="N443" i="52"/>
  <c r="N444" i="52"/>
  <c r="N445" i="52"/>
  <c r="N446" i="52"/>
  <c r="N447" i="52"/>
  <c r="N448" i="52"/>
  <c r="N449" i="52"/>
  <c r="N450" i="52"/>
  <c r="N451" i="52"/>
  <c r="N452" i="52"/>
  <c r="N453" i="52"/>
  <c r="N454" i="52"/>
  <c r="N455" i="52"/>
  <c r="N456" i="52"/>
  <c r="N457" i="52"/>
  <c r="N458" i="52"/>
  <c r="N459" i="52"/>
  <c r="N460" i="52"/>
  <c r="N4" i="52"/>
  <c r="B188" i="74" l="1"/>
  <c r="AF75" i="6"/>
  <c r="V51" i="6" l="1"/>
  <c r="B404" i="74" s="1"/>
  <c r="S51" i="6"/>
  <c r="B403" i="74" s="1"/>
  <c r="J51" i="6"/>
  <c r="G51" i="6"/>
  <c r="B430" i="74"/>
  <c r="B311" i="74"/>
  <c r="B1376" i="74"/>
  <c r="B1377" i="74"/>
  <c r="B1378" i="74"/>
  <c r="B1379" i="74"/>
  <c r="B1380" i="74"/>
  <c r="B1375" i="74"/>
  <c r="B1374" i="74"/>
  <c r="B662" i="74"/>
  <c r="B487" i="74"/>
  <c r="B470" i="74"/>
  <c r="B368" i="74"/>
  <c r="B351" i="74"/>
  <c r="B499" i="74"/>
  <c r="B491" i="74"/>
  <c r="B488" i="74"/>
  <c r="B485" i="74"/>
  <c r="B477" i="74"/>
  <c r="B468" i="74"/>
  <c r="B466" i="74"/>
  <c r="B463" i="74"/>
  <c r="B457" i="74"/>
  <c r="B454" i="74"/>
  <c r="B451" i="74"/>
  <c r="B446" i="74"/>
  <c r="B441" i="74"/>
  <c r="B438" i="74"/>
  <c r="B433" i="74"/>
  <c r="B431" i="74"/>
  <c r="B422" i="74"/>
  <c r="B419" i="74"/>
  <c r="B416" i="74"/>
  <c r="B413" i="74"/>
  <c r="B410" i="74"/>
  <c r="B407" i="74"/>
  <c r="B402" i="74"/>
  <c r="B399" i="74"/>
  <c r="B394" i="74"/>
  <c r="B388" i="74"/>
  <c r="B498" i="74"/>
  <c r="B490" i="74"/>
  <c r="B484" i="74"/>
  <c r="B476" i="74"/>
  <c r="B469" i="74"/>
  <c r="B465" i="74"/>
  <c r="B462" i="74"/>
  <c r="B456" i="74"/>
  <c r="B453" i="74"/>
  <c r="B450" i="74"/>
  <c r="B445" i="74"/>
  <c r="B440" i="74"/>
  <c r="B437" i="74"/>
  <c r="B432" i="74"/>
  <c r="B421" i="74"/>
  <c r="B418" i="74"/>
  <c r="B415" i="74"/>
  <c r="B412" i="74"/>
  <c r="B409" i="74"/>
  <c r="B406" i="74"/>
  <c r="B401" i="74"/>
  <c r="B398" i="74"/>
  <c r="B393" i="74"/>
  <c r="B387" i="74"/>
  <c r="B380" i="74"/>
  <c r="B379" i="74"/>
  <c r="B372" i="74"/>
  <c r="B371" i="74"/>
  <c r="B369" i="74"/>
  <c r="B366" i="74"/>
  <c r="B365" i="74"/>
  <c r="B358" i="74"/>
  <c r="B357" i="74"/>
  <c r="B350" i="74"/>
  <c r="B349" i="74"/>
  <c r="B347" i="74"/>
  <c r="B346" i="74"/>
  <c r="B344" i="74"/>
  <c r="B343" i="74"/>
  <c r="B338" i="74"/>
  <c r="B337" i="74"/>
  <c r="B335" i="74"/>
  <c r="B334" i="74"/>
  <c r="B332" i="74"/>
  <c r="B331" i="74"/>
  <c r="B327" i="74"/>
  <c r="B326" i="74"/>
  <c r="B322" i="74"/>
  <c r="B321" i="74"/>
  <c r="B319" i="74"/>
  <c r="B318" i="74"/>
  <c r="B314" i="74"/>
  <c r="B313" i="74"/>
  <c r="B303" i="74"/>
  <c r="B302" i="74"/>
  <c r="B300" i="74"/>
  <c r="B299" i="74"/>
  <c r="B297" i="74"/>
  <c r="B296" i="74"/>
  <c r="B294" i="74"/>
  <c r="B293" i="74"/>
  <c r="B291" i="74"/>
  <c r="B290" i="74"/>
  <c r="B288" i="74"/>
  <c r="B287" i="74"/>
  <c r="B283" i="74"/>
  <c r="B282" i="74"/>
  <c r="B280" i="74"/>
  <c r="B279" i="74"/>
  <c r="B275" i="74"/>
  <c r="B274" i="74"/>
  <c r="B269" i="74"/>
  <c r="B268" i="74"/>
  <c r="B284" i="74" l="1"/>
  <c r="B285" i="74"/>
  <c r="B261" i="74"/>
  <c r="B260" i="74"/>
  <c r="B253" i="74"/>
  <c r="B252" i="74"/>
  <c r="B250" i="74"/>
  <c r="B249" i="74"/>
  <c r="B247" i="74"/>
  <c r="B246" i="74"/>
  <c r="B239" i="74"/>
  <c r="B238" i="74"/>
  <c r="B232" i="74"/>
  <c r="B231" i="74"/>
  <c r="B230" i="74"/>
  <c r="B228" i="74"/>
  <c r="B227" i="74"/>
  <c r="B225" i="74"/>
  <c r="B224" i="74"/>
  <c r="B219" i="74"/>
  <c r="B218" i="74"/>
  <c r="B216" i="74"/>
  <c r="B215" i="74"/>
  <c r="B213" i="74"/>
  <c r="B212" i="74"/>
  <c r="B208" i="74"/>
  <c r="B207" i="74"/>
  <c r="B203" i="74"/>
  <c r="B202" i="74"/>
  <c r="B200" i="74"/>
  <c r="B199" i="74"/>
  <c r="B195" i="74"/>
  <c r="B194" i="74"/>
  <c r="B192" i="74"/>
  <c r="B184" i="74"/>
  <c r="B183" i="74"/>
  <c r="B181" i="74"/>
  <c r="B180" i="74"/>
  <c r="B178" i="74"/>
  <c r="B177" i="74"/>
  <c r="B175" i="74"/>
  <c r="B174" i="74"/>
  <c r="B172" i="74"/>
  <c r="B171" i="74"/>
  <c r="B169" i="74"/>
  <c r="B168" i="74"/>
  <c r="B166" i="74"/>
  <c r="B165" i="74"/>
  <c r="B164" i="74"/>
  <c r="B163" i="74"/>
  <c r="B161" i="74"/>
  <c r="B160" i="74"/>
  <c r="B156" i="74"/>
  <c r="B155" i="74"/>
  <c r="B150" i="74"/>
  <c r="B149" i="74"/>
  <c r="R301" i="12" l="1"/>
  <c r="R300" i="12"/>
  <c r="R299" i="12"/>
  <c r="R298" i="12"/>
  <c r="R297" i="12"/>
  <c r="R296" i="12"/>
  <c r="R295" i="12"/>
  <c r="R294" i="12"/>
  <c r="R293" i="12"/>
  <c r="R292" i="12"/>
  <c r="R291" i="12"/>
  <c r="R290" i="12"/>
  <c r="R289" i="12"/>
  <c r="R288" i="12"/>
  <c r="R287" i="12"/>
  <c r="R286" i="12"/>
  <c r="R285" i="12"/>
  <c r="R284" i="12"/>
  <c r="R283" i="12"/>
  <c r="R282" i="12"/>
  <c r="R281" i="12"/>
  <c r="R280" i="12"/>
  <c r="R279" i="12"/>
  <c r="R278" i="12"/>
  <c r="R277" i="12"/>
  <c r="R276" i="12"/>
  <c r="R275" i="12"/>
  <c r="R274" i="12"/>
  <c r="R273" i="12"/>
  <c r="R272" i="12"/>
  <c r="R271" i="12"/>
  <c r="R270" i="12"/>
  <c r="R269" i="12"/>
  <c r="R268" i="12"/>
  <c r="R267" i="12"/>
  <c r="R266" i="12"/>
  <c r="R265" i="12"/>
  <c r="R264" i="12"/>
  <c r="R263" i="12"/>
  <c r="R262" i="12"/>
  <c r="R261" i="12"/>
  <c r="R260" i="12"/>
  <c r="R259" i="12"/>
  <c r="R258" i="12"/>
  <c r="R257" i="12"/>
  <c r="R256" i="12"/>
  <c r="R255" i="12"/>
  <c r="R254" i="12"/>
  <c r="R253" i="12"/>
  <c r="R252" i="12"/>
  <c r="R251" i="12"/>
  <c r="R250" i="12"/>
  <c r="R249" i="12"/>
  <c r="R248" i="12"/>
  <c r="R247" i="12"/>
  <c r="R246" i="12"/>
  <c r="R245" i="12"/>
  <c r="R244" i="12"/>
  <c r="R243" i="12"/>
  <c r="R242" i="12"/>
  <c r="R241" i="12"/>
  <c r="R240" i="12"/>
  <c r="R239" i="12"/>
  <c r="R238" i="12"/>
  <c r="R237" i="12"/>
  <c r="R236" i="12"/>
  <c r="R235" i="12"/>
  <c r="R234" i="12"/>
  <c r="R233" i="12"/>
  <c r="R232" i="12"/>
  <c r="R231" i="12"/>
  <c r="R230" i="12"/>
  <c r="R229" i="12"/>
  <c r="R228" i="12"/>
  <c r="R227" i="12"/>
  <c r="R226" i="12"/>
  <c r="R225" i="12"/>
  <c r="R224" i="12"/>
  <c r="R223" i="12"/>
  <c r="R222" i="12"/>
  <c r="R221" i="12"/>
  <c r="R220" i="12"/>
  <c r="R219" i="12"/>
  <c r="R218" i="12"/>
  <c r="R217" i="12"/>
  <c r="R216" i="12"/>
  <c r="R215" i="12"/>
  <c r="R214" i="12"/>
  <c r="R213" i="12"/>
  <c r="R212" i="12"/>
  <c r="R211" i="12"/>
  <c r="R210" i="12"/>
  <c r="R209" i="12"/>
  <c r="R208" i="12"/>
  <c r="R207" i="12"/>
  <c r="R206" i="12"/>
  <c r="R205" i="12"/>
  <c r="R204" i="12"/>
  <c r="R203" i="12"/>
  <c r="R202" i="12"/>
  <c r="R201" i="12"/>
  <c r="R200" i="12"/>
  <c r="R199" i="12"/>
  <c r="R198" i="12"/>
  <c r="R197" i="12"/>
  <c r="R196" i="12"/>
  <c r="R195" i="12"/>
  <c r="R194" i="12"/>
  <c r="R193" i="12"/>
  <c r="R192" i="12"/>
  <c r="R191" i="12"/>
  <c r="R190" i="12"/>
  <c r="R189" i="12"/>
  <c r="R188" i="12"/>
  <c r="R187" i="12"/>
  <c r="R186" i="12"/>
  <c r="R185" i="12"/>
  <c r="R184" i="12"/>
  <c r="R183" i="12"/>
  <c r="R182" i="12"/>
  <c r="R181" i="12"/>
  <c r="R180" i="12"/>
  <c r="R179" i="12"/>
  <c r="R178" i="12"/>
  <c r="R177" i="12"/>
  <c r="R176" i="12"/>
  <c r="R175" i="12"/>
  <c r="R174" i="12"/>
  <c r="R173" i="12"/>
  <c r="R172" i="12"/>
  <c r="R171" i="12"/>
  <c r="R170" i="12"/>
  <c r="R169" i="12"/>
  <c r="R168" i="12"/>
  <c r="R167" i="12"/>
  <c r="R166" i="12"/>
  <c r="R165" i="12"/>
  <c r="R164" i="12"/>
  <c r="R163" i="12"/>
  <c r="R162" i="12"/>
  <c r="R161" i="12"/>
  <c r="R160" i="12"/>
  <c r="R159" i="12"/>
  <c r="R158" i="12"/>
  <c r="R157" i="12"/>
  <c r="R156" i="12"/>
  <c r="R155" i="12"/>
  <c r="R154" i="12"/>
  <c r="R153" i="12"/>
  <c r="R152" i="12"/>
  <c r="R151" i="12"/>
  <c r="R150" i="12"/>
  <c r="R149" i="12"/>
  <c r="R148" i="12"/>
  <c r="R147" i="12"/>
  <c r="R146" i="12"/>
  <c r="R145" i="12"/>
  <c r="R144" i="12"/>
  <c r="R143" i="12"/>
  <c r="R142" i="12"/>
  <c r="R141" i="12"/>
  <c r="R140" i="12"/>
  <c r="R139" i="12"/>
  <c r="R138" i="12"/>
  <c r="R137" i="12"/>
  <c r="R136" i="12"/>
  <c r="R135" i="12"/>
  <c r="R134" i="12"/>
  <c r="R133" i="12"/>
  <c r="R132" i="12"/>
  <c r="R131" i="12"/>
  <c r="R130" i="12"/>
  <c r="R129" i="12"/>
  <c r="R128" i="12"/>
  <c r="R127" i="12"/>
  <c r="R126" i="12"/>
  <c r="R125" i="12"/>
  <c r="R124" i="12"/>
  <c r="R123" i="12"/>
  <c r="R122" i="12"/>
  <c r="R121" i="12"/>
  <c r="R120" i="12"/>
  <c r="R119" i="12"/>
  <c r="R118" i="12"/>
  <c r="R117" i="12"/>
  <c r="R116" i="12"/>
  <c r="R115" i="12"/>
  <c r="R114" i="12"/>
  <c r="R113" i="12"/>
  <c r="R112" i="12"/>
  <c r="R111" i="12"/>
  <c r="R110" i="12"/>
  <c r="R109" i="12"/>
  <c r="R108" i="12"/>
  <c r="R107" i="12"/>
  <c r="R106" i="12"/>
  <c r="R105" i="12"/>
  <c r="R104" i="12"/>
  <c r="R103" i="12"/>
  <c r="R102" i="12"/>
  <c r="R101" i="12"/>
  <c r="R100" i="12"/>
  <c r="R99" i="12"/>
  <c r="R98" i="12"/>
  <c r="R97" i="12"/>
  <c r="R96" i="12"/>
  <c r="R95" i="12"/>
  <c r="R94" i="12"/>
  <c r="R93" i="12"/>
  <c r="R92" i="12"/>
  <c r="R91" i="12"/>
  <c r="R90" i="12"/>
  <c r="R89" i="12"/>
  <c r="R88" i="12"/>
  <c r="R87" i="12"/>
  <c r="R86" i="12"/>
  <c r="R85" i="12"/>
  <c r="R84" i="12"/>
  <c r="R83" i="12"/>
  <c r="R82" i="12"/>
  <c r="R81" i="12"/>
  <c r="R80" i="12"/>
  <c r="R79" i="12"/>
  <c r="R78" i="12"/>
  <c r="R77" i="12"/>
  <c r="R76" i="12"/>
  <c r="R75" i="12"/>
  <c r="R74" i="12"/>
  <c r="R73" i="12"/>
  <c r="R72" i="12"/>
  <c r="R71" i="12"/>
  <c r="R70" i="12"/>
  <c r="R69" i="12"/>
  <c r="R68" i="12"/>
  <c r="R67" i="12"/>
  <c r="R66" i="12"/>
  <c r="R65" i="12"/>
  <c r="R64" i="12"/>
  <c r="R63" i="12"/>
  <c r="R62" i="12"/>
  <c r="R61" i="12"/>
  <c r="R60" i="12"/>
  <c r="R59" i="12"/>
  <c r="R58" i="12"/>
  <c r="R57" i="12"/>
  <c r="R56" i="12"/>
  <c r="R55" i="12"/>
  <c r="R54" i="12"/>
  <c r="R53" i="12"/>
  <c r="R52" i="12"/>
  <c r="R51" i="12"/>
  <c r="R50" i="12"/>
  <c r="R49" i="12"/>
  <c r="R48" i="12"/>
  <c r="R47" i="12"/>
  <c r="R46" i="12"/>
  <c r="R45" i="12"/>
  <c r="R44" i="12"/>
  <c r="R43" i="12"/>
  <c r="R42" i="12"/>
  <c r="R41" i="12"/>
  <c r="R40" i="12"/>
  <c r="R39" i="12"/>
  <c r="R38" i="12"/>
  <c r="R37" i="12"/>
  <c r="R36" i="12"/>
  <c r="R35" i="12"/>
  <c r="R34" i="12"/>
  <c r="R33" i="12"/>
  <c r="R32" i="12"/>
  <c r="R31" i="12"/>
  <c r="R30" i="12"/>
  <c r="R29" i="12"/>
  <c r="R28" i="12"/>
  <c r="R27" i="12"/>
  <c r="R26" i="12"/>
  <c r="R25" i="12"/>
  <c r="R24" i="12"/>
  <c r="R23" i="12"/>
  <c r="R22" i="12"/>
  <c r="R21" i="12"/>
  <c r="R20" i="12"/>
  <c r="R19" i="12"/>
  <c r="R18" i="12"/>
  <c r="R17" i="12"/>
  <c r="R16" i="12"/>
  <c r="R15" i="12"/>
  <c r="R14" i="12"/>
  <c r="R13" i="12"/>
  <c r="R12" i="12"/>
  <c r="R11" i="12"/>
  <c r="R10" i="12"/>
  <c r="R9" i="12"/>
  <c r="R8" i="12"/>
  <c r="R7" i="12"/>
  <c r="R6" i="12"/>
  <c r="Z6" i="12"/>
  <c r="AH6" i="12"/>
  <c r="AP6" i="12"/>
  <c r="AX6" i="12"/>
  <c r="BF6" i="12"/>
  <c r="BO6" i="12"/>
  <c r="BW6" i="12"/>
  <c r="Z7" i="12"/>
  <c r="AH7" i="12"/>
  <c r="AP7" i="12"/>
  <c r="AX7" i="12"/>
  <c r="BF7" i="12"/>
  <c r="BO7" i="12"/>
  <c r="BW7" i="12"/>
  <c r="Z8" i="12"/>
  <c r="AH8" i="12"/>
  <c r="AP8" i="12"/>
  <c r="AX8" i="12"/>
  <c r="BF8" i="12"/>
  <c r="BO8" i="12"/>
  <c r="BW8" i="12"/>
  <c r="Z9" i="12"/>
  <c r="AH9" i="12"/>
  <c r="AP9" i="12"/>
  <c r="AX9" i="12"/>
  <c r="BF9" i="12"/>
  <c r="BO9" i="12"/>
  <c r="BW9" i="12"/>
  <c r="Z10" i="12"/>
  <c r="AH10" i="12"/>
  <c r="AP10" i="12"/>
  <c r="AX10" i="12"/>
  <c r="BF10" i="12"/>
  <c r="BO10" i="12"/>
  <c r="BW10" i="12"/>
  <c r="Z11" i="12"/>
  <c r="AH11" i="12"/>
  <c r="AP11" i="12"/>
  <c r="AX11" i="12"/>
  <c r="BF11" i="12"/>
  <c r="BO11" i="12"/>
  <c r="BW11" i="12"/>
  <c r="Z12" i="12"/>
  <c r="AH12" i="12"/>
  <c r="AP12" i="12"/>
  <c r="AX12" i="12"/>
  <c r="BF12" i="12"/>
  <c r="BO12" i="12"/>
  <c r="BW12" i="12"/>
  <c r="Z13" i="12"/>
  <c r="AH13" i="12"/>
  <c r="AP13" i="12"/>
  <c r="AX13" i="12"/>
  <c r="BF13" i="12"/>
  <c r="BO13" i="12"/>
  <c r="BW13" i="12"/>
  <c r="Z14" i="12"/>
  <c r="AH14" i="12"/>
  <c r="AP14" i="12"/>
  <c r="AX14" i="12"/>
  <c r="BF14" i="12"/>
  <c r="BO14" i="12"/>
  <c r="BW14" i="12"/>
  <c r="Z15" i="12"/>
  <c r="AH15" i="12"/>
  <c r="AP15" i="12"/>
  <c r="AX15" i="12"/>
  <c r="BF15" i="12"/>
  <c r="BO15" i="12"/>
  <c r="BW15" i="12"/>
  <c r="Z16" i="12"/>
  <c r="AH16" i="12"/>
  <c r="AP16" i="12"/>
  <c r="AX16" i="12"/>
  <c r="BF16" i="12"/>
  <c r="BO16" i="12"/>
  <c r="BW16" i="12"/>
  <c r="Z17" i="12"/>
  <c r="AH17" i="12"/>
  <c r="AP17" i="12"/>
  <c r="AX17" i="12"/>
  <c r="BF17" i="12"/>
  <c r="BO17" i="12"/>
  <c r="BW17" i="12"/>
  <c r="Z18" i="12"/>
  <c r="AH18" i="12"/>
  <c r="AP18" i="12"/>
  <c r="AX18" i="12"/>
  <c r="BF18" i="12"/>
  <c r="BO18" i="12"/>
  <c r="BW18" i="12"/>
  <c r="Z19" i="12"/>
  <c r="AH19" i="12"/>
  <c r="AP19" i="12"/>
  <c r="AX19" i="12"/>
  <c r="BF19" i="12"/>
  <c r="BO19" i="12"/>
  <c r="BW19" i="12"/>
  <c r="Z20" i="12"/>
  <c r="AH20" i="12"/>
  <c r="AP20" i="12"/>
  <c r="AX20" i="12"/>
  <c r="BF20" i="12"/>
  <c r="BO20" i="12"/>
  <c r="BW20" i="12"/>
  <c r="Z21" i="12"/>
  <c r="AH21" i="12"/>
  <c r="AP21" i="12"/>
  <c r="AX21" i="12"/>
  <c r="BF21" i="12"/>
  <c r="BO21" i="12"/>
  <c r="BW21" i="12"/>
  <c r="Z22" i="12"/>
  <c r="AH22" i="12"/>
  <c r="AP22" i="12"/>
  <c r="AX22" i="12"/>
  <c r="BF22" i="12"/>
  <c r="BO22" i="12"/>
  <c r="BW22" i="12"/>
  <c r="Z23" i="12"/>
  <c r="AH23" i="12"/>
  <c r="AP23" i="12"/>
  <c r="AX23" i="12"/>
  <c r="BF23" i="12"/>
  <c r="BO23" i="12"/>
  <c r="BW23" i="12"/>
  <c r="Z24" i="12"/>
  <c r="AH24" i="12"/>
  <c r="AP24" i="12"/>
  <c r="AX24" i="12"/>
  <c r="BF24" i="12"/>
  <c r="BO24" i="12"/>
  <c r="BW24" i="12"/>
  <c r="Z25" i="12"/>
  <c r="AH25" i="12"/>
  <c r="AP25" i="12"/>
  <c r="AX25" i="12"/>
  <c r="BF25" i="12"/>
  <c r="BO25" i="12"/>
  <c r="BW25" i="12"/>
  <c r="Z26" i="12"/>
  <c r="AH26" i="12"/>
  <c r="AP26" i="12"/>
  <c r="AX26" i="12"/>
  <c r="BF26" i="12"/>
  <c r="BO26" i="12"/>
  <c r="BW26" i="12"/>
  <c r="Z27" i="12"/>
  <c r="AH27" i="12"/>
  <c r="AP27" i="12"/>
  <c r="AX27" i="12"/>
  <c r="BF27" i="12"/>
  <c r="BO27" i="12"/>
  <c r="BW27" i="12"/>
  <c r="Z28" i="12"/>
  <c r="AH28" i="12"/>
  <c r="AP28" i="12"/>
  <c r="AX28" i="12"/>
  <c r="BF28" i="12"/>
  <c r="BO28" i="12"/>
  <c r="BW28" i="12"/>
  <c r="Z29" i="12"/>
  <c r="AH29" i="12"/>
  <c r="AP29" i="12"/>
  <c r="AX29" i="12"/>
  <c r="BF29" i="12"/>
  <c r="BO29" i="12"/>
  <c r="BW29" i="12"/>
  <c r="Z30" i="12"/>
  <c r="AH30" i="12"/>
  <c r="AP30" i="12"/>
  <c r="AX30" i="12"/>
  <c r="BF30" i="12"/>
  <c r="BO30" i="12"/>
  <c r="BW30" i="12"/>
  <c r="Z31" i="12"/>
  <c r="AH31" i="12"/>
  <c r="AP31" i="12"/>
  <c r="AX31" i="12"/>
  <c r="BF31" i="12"/>
  <c r="BO31" i="12"/>
  <c r="BW31" i="12"/>
  <c r="Z32" i="12"/>
  <c r="AH32" i="12"/>
  <c r="AP32" i="12"/>
  <c r="AX32" i="12"/>
  <c r="BF32" i="12"/>
  <c r="BO32" i="12"/>
  <c r="BW32" i="12"/>
  <c r="Z33" i="12"/>
  <c r="AH33" i="12"/>
  <c r="AP33" i="12"/>
  <c r="AX33" i="12"/>
  <c r="BF33" i="12"/>
  <c r="BO33" i="12"/>
  <c r="BW33" i="12"/>
  <c r="Z34" i="12"/>
  <c r="AH34" i="12"/>
  <c r="AP34" i="12"/>
  <c r="AX34" i="12"/>
  <c r="BF34" i="12"/>
  <c r="BO34" i="12"/>
  <c r="BW34" i="12"/>
  <c r="Z35" i="12"/>
  <c r="AH35" i="12"/>
  <c r="AP35" i="12"/>
  <c r="AX35" i="12"/>
  <c r="BF35" i="12"/>
  <c r="BO35" i="12"/>
  <c r="BW35" i="12"/>
  <c r="Z36" i="12"/>
  <c r="AH36" i="12"/>
  <c r="AP36" i="12"/>
  <c r="AX36" i="12"/>
  <c r="BF36" i="12"/>
  <c r="BO36" i="12"/>
  <c r="BW36" i="12"/>
  <c r="Z37" i="12"/>
  <c r="AH37" i="12"/>
  <c r="AP37" i="12"/>
  <c r="AX37" i="12"/>
  <c r="BF37" i="12"/>
  <c r="BO37" i="12"/>
  <c r="BW37" i="12"/>
  <c r="Z38" i="12"/>
  <c r="AH38" i="12"/>
  <c r="AP38" i="12"/>
  <c r="AX38" i="12"/>
  <c r="BF38" i="12"/>
  <c r="BO38" i="12"/>
  <c r="BW38" i="12"/>
  <c r="Z39" i="12"/>
  <c r="AH39" i="12"/>
  <c r="AP39" i="12"/>
  <c r="AX39" i="12"/>
  <c r="BF39" i="12"/>
  <c r="BO39" i="12"/>
  <c r="BW39" i="12"/>
  <c r="Z40" i="12"/>
  <c r="AH40" i="12"/>
  <c r="AP40" i="12"/>
  <c r="AX40" i="12"/>
  <c r="BF40" i="12"/>
  <c r="BO40" i="12"/>
  <c r="BW40" i="12"/>
  <c r="Z41" i="12"/>
  <c r="AH41" i="12"/>
  <c r="AP41" i="12"/>
  <c r="AX41" i="12"/>
  <c r="BF41" i="12"/>
  <c r="BO41" i="12"/>
  <c r="BW41" i="12"/>
  <c r="Z42" i="12"/>
  <c r="AH42" i="12"/>
  <c r="AP42" i="12"/>
  <c r="AQ42" i="12"/>
  <c r="AX42" i="12" s="1"/>
  <c r="AY42" i="12"/>
  <c r="BF42" i="12" s="1"/>
  <c r="BH42" i="12"/>
  <c r="BO42" i="12" s="1"/>
  <c r="BP42" i="12"/>
  <c r="BW42" i="12" s="1"/>
  <c r="Z43" i="12"/>
  <c r="AH43" i="12"/>
  <c r="AP43" i="12"/>
  <c r="AX43" i="12"/>
  <c r="BF43" i="12"/>
  <c r="BO43" i="12"/>
  <c r="BW43" i="12"/>
  <c r="Z44" i="12"/>
  <c r="AH44" i="12"/>
  <c r="AP44" i="12"/>
  <c r="AX44" i="12"/>
  <c r="BF44" i="12"/>
  <c r="BO44" i="12"/>
  <c r="BW44" i="12"/>
  <c r="Z45" i="12"/>
  <c r="AH45" i="12"/>
  <c r="AP45" i="12"/>
  <c r="AX45" i="12"/>
  <c r="BF45" i="12"/>
  <c r="BO45" i="12"/>
  <c r="BW45" i="12"/>
  <c r="Z46" i="12"/>
  <c r="AH46" i="12"/>
  <c r="AP46" i="12"/>
  <c r="AX46" i="12"/>
  <c r="BF46" i="12"/>
  <c r="BO46" i="12"/>
  <c r="BW46" i="12"/>
  <c r="Z47" i="12"/>
  <c r="AH47" i="12"/>
  <c r="AP47" i="12"/>
  <c r="AX47" i="12"/>
  <c r="BF47" i="12"/>
  <c r="BO47" i="12"/>
  <c r="BW47" i="12"/>
  <c r="Z48" i="12"/>
  <c r="AH48" i="12"/>
  <c r="AP48" i="12"/>
  <c r="AX48" i="12"/>
  <c r="BF48" i="12"/>
  <c r="BO48" i="12"/>
  <c r="BW48" i="12"/>
  <c r="Z49" i="12"/>
  <c r="AH49" i="12"/>
  <c r="AP49" i="12"/>
  <c r="AX49" i="12"/>
  <c r="BF49" i="12"/>
  <c r="BO49" i="12"/>
  <c r="BW49" i="12"/>
  <c r="Z50" i="12"/>
  <c r="AH50" i="12"/>
  <c r="AP50" i="12"/>
  <c r="AX50" i="12"/>
  <c r="BF50" i="12"/>
  <c r="BO50" i="12"/>
  <c r="BW50" i="12"/>
  <c r="Z51" i="12"/>
  <c r="AH51" i="12"/>
  <c r="AP51" i="12"/>
  <c r="AX51" i="12"/>
  <c r="BF51" i="12"/>
  <c r="BO51" i="12"/>
  <c r="BW51" i="12"/>
  <c r="Z52" i="12"/>
  <c r="AH52" i="12"/>
  <c r="AP52" i="12"/>
  <c r="AX52" i="12"/>
  <c r="BF52" i="12"/>
  <c r="BO52" i="12"/>
  <c r="BW52" i="12"/>
  <c r="Z53" i="12"/>
  <c r="AH53" i="12"/>
  <c r="AP53" i="12"/>
  <c r="AX53" i="12"/>
  <c r="BF53" i="12"/>
  <c r="BO53" i="12"/>
  <c r="BW53" i="12"/>
  <c r="Z54" i="12"/>
  <c r="AH54" i="12"/>
  <c r="AP54" i="12"/>
  <c r="AX54" i="12"/>
  <c r="BF54" i="12"/>
  <c r="BO54" i="12"/>
  <c r="BW54" i="12"/>
  <c r="Z55" i="12"/>
  <c r="AH55" i="12"/>
  <c r="AP55" i="12"/>
  <c r="AX55" i="12"/>
  <c r="BF55" i="12"/>
  <c r="BO55" i="12"/>
  <c r="BW55" i="12"/>
  <c r="Z56" i="12"/>
  <c r="AH56" i="12"/>
  <c r="AP56" i="12"/>
  <c r="AX56" i="12"/>
  <c r="BF56" i="12"/>
  <c r="BO56" i="12"/>
  <c r="BW56" i="12"/>
  <c r="Z57" i="12"/>
  <c r="AH57" i="12"/>
  <c r="AP57" i="12"/>
  <c r="AX57" i="12"/>
  <c r="BF57" i="12"/>
  <c r="BO57" i="12"/>
  <c r="BW57" i="12"/>
  <c r="Z58" i="12"/>
  <c r="AH58" i="12"/>
  <c r="AP58" i="12"/>
  <c r="AX58" i="12"/>
  <c r="BF58" i="12"/>
  <c r="BO58" i="12"/>
  <c r="BW58" i="12"/>
  <c r="Z59" i="12"/>
  <c r="AH59" i="12"/>
  <c r="AP59" i="12"/>
  <c r="AX59" i="12"/>
  <c r="BF59" i="12"/>
  <c r="BO59" i="12"/>
  <c r="BW59" i="12"/>
  <c r="Z60" i="12"/>
  <c r="AH60" i="12"/>
  <c r="AP60" i="12"/>
  <c r="AX60" i="12"/>
  <c r="BF60" i="12"/>
  <c r="BO60" i="12"/>
  <c r="BW60" i="12"/>
  <c r="Z61" i="12"/>
  <c r="AH61" i="12"/>
  <c r="AP61" i="12"/>
  <c r="AX61" i="12"/>
  <c r="BF61" i="12"/>
  <c r="BO61" i="12"/>
  <c r="BW61" i="12"/>
  <c r="Z62" i="12"/>
  <c r="AH62" i="12"/>
  <c r="AP62" i="12"/>
  <c r="AX62" i="12"/>
  <c r="BF62" i="12"/>
  <c r="BO62" i="12"/>
  <c r="BW62" i="12"/>
  <c r="Z63" i="12"/>
  <c r="AH63" i="12"/>
  <c r="AP63" i="12"/>
  <c r="AX63" i="12"/>
  <c r="BF63" i="12"/>
  <c r="BO63" i="12"/>
  <c r="BW63" i="12"/>
  <c r="Z64" i="12"/>
  <c r="AH64" i="12"/>
  <c r="AP64" i="12"/>
  <c r="AX64" i="12"/>
  <c r="BF64" i="12"/>
  <c r="BO64" i="12"/>
  <c r="BW64" i="12"/>
  <c r="Z65" i="12"/>
  <c r="AH65" i="12"/>
  <c r="AP65" i="12"/>
  <c r="AX65" i="12"/>
  <c r="BF65" i="12"/>
  <c r="BO65" i="12"/>
  <c r="BW65" i="12"/>
  <c r="Z66" i="12"/>
  <c r="AH66" i="12"/>
  <c r="AP66" i="12"/>
  <c r="AX66" i="12"/>
  <c r="BF66" i="12"/>
  <c r="BO66" i="12"/>
  <c r="BW66" i="12"/>
  <c r="Z67" i="12"/>
  <c r="AH67" i="12"/>
  <c r="AP67" i="12"/>
  <c r="AX67" i="12"/>
  <c r="BF67" i="12"/>
  <c r="BO67" i="12"/>
  <c r="BW67" i="12"/>
  <c r="Z68" i="12"/>
  <c r="AH68" i="12"/>
  <c r="AP68" i="12"/>
  <c r="AX68" i="12"/>
  <c r="BF68" i="12"/>
  <c r="BO68" i="12"/>
  <c r="BW68" i="12"/>
  <c r="Z69" i="12"/>
  <c r="AH69" i="12"/>
  <c r="AP69" i="12"/>
  <c r="AX69" i="12"/>
  <c r="BF69" i="12"/>
  <c r="BO69" i="12"/>
  <c r="BW69" i="12"/>
  <c r="Z70" i="12"/>
  <c r="AH70" i="12"/>
  <c r="AP70" i="12"/>
  <c r="AX70" i="12"/>
  <c r="BF70" i="12"/>
  <c r="BO70" i="12"/>
  <c r="BW70" i="12"/>
  <c r="Z71" i="12"/>
  <c r="AH71" i="12"/>
  <c r="AP71" i="12"/>
  <c r="AX71" i="12"/>
  <c r="BF71" i="12"/>
  <c r="BO71" i="12"/>
  <c r="BW71" i="12"/>
  <c r="Z72" i="12"/>
  <c r="AH72" i="12"/>
  <c r="AP72" i="12"/>
  <c r="AX72" i="12"/>
  <c r="BF72" i="12"/>
  <c r="BO72" i="12"/>
  <c r="BW72" i="12"/>
  <c r="Z73" i="12"/>
  <c r="AH73" i="12"/>
  <c r="AP73" i="12"/>
  <c r="AX73" i="12"/>
  <c r="BF73" i="12"/>
  <c r="BO73" i="12"/>
  <c r="BW73" i="12"/>
  <c r="Z74" i="12"/>
  <c r="AH74" i="12"/>
  <c r="AP74" i="12"/>
  <c r="AX74" i="12"/>
  <c r="BF74" i="12"/>
  <c r="BO74" i="12"/>
  <c r="BW74" i="12"/>
  <c r="Z75" i="12"/>
  <c r="AH75" i="12"/>
  <c r="AP75" i="12"/>
  <c r="AX75" i="12"/>
  <c r="BF75" i="12"/>
  <c r="BO75" i="12"/>
  <c r="BW75" i="12"/>
  <c r="Z76" i="12"/>
  <c r="AH76" i="12"/>
  <c r="AP76" i="12"/>
  <c r="AX76" i="12"/>
  <c r="BF76" i="12"/>
  <c r="BO76" i="12"/>
  <c r="BW76" i="12"/>
  <c r="Z77" i="12"/>
  <c r="AH77" i="12"/>
  <c r="AP77" i="12"/>
  <c r="AX77" i="12"/>
  <c r="BF77" i="12"/>
  <c r="BO77" i="12"/>
  <c r="BW77" i="12"/>
  <c r="Z78" i="12"/>
  <c r="AH78" i="12"/>
  <c r="AP78" i="12"/>
  <c r="AX78" i="12"/>
  <c r="BF78" i="12"/>
  <c r="BO78" i="12"/>
  <c r="BW78" i="12"/>
  <c r="Z79" i="12"/>
  <c r="AH79" i="12"/>
  <c r="AP79" i="12"/>
  <c r="AX79" i="12"/>
  <c r="BF79" i="12"/>
  <c r="BO79" i="12"/>
  <c r="BW79" i="12"/>
  <c r="Z80" i="12"/>
  <c r="AH80" i="12"/>
  <c r="AP80" i="12"/>
  <c r="AX80" i="12"/>
  <c r="BF80" i="12"/>
  <c r="BO80" i="12"/>
  <c r="BW80" i="12"/>
  <c r="Z81" i="12"/>
  <c r="AH81" i="12"/>
  <c r="AP81" i="12"/>
  <c r="AX81" i="12"/>
  <c r="BF81" i="12"/>
  <c r="BO81" i="12"/>
  <c r="BW81" i="12"/>
  <c r="Z82" i="12"/>
  <c r="AH82" i="12"/>
  <c r="AP82" i="12"/>
  <c r="AX82" i="12"/>
  <c r="BF82" i="12"/>
  <c r="BO82" i="12"/>
  <c r="BW82" i="12"/>
  <c r="Z83" i="12"/>
  <c r="AH83" i="12"/>
  <c r="AP83" i="12"/>
  <c r="AX83" i="12"/>
  <c r="BF83" i="12"/>
  <c r="BO83" i="12"/>
  <c r="BW83" i="12"/>
  <c r="Z84" i="12"/>
  <c r="AH84" i="12"/>
  <c r="AP84" i="12"/>
  <c r="AX84" i="12"/>
  <c r="BF84" i="12"/>
  <c r="BO84" i="12"/>
  <c r="BW84" i="12"/>
  <c r="Z85" i="12"/>
  <c r="AH85" i="12"/>
  <c r="AP85" i="12"/>
  <c r="AX85" i="12"/>
  <c r="BF85" i="12"/>
  <c r="BO85" i="12"/>
  <c r="BW85" i="12"/>
  <c r="Z86" i="12"/>
  <c r="AH86" i="12"/>
  <c r="AP86" i="12"/>
  <c r="AX86" i="12"/>
  <c r="BF86" i="12"/>
  <c r="BO86" i="12"/>
  <c r="BW86" i="12"/>
  <c r="Z87" i="12"/>
  <c r="AH87" i="12"/>
  <c r="AP87" i="12"/>
  <c r="AX87" i="12"/>
  <c r="BF87" i="12"/>
  <c r="BO87" i="12"/>
  <c r="BW87" i="12"/>
  <c r="Z88" i="12"/>
  <c r="AH88" i="12"/>
  <c r="AP88" i="12"/>
  <c r="AX88" i="12"/>
  <c r="BF88" i="12"/>
  <c r="BO88" i="12"/>
  <c r="BW88" i="12"/>
  <c r="Z89" i="12"/>
  <c r="AH89" i="12"/>
  <c r="AP89" i="12"/>
  <c r="AX89" i="12"/>
  <c r="BF89" i="12"/>
  <c r="BO89" i="12"/>
  <c r="BW89" i="12"/>
  <c r="Z90" i="12"/>
  <c r="AH90" i="12"/>
  <c r="AP90" i="12"/>
  <c r="AX90" i="12"/>
  <c r="BF90" i="12"/>
  <c r="BO90" i="12"/>
  <c r="BW90" i="12"/>
  <c r="Z91" i="12"/>
  <c r="AH91" i="12"/>
  <c r="AP91" i="12"/>
  <c r="AX91" i="12"/>
  <c r="BF91" i="12"/>
  <c r="BO91" i="12"/>
  <c r="BW91" i="12"/>
  <c r="Z92" i="12"/>
  <c r="AH92" i="12"/>
  <c r="AP92" i="12"/>
  <c r="AX92" i="12"/>
  <c r="BF92" i="12"/>
  <c r="BO92" i="12"/>
  <c r="BW92" i="12"/>
  <c r="Z93" i="12"/>
  <c r="AH93" i="12"/>
  <c r="AP93" i="12"/>
  <c r="AX93" i="12"/>
  <c r="BF93" i="12"/>
  <c r="BO93" i="12"/>
  <c r="BW93" i="12"/>
  <c r="Z94" i="12"/>
  <c r="AH94" i="12"/>
  <c r="AP94" i="12"/>
  <c r="AX94" i="12"/>
  <c r="BF94" i="12"/>
  <c r="BO94" i="12"/>
  <c r="BW94" i="12"/>
  <c r="Z95" i="12"/>
  <c r="AH95" i="12"/>
  <c r="AP95" i="12"/>
  <c r="AX95" i="12"/>
  <c r="BF95" i="12"/>
  <c r="BO95" i="12"/>
  <c r="BW95" i="12"/>
  <c r="Z96" i="12"/>
  <c r="AH96" i="12"/>
  <c r="AP96" i="12"/>
  <c r="AX96" i="12"/>
  <c r="BF96" i="12"/>
  <c r="BO96" i="12"/>
  <c r="BW96" i="12"/>
  <c r="Z97" i="12"/>
  <c r="AH97" i="12"/>
  <c r="AP97" i="12"/>
  <c r="AX97" i="12"/>
  <c r="BF97" i="12"/>
  <c r="BO97" i="12"/>
  <c r="BW97" i="12"/>
  <c r="Z98" i="12"/>
  <c r="AH98" i="12"/>
  <c r="AP98" i="12"/>
  <c r="AX98" i="12"/>
  <c r="BF98" i="12"/>
  <c r="BO98" i="12"/>
  <c r="BW98" i="12"/>
  <c r="Z99" i="12"/>
  <c r="AH99" i="12"/>
  <c r="AP99" i="12"/>
  <c r="AX99" i="12"/>
  <c r="BF99" i="12"/>
  <c r="BO99" i="12"/>
  <c r="BW99" i="12"/>
  <c r="Z100" i="12"/>
  <c r="AH100" i="12"/>
  <c r="AP100" i="12"/>
  <c r="AX100" i="12"/>
  <c r="BF100" i="12"/>
  <c r="BO100" i="12"/>
  <c r="BW100" i="12"/>
  <c r="Z101" i="12"/>
  <c r="AH101" i="12"/>
  <c r="AP101" i="12"/>
  <c r="AX101" i="12"/>
  <c r="BF101" i="12"/>
  <c r="BO101" i="12"/>
  <c r="BW101" i="12"/>
  <c r="Z102" i="12"/>
  <c r="AH102" i="12"/>
  <c r="AP102" i="12"/>
  <c r="AX102" i="12"/>
  <c r="BF102" i="12"/>
  <c r="BO102" i="12"/>
  <c r="BW102" i="12"/>
  <c r="Z103" i="12"/>
  <c r="AH103" i="12"/>
  <c r="AP103" i="12"/>
  <c r="AX103" i="12"/>
  <c r="BF103" i="12"/>
  <c r="BO103" i="12"/>
  <c r="BW103" i="12"/>
  <c r="Z104" i="12"/>
  <c r="AH104" i="12"/>
  <c r="AP104" i="12"/>
  <c r="AX104" i="12"/>
  <c r="BF104" i="12"/>
  <c r="BO104" i="12"/>
  <c r="BW104" i="12"/>
  <c r="Z105" i="12"/>
  <c r="AH105" i="12"/>
  <c r="AP105" i="12"/>
  <c r="AX105" i="12"/>
  <c r="BF105" i="12"/>
  <c r="BO105" i="12"/>
  <c r="BW105" i="12"/>
  <c r="Z106" i="12"/>
  <c r="AH106" i="12"/>
  <c r="AP106" i="12"/>
  <c r="AX106" i="12"/>
  <c r="BF106" i="12"/>
  <c r="BO106" i="12"/>
  <c r="BW106" i="12"/>
  <c r="Z107" i="12"/>
  <c r="AH107" i="12"/>
  <c r="AP107" i="12"/>
  <c r="AX107" i="12"/>
  <c r="BF107" i="12"/>
  <c r="BO107" i="12"/>
  <c r="BW107" i="12"/>
  <c r="Z108" i="12"/>
  <c r="AH108" i="12"/>
  <c r="AP108" i="12"/>
  <c r="AX108" i="12"/>
  <c r="BF108" i="12"/>
  <c r="BO108" i="12"/>
  <c r="BW108" i="12"/>
  <c r="Z109" i="12"/>
  <c r="AH109" i="12"/>
  <c r="AP109" i="12"/>
  <c r="AX109" i="12"/>
  <c r="BF109" i="12"/>
  <c r="BO109" i="12"/>
  <c r="BW109" i="12"/>
  <c r="Z110" i="12"/>
  <c r="AH110" i="12"/>
  <c r="AP110" i="12"/>
  <c r="AX110" i="12"/>
  <c r="BF110" i="12"/>
  <c r="BO110" i="12"/>
  <c r="BW110" i="12"/>
  <c r="Z111" i="12"/>
  <c r="AH111" i="12"/>
  <c r="AP111" i="12"/>
  <c r="AX111" i="12"/>
  <c r="BF111" i="12"/>
  <c r="BO111" i="12"/>
  <c r="BW111" i="12"/>
  <c r="Z112" i="12"/>
  <c r="AH112" i="12"/>
  <c r="AP112" i="12"/>
  <c r="AX112" i="12"/>
  <c r="BF112" i="12"/>
  <c r="BO112" i="12"/>
  <c r="BW112" i="12"/>
  <c r="Z113" i="12"/>
  <c r="AH113" i="12"/>
  <c r="AP113" i="12"/>
  <c r="AX113" i="12"/>
  <c r="BF113" i="12"/>
  <c r="BO113" i="12"/>
  <c r="BW113" i="12"/>
  <c r="Z114" i="12"/>
  <c r="AH114" i="12"/>
  <c r="AP114" i="12"/>
  <c r="AX114" i="12"/>
  <c r="BF114" i="12"/>
  <c r="BO114" i="12"/>
  <c r="BW114" i="12"/>
  <c r="Z115" i="12"/>
  <c r="AH115" i="12"/>
  <c r="AP115" i="12"/>
  <c r="AX115" i="12"/>
  <c r="BF115" i="12"/>
  <c r="BO115" i="12"/>
  <c r="BW115" i="12"/>
  <c r="Z116" i="12"/>
  <c r="AH116" i="12"/>
  <c r="AP116" i="12"/>
  <c r="AX116" i="12"/>
  <c r="BF116" i="12"/>
  <c r="BO116" i="12"/>
  <c r="BW116" i="12"/>
  <c r="Z117" i="12"/>
  <c r="AH117" i="12"/>
  <c r="AP117" i="12"/>
  <c r="AX117" i="12"/>
  <c r="BF117" i="12"/>
  <c r="BO117" i="12"/>
  <c r="BW117" i="12"/>
  <c r="Z118" i="12"/>
  <c r="AH118" i="12"/>
  <c r="AP118" i="12"/>
  <c r="AX118" i="12"/>
  <c r="BF118" i="12"/>
  <c r="BO118" i="12"/>
  <c r="BW118" i="12"/>
  <c r="Z119" i="12"/>
  <c r="AH119" i="12"/>
  <c r="AP119" i="12"/>
  <c r="AX119" i="12"/>
  <c r="BF119" i="12"/>
  <c r="BO119" i="12"/>
  <c r="BW119" i="12"/>
  <c r="Z120" i="12"/>
  <c r="AH120" i="12"/>
  <c r="AP120" i="12"/>
  <c r="AX120" i="12"/>
  <c r="BF120" i="12"/>
  <c r="BO120" i="12"/>
  <c r="BW120" i="12"/>
  <c r="Z121" i="12"/>
  <c r="AH121" i="12"/>
  <c r="AP121" i="12"/>
  <c r="AX121" i="12"/>
  <c r="BF121" i="12"/>
  <c r="BO121" i="12"/>
  <c r="BW121" i="12"/>
  <c r="Z122" i="12"/>
  <c r="AH122" i="12"/>
  <c r="AP122" i="12"/>
  <c r="AX122" i="12"/>
  <c r="BF122" i="12"/>
  <c r="BO122" i="12"/>
  <c r="BW122" i="12"/>
  <c r="Z123" i="12"/>
  <c r="AH123" i="12"/>
  <c r="AP123" i="12"/>
  <c r="AX123" i="12"/>
  <c r="BF123" i="12"/>
  <c r="BO123" i="12"/>
  <c r="BW123" i="12"/>
  <c r="Z124" i="12"/>
  <c r="AH124" i="12"/>
  <c r="AP124" i="12"/>
  <c r="AX124" i="12"/>
  <c r="BF124" i="12"/>
  <c r="BO124" i="12"/>
  <c r="BW124" i="12"/>
  <c r="Z125" i="12"/>
  <c r="AH125" i="12"/>
  <c r="AP125" i="12"/>
  <c r="AX125" i="12"/>
  <c r="BF125" i="12"/>
  <c r="BO125" i="12"/>
  <c r="BW125" i="12"/>
  <c r="Z126" i="12"/>
  <c r="AH126" i="12"/>
  <c r="AP126" i="12"/>
  <c r="AX126" i="12"/>
  <c r="BF126" i="12"/>
  <c r="BO126" i="12"/>
  <c r="BW126" i="12"/>
  <c r="Z127" i="12"/>
  <c r="AH127" i="12"/>
  <c r="AP127" i="12"/>
  <c r="AX127" i="12"/>
  <c r="BF127" i="12"/>
  <c r="BO127" i="12"/>
  <c r="BW127" i="12"/>
  <c r="Z128" i="12"/>
  <c r="AH128" i="12"/>
  <c r="AP128" i="12"/>
  <c r="AX128" i="12"/>
  <c r="BF128" i="12"/>
  <c r="BO128" i="12"/>
  <c r="BW128" i="12"/>
  <c r="Z129" i="12"/>
  <c r="AH129" i="12"/>
  <c r="AP129" i="12"/>
  <c r="AX129" i="12"/>
  <c r="BF129" i="12"/>
  <c r="BO129" i="12"/>
  <c r="BW129" i="12"/>
  <c r="Z130" i="12"/>
  <c r="AH130" i="12"/>
  <c r="AP130" i="12"/>
  <c r="AX130" i="12"/>
  <c r="BF130" i="12"/>
  <c r="BO130" i="12"/>
  <c r="BW130" i="12"/>
  <c r="Z131" i="12"/>
  <c r="AH131" i="12"/>
  <c r="AP131" i="12"/>
  <c r="AX131" i="12"/>
  <c r="BF131" i="12"/>
  <c r="BO131" i="12"/>
  <c r="BW131" i="12"/>
  <c r="Z132" i="12"/>
  <c r="AH132" i="12"/>
  <c r="AP132" i="12"/>
  <c r="AX132" i="12"/>
  <c r="BF132" i="12"/>
  <c r="BO132" i="12"/>
  <c r="BW132" i="12"/>
  <c r="Z133" i="12"/>
  <c r="AH133" i="12"/>
  <c r="AP133" i="12"/>
  <c r="AX133" i="12"/>
  <c r="BF133" i="12"/>
  <c r="BO133" i="12"/>
  <c r="BW133" i="12"/>
  <c r="Z134" i="12"/>
  <c r="AH134" i="12"/>
  <c r="AP134" i="12"/>
  <c r="AX134" i="12"/>
  <c r="BF134" i="12"/>
  <c r="BO134" i="12"/>
  <c r="BW134" i="12"/>
  <c r="Z135" i="12"/>
  <c r="AH135" i="12"/>
  <c r="AP135" i="12"/>
  <c r="AX135" i="12"/>
  <c r="BF135" i="12"/>
  <c r="BO135" i="12"/>
  <c r="BW135" i="12"/>
  <c r="Z136" i="12"/>
  <c r="AH136" i="12"/>
  <c r="AP136" i="12"/>
  <c r="AX136" i="12"/>
  <c r="BF136" i="12"/>
  <c r="BO136" i="12"/>
  <c r="BW136" i="12"/>
  <c r="Z137" i="12"/>
  <c r="AH137" i="12"/>
  <c r="AP137" i="12"/>
  <c r="AX137" i="12"/>
  <c r="BF137" i="12"/>
  <c r="BO137" i="12"/>
  <c r="BW137" i="12"/>
  <c r="Z138" i="12"/>
  <c r="AH138" i="12"/>
  <c r="AP138" i="12"/>
  <c r="AX138" i="12"/>
  <c r="BF138" i="12"/>
  <c r="BO138" i="12"/>
  <c r="BW138" i="12"/>
  <c r="Z139" i="12"/>
  <c r="AH139" i="12"/>
  <c r="AP139" i="12"/>
  <c r="AX139" i="12"/>
  <c r="BF139" i="12"/>
  <c r="BO139" i="12"/>
  <c r="BW139" i="12"/>
  <c r="Z140" i="12"/>
  <c r="AH140" i="12"/>
  <c r="AP140" i="12"/>
  <c r="AX140" i="12"/>
  <c r="BF140" i="12"/>
  <c r="BO140" i="12"/>
  <c r="BW140" i="12"/>
  <c r="Z141" i="12"/>
  <c r="AH141" i="12"/>
  <c r="AP141" i="12"/>
  <c r="AX141" i="12"/>
  <c r="BF141" i="12"/>
  <c r="BO141" i="12"/>
  <c r="BW141" i="12"/>
  <c r="Z142" i="12"/>
  <c r="AH142" i="12"/>
  <c r="AP142" i="12"/>
  <c r="AX142" i="12"/>
  <c r="BF142" i="12"/>
  <c r="BO142" i="12"/>
  <c r="BW142" i="12"/>
  <c r="Z143" i="12"/>
  <c r="AH143" i="12"/>
  <c r="AP143" i="12"/>
  <c r="AX143" i="12"/>
  <c r="BF143" i="12"/>
  <c r="BO143" i="12"/>
  <c r="BW143" i="12"/>
  <c r="Z144" i="12"/>
  <c r="AH144" i="12"/>
  <c r="AP144" i="12"/>
  <c r="AX144" i="12"/>
  <c r="BF144" i="12"/>
  <c r="BO144" i="12"/>
  <c r="BW144" i="12"/>
  <c r="Z145" i="12"/>
  <c r="AH145" i="12"/>
  <c r="AP145" i="12"/>
  <c r="AX145" i="12"/>
  <c r="BF145" i="12"/>
  <c r="BO145" i="12"/>
  <c r="BW145" i="12"/>
  <c r="Z146" i="12"/>
  <c r="AH146" i="12"/>
  <c r="AP146" i="12"/>
  <c r="AX146" i="12"/>
  <c r="BF146" i="12"/>
  <c r="BO146" i="12"/>
  <c r="BW146" i="12"/>
  <c r="Z147" i="12"/>
  <c r="AH147" i="12"/>
  <c r="AP147" i="12"/>
  <c r="AX147" i="12"/>
  <c r="BF147" i="12"/>
  <c r="BO147" i="12"/>
  <c r="BW147" i="12"/>
  <c r="Z148" i="12"/>
  <c r="AH148" i="12"/>
  <c r="AP148" i="12"/>
  <c r="AX148" i="12"/>
  <c r="BF148" i="12"/>
  <c r="BO148" i="12"/>
  <c r="BW148" i="12"/>
  <c r="Z149" i="12"/>
  <c r="AH149" i="12"/>
  <c r="AP149" i="12"/>
  <c r="AX149" i="12"/>
  <c r="BF149" i="12"/>
  <c r="BO149" i="12"/>
  <c r="BW149" i="12"/>
  <c r="Z150" i="12"/>
  <c r="AH150" i="12"/>
  <c r="AP150" i="12"/>
  <c r="AX150" i="12"/>
  <c r="BF150" i="12"/>
  <c r="BO150" i="12"/>
  <c r="BW150" i="12"/>
  <c r="Z151" i="12"/>
  <c r="AH151" i="12"/>
  <c r="AP151" i="12"/>
  <c r="AX151" i="12"/>
  <c r="BF151" i="12"/>
  <c r="BO151" i="12"/>
  <c r="BW151" i="12"/>
  <c r="Z152" i="12"/>
  <c r="AH152" i="12"/>
  <c r="AP152" i="12"/>
  <c r="AX152" i="12"/>
  <c r="BF152" i="12"/>
  <c r="BO152" i="12"/>
  <c r="BW152" i="12"/>
  <c r="Z153" i="12"/>
  <c r="AH153" i="12"/>
  <c r="AP153" i="12"/>
  <c r="AX153" i="12"/>
  <c r="BF153" i="12"/>
  <c r="BO153" i="12"/>
  <c r="BW153" i="12"/>
  <c r="Z154" i="12"/>
  <c r="AH154" i="12"/>
  <c r="AP154" i="12"/>
  <c r="AX154" i="12"/>
  <c r="BF154" i="12"/>
  <c r="BO154" i="12"/>
  <c r="BW154" i="12"/>
  <c r="Z155" i="12"/>
  <c r="AH155" i="12"/>
  <c r="AP155" i="12"/>
  <c r="AX155" i="12"/>
  <c r="BF155" i="12"/>
  <c r="BO155" i="12"/>
  <c r="BW155" i="12"/>
  <c r="Z156" i="12"/>
  <c r="AH156" i="12"/>
  <c r="AP156" i="12"/>
  <c r="AX156" i="12"/>
  <c r="BF156" i="12"/>
  <c r="BO156" i="12"/>
  <c r="BW156" i="12"/>
  <c r="Z157" i="12"/>
  <c r="AH157" i="12"/>
  <c r="AP157" i="12"/>
  <c r="AX157" i="12"/>
  <c r="BF157" i="12"/>
  <c r="BO157" i="12"/>
  <c r="BW157" i="12"/>
  <c r="Z158" i="12"/>
  <c r="AH158" i="12"/>
  <c r="AP158" i="12"/>
  <c r="AX158" i="12"/>
  <c r="BF158" i="12"/>
  <c r="BO158" i="12"/>
  <c r="BW158" i="12"/>
  <c r="Z159" i="12"/>
  <c r="AH159" i="12"/>
  <c r="AP159" i="12"/>
  <c r="AX159" i="12"/>
  <c r="BF159" i="12"/>
  <c r="BO159" i="12"/>
  <c r="BW159" i="12"/>
  <c r="Z160" i="12"/>
  <c r="AH160" i="12"/>
  <c r="AP160" i="12"/>
  <c r="AX160" i="12"/>
  <c r="BF160" i="12"/>
  <c r="BO160" i="12"/>
  <c r="BW160" i="12"/>
  <c r="Z161" i="12"/>
  <c r="AH161" i="12"/>
  <c r="AP161" i="12"/>
  <c r="AX161" i="12"/>
  <c r="BF161" i="12"/>
  <c r="BO161" i="12"/>
  <c r="BW161" i="12"/>
  <c r="Z162" i="12"/>
  <c r="AH162" i="12"/>
  <c r="AP162" i="12"/>
  <c r="AX162" i="12"/>
  <c r="BF162" i="12"/>
  <c r="BO162" i="12"/>
  <c r="BW162" i="12"/>
  <c r="Z163" i="12"/>
  <c r="AH163" i="12"/>
  <c r="AP163" i="12"/>
  <c r="AX163" i="12"/>
  <c r="BF163" i="12"/>
  <c r="BO163" i="12"/>
  <c r="BW163" i="12"/>
  <c r="Z164" i="12"/>
  <c r="AH164" i="12"/>
  <c r="AP164" i="12"/>
  <c r="AX164" i="12"/>
  <c r="BF164" i="12"/>
  <c r="BO164" i="12"/>
  <c r="BW164" i="12"/>
  <c r="Z165" i="12"/>
  <c r="AH165" i="12"/>
  <c r="AP165" i="12"/>
  <c r="AX165" i="12"/>
  <c r="BF165" i="12"/>
  <c r="BO165" i="12"/>
  <c r="BW165" i="12"/>
  <c r="Z166" i="12"/>
  <c r="AH166" i="12"/>
  <c r="AP166" i="12"/>
  <c r="AX166" i="12"/>
  <c r="BF166" i="12"/>
  <c r="BO166" i="12"/>
  <c r="BW166" i="12"/>
  <c r="Z167" i="12"/>
  <c r="AH167" i="12"/>
  <c r="AP167" i="12"/>
  <c r="AX167" i="12"/>
  <c r="BF167" i="12"/>
  <c r="BO167" i="12"/>
  <c r="BW167" i="12"/>
  <c r="Z168" i="12"/>
  <c r="AH168" i="12"/>
  <c r="AP168" i="12"/>
  <c r="AX168" i="12"/>
  <c r="BF168" i="12"/>
  <c r="BO168" i="12"/>
  <c r="BW168" i="12"/>
  <c r="Z169" i="12"/>
  <c r="AH169" i="12"/>
  <c r="AP169" i="12"/>
  <c r="AX169" i="12"/>
  <c r="BF169" i="12"/>
  <c r="BO169" i="12"/>
  <c r="BW169" i="12"/>
  <c r="Z170" i="12"/>
  <c r="AH170" i="12"/>
  <c r="AP170" i="12"/>
  <c r="AX170" i="12"/>
  <c r="BF170" i="12"/>
  <c r="BO170" i="12"/>
  <c r="BW170" i="12"/>
  <c r="Z171" i="12"/>
  <c r="AH171" i="12"/>
  <c r="AP171" i="12"/>
  <c r="AX171" i="12"/>
  <c r="BF171" i="12"/>
  <c r="BO171" i="12"/>
  <c r="BW171" i="12"/>
  <c r="Z172" i="12"/>
  <c r="AH172" i="12"/>
  <c r="AP172" i="12"/>
  <c r="AX172" i="12"/>
  <c r="BF172" i="12"/>
  <c r="BO172" i="12"/>
  <c r="BW172" i="12"/>
  <c r="Z173" i="12"/>
  <c r="AH173" i="12"/>
  <c r="AP173" i="12"/>
  <c r="AX173" i="12"/>
  <c r="BF173" i="12"/>
  <c r="BO173" i="12"/>
  <c r="BW173" i="12"/>
  <c r="Z174" i="12"/>
  <c r="AH174" i="12"/>
  <c r="AP174" i="12"/>
  <c r="AX174" i="12"/>
  <c r="BF174" i="12"/>
  <c r="BO174" i="12"/>
  <c r="BW174" i="12"/>
  <c r="Z175" i="12"/>
  <c r="AH175" i="12"/>
  <c r="AP175" i="12"/>
  <c r="AX175" i="12"/>
  <c r="BF175" i="12"/>
  <c r="BO175" i="12"/>
  <c r="BW175" i="12"/>
  <c r="Z176" i="12"/>
  <c r="AH176" i="12"/>
  <c r="AP176" i="12"/>
  <c r="AX176" i="12"/>
  <c r="BF176" i="12"/>
  <c r="BO176" i="12"/>
  <c r="BW176" i="12"/>
  <c r="Z177" i="12"/>
  <c r="AH177" i="12"/>
  <c r="AP177" i="12"/>
  <c r="AX177" i="12"/>
  <c r="BF177" i="12"/>
  <c r="BO177" i="12"/>
  <c r="BW177" i="12"/>
  <c r="Z178" i="12"/>
  <c r="AH178" i="12"/>
  <c r="AP178" i="12"/>
  <c r="AX178" i="12"/>
  <c r="BF178" i="12"/>
  <c r="BO178" i="12"/>
  <c r="BW178" i="12"/>
  <c r="Z179" i="12"/>
  <c r="AH179" i="12"/>
  <c r="AP179" i="12"/>
  <c r="AX179" i="12"/>
  <c r="BF179" i="12"/>
  <c r="BO179" i="12"/>
  <c r="BW179" i="12"/>
  <c r="Z180" i="12"/>
  <c r="AH180" i="12"/>
  <c r="AP180" i="12"/>
  <c r="AX180" i="12"/>
  <c r="BF180" i="12"/>
  <c r="BO180" i="12"/>
  <c r="BW180" i="12"/>
  <c r="Z181" i="12"/>
  <c r="AH181" i="12"/>
  <c r="AP181" i="12"/>
  <c r="AX181" i="12"/>
  <c r="BF181" i="12"/>
  <c r="BO181" i="12"/>
  <c r="BW181" i="12"/>
  <c r="Z182" i="12"/>
  <c r="AH182" i="12"/>
  <c r="AP182" i="12"/>
  <c r="AX182" i="12"/>
  <c r="BF182" i="12"/>
  <c r="BO182" i="12"/>
  <c r="BW182" i="12"/>
  <c r="Z183" i="12"/>
  <c r="AH183" i="12"/>
  <c r="AP183" i="12"/>
  <c r="AX183" i="12"/>
  <c r="BF183" i="12"/>
  <c r="BO183" i="12"/>
  <c r="BW183" i="12"/>
  <c r="Z184" i="12"/>
  <c r="AH184" i="12"/>
  <c r="AP184" i="12"/>
  <c r="AX184" i="12"/>
  <c r="BF184" i="12"/>
  <c r="BO184" i="12"/>
  <c r="BW184" i="12"/>
  <c r="Z185" i="12"/>
  <c r="AH185" i="12"/>
  <c r="AP185" i="12"/>
  <c r="AX185" i="12"/>
  <c r="BF185" i="12"/>
  <c r="BO185" i="12"/>
  <c r="BW185" i="12"/>
  <c r="Z186" i="12"/>
  <c r="AH186" i="12"/>
  <c r="AP186" i="12"/>
  <c r="AX186" i="12"/>
  <c r="BF186" i="12"/>
  <c r="BO186" i="12"/>
  <c r="BW186" i="12"/>
  <c r="Z187" i="12"/>
  <c r="AH187" i="12"/>
  <c r="AP187" i="12"/>
  <c r="AX187" i="12"/>
  <c r="BF187" i="12"/>
  <c r="BO187" i="12"/>
  <c r="BW187" i="12"/>
  <c r="Z188" i="12"/>
  <c r="AH188" i="12"/>
  <c r="AP188" i="12"/>
  <c r="AX188" i="12"/>
  <c r="BF188" i="12"/>
  <c r="BO188" i="12"/>
  <c r="BW188" i="12"/>
  <c r="Z189" i="12"/>
  <c r="AH189" i="12"/>
  <c r="AP189" i="12"/>
  <c r="AX189" i="12"/>
  <c r="BF189" i="12"/>
  <c r="BO189" i="12"/>
  <c r="BW189" i="12"/>
  <c r="Z190" i="12"/>
  <c r="AH190" i="12"/>
  <c r="AP190" i="12"/>
  <c r="AX190" i="12"/>
  <c r="BF190" i="12"/>
  <c r="BO190" i="12"/>
  <c r="BW190" i="12"/>
  <c r="Z191" i="12"/>
  <c r="AH191" i="12"/>
  <c r="AP191" i="12"/>
  <c r="AX191" i="12"/>
  <c r="BF191" i="12"/>
  <c r="BO191" i="12"/>
  <c r="BW191" i="12"/>
  <c r="Z192" i="12"/>
  <c r="AH192" i="12"/>
  <c r="AP192" i="12"/>
  <c r="AX192" i="12"/>
  <c r="BF192" i="12"/>
  <c r="BO192" i="12"/>
  <c r="BW192" i="12"/>
  <c r="Z193" i="12"/>
  <c r="AH193" i="12"/>
  <c r="AP193" i="12"/>
  <c r="AX193" i="12"/>
  <c r="BF193" i="12"/>
  <c r="BO193" i="12"/>
  <c r="BW193" i="12"/>
  <c r="Z194" i="12"/>
  <c r="AH194" i="12"/>
  <c r="AP194" i="12"/>
  <c r="AX194" i="12"/>
  <c r="BF194" i="12"/>
  <c r="BO194" i="12"/>
  <c r="BW194" i="12"/>
  <c r="Z195" i="12"/>
  <c r="AH195" i="12"/>
  <c r="AP195" i="12"/>
  <c r="AX195" i="12"/>
  <c r="BF195" i="12"/>
  <c r="BO195" i="12"/>
  <c r="BW195" i="12"/>
  <c r="Z196" i="12"/>
  <c r="AH196" i="12"/>
  <c r="AP196" i="12"/>
  <c r="AX196" i="12"/>
  <c r="BF196" i="12"/>
  <c r="BO196" i="12"/>
  <c r="BW196" i="12"/>
  <c r="Z197" i="12"/>
  <c r="AH197" i="12"/>
  <c r="AP197" i="12"/>
  <c r="AX197" i="12"/>
  <c r="BF197" i="12"/>
  <c r="BO197" i="12"/>
  <c r="BW197" i="12"/>
  <c r="Z198" i="12"/>
  <c r="AH198" i="12"/>
  <c r="AP198" i="12"/>
  <c r="AX198" i="12"/>
  <c r="BF198" i="12"/>
  <c r="BO198" i="12"/>
  <c r="BW198" i="12"/>
  <c r="Z199" i="12"/>
  <c r="AH199" i="12"/>
  <c r="AP199" i="12"/>
  <c r="AX199" i="12"/>
  <c r="BF199" i="12"/>
  <c r="BO199" i="12"/>
  <c r="BW199" i="12"/>
  <c r="Z200" i="12"/>
  <c r="AH200" i="12"/>
  <c r="AP200" i="12"/>
  <c r="AX200" i="12"/>
  <c r="BF200" i="12"/>
  <c r="BO200" i="12"/>
  <c r="BW200" i="12"/>
  <c r="Z201" i="12"/>
  <c r="AH201" i="12"/>
  <c r="AP201" i="12"/>
  <c r="AX201" i="12"/>
  <c r="BF201" i="12"/>
  <c r="BO201" i="12"/>
  <c r="BW201" i="12"/>
  <c r="Z202" i="12"/>
  <c r="AH202" i="12"/>
  <c r="AP202" i="12"/>
  <c r="AX202" i="12"/>
  <c r="BF202" i="12"/>
  <c r="BO202" i="12"/>
  <c r="BW202" i="12"/>
  <c r="Z203" i="12"/>
  <c r="AH203" i="12"/>
  <c r="AP203" i="12"/>
  <c r="AX203" i="12"/>
  <c r="BF203" i="12"/>
  <c r="BO203" i="12"/>
  <c r="BW203" i="12"/>
  <c r="Z204" i="12"/>
  <c r="AH204" i="12"/>
  <c r="AP204" i="12"/>
  <c r="AX204" i="12"/>
  <c r="BF204" i="12"/>
  <c r="BO204" i="12"/>
  <c r="BW204" i="12"/>
  <c r="Z205" i="12"/>
  <c r="AH205" i="12"/>
  <c r="AP205" i="12"/>
  <c r="AX205" i="12"/>
  <c r="BF205" i="12"/>
  <c r="BO205" i="12"/>
  <c r="BW205" i="12"/>
  <c r="Z206" i="12"/>
  <c r="AH206" i="12"/>
  <c r="AP206" i="12"/>
  <c r="AX206" i="12"/>
  <c r="BF206" i="12"/>
  <c r="BO206" i="12"/>
  <c r="BW206" i="12"/>
  <c r="Z207" i="12"/>
  <c r="AH207" i="12"/>
  <c r="AP207" i="12"/>
  <c r="AX207" i="12"/>
  <c r="BF207" i="12"/>
  <c r="BO207" i="12"/>
  <c r="BW207" i="12"/>
  <c r="Z208" i="12"/>
  <c r="AH208" i="12"/>
  <c r="AP208" i="12"/>
  <c r="AX208" i="12"/>
  <c r="BF208" i="12"/>
  <c r="BO208" i="12"/>
  <c r="BW208" i="12"/>
  <c r="Z209" i="12"/>
  <c r="AH209" i="12"/>
  <c r="AP209" i="12"/>
  <c r="AX209" i="12"/>
  <c r="BF209" i="12"/>
  <c r="BO209" i="12"/>
  <c r="BW209" i="12"/>
  <c r="Z210" i="12"/>
  <c r="AH210" i="12"/>
  <c r="AP210" i="12"/>
  <c r="AX210" i="12"/>
  <c r="BF210" i="12"/>
  <c r="BO210" i="12"/>
  <c r="BW210" i="12"/>
  <c r="Z211" i="12"/>
  <c r="AH211" i="12"/>
  <c r="AP211" i="12"/>
  <c r="AX211" i="12"/>
  <c r="BF211" i="12"/>
  <c r="BO211" i="12"/>
  <c r="BW211" i="12"/>
  <c r="Z212" i="12"/>
  <c r="AH212" i="12"/>
  <c r="AP212" i="12"/>
  <c r="AX212" i="12"/>
  <c r="BF212" i="12"/>
  <c r="BO212" i="12"/>
  <c r="BW212" i="12"/>
  <c r="Z213" i="12"/>
  <c r="AH213" i="12"/>
  <c r="AP213" i="12"/>
  <c r="AX213" i="12"/>
  <c r="BF213" i="12"/>
  <c r="BO213" i="12"/>
  <c r="BW213" i="12"/>
  <c r="Z214" i="12"/>
  <c r="AH214" i="12"/>
  <c r="AP214" i="12"/>
  <c r="AX214" i="12"/>
  <c r="BF214" i="12"/>
  <c r="BO214" i="12"/>
  <c r="BW214" i="12"/>
  <c r="Z215" i="12"/>
  <c r="AH215" i="12"/>
  <c r="AP215" i="12"/>
  <c r="AX215" i="12"/>
  <c r="BF215" i="12"/>
  <c r="BO215" i="12"/>
  <c r="BW215" i="12"/>
  <c r="Z216" i="12"/>
  <c r="AH216" i="12"/>
  <c r="AP216" i="12"/>
  <c r="AX216" i="12"/>
  <c r="BF216" i="12"/>
  <c r="BO216" i="12"/>
  <c r="BW216" i="12"/>
  <c r="Z217" i="12"/>
  <c r="AH217" i="12"/>
  <c r="AP217" i="12"/>
  <c r="AX217" i="12"/>
  <c r="BF217" i="12"/>
  <c r="BO217" i="12"/>
  <c r="BW217" i="12"/>
  <c r="Z218" i="12"/>
  <c r="AH218" i="12"/>
  <c r="AP218" i="12"/>
  <c r="AX218" i="12"/>
  <c r="BF218" i="12"/>
  <c r="BO218" i="12"/>
  <c r="BW218" i="12"/>
  <c r="Z219" i="12"/>
  <c r="AH219" i="12"/>
  <c r="AP219" i="12"/>
  <c r="AX219" i="12"/>
  <c r="BF219" i="12"/>
  <c r="BO219" i="12"/>
  <c r="BW219" i="12"/>
  <c r="Z220" i="12"/>
  <c r="AH220" i="12"/>
  <c r="AP220" i="12"/>
  <c r="AX220" i="12"/>
  <c r="BF220" i="12"/>
  <c r="BO220" i="12"/>
  <c r="BW220" i="12"/>
  <c r="Z221" i="12"/>
  <c r="AH221" i="12"/>
  <c r="AP221" i="12"/>
  <c r="AX221" i="12"/>
  <c r="BF221" i="12"/>
  <c r="BO221" i="12"/>
  <c r="BW221" i="12"/>
  <c r="Z222" i="12"/>
  <c r="AH222" i="12"/>
  <c r="AP222" i="12"/>
  <c r="AX222" i="12"/>
  <c r="BF222" i="12"/>
  <c r="BO222" i="12"/>
  <c r="BW222" i="12"/>
  <c r="Z223" i="12"/>
  <c r="AH223" i="12"/>
  <c r="AP223" i="12"/>
  <c r="AX223" i="12"/>
  <c r="BF223" i="12"/>
  <c r="BO223" i="12"/>
  <c r="BW223" i="12"/>
  <c r="Z224" i="12"/>
  <c r="AH224" i="12"/>
  <c r="AP224" i="12"/>
  <c r="AX224" i="12"/>
  <c r="BF224" i="12"/>
  <c r="BO224" i="12"/>
  <c r="BW224" i="12"/>
  <c r="Z225" i="12"/>
  <c r="AH225" i="12"/>
  <c r="AP225" i="12"/>
  <c r="AX225" i="12"/>
  <c r="BF225" i="12"/>
  <c r="BO225" i="12"/>
  <c r="BW225" i="12"/>
  <c r="Z226" i="12"/>
  <c r="AH226" i="12"/>
  <c r="AP226" i="12"/>
  <c r="AX226" i="12"/>
  <c r="BF226" i="12"/>
  <c r="BO226" i="12"/>
  <c r="BW226" i="12"/>
  <c r="Z227" i="12"/>
  <c r="AH227" i="12"/>
  <c r="AP227" i="12"/>
  <c r="AX227" i="12"/>
  <c r="BF227" i="12"/>
  <c r="BO227" i="12"/>
  <c r="BW227" i="12"/>
  <c r="Z228" i="12"/>
  <c r="AH228" i="12"/>
  <c r="AP228" i="12"/>
  <c r="AX228" i="12"/>
  <c r="BF228" i="12"/>
  <c r="BO228" i="12"/>
  <c r="BW228" i="12"/>
  <c r="Z229" i="12"/>
  <c r="AH229" i="12"/>
  <c r="AP229" i="12"/>
  <c r="AX229" i="12"/>
  <c r="BF229" i="12"/>
  <c r="BO229" i="12"/>
  <c r="BW229" i="12"/>
  <c r="Z230" i="12"/>
  <c r="AH230" i="12"/>
  <c r="AP230" i="12"/>
  <c r="AX230" i="12"/>
  <c r="BF230" i="12"/>
  <c r="BO230" i="12"/>
  <c r="BW230" i="12"/>
  <c r="Z231" i="12"/>
  <c r="AH231" i="12"/>
  <c r="AP231" i="12"/>
  <c r="AX231" i="12"/>
  <c r="BF231" i="12"/>
  <c r="BO231" i="12"/>
  <c r="BW231" i="12"/>
  <c r="Z232" i="12"/>
  <c r="AH232" i="12"/>
  <c r="AP232" i="12"/>
  <c r="AX232" i="12"/>
  <c r="BF232" i="12"/>
  <c r="BO232" i="12"/>
  <c r="BW232" i="12"/>
  <c r="Z233" i="12"/>
  <c r="AH233" i="12"/>
  <c r="AP233" i="12"/>
  <c r="AX233" i="12"/>
  <c r="BF233" i="12"/>
  <c r="BO233" i="12"/>
  <c r="BW233" i="12"/>
  <c r="Z234" i="12"/>
  <c r="AH234" i="12"/>
  <c r="AP234" i="12"/>
  <c r="AX234" i="12"/>
  <c r="BF234" i="12"/>
  <c r="BO234" i="12"/>
  <c r="BW234" i="12"/>
  <c r="Z235" i="12"/>
  <c r="AH235" i="12"/>
  <c r="AP235" i="12"/>
  <c r="AX235" i="12"/>
  <c r="BF235" i="12"/>
  <c r="BO235" i="12"/>
  <c r="BW235" i="12"/>
  <c r="Z236" i="12"/>
  <c r="AH236" i="12"/>
  <c r="AP236" i="12"/>
  <c r="AX236" i="12"/>
  <c r="BF236" i="12"/>
  <c r="BO236" i="12"/>
  <c r="BW236" i="12"/>
  <c r="Z237" i="12"/>
  <c r="AH237" i="12"/>
  <c r="AP237" i="12"/>
  <c r="AX237" i="12"/>
  <c r="BF237" i="12"/>
  <c r="BO237" i="12"/>
  <c r="BW237" i="12"/>
  <c r="Z238" i="12"/>
  <c r="AH238" i="12"/>
  <c r="AP238" i="12"/>
  <c r="AX238" i="12"/>
  <c r="BF238" i="12"/>
  <c r="BO238" i="12"/>
  <c r="BW238" i="12"/>
  <c r="Z239" i="12"/>
  <c r="AH239" i="12"/>
  <c r="AP239" i="12"/>
  <c r="AX239" i="12"/>
  <c r="BF239" i="12"/>
  <c r="BO239" i="12"/>
  <c r="BW239" i="12"/>
  <c r="Z240" i="12"/>
  <c r="AH240" i="12"/>
  <c r="AP240" i="12"/>
  <c r="AX240" i="12"/>
  <c r="BF240" i="12"/>
  <c r="BO240" i="12"/>
  <c r="BW240" i="12"/>
  <c r="Z241" i="12"/>
  <c r="AH241" i="12"/>
  <c r="AP241" i="12"/>
  <c r="AX241" i="12"/>
  <c r="BF241" i="12"/>
  <c r="BO241" i="12"/>
  <c r="BW241" i="12"/>
  <c r="Z242" i="12"/>
  <c r="AH242" i="12"/>
  <c r="AP242" i="12"/>
  <c r="AX242" i="12"/>
  <c r="BF242" i="12"/>
  <c r="BO242" i="12"/>
  <c r="BW242" i="12"/>
  <c r="Z243" i="12"/>
  <c r="AH243" i="12"/>
  <c r="AP243" i="12"/>
  <c r="AX243" i="12"/>
  <c r="BF243" i="12"/>
  <c r="BO243" i="12"/>
  <c r="BW243" i="12"/>
  <c r="Z244" i="12"/>
  <c r="AH244" i="12"/>
  <c r="AP244" i="12"/>
  <c r="AX244" i="12"/>
  <c r="BF244" i="12"/>
  <c r="BO244" i="12"/>
  <c r="BW244" i="12"/>
  <c r="Z245" i="12"/>
  <c r="AH245" i="12"/>
  <c r="AP245" i="12"/>
  <c r="AX245" i="12"/>
  <c r="BF245" i="12"/>
  <c r="BO245" i="12"/>
  <c r="BW245" i="12"/>
  <c r="Z246" i="12"/>
  <c r="AH246" i="12"/>
  <c r="AP246" i="12"/>
  <c r="AX246" i="12"/>
  <c r="BF246" i="12"/>
  <c r="BO246" i="12"/>
  <c r="BW246" i="12"/>
  <c r="Z247" i="12"/>
  <c r="AH247" i="12"/>
  <c r="AP247" i="12"/>
  <c r="AX247" i="12"/>
  <c r="BF247" i="12"/>
  <c r="BO247" i="12"/>
  <c r="BW247" i="12"/>
  <c r="Z248" i="12"/>
  <c r="AH248" i="12"/>
  <c r="AP248" i="12"/>
  <c r="AX248" i="12"/>
  <c r="BF248" i="12"/>
  <c r="BO248" i="12"/>
  <c r="BW248" i="12"/>
  <c r="Z249" i="12"/>
  <c r="AH249" i="12"/>
  <c r="AP249" i="12"/>
  <c r="AX249" i="12"/>
  <c r="BF249" i="12"/>
  <c r="BO249" i="12"/>
  <c r="BW249" i="12"/>
  <c r="Z250" i="12"/>
  <c r="AH250" i="12"/>
  <c r="AP250" i="12"/>
  <c r="AX250" i="12"/>
  <c r="BF250" i="12"/>
  <c r="BO250" i="12"/>
  <c r="BW250" i="12"/>
  <c r="Z251" i="12"/>
  <c r="AH251" i="12"/>
  <c r="AP251" i="12"/>
  <c r="AX251" i="12"/>
  <c r="BF251" i="12"/>
  <c r="BO251" i="12"/>
  <c r="BW251" i="12"/>
  <c r="Z252" i="12"/>
  <c r="AH252" i="12"/>
  <c r="AP252" i="12"/>
  <c r="AX252" i="12"/>
  <c r="BF252" i="12"/>
  <c r="BO252" i="12"/>
  <c r="BW252" i="12"/>
  <c r="Z253" i="12"/>
  <c r="AH253" i="12"/>
  <c r="AP253" i="12"/>
  <c r="AX253" i="12"/>
  <c r="BF253" i="12"/>
  <c r="BO253" i="12"/>
  <c r="BW253" i="12"/>
  <c r="Z254" i="12"/>
  <c r="AH254" i="12"/>
  <c r="AP254" i="12"/>
  <c r="AX254" i="12"/>
  <c r="BF254" i="12"/>
  <c r="BO254" i="12"/>
  <c r="BW254" i="12"/>
  <c r="Z255" i="12"/>
  <c r="AH255" i="12"/>
  <c r="AP255" i="12"/>
  <c r="AX255" i="12"/>
  <c r="BF255" i="12"/>
  <c r="BO255" i="12"/>
  <c r="BW255" i="12"/>
  <c r="Z256" i="12"/>
  <c r="AH256" i="12"/>
  <c r="AP256" i="12"/>
  <c r="AX256" i="12"/>
  <c r="BF256" i="12"/>
  <c r="BO256" i="12"/>
  <c r="BW256" i="12"/>
  <c r="Z257" i="12"/>
  <c r="AH257" i="12"/>
  <c r="AP257" i="12"/>
  <c r="AX257" i="12"/>
  <c r="BF257" i="12"/>
  <c r="BO257" i="12"/>
  <c r="BW257" i="12"/>
  <c r="Z258" i="12"/>
  <c r="AH258" i="12"/>
  <c r="AP258" i="12"/>
  <c r="AX258" i="12"/>
  <c r="BF258" i="12"/>
  <c r="BO258" i="12"/>
  <c r="BW258" i="12"/>
  <c r="Z259" i="12"/>
  <c r="AH259" i="12"/>
  <c r="AP259" i="12"/>
  <c r="AX259" i="12"/>
  <c r="BF259" i="12"/>
  <c r="BO259" i="12"/>
  <c r="BW259" i="12"/>
  <c r="Z260" i="12"/>
  <c r="AH260" i="12"/>
  <c r="AP260" i="12"/>
  <c r="AX260" i="12"/>
  <c r="BF260" i="12"/>
  <c r="BO260" i="12"/>
  <c r="BW260" i="12"/>
  <c r="Z261" i="12"/>
  <c r="AH261" i="12"/>
  <c r="AP261" i="12"/>
  <c r="AX261" i="12"/>
  <c r="BF261" i="12"/>
  <c r="BO261" i="12"/>
  <c r="BW261" i="12"/>
  <c r="Z262" i="12"/>
  <c r="AH262" i="12"/>
  <c r="AP262" i="12"/>
  <c r="AX262" i="12"/>
  <c r="BF262" i="12"/>
  <c r="BO262" i="12"/>
  <c r="BW262" i="12"/>
  <c r="Z263" i="12"/>
  <c r="AH263" i="12"/>
  <c r="AP263" i="12"/>
  <c r="AX263" i="12"/>
  <c r="BF263" i="12"/>
  <c r="BO263" i="12"/>
  <c r="BW263" i="12"/>
  <c r="Z264" i="12"/>
  <c r="AH264" i="12"/>
  <c r="AP264" i="12"/>
  <c r="AX264" i="12"/>
  <c r="BF264" i="12"/>
  <c r="BO264" i="12"/>
  <c r="BW264" i="12"/>
  <c r="Z265" i="12"/>
  <c r="AH265" i="12"/>
  <c r="AP265" i="12"/>
  <c r="AX265" i="12"/>
  <c r="BF265" i="12"/>
  <c r="BO265" i="12"/>
  <c r="BW265" i="12"/>
  <c r="Z266" i="12"/>
  <c r="AH266" i="12"/>
  <c r="AP266" i="12"/>
  <c r="AX266" i="12"/>
  <c r="BF266" i="12"/>
  <c r="BO266" i="12"/>
  <c r="BW266" i="12"/>
  <c r="Z267" i="12"/>
  <c r="AH267" i="12"/>
  <c r="AP267" i="12"/>
  <c r="AX267" i="12"/>
  <c r="BF267" i="12"/>
  <c r="BO267" i="12"/>
  <c r="BW267" i="12"/>
  <c r="Z268" i="12"/>
  <c r="AH268" i="12"/>
  <c r="AP268" i="12"/>
  <c r="AX268" i="12"/>
  <c r="BF268" i="12"/>
  <c r="BO268" i="12"/>
  <c r="BW268" i="12"/>
  <c r="Z269" i="12"/>
  <c r="AH269" i="12"/>
  <c r="AP269" i="12"/>
  <c r="AX269" i="12"/>
  <c r="BF269" i="12"/>
  <c r="BO269" i="12"/>
  <c r="BW269" i="12"/>
  <c r="Z270" i="12"/>
  <c r="AH270" i="12"/>
  <c r="AP270" i="12"/>
  <c r="AX270" i="12"/>
  <c r="BF270" i="12"/>
  <c r="BO270" i="12"/>
  <c r="BW270" i="12"/>
  <c r="Z271" i="12"/>
  <c r="AH271" i="12"/>
  <c r="AP271" i="12"/>
  <c r="AX271" i="12"/>
  <c r="BF271" i="12"/>
  <c r="BO271" i="12"/>
  <c r="BW271" i="12"/>
  <c r="Z272" i="12"/>
  <c r="AH272" i="12"/>
  <c r="AP272" i="12"/>
  <c r="AX272" i="12"/>
  <c r="BF272" i="12"/>
  <c r="BO272" i="12"/>
  <c r="BW272" i="12"/>
  <c r="Z273" i="12"/>
  <c r="AH273" i="12"/>
  <c r="AP273" i="12"/>
  <c r="AX273" i="12"/>
  <c r="BF273" i="12"/>
  <c r="BO273" i="12"/>
  <c r="BW273" i="12"/>
  <c r="Z274" i="12"/>
  <c r="AH274" i="12"/>
  <c r="AP274" i="12"/>
  <c r="AX274" i="12"/>
  <c r="BF274" i="12"/>
  <c r="BO274" i="12"/>
  <c r="BW274" i="12"/>
  <c r="Z275" i="12"/>
  <c r="AH275" i="12"/>
  <c r="AP275" i="12"/>
  <c r="AX275" i="12"/>
  <c r="BF275" i="12"/>
  <c r="BO275" i="12"/>
  <c r="BW275" i="12"/>
  <c r="Z276" i="12"/>
  <c r="AH276" i="12"/>
  <c r="AP276" i="12"/>
  <c r="AX276" i="12"/>
  <c r="BF276" i="12"/>
  <c r="BO276" i="12"/>
  <c r="BW276" i="12"/>
  <c r="Z277" i="12"/>
  <c r="AH277" i="12"/>
  <c r="AP277" i="12"/>
  <c r="AX277" i="12"/>
  <c r="BF277" i="12"/>
  <c r="BO277" i="12"/>
  <c r="BW277" i="12"/>
  <c r="Z278" i="12"/>
  <c r="AH278" i="12"/>
  <c r="AP278" i="12"/>
  <c r="AX278" i="12"/>
  <c r="BF278" i="12"/>
  <c r="BO278" i="12"/>
  <c r="BW278" i="12"/>
  <c r="Z279" i="12"/>
  <c r="AH279" i="12"/>
  <c r="AP279" i="12"/>
  <c r="AX279" i="12"/>
  <c r="BF279" i="12"/>
  <c r="BO279" i="12"/>
  <c r="BW279" i="12"/>
  <c r="Z280" i="12"/>
  <c r="AH280" i="12"/>
  <c r="AP280" i="12"/>
  <c r="AX280" i="12"/>
  <c r="BF280" i="12"/>
  <c r="BO280" i="12"/>
  <c r="BW280" i="12"/>
  <c r="Z281" i="12"/>
  <c r="AH281" i="12"/>
  <c r="AP281" i="12"/>
  <c r="AX281" i="12"/>
  <c r="BF281" i="12"/>
  <c r="BO281" i="12"/>
  <c r="BW281" i="12"/>
  <c r="Z282" i="12"/>
  <c r="AH282" i="12"/>
  <c r="AP282" i="12"/>
  <c r="AX282" i="12"/>
  <c r="BF282" i="12"/>
  <c r="BO282" i="12"/>
  <c r="BW282" i="12"/>
  <c r="Z283" i="12"/>
  <c r="AH283" i="12"/>
  <c r="AP283" i="12"/>
  <c r="AX283" i="12"/>
  <c r="BF283" i="12"/>
  <c r="BO283" i="12"/>
  <c r="BW283" i="12"/>
  <c r="Z284" i="12"/>
  <c r="AH284" i="12"/>
  <c r="AP284" i="12"/>
  <c r="AX284" i="12"/>
  <c r="BF284" i="12"/>
  <c r="BO284" i="12"/>
  <c r="BW284" i="12"/>
  <c r="Z285" i="12"/>
  <c r="AH285" i="12"/>
  <c r="AP285" i="12"/>
  <c r="AX285" i="12"/>
  <c r="BF285" i="12"/>
  <c r="BO285" i="12"/>
  <c r="BW285" i="12"/>
  <c r="Z286" i="12"/>
  <c r="AH286" i="12"/>
  <c r="AP286" i="12"/>
  <c r="AX286" i="12"/>
  <c r="BF286" i="12"/>
  <c r="BO286" i="12"/>
  <c r="BW286" i="12"/>
  <c r="Z287" i="12"/>
  <c r="AH287" i="12"/>
  <c r="AP287" i="12"/>
  <c r="AX287" i="12"/>
  <c r="BF287" i="12"/>
  <c r="BO287" i="12"/>
  <c r="BW287" i="12"/>
  <c r="Z288" i="12"/>
  <c r="AH288" i="12"/>
  <c r="AP288" i="12"/>
  <c r="AX288" i="12"/>
  <c r="BF288" i="12"/>
  <c r="BO288" i="12"/>
  <c r="BW288" i="12"/>
  <c r="Z289" i="12"/>
  <c r="AH289" i="12"/>
  <c r="AP289" i="12"/>
  <c r="AX289" i="12"/>
  <c r="BF289" i="12"/>
  <c r="BO289" i="12"/>
  <c r="BW289" i="12"/>
  <c r="Z290" i="12"/>
  <c r="AH290" i="12"/>
  <c r="AP290" i="12"/>
  <c r="AX290" i="12"/>
  <c r="BF290" i="12"/>
  <c r="BO290" i="12"/>
  <c r="BW290" i="12"/>
  <c r="Z291" i="12"/>
  <c r="AH291" i="12"/>
  <c r="AP291" i="12"/>
  <c r="AX291" i="12"/>
  <c r="BF291" i="12"/>
  <c r="BO291" i="12"/>
  <c r="BW291" i="12"/>
  <c r="Z292" i="12"/>
  <c r="AH292" i="12"/>
  <c r="AP292" i="12"/>
  <c r="AX292" i="12"/>
  <c r="BF292" i="12"/>
  <c r="BO292" i="12"/>
  <c r="BW292" i="12"/>
  <c r="Z293" i="12"/>
  <c r="AH293" i="12"/>
  <c r="AP293" i="12"/>
  <c r="AX293" i="12"/>
  <c r="BF293" i="12"/>
  <c r="BO293" i="12"/>
  <c r="BW293" i="12"/>
  <c r="Z294" i="12"/>
  <c r="AH294" i="12"/>
  <c r="AP294" i="12"/>
  <c r="AX294" i="12"/>
  <c r="BF294" i="12"/>
  <c r="BO294" i="12"/>
  <c r="BW294" i="12"/>
  <c r="Z295" i="12"/>
  <c r="AH295" i="12"/>
  <c r="AP295" i="12"/>
  <c r="AX295" i="12"/>
  <c r="BF295" i="12"/>
  <c r="BO295" i="12"/>
  <c r="BW295" i="12"/>
  <c r="Z296" i="12"/>
  <c r="AH296" i="12"/>
  <c r="AP296" i="12"/>
  <c r="AX296" i="12"/>
  <c r="BF296" i="12"/>
  <c r="BO296" i="12"/>
  <c r="BW296" i="12"/>
  <c r="Z297" i="12"/>
  <c r="AH297" i="12"/>
  <c r="AP297" i="12"/>
  <c r="AX297" i="12"/>
  <c r="BF297" i="12"/>
  <c r="BO297" i="12"/>
  <c r="BW297" i="12"/>
  <c r="Z298" i="12"/>
  <c r="AH298" i="12"/>
  <c r="AP298" i="12"/>
  <c r="AX298" i="12"/>
  <c r="BF298" i="12"/>
  <c r="BO298" i="12"/>
  <c r="BW298" i="12"/>
  <c r="Z299" i="12"/>
  <c r="AH299" i="12"/>
  <c r="AP299" i="12"/>
  <c r="AX299" i="12"/>
  <c r="BF299" i="12"/>
  <c r="BO299" i="12"/>
  <c r="BW299" i="12"/>
  <c r="Z300" i="12"/>
  <c r="AH300" i="12"/>
  <c r="AP300" i="12"/>
  <c r="AX300" i="12"/>
  <c r="BF300" i="12"/>
  <c r="BO300" i="12"/>
  <c r="BW300" i="12"/>
  <c r="Z301" i="12"/>
  <c r="AH301" i="12"/>
  <c r="AP301" i="12"/>
  <c r="AX301" i="12"/>
  <c r="BF301" i="12"/>
  <c r="BO301" i="12"/>
  <c r="BW301" i="12"/>
  <c r="E53" i="30" l="1"/>
  <c r="E52" i="30"/>
  <c r="E51" i="30"/>
  <c r="E50" i="30"/>
  <c r="E49" i="30"/>
  <c r="E48" i="30"/>
  <c r="B312" i="74" l="1"/>
  <c r="B193" i="74"/>
  <c r="C163" i="1" l="1"/>
  <c r="B613" i="74"/>
  <c r="Y157" i="6"/>
  <c r="Y154" i="6"/>
  <c r="Y151" i="6"/>
  <c r="Y124" i="6"/>
  <c r="Y121" i="6"/>
  <c r="Y118" i="6"/>
  <c r="Y115" i="6"/>
  <c r="Y112" i="6"/>
  <c r="V99" i="6"/>
  <c r="S99" i="6"/>
  <c r="Y96" i="6"/>
  <c r="Y93" i="6"/>
  <c r="Y72" i="6"/>
  <c r="Y69" i="6"/>
  <c r="Y66" i="6"/>
  <c r="Y63" i="6"/>
  <c r="Y42" i="6"/>
  <c r="Y18" i="6"/>
  <c r="B148" i="74"/>
  <c r="E5" i="90"/>
  <c r="E6" i="90"/>
  <c r="E7" i="90"/>
  <c r="E8" i="90"/>
  <c r="E9" i="90"/>
  <c r="E10" i="90"/>
  <c r="E11" i="90"/>
  <c r="E12" i="90"/>
  <c r="E13" i="90"/>
  <c r="E14" i="90"/>
  <c r="E15" i="90"/>
  <c r="E16" i="90"/>
  <c r="E17" i="90"/>
  <c r="E18" i="90"/>
  <c r="E19" i="90"/>
  <c r="E20" i="90"/>
  <c r="E21" i="90"/>
  <c r="E22" i="90"/>
  <c r="E23" i="90"/>
  <c r="E24" i="90"/>
  <c r="E25" i="90"/>
  <c r="E26" i="90"/>
  <c r="E27" i="90"/>
  <c r="E28" i="90"/>
  <c r="E29" i="90"/>
  <c r="E30" i="90"/>
  <c r="E31" i="90"/>
  <c r="E32" i="90"/>
  <c r="E33" i="90"/>
  <c r="E34" i="90"/>
  <c r="E35" i="90"/>
  <c r="E36" i="90"/>
  <c r="E37" i="90"/>
  <c r="E38" i="90"/>
  <c r="E39" i="90"/>
  <c r="E40" i="90"/>
  <c r="E41" i="90"/>
  <c r="E42" i="90"/>
  <c r="E43" i="90"/>
  <c r="E44" i="90"/>
  <c r="E45" i="90"/>
  <c r="E46" i="90"/>
  <c r="E47" i="90"/>
  <c r="E48" i="90"/>
  <c r="E49" i="90"/>
  <c r="E50" i="90"/>
  <c r="E51" i="90"/>
  <c r="E52" i="90"/>
  <c r="E53" i="90"/>
  <c r="E54" i="90"/>
  <c r="E55" i="90"/>
  <c r="E56" i="90"/>
  <c r="E57" i="90"/>
  <c r="E58" i="90"/>
  <c r="E59" i="90"/>
  <c r="E60" i="90"/>
  <c r="E61" i="90"/>
  <c r="E62" i="90"/>
  <c r="E63" i="90"/>
  <c r="E64" i="90"/>
  <c r="E65" i="90"/>
  <c r="E66" i="90"/>
  <c r="E67" i="90"/>
  <c r="E68" i="90"/>
  <c r="E69" i="90"/>
  <c r="E70" i="90"/>
  <c r="E71" i="90"/>
  <c r="E72" i="90"/>
  <c r="E73" i="90"/>
  <c r="E74" i="90"/>
  <c r="E75" i="90"/>
  <c r="E76" i="90"/>
  <c r="E77" i="90"/>
  <c r="E78" i="90"/>
  <c r="E79" i="90"/>
  <c r="E80" i="90"/>
  <c r="E81" i="90"/>
  <c r="E82" i="90"/>
  <c r="E83" i="90"/>
  <c r="E84" i="90"/>
  <c r="E85" i="90"/>
  <c r="E86" i="90"/>
  <c r="E87" i="90"/>
  <c r="E88" i="90"/>
  <c r="E89" i="90"/>
  <c r="E90" i="90"/>
  <c r="E91" i="90"/>
  <c r="E92" i="90"/>
  <c r="E93" i="90"/>
  <c r="E94" i="90"/>
  <c r="E95" i="90"/>
  <c r="E96" i="90"/>
  <c r="E97" i="90"/>
  <c r="E98" i="90"/>
  <c r="E99" i="90"/>
  <c r="E100" i="90"/>
  <c r="E101" i="90"/>
  <c r="E102" i="90"/>
  <c r="E103" i="90"/>
  <c r="E104" i="90"/>
  <c r="E105" i="90"/>
  <c r="E106" i="90"/>
  <c r="E107" i="90"/>
  <c r="E108" i="90"/>
  <c r="E109" i="90"/>
  <c r="E110" i="90"/>
  <c r="E111" i="90"/>
  <c r="E112" i="90"/>
  <c r="E113" i="90"/>
  <c r="E114" i="90"/>
  <c r="E115" i="90"/>
  <c r="E116" i="90"/>
  <c r="E117" i="90"/>
  <c r="E118" i="90"/>
  <c r="E119" i="90"/>
  <c r="E120" i="90"/>
  <c r="E121" i="90"/>
  <c r="E122" i="90"/>
  <c r="E123" i="90"/>
  <c r="E124" i="90"/>
  <c r="E125" i="90"/>
  <c r="E126" i="90"/>
  <c r="E127" i="90"/>
  <c r="E128" i="90"/>
  <c r="E129" i="90"/>
  <c r="E130" i="90"/>
  <c r="E131" i="90"/>
  <c r="E132" i="90"/>
  <c r="E133" i="90"/>
  <c r="E134" i="90"/>
  <c r="E135" i="90"/>
  <c r="E136" i="90"/>
  <c r="E137" i="90"/>
  <c r="E138" i="90"/>
  <c r="E139" i="90"/>
  <c r="E140" i="90"/>
  <c r="E141" i="90"/>
  <c r="E142" i="90"/>
  <c r="E143" i="90"/>
  <c r="E144" i="90"/>
  <c r="E145" i="90"/>
  <c r="E146" i="90"/>
  <c r="E147" i="90"/>
  <c r="E148" i="90"/>
  <c r="E149" i="90"/>
  <c r="E150" i="90"/>
  <c r="E151" i="90"/>
  <c r="E152" i="90"/>
  <c r="E153" i="90"/>
  <c r="E154" i="90"/>
  <c r="E155" i="90"/>
  <c r="E156" i="90"/>
  <c r="E157" i="90"/>
  <c r="E158" i="90"/>
  <c r="E159" i="90"/>
  <c r="E160" i="90"/>
  <c r="E161" i="90"/>
  <c r="E162" i="90"/>
  <c r="E163" i="90"/>
  <c r="E164" i="90"/>
  <c r="E165" i="90"/>
  <c r="E166" i="90"/>
  <c r="E167" i="90"/>
  <c r="E168" i="90"/>
  <c r="E169" i="90"/>
  <c r="E170" i="90"/>
  <c r="E171" i="90"/>
  <c r="E172" i="90"/>
  <c r="E173" i="90"/>
  <c r="E174" i="90"/>
  <c r="E175" i="90"/>
  <c r="E176" i="90"/>
  <c r="E177" i="90"/>
  <c r="E178" i="90"/>
  <c r="E179" i="90"/>
  <c r="E180" i="90"/>
  <c r="E181" i="90"/>
  <c r="E182" i="90"/>
  <c r="E183" i="90"/>
  <c r="E184" i="90"/>
  <c r="E185" i="90"/>
  <c r="E186" i="90"/>
  <c r="E187" i="90"/>
  <c r="E188" i="90"/>
  <c r="E189" i="90"/>
  <c r="E190" i="90"/>
  <c r="E191" i="90"/>
  <c r="E192" i="90"/>
  <c r="E193" i="90"/>
  <c r="E194" i="90"/>
  <c r="E195" i="90"/>
  <c r="E196" i="90"/>
  <c r="E197" i="90"/>
  <c r="E198" i="90"/>
  <c r="E199" i="90"/>
  <c r="E200" i="90"/>
  <c r="E201" i="90"/>
  <c r="E202" i="90"/>
  <c r="E203" i="90"/>
  <c r="E204" i="90"/>
  <c r="E205" i="90"/>
  <c r="E206" i="90"/>
  <c r="E207" i="90"/>
  <c r="E208" i="90"/>
  <c r="E209" i="90"/>
  <c r="E210" i="90"/>
  <c r="E211" i="90"/>
  <c r="E212" i="90"/>
  <c r="E213" i="90"/>
  <c r="E214" i="90"/>
  <c r="E215" i="90"/>
  <c r="E216" i="90"/>
  <c r="E217" i="90"/>
  <c r="E218" i="90"/>
  <c r="E219" i="90"/>
  <c r="E220" i="90"/>
  <c r="E221" i="90"/>
  <c r="E222" i="90"/>
  <c r="E223" i="90"/>
  <c r="E224" i="90"/>
  <c r="E225" i="90"/>
  <c r="E226" i="90"/>
  <c r="E227" i="90"/>
  <c r="E228" i="90"/>
  <c r="E229" i="90"/>
  <c r="E230" i="90"/>
  <c r="E231" i="90"/>
  <c r="E232" i="90"/>
  <c r="E233" i="90"/>
  <c r="E234" i="90"/>
  <c r="E235" i="90"/>
  <c r="E236" i="90"/>
  <c r="E237" i="90"/>
  <c r="E238" i="90"/>
  <c r="E239" i="90"/>
  <c r="E240" i="90"/>
  <c r="E241" i="90"/>
  <c r="E242" i="90"/>
  <c r="E243" i="90"/>
  <c r="E244" i="90"/>
  <c r="E245" i="90"/>
  <c r="E246" i="90"/>
  <c r="E247" i="90"/>
  <c r="E248" i="90"/>
  <c r="E249" i="90"/>
  <c r="E250" i="90"/>
  <c r="E251" i="90"/>
  <c r="E252" i="90"/>
  <c r="E253" i="90"/>
  <c r="E254" i="90"/>
  <c r="E255" i="90"/>
  <c r="E256" i="90"/>
  <c r="E257" i="90"/>
  <c r="E258" i="90"/>
  <c r="E259" i="90"/>
  <c r="E260" i="90"/>
  <c r="E261" i="90"/>
  <c r="E262" i="90"/>
  <c r="E263" i="90"/>
  <c r="E264" i="90"/>
  <c r="E265" i="90"/>
  <c r="E266" i="90"/>
  <c r="E267" i="90"/>
  <c r="E268" i="90"/>
  <c r="E269" i="90"/>
  <c r="E270" i="90"/>
  <c r="E271" i="90"/>
  <c r="E272" i="90"/>
  <c r="E273" i="90"/>
  <c r="E274" i="90"/>
  <c r="E275" i="90"/>
  <c r="E276" i="90"/>
  <c r="E277" i="90"/>
  <c r="E278" i="90"/>
  <c r="E279" i="90"/>
  <c r="E280" i="90"/>
  <c r="E281" i="90"/>
  <c r="E282" i="90"/>
  <c r="E283" i="90"/>
  <c r="E284" i="90"/>
  <c r="E285" i="90"/>
  <c r="E286" i="90"/>
  <c r="E287" i="90"/>
  <c r="E288" i="90"/>
  <c r="E289" i="90"/>
  <c r="E290" i="90"/>
  <c r="E291" i="90"/>
  <c r="E292" i="90"/>
  <c r="E293" i="90"/>
  <c r="E294" i="90"/>
  <c r="E295" i="90"/>
  <c r="E296" i="90"/>
  <c r="E297" i="90"/>
  <c r="E298" i="90"/>
  <c r="E299" i="90"/>
  <c r="D5" i="90"/>
  <c r="D6" i="90"/>
  <c r="D7" i="90"/>
  <c r="D8" i="90"/>
  <c r="D9" i="90"/>
  <c r="D10" i="90"/>
  <c r="D11" i="90"/>
  <c r="D12" i="90"/>
  <c r="D13" i="90"/>
  <c r="D14" i="90"/>
  <c r="D15" i="90"/>
  <c r="D16" i="90"/>
  <c r="D17" i="90"/>
  <c r="D18" i="90"/>
  <c r="D19" i="90"/>
  <c r="D20" i="90"/>
  <c r="D21" i="90"/>
  <c r="D22" i="90"/>
  <c r="D23" i="90"/>
  <c r="D24" i="90"/>
  <c r="D25" i="90"/>
  <c r="D26" i="90"/>
  <c r="D27" i="90"/>
  <c r="D28" i="90"/>
  <c r="D29" i="90"/>
  <c r="D30" i="90"/>
  <c r="D31" i="90"/>
  <c r="D32" i="90"/>
  <c r="D33" i="90"/>
  <c r="D34" i="90"/>
  <c r="D35" i="90"/>
  <c r="D36" i="90"/>
  <c r="D37" i="90"/>
  <c r="D38" i="90"/>
  <c r="D39" i="90"/>
  <c r="D40" i="90"/>
  <c r="D41" i="90"/>
  <c r="D42" i="90"/>
  <c r="D43" i="90"/>
  <c r="D44" i="90"/>
  <c r="D45" i="90"/>
  <c r="D46" i="90"/>
  <c r="D47" i="90"/>
  <c r="D48" i="90"/>
  <c r="D49" i="90"/>
  <c r="D50" i="90"/>
  <c r="D51" i="90"/>
  <c r="D52" i="90"/>
  <c r="D53" i="90"/>
  <c r="D54" i="90"/>
  <c r="D55" i="90"/>
  <c r="D56" i="90"/>
  <c r="D57" i="90"/>
  <c r="D58" i="90"/>
  <c r="D59" i="90"/>
  <c r="D60" i="90"/>
  <c r="D61" i="90"/>
  <c r="D62" i="90"/>
  <c r="D63" i="90"/>
  <c r="D64" i="90"/>
  <c r="D65" i="90"/>
  <c r="D66" i="90"/>
  <c r="D67" i="90"/>
  <c r="D68" i="90"/>
  <c r="D69" i="90"/>
  <c r="D70" i="90"/>
  <c r="D71" i="90"/>
  <c r="D72" i="90"/>
  <c r="D73" i="90"/>
  <c r="D74" i="90"/>
  <c r="D75" i="90"/>
  <c r="D76" i="90"/>
  <c r="D77" i="90"/>
  <c r="D78" i="90"/>
  <c r="D79" i="90"/>
  <c r="D80" i="90"/>
  <c r="D81" i="90"/>
  <c r="D82" i="90"/>
  <c r="D83" i="90"/>
  <c r="D84" i="90"/>
  <c r="D85" i="90"/>
  <c r="D86" i="90"/>
  <c r="D87" i="90"/>
  <c r="D88" i="90"/>
  <c r="D89" i="90"/>
  <c r="D90" i="90"/>
  <c r="D91" i="90"/>
  <c r="D92" i="90"/>
  <c r="D93" i="90"/>
  <c r="D94" i="90"/>
  <c r="D95" i="90"/>
  <c r="D96" i="90"/>
  <c r="D97" i="90"/>
  <c r="D98" i="90"/>
  <c r="D99" i="90"/>
  <c r="D100" i="90"/>
  <c r="D101" i="90"/>
  <c r="D102" i="90"/>
  <c r="D103" i="90"/>
  <c r="D104" i="90"/>
  <c r="D105" i="90"/>
  <c r="D106" i="90"/>
  <c r="D107" i="90"/>
  <c r="D108" i="90"/>
  <c r="D109" i="90"/>
  <c r="D110" i="90"/>
  <c r="D111" i="90"/>
  <c r="D112" i="90"/>
  <c r="D113" i="90"/>
  <c r="D114" i="90"/>
  <c r="D115" i="90"/>
  <c r="D116" i="90"/>
  <c r="D117" i="90"/>
  <c r="D118" i="90"/>
  <c r="D119" i="90"/>
  <c r="D120" i="90"/>
  <c r="D121" i="90"/>
  <c r="D122" i="90"/>
  <c r="D123" i="90"/>
  <c r="D124" i="90"/>
  <c r="D125" i="90"/>
  <c r="D126" i="90"/>
  <c r="D127" i="90"/>
  <c r="D128" i="90"/>
  <c r="D129" i="90"/>
  <c r="D130" i="90"/>
  <c r="D131" i="90"/>
  <c r="D132" i="90"/>
  <c r="D133" i="90"/>
  <c r="D134" i="90"/>
  <c r="D135" i="90"/>
  <c r="D136" i="90"/>
  <c r="D137" i="90"/>
  <c r="D138" i="90"/>
  <c r="D139" i="90"/>
  <c r="D140" i="90"/>
  <c r="D141" i="90"/>
  <c r="D142" i="90"/>
  <c r="D143" i="90"/>
  <c r="D144" i="90"/>
  <c r="D145" i="90"/>
  <c r="D146" i="90"/>
  <c r="D147" i="90"/>
  <c r="D148" i="90"/>
  <c r="D149" i="90"/>
  <c r="D150" i="90"/>
  <c r="D151" i="90"/>
  <c r="D152" i="90"/>
  <c r="D153" i="90"/>
  <c r="D154" i="90"/>
  <c r="D155" i="90"/>
  <c r="D156" i="90"/>
  <c r="D157" i="90"/>
  <c r="D158" i="90"/>
  <c r="D159" i="90"/>
  <c r="D160" i="90"/>
  <c r="D161" i="90"/>
  <c r="D162" i="90"/>
  <c r="D163" i="90"/>
  <c r="D164" i="90"/>
  <c r="D165" i="90"/>
  <c r="D166" i="90"/>
  <c r="D167" i="90"/>
  <c r="D168" i="90"/>
  <c r="D169" i="90"/>
  <c r="D170" i="90"/>
  <c r="D171" i="90"/>
  <c r="D172" i="90"/>
  <c r="D173" i="90"/>
  <c r="D174" i="90"/>
  <c r="D175" i="90"/>
  <c r="D176" i="90"/>
  <c r="D177" i="90"/>
  <c r="D178" i="90"/>
  <c r="D179" i="90"/>
  <c r="D180" i="90"/>
  <c r="D181" i="90"/>
  <c r="D182" i="90"/>
  <c r="D183" i="90"/>
  <c r="D184" i="90"/>
  <c r="D185" i="90"/>
  <c r="D186" i="90"/>
  <c r="D187" i="90"/>
  <c r="D188" i="90"/>
  <c r="D189" i="90"/>
  <c r="D190" i="90"/>
  <c r="D191" i="90"/>
  <c r="D192" i="90"/>
  <c r="D193" i="90"/>
  <c r="D194" i="90"/>
  <c r="D195" i="90"/>
  <c r="D196" i="90"/>
  <c r="D197" i="90"/>
  <c r="D198" i="90"/>
  <c r="D199" i="90"/>
  <c r="D200" i="90"/>
  <c r="D201" i="90"/>
  <c r="D202" i="90"/>
  <c r="D203" i="90"/>
  <c r="D204" i="90"/>
  <c r="D205" i="90"/>
  <c r="D206" i="90"/>
  <c r="D207" i="90"/>
  <c r="D208" i="90"/>
  <c r="D209" i="90"/>
  <c r="D210" i="90"/>
  <c r="D211" i="90"/>
  <c r="D212" i="90"/>
  <c r="D213" i="90"/>
  <c r="D214" i="90"/>
  <c r="D215" i="90"/>
  <c r="D216" i="90"/>
  <c r="D217" i="90"/>
  <c r="D218" i="90"/>
  <c r="D219" i="90"/>
  <c r="D220" i="90"/>
  <c r="D221" i="90"/>
  <c r="D222" i="90"/>
  <c r="D223" i="90"/>
  <c r="D224" i="90"/>
  <c r="D225" i="90"/>
  <c r="D226" i="90"/>
  <c r="D227" i="90"/>
  <c r="D228" i="90"/>
  <c r="D229" i="90"/>
  <c r="D230" i="90"/>
  <c r="D231" i="90"/>
  <c r="D232" i="90"/>
  <c r="D233" i="90"/>
  <c r="D234" i="90"/>
  <c r="D235" i="90"/>
  <c r="D236" i="90"/>
  <c r="D237" i="90"/>
  <c r="D238" i="90"/>
  <c r="D239" i="90"/>
  <c r="D240" i="90"/>
  <c r="D241" i="90"/>
  <c r="D242" i="90"/>
  <c r="D243" i="90"/>
  <c r="D244" i="90"/>
  <c r="D245" i="90"/>
  <c r="D246" i="90"/>
  <c r="D247" i="90"/>
  <c r="D248" i="90"/>
  <c r="D249" i="90"/>
  <c r="D250" i="90"/>
  <c r="D251" i="90"/>
  <c r="D252" i="90"/>
  <c r="D253" i="90"/>
  <c r="D254" i="90"/>
  <c r="D255" i="90"/>
  <c r="D256" i="90"/>
  <c r="D257" i="90"/>
  <c r="D258" i="90"/>
  <c r="D259" i="90"/>
  <c r="D260" i="90"/>
  <c r="D261" i="90"/>
  <c r="D262" i="90"/>
  <c r="D263" i="90"/>
  <c r="D264" i="90"/>
  <c r="D265" i="90"/>
  <c r="D266" i="90"/>
  <c r="D267" i="90"/>
  <c r="D268" i="90"/>
  <c r="D269" i="90"/>
  <c r="D270" i="90"/>
  <c r="D271" i="90"/>
  <c r="D272" i="90"/>
  <c r="D273" i="90"/>
  <c r="D274" i="90"/>
  <c r="D275" i="90"/>
  <c r="D276" i="90"/>
  <c r="D277" i="90"/>
  <c r="D278" i="90"/>
  <c r="D279" i="90"/>
  <c r="D280" i="90"/>
  <c r="D281" i="90"/>
  <c r="D282" i="90"/>
  <c r="D283" i="90"/>
  <c r="D284" i="90"/>
  <c r="D285" i="90"/>
  <c r="D286" i="90"/>
  <c r="D287" i="90"/>
  <c r="D288" i="90"/>
  <c r="D289" i="90"/>
  <c r="D290" i="90"/>
  <c r="D291" i="90"/>
  <c r="D292" i="90"/>
  <c r="D293" i="90"/>
  <c r="D294" i="90"/>
  <c r="D295" i="90"/>
  <c r="D296" i="90"/>
  <c r="D297" i="90"/>
  <c r="D298" i="90"/>
  <c r="D299" i="90"/>
  <c r="B389" i="74" l="1"/>
  <c r="AB18" i="6"/>
  <c r="AF100" i="6"/>
  <c r="B408" i="74"/>
  <c r="B423" i="74"/>
  <c r="B486" i="74"/>
  <c r="V27" i="6"/>
  <c r="S27" i="6"/>
  <c r="B420" i="74"/>
  <c r="B458" i="74"/>
  <c r="B400" i="74"/>
  <c r="B411" i="74"/>
  <c r="B414" i="74"/>
  <c r="B439" i="74"/>
  <c r="B452" i="74"/>
  <c r="B464" i="74"/>
  <c r="B489" i="74"/>
  <c r="B417" i="74"/>
  <c r="B442" i="74"/>
  <c r="B455" i="74"/>
  <c r="B467" i="74"/>
  <c r="B492" i="74"/>
  <c r="B390" i="74"/>
  <c r="V168" i="6"/>
  <c r="B497" i="74"/>
  <c r="B378" i="74"/>
  <c r="B259" i="74"/>
  <c r="S85" i="6"/>
  <c r="S106" i="6"/>
  <c r="B447" i="74" s="1"/>
  <c r="B443" i="74"/>
  <c r="S144" i="6"/>
  <c r="B474" i="74"/>
  <c r="V85" i="6"/>
  <c r="V106" i="6"/>
  <c r="B448" i="74" s="1"/>
  <c r="B444" i="74"/>
  <c r="V144" i="6"/>
  <c r="B475" i="74"/>
  <c r="S168" i="6"/>
  <c r="AF161" i="6" s="1"/>
  <c r="B496" i="74"/>
  <c r="B377" i="74"/>
  <c r="B258" i="74"/>
  <c r="V58" i="6"/>
  <c r="S60" i="6" s="1"/>
  <c r="Y51" i="6"/>
  <c r="B478" i="74" l="1"/>
  <c r="AF138" i="6"/>
  <c r="AF101" i="6"/>
  <c r="B435" i="74"/>
  <c r="AF82" i="6"/>
  <c r="B479" i="74"/>
  <c r="AF139" i="6"/>
  <c r="B434" i="74"/>
  <c r="AF81" i="6"/>
  <c r="B501" i="74"/>
  <c r="AF162" i="6"/>
  <c r="B405" i="74"/>
  <c r="Y168" i="6"/>
  <c r="B500" i="74"/>
  <c r="Y85" i="6"/>
  <c r="Y144" i="6"/>
  <c r="Y106" i="6"/>
  <c r="C162" i="1"/>
  <c r="E41" i="30"/>
  <c r="B1368" i="74"/>
  <c r="B1270" i="74"/>
  <c r="E35" i="30"/>
  <c r="B449" i="74" l="1"/>
  <c r="B502" i="74"/>
  <c r="B480" i="74"/>
  <c r="B436" i="74"/>
  <c r="E4" i="90"/>
  <c r="D4" i="90"/>
  <c r="B631" i="74" l="1"/>
  <c r="B271" i="74" l="1"/>
  <c r="G27" i="6"/>
  <c r="M42" i="6"/>
  <c r="AB42" i="6" s="1"/>
  <c r="AF42" i="6" s="1"/>
  <c r="B162" i="74" l="1"/>
  <c r="B281" i="74"/>
  <c r="S34" i="6"/>
  <c r="B391" i="74"/>
  <c r="V34" i="6"/>
  <c r="B392" i="74"/>
  <c r="S176" i="6" l="1"/>
  <c r="AF30" i="6"/>
  <c r="V176" i="6"/>
  <c r="AF31" i="6"/>
  <c r="B395" i="74"/>
  <c r="Y34" i="6"/>
  <c r="B396" i="74"/>
  <c r="Y176" i="6" l="1"/>
  <c r="B503" i="74"/>
  <c r="B397" i="74"/>
  <c r="B504" i="74"/>
  <c r="B1358" i="74"/>
  <c r="E23" i="30"/>
  <c r="F285" i="90"/>
  <c r="H285" i="90" s="1"/>
  <c r="G285" i="90"/>
  <c r="I285" i="90" s="1"/>
  <c r="J285" i="90"/>
  <c r="K285" i="90"/>
  <c r="F217" i="90"/>
  <c r="H217" i="90" s="1"/>
  <c r="G217" i="90"/>
  <c r="I217" i="90" s="1"/>
  <c r="J217" i="90"/>
  <c r="K217" i="90"/>
  <c r="F179" i="90"/>
  <c r="H179" i="90" s="1"/>
  <c r="G179" i="90"/>
  <c r="I179" i="90" s="1"/>
  <c r="J179" i="90"/>
  <c r="K179" i="90"/>
  <c r="F66" i="90"/>
  <c r="H66" i="90" s="1"/>
  <c r="G66" i="90"/>
  <c r="I66" i="90" s="1"/>
  <c r="J66" i="90"/>
  <c r="K66" i="90"/>
  <c r="B505" i="74" l="1"/>
  <c r="B315" i="52" l="1"/>
  <c r="B284" i="52"/>
  <c r="B217" i="52"/>
  <c r="B308" i="52"/>
  <c r="B256" i="52"/>
  <c r="A257" i="52"/>
  <c r="B257" i="52"/>
  <c r="B135" i="52"/>
  <c r="A136" i="52"/>
  <c r="B136" i="52"/>
  <c r="A167" i="52"/>
  <c r="B451" i="52"/>
  <c r="B166" i="52"/>
  <c r="C257" i="52" l="1"/>
  <c r="C136" i="52"/>
  <c r="A6" i="52"/>
  <c r="A7" i="52"/>
  <c r="A8" i="52"/>
  <c r="A9" i="52"/>
  <c r="A10" i="52"/>
  <c r="A11" i="52"/>
  <c r="A12" i="52"/>
  <c r="A13" i="52"/>
  <c r="A14" i="52"/>
  <c r="A15" i="52"/>
  <c r="A16" i="52"/>
  <c r="A17" i="52" s="1"/>
  <c r="A18" i="52" s="1"/>
  <c r="A19" i="52" s="1"/>
  <c r="A20" i="52"/>
  <c r="A21" i="52"/>
  <c r="A22" i="52"/>
  <c r="A23" i="52" s="1"/>
  <c r="A24" i="52" s="1"/>
  <c r="A26" i="52"/>
  <c r="A27" i="52"/>
  <c r="A28" i="52"/>
  <c r="A29" i="52"/>
  <c r="A30" i="52"/>
  <c r="A31" i="52"/>
  <c r="A32" i="52"/>
  <c r="A33" i="52"/>
  <c r="A34" i="52"/>
  <c r="A35" i="52" s="1"/>
  <c r="A36" i="52" s="1"/>
  <c r="A37" i="52"/>
  <c r="A38" i="52"/>
  <c r="A39" i="52"/>
  <c r="A40" i="52"/>
  <c r="A41" i="52"/>
  <c r="A42" i="52"/>
  <c r="A43" i="52" s="1"/>
  <c r="A44" i="52" s="1"/>
  <c r="A45" i="52"/>
  <c r="A46" i="52"/>
  <c r="A47" i="52"/>
  <c r="A48" i="52"/>
  <c r="A49" i="52"/>
  <c r="A50" i="52"/>
  <c r="A51" i="52" s="1"/>
  <c r="A52" i="52" s="1"/>
  <c r="A53" i="52"/>
  <c r="A54" i="52"/>
  <c r="A55" i="52"/>
  <c r="A56" i="52"/>
  <c r="A57" i="52"/>
  <c r="A58" i="52"/>
  <c r="A59" i="52"/>
  <c r="A60" i="52"/>
  <c r="A61" i="52"/>
  <c r="A62" i="52"/>
  <c r="A63" i="52" s="1"/>
  <c r="A64" i="52"/>
  <c r="A65" i="52"/>
  <c r="A66" i="52"/>
  <c r="A67" i="52"/>
  <c r="A68" i="52"/>
  <c r="A69" i="52" s="1"/>
  <c r="A70" i="52" s="1"/>
  <c r="A71" i="52" s="1"/>
  <c r="A72" i="52" s="1"/>
  <c r="A73" i="52" s="1"/>
  <c r="A74" i="52" s="1"/>
  <c r="A75" i="52" s="1"/>
  <c r="A76" i="52" s="1"/>
  <c r="A77" i="52" s="1"/>
  <c r="A78" i="52"/>
  <c r="A79" i="52"/>
  <c r="A80" i="52"/>
  <c r="A81" i="52"/>
  <c r="A82" i="52"/>
  <c r="A83" i="52"/>
  <c r="A84" i="52" s="1"/>
  <c r="A85" i="52" s="1"/>
  <c r="A86" i="52" s="1"/>
  <c r="A87" i="52" s="1"/>
  <c r="A88" i="52"/>
  <c r="A89" i="52"/>
  <c r="A90" i="52"/>
  <c r="A91" i="52"/>
  <c r="A92" i="52"/>
  <c r="A93" i="52"/>
  <c r="A94" i="52" s="1"/>
  <c r="A95" i="52" s="1"/>
  <c r="A96" i="52" s="1"/>
  <c r="A97" i="52"/>
  <c r="A98" i="52"/>
  <c r="A99" i="52"/>
  <c r="A100" i="52" s="1"/>
  <c r="A101" i="52"/>
  <c r="A102" i="52"/>
  <c r="A103" i="52"/>
  <c r="A104" i="52"/>
  <c r="A105" i="52"/>
  <c r="A106" i="52" s="1"/>
  <c r="A107" i="52" s="1"/>
  <c r="A108" i="52" s="1"/>
  <c r="A109" i="52" s="1"/>
  <c r="A110" i="52" s="1"/>
  <c r="A111" i="52" s="1"/>
  <c r="C111" i="52" s="1"/>
  <c r="A112" i="52"/>
  <c r="A113" i="52"/>
  <c r="A114" i="52"/>
  <c r="A115" i="52"/>
  <c r="A116" i="52" s="1"/>
  <c r="A117" i="52" s="1"/>
  <c r="A118" i="52" s="1"/>
  <c r="A119" i="52"/>
  <c r="A120" i="52"/>
  <c r="A121" i="52"/>
  <c r="A122" i="52"/>
  <c r="A123" i="52" s="1"/>
  <c r="A124" i="52" s="1"/>
  <c r="A125" i="52" s="1"/>
  <c r="A126" i="52" s="1"/>
  <c r="A127" i="52" s="1"/>
  <c r="A128" i="52" s="1"/>
  <c r="A129" i="52" s="1"/>
  <c r="A131" i="52"/>
  <c r="A132" i="52"/>
  <c r="A133" i="52" s="1"/>
  <c r="A134" i="52" s="1"/>
  <c r="A135" i="52" s="1"/>
  <c r="C135" i="52" s="1"/>
  <c r="A137" i="52"/>
  <c r="A138" i="52"/>
  <c r="A139" i="52"/>
  <c r="A140" i="52"/>
  <c r="A141" i="52"/>
  <c r="A142" i="52"/>
  <c r="A143" i="52"/>
  <c r="A144" i="52"/>
  <c r="A145" i="52"/>
  <c r="A146" i="52"/>
  <c r="A147" i="52"/>
  <c r="A148" i="52" s="1"/>
  <c r="A149" i="52"/>
  <c r="A150" i="52" s="1"/>
  <c r="A151" i="52"/>
  <c r="A152" i="52"/>
  <c r="A153" i="52"/>
  <c r="A154" i="52"/>
  <c r="A155" i="52" s="1"/>
  <c r="A156" i="52" s="1"/>
  <c r="A157" i="52"/>
  <c r="A158" i="52" s="1"/>
  <c r="A159" i="52" s="1"/>
  <c r="A160" i="52" s="1"/>
  <c r="A161" i="52" s="1"/>
  <c r="A162" i="52"/>
  <c r="A163" i="52"/>
  <c r="A164" i="52"/>
  <c r="A165" i="52"/>
  <c r="A166" i="52" s="1"/>
  <c r="C166" i="52" s="1"/>
  <c r="A168" i="52"/>
  <c r="A169" i="52"/>
  <c r="A170" i="52"/>
  <c r="A171" i="52"/>
  <c r="A172" i="52"/>
  <c r="A173" i="52"/>
  <c r="A174" i="52"/>
  <c r="A175" i="52"/>
  <c r="A176" i="52"/>
  <c r="A177" i="52"/>
  <c r="A178" i="52"/>
  <c r="A179" i="52"/>
  <c r="A180" i="52"/>
  <c r="A181" i="52"/>
  <c r="A182" i="52" s="1"/>
  <c r="A183" i="52"/>
  <c r="A184" i="52"/>
  <c r="A185" i="52"/>
  <c r="A186" i="52"/>
  <c r="A187" i="52"/>
  <c r="A188" i="52" s="1"/>
  <c r="A189" i="52" s="1"/>
  <c r="A190" i="52"/>
  <c r="A191" i="52"/>
  <c r="A192" i="52"/>
  <c r="A193" i="52"/>
  <c r="A194" i="52"/>
  <c r="A195" i="52"/>
  <c r="A196" i="52" s="1"/>
  <c r="A197" i="52" s="1"/>
  <c r="A198" i="52" s="1"/>
  <c r="A199" i="52" s="1"/>
  <c r="A200" i="52" s="1"/>
  <c r="A201" i="52" s="1"/>
  <c r="A202" i="52" s="1"/>
  <c r="A203" i="52" s="1"/>
  <c r="A204" i="52" s="1"/>
  <c r="A205" i="52" s="1"/>
  <c r="A206" i="52" s="1"/>
  <c r="A207" i="52" s="1"/>
  <c r="A208" i="52" s="1"/>
  <c r="A209" i="52" s="1"/>
  <c r="A210" i="52" s="1"/>
  <c r="A211" i="52" s="1"/>
  <c r="A212" i="52" s="1"/>
  <c r="A213" i="52" s="1"/>
  <c r="A214" i="52" s="1"/>
  <c r="A215" i="52" s="1"/>
  <c r="A216" i="52" s="1"/>
  <c r="A217" i="52" s="1"/>
  <c r="A218" i="52"/>
  <c r="A219" i="52"/>
  <c r="A220" i="52" s="1"/>
  <c r="A221" i="52" s="1"/>
  <c r="A222" i="52"/>
  <c r="A223" i="52"/>
  <c r="A224" i="52"/>
  <c r="A225" i="52"/>
  <c r="A226" i="52"/>
  <c r="A227" i="52"/>
  <c r="A228" i="52" s="1"/>
  <c r="A229" i="52" s="1"/>
  <c r="A230" i="52" s="1"/>
  <c r="A231" i="52" s="1"/>
  <c r="A232" i="52" s="1"/>
  <c r="A233" i="52" s="1"/>
  <c r="A234" i="52" s="1"/>
  <c r="A235" i="52"/>
  <c r="A236" i="52"/>
  <c r="A237" i="52"/>
  <c r="A238" i="52"/>
  <c r="A239" i="52" s="1"/>
  <c r="A240" i="52"/>
  <c r="A241" i="52"/>
  <c r="A242" i="52"/>
  <c r="A243" i="52"/>
  <c r="A244" i="52"/>
  <c r="A245" i="52" s="1"/>
  <c r="A246" i="52" s="1"/>
  <c r="A247" i="52" s="1"/>
  <c r="A248" i="52" s="1"/>
  <c r="A250" i="52"/>
  <c r="A251" i="52"/>
  <c r="A252" i="52"/>
  <c r="A253" i="52"/>
  <c r="A254" i="52"/>
  <c r="A255" i="52"/>
  <c r="A256" i="52" s="1"/>
  <c r="C256" i="52" s="1"/>
  <c r="A258" i="52"/>
  <c r="A259" i="52" s="1"/>
  <c r="A260" i="52"/>
  <c r="A261" i="52"/>
  <c r="A262" i="52"/>
  <c r="A263" i="52"/>
  <c r="A264" i="52"/>
  <c r="A265" i="52" s="1"/>
  <c r="A266" i="52" s="1"/>
  <c r="A267" i="52" s="1"/>
  <c r="A268" i="52"/>
  <c r="A269" i="52"/>
  <c r="A270" i="52"/>
  <c r="A271" i="52"/>
  <c r="A272" i="52"/>
  <c r="A273" i="52" s="1"/>
  <c r="A274" i="52" s="1"/>
  <c r="A275" i="52" s="1"/>
  <c r="A276" i="52" s="1"/>
  <c r="A277" i="52" s="1"/>
  <c r="A278" i="52" s="1"/>
  <c r="A279" i="52" s="1"/>
  <c r="A280" i="52"/>
  <c r="A281" i="52"/>
  <c r="A282" i="52"/>
  <c r="A283" i="52" s="1"/>
  <c r="A284" i="52" s="1"/>
  <c r="C284" i="52" s="1"/>
  <c r="A285" i="52"/>
  <c r="A286" i="52" s="1"/>
  <c r="A287" i="52"/>
  <c r="A288" i="52"/>
  <c r="A289" i="52"/>
  <c r="A290" i="52"/>
  <c r="A291" i="52"/>
  <c r="A292" i="52"/>
  <c r="A293" i="52"/>
  <c r="A294" i="52" s="1"/>
  <c r="A295" i="52" s="1"/>
  <c r="A296" i="52" s="1"/>
  <c r="A297" i="52" s="1"/>
  <c r="C297" i="52" s="1"/>
  <c r="A298" i="52"/>
  <c r="A299" i="52"/>
  <c r="A300" i="52" s="1"/>
  <c r="A301" i="52"/>
  <c r="A302" i="52"/>
  <c r="A303" i="52"/>
  <c r="A304" i="52"/>
  <c r="A305" i="52"/>
  <c r="A306" i="52"/>
  <c r="A307" i="52"/>
  <c r="A308" i="52" s="1"/>
  <c r="C308" i="52" s="1"/>
  <c r="A309" i="52"/>
  <c r="A310" i="52"/>
  <c r="A311" i="52"/>
  <c r="A312" i="52"/>
  <c r="A313" i="52"/>
  <c r="A314" i="52" s="1"/>
  <c r="A315" i="52" s="1"/>
  <c r="C315" i="52" s="1"/>
  <c r="A316" i="52"/>
  <c r="A317" i="52"/>
  <c r="A318" i="52"/>
  <c r="A319" i="52"/>
  <c r="A320" i="52"/>
  <c r="A321" i="52"/>
  <c r="A322" i="52"/>
  <c r="A323" i="52"/>
  <c r="A324" i="52"/>
  <c r="A325" i="52"/>
  <c r="A326" i="52"/>
  <c r="A327" i="52"/>
  <c r="A328" i="52"/>
  <c r="A329" i="52"/>
  <c r="A330" i="52"/>
  <c r="A331" i="52" s="1"/>
  <c r="A333" i="52"/>
  <c r="A334" i="52"/>
  <c r="A335" i="52"/>
  <c r="A336" i="52"/>
  <c r="A337" i="52" s="1"/>
  <c r="A338" i="52" s="1"/>
  <c r="C338" i="52" s="1"/>
  <c r="A339" i="52"/>
  <c r="A340" i="52"/>
  <c r="A341" i="52"/>
  <c r="A342" i="52"/>
  <c r="A343" i="52"/>
  <c r="A344" i="52"/>
  <c r="A345" i="52" s="1"/>
  <c r="A346" i="52" s="1"/>
  <c r="A347" i="52"/>
  <c r="A348" i="52"/>
  <c r="A349" i="52"/>
  <c r="A350" i="52"/>
  <c r="A351" i="52"/>
  <c r="A352" i="52"/>
  <c r="A353" i="52"/>
  <c r="A354" i="52" s="1"/>
  <c r="A355" i="52" s="1"/>
  <c r="A356" i="52" s="1"/>
  <c r="A357" i="52"/>
  <c r="A358" i="52"/>
  <c r="A359" i="52"/>
  <c r="A360" i="52" s="1"/>
  <c r="A361" i="52" s="1"/>
  <c r="C361" i="52" s="1"/>
  <c r="A362" i="52"/>
  <c r="A363" i="52"/>
  <c r="A364" i="52"/>
  <c r="A365" i="52"/>
  <c r="A366" i="52"/>
  <c r="A367" i="52" s="1"/>
  <c r="A368" i="52" s="1"/>
  <c r="A369" i="52"/>
  <c r="A370" i="52" s="1"/>
  <c r="C370" i="52" s="1"/>
  <c r="A371" i="52"/>
  <c r="A372" i="52"/>
  <c r="A373" i="52"/>
  <c r="A374" i="52"/>
  <c r="A375" i="52"/>
  <c r="A376" i="52" s="1"/>
  <c r="A377" i="52"/>
  <c r="A378" i="52" s="1"/>
  <c r="A379" i="52" s="1"/>
  <c r="A380" i="52" s="1"/>
  <c r="A381" i="52" s="1"/>
  <c r="A382" i="52"/>
  <c r="A383" i="52"/>
  <c r="A384" i="52"/>
  <c r="A385" i="52" s="1"/>
  <c r="A386" i="52" s="1"/>
  <c r="A387" i="52" s="1"/>
  <c r="C387" i="52" s="1"/>
  <c r="A388" i="52"/>
  <c r="A389" i="52"/>
  <c r="A390" i="52"/>
  <c r="A391" i="52"/>
  <c r="A392" i="52"/>
  <c r="A393" i="52"/>
  <c r="A394" i="52"/>
  <c r="A395" i="52"/>
  <c r="A396" i="52"/>
  <c r="A397" i="52"/>
  <c r="A398" i="52"/>
  <c r="A399" i="52"/>
  <c r="A400" i="52"/>
  <c r="A401" i="52"/>
  <c r="A405" i="52"/>
  <c r="A406" i="52"/>
  <c r="A407" i="52"/>
  <c r="A408" i="52"/>
  <c r="A409" i="52" s="1"/>
  <c r="C409" i="52" s="1"/>
  <c r="A410" i="52"/>
  <c r="A411" i="52"/>
  <c r="A412" i="52"/>
  <c r="A413" i="52" s="1"/>
  <c r="A414" i="52" s="1"/>
  <c r="A415" i="52" s="1"/>
  <c r="A416" i="52" s="1"/>
  <c r="A417" i="52" s="1"/>
  <c r="A418" i="52" s="1"/>
  <c r="A419" i="52" s="1"/>
  <c r="A420" i="52" s="1"/>
  <c r="A421" i="52" s="1"/>
  <c r="A422" i="52" s="1"/>
  <c r="A423" i="52"/>
  <c r="A424" i="52" s="1"/>
  <c r="A425" i="52"/>
  <c r="A426" i="52" s="1"/>
  <c r="C426" i="52" s="1"/>
  <c r="A427" i="52"/>
  <c r="A428" i="52"/>
  <c r="A429" i="52"/>
  <c r="A430" i="52"/>
  <c r="A431" i="52"/>
  <c r="A432" i="52"/>
  <c r="A433" i="52"/>
  <c r="A434" i="52"/>
  <c r="A435" i="52"/>
  <c r="A436" i="52"/>
  <c r="A437" i="52"/>
  <c r="A438" i="52"/>
  <c r="A439" i="52"/>
  <c r="A440" i="52"/>
  <c r="A441" i="52"/>
  <c r="A442" i="52" s="1"/>
  <c r="A443" i="52"/>
  <c r="A444" i="52"/>
  <c r="A445" i="52"/>
  <c r="A446" i="52"/>
  <c r="A447" i="52"/>
  <c r="A448" i="52"/>
  <c r="A449" i="52"/>
  <c r="A450" i="52" s="1"/>
  <c r="A451" i="52" s="1"/>
  <c r="C451" i="52" s="1"/>
  <c r="A452" i="52"/>
  <c r="A453" i="52"/>
  <c r="A454" i="52"/>
  <c r="A455" i="52"/>
  <c r="A456" i="52"/>
  <c r="A457" i="52"/>
  <c r="A458" i="52"/>
  <c r="A459" i="52"/>
  <c r="A460" i="52"/>
  <c r="A5" i="52"/>
  <c r="A403" i="52" l="1"/>
  <c r="C403" i="52" s="1"/>
  <c r="C402" i="52"/>
  <c r="C217" i="52"/>
  <c r="C129" i="52"/>
  <c r="A332" i="52"/>
  <c r="C332" i="52" s="1"/>
  <c r="C331" i="52"/>
  <c r="A249" i="52"/>
  <c r="C249" i="52" s="1"/>
  <c r="C248" i="52"/>
  <c r="A25" i="52"/>
  <c r="C25" i="52" s="1"/>
  <c r="C24" i="52"/>
  <c r="B343" i="52"/>
  <c r="C343" i="52" s="1"/>
  <c r="B444" i="52"/>
  <c r="B92" i="52"/>
  <c r="B292" i="52"/>
  <c r="A130" i="52" l="1"/>
  <c r="C130" i="52" s="1"/>
  <c r="C444" i="52"/>
  <c r="C92" i="52"/>
  <c r="C292" i="52"/>
  <c r="B1259" i="74"/>
  <c r="J68" i="12" l="1"/>
  <c r="J287" i="12"/>
  <c r="J181" i="12"/>
  <c r="J219" i="12"/>
  <c r="J301" i="12" l="1"/>
  <c r="J300" i="12"/>
  <c r="J299" i="12"/>
  <c r="J298" i="12"/>
  <c r="J297" i="12"/>
  <c r="J296" i="12"/>
  <c r="J295" i="12"/>
  <c r="J294" i="12"/>
  <c r="J293" i="12"/>
  <c r="J292" i="12"/>
  <c r="J291" i="12"/>
  <c r="J290" i="12"/>
  <c r="J289" i="12"/>
  <c r="J288" i="12"/>
  <c r="J286" i="12"/>
  <c r="J285" i="12"/>
  <c r="J284" i="12"/>
  <c r="J283" i="12"/>
  <c r="J282" i="12"/>
  <c r="J281" i="12"/>
  <c r="J280" i="12"/>
  <c r="J279" i="12"/>
  <c r="J278" i="12"/>
  <c r="J277" i="12"/>
  <c r="J276" i="12"/>
  <c r="J275" i="12"/>
  <c r="J274" i="12"/>
  <c r="J273" i="12"/>
  <c r="J272" i="12"/>
  <c r="J271" i="12"/>
  <c r="J270" i="12"/>
  <c r="J269" i="12"/>
  <c r="J268" i="12"/>
  <c r="J267" i="12"/>
  <c r="J266" i="12"/>
  <c r="J265" i="12"/>
  <c r="J264" i="12"/>
  <c r="J263" i="12"/>
  <c r="J262" i="12"/>
  <c r="J261" i="12"/>
  <c r="J260" i="12"/>
  <c r="J259" i="12"/>
  <c r="J258" i="12"/>
  <c r="J257" i="12"/>
  <c r="J256" i="12"/>
  <c r="J255" i="12"/>
  <c r="J254" i="12"/>
  <c r="J253" i="12"/>
  <c r="J252" i="12"/>
  <c r="J251" i="12"/>
  <c r="J250" i="12"/>
  <c r="J249" i="12"/>
  <c r="J248" i="12"/>
  <c r="J247" i="12"/>
  <c r="J246" i="12"/>
  <c r="J245" i="12"/>
  <c r="J244" i="12"/>
  <c r="J243" i="12"/>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8" i="12"/>
  <c r="J217"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0" i="12"/>
  <c r="J179" i="12"/>
  <c r="J178" i="12"/>
  <c r="J177" i="12"/>
  <c r="J176" i="12"/>
  <c r="J175" i="12"/>
  <c r="J174" i="12"/>
  <c r="J173" i="12"/>
  <c r="J172" i="12"/>
  <c r="J171" i="12"/>
  <c r="J170" i="12"/>
  <c r="J169" i="12"/>
  <c r="J168" i="12"/>
  <c r="J167" i="12"/>
  <c r="J166" i="12"/>
  <c r="J165" i="12"/>
  <c r="J164" i="12"/>
  <c r="J163" i="12"/>
  <c r="J162" i="12"/>
  <c r="J161" i="12"/>
  <c r="J160" i="12"/>
  <c r="J159" i="12"/>
  <c r="J158" i="12"/>
  <c r="J157" i="12"/>
  <c r="J156" i="12"/>
  <c r="J155" i="12"/>
  <c r="J154" i="12"/>
  <c r="J153" i="12"/>
  <c r="J152" i="12"/>
  <c r="J151" i="12"/>
  <c r="J150" i="12"/>
  <c r="J149" i="12"/>
  <c r="J148" i="12"/>
  <c r="J147" i="12"/>
  <c r="J146" i="12"/>
  <c r="J145" i="12"/>
  <c r="J144" i="12"/>
  <c r="J143" i="12"/>
  <c r="J142" i="12"/>
  <c r="J141" i="12"/>
  <c r="J140" i="12"/>
  <c r="J139" i="12"/>
  <c r="J138" i="12"/>
  <c r="J137" i="12"/>
  <c r="J136" i="12"/>
  <c r="J135" i="12"/>
  <c r="J134" i="12"/>
  <c r="J133" i="12"/>
  <c r="J132" i="12"/>
  <c r="J131" i="12"/>
  <c r="J130" i="12"/>
  <c r="J129" i="12"/>
  <c r="J128" i="12"/>
  <c r="J127" i="12"/>
  <c r="J126" i="12"/>
  <c r="J125" i="12"/>
  <c r="J124" i="12"/>
  <c r="J123" i="12"/>
  <c r="J122" i="12"/>
  <c r="J121" i="12"/>
  <c r="J120" i="12"/>
  <c r="J119" i="12"/>
  <c r="J118" i="12"/>
  <c r="J117"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J7" i="12"/>
  <c r="J6" i="12"/>
  <c r="B612" i="74" l="1"/>
  <c r="Q203" i="1" l="1"/>
  <c r="M203" i="1" l="1"/>
  <c r="N66" i="23"/>
  <c r="B597" i="74" s="1"/>
  <c r="N62" i="23"/>
  <c r="B587" i="74" l="1"/>
  <c r="B355" i="74" l="1"/>
  <c r="B236" i="74"/>
  <c r="B127" i="74" l="1"/>
  <c r="B126" i="74"/>
  <c r="B125" i="74"/>
  <c r="B124" i="74" l="1"/>
  <c r="W203" i="1"/>
  <c r="M157" i="6"/>
  <c r="J20" i="23"/>
  <c r="B373" i="74" l="1"/>
  <c r="AB157" i="6"/>
  <c r="AF157" i="6" s="1"/>
  <c r="B642" i="74"/>
  <c r="B254" i="74" l="1"/>
  <c r="E39" i="24"/>
  <c r="M72" i="6"/>
  <c r="AB72" i="6" s="1"/>
  <c r="AF72" i="6" s="1"/>
  <c r="B304" i="74" l="1"/>
  <c r="L1" i="52"/>
  <c r="L314" i="52" s="1"/>
  <c r="B185" i="74" l="1"/>
  <c r="E26" i="24"/>
  <c r="K16" i="1"/>
  <c r="K42" i="1" l="1"/>
  <c r="J7" i="23"/>
  <c r="H48" i="23"/>
  <c r="J50" i="23" s="1"/>
  <c r="H27" i="23"/>
  <c r="X55" i="1"/>
  <c r="D25" i="24"/>
  <c r="X206" i="1"/>
  <c r="AG134" i="6"/>
  <c r="AG132" i="6"/>
  <c r="AG130" i="6"/>
  <c r="O253" i="1"/>
  <c r="K122" i="22"/>
  <c r="L66" i="23"/>
  <c r="D53" i="30"/>
  <c r="D49" i="30"/>
  <c r="D52" i="30"/>
  <c r="G52" i="30" s="1"/>
  <c r="D48" i="30"/>
  <c r="G48" i="30" s="1"/>
  <c r="D51" i="30"/>
  <c r="D50" i="30"/>
  <c r="D42" i="30"/>
  <c r="D27" i="24"/>
  <c r="D35" i="30"/>
  <c r="D38" i="24"/>
  <c r="D39" i="24"/>
  <c r="D34" i="30"/>
  <c r="B624" i="74"/>
  <c r="B626" i="74"/>
  <c r="B625" i="74"/>
  <c r="B10" i="74"/>
  <c r="B11" i="74"/>
  <c r="B12" i="74"/>
  <c r="D23" i="30"/>
  <c r="M94" i="1"/>
  <c r="M180" i="1" s="1"/>
  <c r="H66" i="23"/>
  <c r="B594" i="74" s="1"/>
  <c r="B622" i="74"/>
  <c r="B621" i="74"/>
  <c r="H62" i="23"/>
  <c r="B584" i="74" s="1"/>
  <c r="B620" i="74"/>
  <c r="B619" i="74"/>
  <c r="B618" i="74"/>
  <c r="B614" i="74"/>
  <c r="B615" i="74"/>
  <c r="B617" i="74"/>
  <c r="U253" i="1"/>
  <c r="W253" i="1"/>
  <c r="B629" i="74" s="1"/>
  <c r="V253" i="1"/>
  <c r="X203" i="1"/>
  <c r="H61" i="23"/>
  <c r="J62" i="23"/>
  <c r="B585" i="74" s="1"/>
  <c r="R48" i="23"/>
  <c r="J66" i="23"/>
  <c r="B595" i="74" s="1"/>
  <c r="L62" i="23"/>
  <c r="D32" i="30"/>
  <c r="D31" i="30"/>
  <c r="D30" i="30"/>
  <c r="R27" i="23"/>
  <c r="T253" i="1"/>
  <c r="S253" i="1"/>
  <c r="R253" i="1"/>
  <c r="M253" i="1"/>
  <c r="Q253" i="1"/>
  <c r="P253" i="1"/>
  <c r="D40" i="30"/>
  <c r="D33" i="30"/>
  <c r="D29" i="30"/>
  <c r="D48" i="24"/>
  <c r="D37" i="24"/>
  <c r="D34" i="24"/>
  <c r="D23" i="24"/>
  <c r="D25" i="30"/>
  <c r="D45" i="30"/>
  <c r="D39" i="30"/>
  <c r="D28" i="30"/>
  <c r="D22" i="30"/>
  <c r="D44" i="24"/>
  <c r="D36" i="24"/>
  <c r="D33" i="24"/>
  <c r="D26" i="24"/>
  <c r="S37" i="41"/>
  <c r="D21" i="30"/>
  <c r="D41" i="24"/>
  <c r="D35" i="24"/>
  <c r="D32" i="24"/>
  <c r="D22" i="24"/>
  <c r="D41" i="30"/>
  <c r="D24" i="30"/>
  <c r="D20" i="30"/>
  <c r="D28" i="24"/>
  <c r="D24" i="24"/>
  <c r="D19" i="24"/>
  <c r="D38" i="30"/>
  <c r="H49" i="23" l="1"/>
  <c r="C38" i="6"/>
  <c r="C8" i="41"/>
  <c r="V41" i="6"/>
  <c r="C12" i="6"/>
  <c r="J41" i="6"/>
  <c r="H52" i="30"/>
  <c r="B1300" i="74"/>
  <c r="J12" i="41"/>
  <c r="H48" i="30"/>
  <c r="B1296" i="74"/>
  <c r="G50" i="30"/>
  <c r="B1298" i="74" s="1"/>
  <c r="G49" i="30"/>
  <c r="G51" i="30"/>
  <c r="G53" i="30"/>
  <c r="V16" i="6"/>
  <c r="J33" i="41"/>
  <c r="J16" i="6"/>
  <c r="G39" i="24"/>
  <c r="B1208" i="74" s="1"/>
  <c r="G35" i="30"/>
  <c r="B1289" i="74" s="1"/>
  <c r="B627" i="74"/>
  <c r="N64" i="23"/>
  <c r="G23" i="30"/>
  <c r="B1279" i="74" s="1"/>
  <c r="Q48" i="23"/>
  <c r="C74" i="23" s="1"/>
  <c r="B586" i="74"/>
  <c r="F62" i="23"/>
  <c r="F66" i="23"/>
  <c r="B596" i="74"/>
  <c r="Q27" i="23"/>
  <c r="C73" i="23" s="1"/>
  <c r="H50" i="30" l="1"/>
  <c r="B1324" i="74" s="1"/>
  <c r="H51" i="30"/>
  <c r="B1325" i="74" s="1"/>
  <c r="B1299" i="74"/>
  <c r="H49" i="30"/>
  <c r="B1297" i="74"/>
  <c r="M48" i="30"/>
  <c r="B1349" i="74" s="1"/>
  <c r="B1322" i="74"/>
  <c r="H53" i="30"/>
  <c r="B1301" i="74"/>
  <c r="M52" i="30"/>
  <c r="B1353" i="74" s="1"/>
  <c r="B1326" i="74"/>
  <c r="H35" i="30"/>
  <c r="B1315" i="74" s="1"/>
  <c r="H39" i="24"/>
  <c r="M39" i="24" s="1"/>
  <c r="H23" i="30"/>
  <c r="M23" i="30" s="1"/>
  <c r="B1332" i="74" s="1"/>
  <c r="Q66" i="23"/>
  <c r="B593" i="74"/>
  <c r="B592" i="74"/>
  <c r="F64" i="23"/>
  <c r="L64" i="23"/>
  <c r="H64" i="23"/>
  <c r="J64" i="23"/>
  <c r="B583" i="74"/>
  <c r="Q62" i="23"/>
  <c r="M50" i="30" l="1"/>
  <c r="B1351" i="74" s="1"/>
  <c r="M51" i="30"/>
  <c r="B1352" i="74" s="1"/>
  <c r="M53" i="30"/>
  <c r="B1327" i="74"/>
  <c r="M49" i="30"/>
  <c r="B1350" i="74" s="1"/>
  <c r="B1323" i="74"/>
  <c r="M35" i="30"/>
  <c r="Y35" i="30" s="1"/>
  <c r="B1249" i="74"/>
  <c r="B1229" i="74"/>
  <c r="B1305" i="74"/>
  <c r="B590" i="74"/>
  <c r="B589" i="74"/>
  <c r="B591" i="74"/>
  <c r="B588" i="74"/>
  <c r="Q64" i="23"/>
  <c r="H79" i="22"/>
  <c r="F85" i="22" s="1"/>
  <c r="H35" i="22"/>
  <c r="K72" i="22" s="1"/>
  <c r="B630" i="74" s="1"/>
  <c r="I6" i="51"/>
  <c r="B1354" i="74" l="1"/>
  <c r="B1342" i="74"/>
  <c r="AF18" i="6" l="1"/>
  <c r="B270" i="74"/>
  <c r="I18" i="22"/>
  <c r="I91" i="22" s="1"/>
  <c r="AA60" i="51"/>
  <c r="M151" i="6"/>
  <c r="AB151" i="6" s="1"/>
  <c r="B248" i="74" l="1"/>
  <c r="B367" i="74"/>
  <c r="B151" i="74"/>
  <c r="E19" i="24"/>
  <c r="E22" i="30"/>
  <c r="G99" i="6" l="1"/>
  <c r="B324" i="74" l="1"/>
  <c r="B205" i="74"/>
  <c r="K1" i="52"/>
  <c r="B611" i="74" l="1"/>
  <c r="AC26" i="24" l="1"/>
  <c r="AC25" i="24"/>
  <c r="B1254" i="74" l="1"/>
  <c r="B661" i="74" l="1"/>
  <c r="B356" i="74" l="1"/>
  <c r="B237" i="74"/>
  <c r="M115" i="6"/>
  <c r="AB115" i="6" s="1"/>
  <c r="AF115" i="6" s="1"/>
  <c r="B336" i="74" l="1"/>
  <c r="J281" i="90"/>
  <c r="K281" i="90"/>
  <c r="K174" i="90"/>
  <c r="J174" i="90"/>
  <c r="I287" i="52"/>
  <c r="J287" i="52" s="1"/>
  <c r="K287" i="52" s="1"/>
  <c r="L287" i="52" s="1"/>
  <c r="B287" i="52"/>
  <c r="B439" i="52"/>
  <c r="B217" i="74" l="1"/>
  <c r="E33" i="24"/>
  <c r="C287" i="52"/>
  <c r="G281" i="90"/>
  <c r="I281" i="90" s="1"/>
  <c r="F281" i="90"/>
  <c r="H281" i="90" s="1"/>
  <c r="C439" i="52"/>
  <c r="G58" i="6"/>
  <c r="J1" i="52" l="1"/>
  <c r="J92" i="52" s="1"/>
  <c r="K92" i="52" s="1"/>
  <c r="L92" i="52" s="1"/>
  <c r="J5" i="90" l="1"/>
  <c r="J6" i="90"/>
  <c r="J7" i="90"/>
  <c r="J8" i="90"/>
  <c r="J9" i="90"/>
  <c r="J10" i="90"/>
  <c r="J11" i="90"/>
  <c r="J12" i="90"/>
  <c r="J13" i="90"/>
  <c r="J14" i="90"/>
  <c r="J15" i="90"/>
  <c r="J16" i="90"/>
  <c r="J17" i="90"/>
  <c r="J18" i="90"/>
  <c r="J19" i="90"/>
  <c r="J20" i="90"/>
  <c r="J21" i="90"/>
  <c r="J22" i="90"/>
  <c r="J23" i="90"/>
  <c r="J24" i="90"/>
  <c r="J25" i="90"/>
  <c r="J26" i="90"/>
  <c r="J27" i="90"/>
  <c r="J28" i="90"/>
  <c r="J29" i="90"/>
  <c r="J30" i="90"/>
  <c r="J31" i="90"/>
  <c r="J32" i="90"/>
  <c r="J33" i="90"/>
  <c r="J34" i="90"/>
  <c r="J35" i="90"/>
  <c r="J36" i="90"/>
  <c r="J37" i="90"/>
  <c r="J38" i="90"/>
  <c r="J39" i="90"/>
  <c r="J40" i="90"/>
  <c r="J41" i="90"/>
  <c r="J42" i="90"/>
  <c r="J43" i="90"/>
  <c r="J44" i="90"/>
  <c r="J45" i="90"/>
  <c r="J46" i="90"/>
  <c r="J47" i="90"/>
  <c r="J48" i="90"/>
  <c r="J49" i="90"/>
  <c r="J50" i="90"/>
  <c r="J51" i="90"/>
  <c r="J52" i="90"/>
  <c r="J53" i="90"/>
  <c r="J54" i="90"/>
  <c r="J55" i="90"/>
  <c r="J56" i="90"/>
  <c r="J57" i="90"/>
  <c r="J58" i="90"/>
  <c r="J59" i="90"/>
  <c r="J60" i="90"/>
  <c r="J61" i="90"/>
  <c r="J62" i="90"/>
  <c r="J63" i="90"/>
  <c r="J64" i="90"/>
  <c r="J65" i="90"/>
  <c r="J67" i="90"/>
  <c r="J68" i="90"/>
  <c r="J69" i="90"/>
  <c r="J70" i="90"/>
  <c r="J71" i="90"/>
  <c r="J72" i="90"/>
  <c r="J73" i="90"/>
  <c r="J74" i="90"/>
  <c r="J75" i="90"/>
  <c r="J76" i="90"/>
  <c r="J77" i="90"/>
  <c r="J78" i="90"/>
  <c r="J79" i="90"/>
  <c r="J80" i="90"/>
  <c r="J81" i="90"/>
  <c r="J82" i="90"/>
  <c r="J83" i="90"/>
  <c r="J84" i="90"/>
  <c r="J85" i="90"/>
  <c r="J86" i="90"/>
  <c r="J87" i="90"/>
  <c r="J88" i="90"/>
  <c r="J89" i="90"/>
  <c r="J90" i="90"/>
  <c r="J91" i="90"/>
  <c r="J92" i="90"/>
  <c r="J93" i="90"/>
  <c r="J94" i="90"/>
  <c r="J95" i="90"/>
  <c r="J96" i="90"/>
  <c r="J97" i="90"/>
  <c r="J98" i="90"/>
  <c r="J99" i="90"/>
  <c r="J100" i="90"/>
  <c r="J101" i="90"/>
  <c r="J102" i="90"/>
  <c r="J103" i="90"/>
  <c r="J104" i="90"/>
  <c r="J105" i="90"/>
  <c r="J106" i="90"/>
  <c r="J107" i="90"/>
  <c r="J108" i="90"/>
  <c r="J109" i="90"/>
  <c r="J110" i="90"/>
  <c r="J111" i="90"/>
  <c r="J112" i="90"/>
  <c r="J113" i="90"/>
  <c r="J114" i="90"/>
  <c r="J115" i="90"/>
  <c r="J116" i="90"/>
  <c r="J117" i="90"/>
  <c r="J118" i="90"/>
  <c r="J119" i="90"/>
  <c r="J120" i="90"/>
  <c r="J121" i="90"/>
  <c r="J122" i="90"/>
  <c r="J123" i="90"/>
  <c r="J124" i="90"/>
  <c r="J125" i="90"/>
  <c r="J126" i="90"/>
  <c r="J127" i="90"/>
  <c r="J128" i="90"/>
  <c r="J129" i="90"/>
  <c r="J130" i="90"/>
  <c r="J131" i="90"/>
  <c r="J132" i="90"/>
  <c r="J133" i="90"/>
  <c r="J134" i="90"/>
  <c r="J135" i="90"/>
  <c r="J136" i="90"/>
  <c r="J137" i="90"/>
  <c r="J138" i="90"/>
  <c r="J139" i="90"/>
  <c r="J140" i="90"/>
  <c r="J141" i="90"/>
  <c r="J142" i="90"/>
  <c r="J143" i="90"/>
  <c r="J144" i="90"/>
  <c r="J145" i="90"/>
  <c r="J146" i="90"/>
  <c r="J147" i="90"/>
  <c r="J148" i="90"/>
  <c r="J149" i="90"/>
  <c r="J150" i="90"/>
  <c r="J151" i="90"/>
  <c r="J152" i="90"/>
  <c r="J153" i="90"/>
  <c r="J154" i="90"/>
  <c r="J155" i="90"/>
  <c r="J156" i="90"/>
  <c r="J157" i="90"/>
  <c r="J158" i="90"/>
  <c r="J159" i="90"/>
  <c r="J160" i="90"/>
  <c r="J161" i="90"/>
  <c r="J162" i="90"/>
  <c r="J163" i="90"/>
  <c r="J164" i="90"/>
  <c r="J165" i="90"/>
  <c r="J166" i="90"/>
  <c r="J167" i="90"/>
  <c r="J168" i="90"/>
  <c r="J169" i="90"/>
  <c r="J170" i="90"/>
  <c r="J171" i="90"/>
  <c r="J172" i="90"/>
  <c r="J173" i="90"/>
  <c r="J175" i="90"/>
  <c r="J176" i="90"/>
  <c r="J177" i="90"/>
  <c r="J178" i="90"/>
  <c r="J180" i="90"/>
  <c r="J181" i="90"/>
  <c r="J182" i="90"/>
  <c r="J183" i="90"/>
  <c r="J184" i="90"/>
  <c r="J185" i="90"/>
  <c r="J186" i="90"/>
  <c r="J187" i="90"/>
  <c r="J188" i="90"/>
  <c r="J189" i="90"/>
  <c r="J190" i="90"/>
  <c r="J191" i="90"/>
  <c r="J192" i="90"/>
  <c r="J193" i="90"/>
  <c r="J194" i="90"/>
  <c r="J195" i="90"/>
  <c r="J196" i="90"/>
  <c r="J197" i="90"/>
  <c r="J198" i="90"/>
  <c r="J199" i="90"/>
  <c r="J200" i="90"/>
  <c r="J201" i="90"/>
  <c r="J202" i="90"/>
  <c r="J203" i="90"/>
  <c r="J204" i="90"/>
  <c r="J205" i="90"/>
  <c r="J206" i="90"/>
  <c r="J207" i="90"/>
  <c r="J208" i="90"/>
  <c r="J209" i="90"/>
  <c r="J210" i="90"/>
  <c r="J211" i="90"/>
  <c r="J212" i="90"/>
  <c r="J213" i="90"/>
  <c r="J214" i="90"/>
  <c r="J215" i="90"/>
  <c r="J216" i="90"/>
  <c r="J218" i="90"/>
  <c r="J219" i="90"/>
  <c r="J220" i="90"/>
  <c r="J221" i="90"/>
  <c r="J222" i="90"/>
  <c r="J223" i="90"/>
  <c r="J224" i="90"/>
  <c r="J225" i="90"/>
  <c r="J226" i="90"/>
  <c r="J227" i="90"/>
  <c r="J228" i="90"/>
  <c r="J229" i="90"/>
  <c r="J230" i="90"/>
  <c r="J231" i="90"/>
  <c r="J232" i="90"/>
  <c r="J233" i="90"/>
  <c r="J234" i="90"/>
  <c r="J235" i="90"/>
  <c r="J236" i="90"/>
  <c r="J237" i="90"/>
  <c r="J238" i="90"/>
  <c r="J239" i="90"/>
  <c r="J240" i="90"/>
  <c r="J241" i="90"/>
  <c r="J242" i="90"/>
  <c r="J243" i="90"/>
  <c r="J244" i="90"/>
  <c r="J245" i="90"/>
  <c r="J246" i="90"/>
  <c r="J247" i="90"/>
  <c r="J248" i="90"/>
  <c r="J249" i="90"/>
  <c r="J250" i="90"/>
  <c r="J251" i="90"/>
  <c r="J252" i="90"/>
  <c r="J253" i="90"/>
  <c r="J254" i="90"/>
  <c r="J255" i="90"/>
  <c r="J256" i="90"/>
  <c r="J257" i="90"/>
  <c r="J258" i="90"/>
  <c r="J259" i="90"/>
  <c r="J260" i="90"/>
  <c r="J261" i="90"/>
  <c r="J262" i="90"/>
  <c r="J263" i="90"/>
  <c r="J264" i="90"/>
  <c r="J265" i="90"/>
  <c r="J266" i="90"/>
  <c r="J267" i="90"/>
  <c r="J268" i="90"/>
  <c r="J269" i="90"/>
  <c r="J270" i="90"/>
  <c r="J271" i="90"/>
  <c r="J272" i="90"/>
  <c r="J273" i="90"/>
  <c r="J274" i="90"/>
  <c r="J275" i="90"/>
  <c r="J276" i="90"/>
  <c r="J277" i="90"/>
  <c r="J278" i="90"/>
  <c r="J279" i="90"/>
  <c r="J280" i="90"/>
  <c r="J282" i="90"/>
  <c r="J283" i="90"/>
  <c r="J284" i="90"/>
  <c r="J286" i="90"/>
  <c r="J287" i="90"/>
  <c r="J288" i="90"/>
  <c r="J289" i="90"/>
  <c r="J290" i="90"/>
  <c r="J291" i="90"/>
  <c r="J292" i="90"/>
  <c r="J293" i="90"/>
  <c r="J294" i="90"/>
  <c r="J295" i="90"/>
  <c r="J296" i="90"/>
  <c r="J297" i="90"/>
  <c r="J298" i="90"/>
  <c r="J299" i="90"/>
  <c r="J4" i="90"/>
  <c r="K5" i="90"/>
  <c r="K6" i="90"/>
  <c r="K7" i="90"/>
  <c r="K8" i="90"/>
  <c r="K9" i="90"/>
  <c r="K10" i="90"/>
  <c r="K11" i="90"/>
  <c r="K12" i="90"/>
  <c r="K13" i="90"/>
  <c r="K14" i="90"/>
  <c r="K15" i="90"/>
  <c r="K16" i="90"/>
  <c r="K17" i="90"/>
  <c r="K18" i="90"/>
  <c r="K19" i="90"/>
  <c r="K20" i="90"/>
  <c r="K21" i="90"/>
  <c r="K22" i="90"/>
  <c r="K23" i="90"/>
  <c r="K24" i="90"/>
  <c r="K25" i="90"/>
  <c r="K26" i="90"/>
  <c r="K27" i="90"/>
  <c r="K28" i="90"/>
  <c r="K29" i="90"/>
  <c r="K30" i="90"/>
  <c r="K31" i="90"/>
  <c r="K32" i="90"/>
  <c r="K33" i="90"/>
  <c r="K34" i="90"/>
  <c r="K35" i="90"/>
  <c r="K36" i="90"/>
  <c r="K37" i="90"/>
  <c r="K38" i="90"/>
  <c r="K39" i="90"/>
  <c r="K40" i="90"/>
  <c r="K41" i="90"/>
  <c r="K42" i="90"/>
  <c r="K43" i="90"/>
  <c r="K44" i="90"/>
  <c r="K45" i="90"/>
  <c r="K46" i="90"/>
  <c r="K47" i="90"/>
  <c r="K48" i="90"/>
  <c r="K49" i="90"/>
  <c r="K50" i="90"/>
  <c r="K51" i="90"/>
  <c r="K52" i="90"/>
  <c r="K53" i="90"/>
  <c r="K54" i="90"/>
  <c r="K55" i="90"/>
  <c r="K56" i="90"/>
  <c r="K57" i="90"/>
  <c r="K58" i="90"/>
  <c r="K59" i="90"/>
  <c r="K60" i="90"/>
  <c r="K61" i="90"/>
  <c r="K62" i="90"/>
  <c r="K63" i="90"/>
  <c r="K64" i="90"/>
  <c r="K65" i="90"/>
  <c r="K67" i="90"/>
  <c r="K68" i="90"/>
  <c r="K69" i="90"/>
  <c r="K70" i="90"/>
  <c r="K71" i="90"/>
  <c r="K72" i="90"/>
  <c r="K73" i="90"/>
  <c r="K74" i="90"/>
  <c r="K75" i="90"/>
  <c r="K76" i="90"/>
  <c r="K77" i="90"/>
  <c r="K78" i="90"/>
  <c r="K79" i="90"/>
  <c r="K80" i="90"/>
  <c r="K81" i="90"/>
  <c r="K82" i="90"/>
  <c r="K83" i="90"/>
  <c r="K84" i="90"/>
  <c r="K85" i="90"/>
  <c r="K86" i="90"/>
  <c r="K87" i="90"/>
  <c r="K88" i="90"/>
  <c r="K89" i="90"/>
  <c r="K90" i="90"/>
  <c r="K91" i="90"/>
  <c r="K92" i="90"/>
  <c r="K93" i="90"/>
  <c r="K94" i="90"/>
  <c r="K95" i="90"/>
  <c r="K96" i="90"/>
  <c r="K97" i="90"/>
  <c r="K98" i="90"/>
  <c r="K99" i="90"/>
  <c r="K100" i="90"/>
  <c r="K101" i="90"/>
  <c r="K102" i="90"/>
  <c r="K103" i="90"/>
  <c r="K104" i="90"/>
  <c r="K105" i="90"/>
  <c r="K106" i="90"/>
  <c r="K107" i="90"/>
  <c r="K108" i="90"/>
  <c r="K109" i="90"/>
  <c r="K110" i="90"/>
  <c r="K111" i="90"/>
  <c r="K112" i="90"/>
  <c r="K113" i="90"/>
  <c r="K114" i="90"/>
  <c r="K115" i="90"/>
  <c r="K116" i="90"/>
  <c r="K117" i="90"/>
  <c r="K118" i="90"/>
  <c r="K119" i="90"/>
  <c r="K120" i="90"/>
  <c r="K121" i="90"/>
  <c r="K122" i="90"/>
  <c r="K123" i="90"/>
  <c r="K124" i="90"/>
  <c r="K125" i="90"/>
  <c r="K126" i="90"/>
  <c r="K127" i="90"/>
  <c r="K128" i="90"/>
  <c r="K129" i="90"/>
  <c r="K130" i="90"/>
  <c r="K131" i="90"/>
  <c r="K132" i="90"/>
  <c r="K133" i="90"/>
  <c r="K134" i="90"/>
  <c r="K135" i="90"/>
  <c r="K136" i="90"/>
  <c r="K137" i="90"/>
  <c r="K138" i="90"/>
  <c r="K139" i="90"/>
  <c r="K140" i="90"/>
  <c r="K141" i="90"/>
  <c r="K142" i="90"/>
  <c r="K143" i="90"/>
  <c r="K144" i="90"/>
  <c r="K145" i="90"/>
  <c r="K146" i="90"/>
  <c r="K147" i="90"/>
  <c r="K148" i="90"/>
  <c r="K149" i="90"/>
  <c r="K150" i="90"/>
  <c r="K151" i="90"/>
  <c r="K152" i="90"/>
  <c r="K153" i="90"/>
  <c r="K154" i="90"/>
  <c r="K155" i="90"/>
  <c r="K156" i="90"/>
  <c r="K157" i="90"/>
  <c r="K158" i="90"/>
  <c r="K159" i="90"/>
  <c r="K160" i="90"/>
  <c r="K161" i="90"/>
  <c r="K162" i="90"/>
  <c r="K163" i="90"/>
  <c r="K164" i="90"/>
  <c r="K165" i="90"/>
  <c r="K166" i="90"/>
  <c r="K167" i="90"/>
  <c r="K168" i="90"/>
  <c r="K169" i="90"/>
  <c r="K170" i="90"/>
  <c r="K171" i="90"/>
  <c r="K172" i="90"/>
  <c r="K173" i="90"/>
  <c r="K175" i="90"/>
  <c r="K176" i="90"/>
  <c r="K177" i="90"/>
  <c r="K178" i="90"/>
  <c r="K180" i="90"/>
  <c r="K181" i="90"/>
  <c r="K182" i="90"/>
  <c r="K183" i="90"/>
  <c r="K184" i="90"/>
  <c r="K185" i="90"/>
  <c r="K186" i="90"/>
  <c r="K187" i="90"/>
  <c r="K188" i="90"/>
  <c r="K189" i="90"/>
  <c r="K190" i="90"/>
  <c r="K191" i="90"/>
  <c r="K192" i="90"/>
  <c r="K193" i="90"/>
  <c r="K194" i="90"/>
  <c r="K195" i="90"/>
  <c r="K196" i="90"/>
  <c r="K197" i="90"/>
  <c r="K198" i="90"/>
  <c r="K199" i="90"/>
  <c r="K200" i="90"/>
  <c r="K201" i="90"/>
  <c r="K202" i="90"/>
  <c r="K203" i="90"/>
  <c r="K204" i="90"/>
  <c r="K205" i="90"/>
  <c r="K206" i="90"/>
  <c r="K207" i="90"/>
  <c r="K208" i="90"/>
  <c r="K209" i="90"/>
  <c r="K210" i="90"/>
  <c r="K211" i="90"/>
  <c r="K212" i="90"/>
  <c r="K213" i="90"/>
  <c r="K214" i="90"/>
  <c r="K215" i="90"/>
  <c r="K216" i="90"/>
  <c r="K218" i="90"/>
  <c r="K219" i="90"/>
  <c r="K220" i="90"/>
  <c r="K221" i="90"/>
  <c r="K222" i="90"/>
  <c r="K223" i="90"/>
  <c r="K224" i="90"/>
  <c r="K225" i="90"/>
  <c r="K226" i="90"/>
  <c r="K227" i="90"/>
  <c r="K228" i="90"/>
  <c r="K229" i="90"/>
  <c r="K230" i="90"/>
  <c r="K231" i="90"/>
  <c r="K232" i="90"/>
  <c r="K233" i="90"/>
  <c r="K234" i="90"/>
  <c r="K235" i="90"/>
  <c r="K236" i="90"/>
  <c r="K237" i="90"/>
  <c r="K238" i="90"/>
  <c r="K239" i="90"/>
  <c r="K240" i="90"/>
  <c r="K241" i="90"/>
  <c r="K242" i="90"/>
  <c r="K243" i="90"/>
  <c r="K244" i="90"/>
  <c r="K245" i="90"/>
  <c r="K246" i="90"/>
  <c r="K247" i="90"/>
  <c r="K248" i="90"/>
  <c r="K249" i="90"/>
  <c r="K250" i="90"/>
  <c r="K251" i="90"/>
  <c r="K252" i="90"/>
  <c r="K253" i="90"/>
  <c r="K254" i="90"/>
  <c r="K255" i="90"/>
  <c r="K256" i="90"/>
  <c r="K257" i="90"/>
  <c r="K258" i="90"/>
  <c r="K259" i="90"/>
  <c r="K260" i="90"/>
  <c r="K261" i="90"/>
  <c r="K262" i="90"/>
  <c r="K263" i="90"/>
  <c r="K264" i="90"/>
  <c r="K265" i="90"/>
  <c r="K266" i="90"/>
  <c r="K267" i="90"/>
  <c r="K268" i="90"/>
  <c r="K269" i="90"/>
  <c r="K270" i="90"/>
  <c r="K271" i="90"/>
  <c r="K272" i="90"/>
  <c r="K273" i="90"/>
  <c r="K274" i="90"/>
  <c r="K275" i="90"/>
  <c r="K276" i="90"/>
  <c r="K277" i="90"/>
  <c r="K278" i="90"/>
  <c r="K279" i="90"/>
  <c r="K280" i="90"/>
  <c r="K282" i="90"/>
  <c r="K283" i="90"/>
  <c r="K284" i="90"/>
  <c r="K286" i="90"/>
  <c r="K287" i="90"/>
  <c r="K288" i="90"/>
  <c r="K289" i="90"/>
  <c r="K290" i="90"/>
  <c r="K291" i="90"/>
  <c r="K292" i="90"/>
  <c r="K293" i="90"/>
  <c r="K294" i="90"/>
  <c r="K295" i="90"/>
  <c r="K296" i="90"/>
  <c r="K297" i="90"/>
  <c r="K298" i="90"/>
  <c r="K299" i="90"/>
  <c r="K4" i="90"/>
  <c r="G169" i="90"/>
  <c r="I169" i="90" s="1"/>
  <c r="G201" i="90"/>
  <c r="I201" i="90" s="1"/>
  <c r="G247" i="90"/>
  <c r="I247" i="90" s="1"/>
  <c r="G268" i="90"/>
  <c r="I268" i="90" s="1"/>
  <c r="F5" i="90"/>
  <c r="H5" i="90" s="1"/>
  <c r="F6" i="90"/>
  <c r="H6" i="90" s="1"/>
  <c r="F7" i="90"/>
  <c r="H7" i="90" s="1"/>
  <c r="F8" i="90"/>
  <c r="H8" i="90" s="1"/>
  <c r="F9" i="90"/>
  <c r="H9" i="90" s="1"/>
  <c r="F10" i="90"/>
  <c r="H10" i="90" s="1"/>
  <c r="F11" i="90"/>
  <c r="H11" i="90" s="1"/>
  <c r="F12" i="90"/>
  <c r="H12" i="90" s="1"/>
  <c r="F13" i="90"/>
  <c r="H13" i="90" s="1"/>
  <c r="F14" i="90"/>
  <c r="H14" i="90" s="1"/>
  <c r="F15" i="90"/>
  <c r="H15" i="90" s="1"/>
  <c r="F16" i="90"/>
  <c r="H16" i="90" s="1"/>
  <c r="F17" i="90"/>
  <c r="H17" i="90" s="1"/>
  <c r="F18" i="90"/>
  <c r="H18" i="90" s="1"/>
  <c r="F19" i="90"/>
  <c r="H19" i="90" s="1"/>
  <c r="F20" i="90"/>
  <c r="H20" i="90" s="1"/>
  <c r="F21" i="90"/>
  <c r="H21" i="90" s="1"/>
  <c r="F22" i="90"/>
  <c r="H22" i="90" s="1"/>
  <c r="F23" i="90"/>
  <c r="H23" i="90" s="1"/>
  <c r="F24" i="90"/>
  <c r="H24" i="90" s="1"/>
  <c r="F25" i="90"/>
  <c r="H25" i="90" s="1"/>
  <c r="F26" i="90"/>
  <c r="H26" i="90" s="1"/>
  <c r="F27" i="90"/>
  <c r="H27" i="90" s="1"/>
  <c r="F28" i="90"/>
  <c r="H28" i="90" s="1"/>
  <c r="F29" i="90"/>
  <c r="H29" i="90" s="1"/>
  <c r="F30" i="90"/>
  <c r="H30" i="90" s="1"/>
  <c r="F31" i="90"/>
  <c r="H31" i="90" s="1"/>
  <c r="F32" i="90"/>
  <c r="H32" i="90" s="1"/>
  <c r="F33" i="90"/>
  <c r="H33" i="90" s="1"/>
  <c r="F34" i="90"/>
  <c r="H34" i="90" s="1"/>
  <c r="F35" i="90"/>
  <c r="H35" i="90" s="1"/>
  <c r="F36" i="90"/>
  <c r="H36" i="90" s="1"/>
  <c r="F37" i="90"/>
  <c r="H37" i="90" s="1"/>
  <c r="F38" i="90"/>
  <c r="H38" i="90" s="1"/>
  <c r="F39" i="90"/>
  <c r="H39" i="90" s="1"/>
  <c r="F40" i="90"/>
  <c r="H40" i="90" s="1"/>
  <c r="F41" i="90"/>
  <c r="H41" i="90" s="1"/>
  <c r="F42" i="90"/>
  <c r="H42" i="90" s="1"/>
  <c r="F43" i="90"/>
  <c r="H43" i="90" s="1"/>
  <c r="F44" i="90"/>
  <c r="H44" i="90" s="1"/>
  <c r="F45" i="90"/>
  <c r="H45" i="90" s="1"/>
  <c r="F46" i="90"/>
  <c r="H46" i="90" s="1"/>
  <c r="F47" i="90"/>
  <c r="H47" i="90" s="1"/>
  <c r="F48" i="90"/>
  <c r="H48" i="90" s="1"/>
  <c r="F49" i="90"/>
  <c r="H49" i="90" s="1"/>
  <c r="F50" i="90"/>
  <c r="H50" i="90" s="1"/>
  <c r="F51" i="90"/>
  <c r="H51" i="90" s="1"/>
  <c r="F52" i="90"/>
  <c r="H52" i="90" s="1"/>
  <c r="F53" i="90"/>
  <c r="H53" i="90" s="1"/>
  <c r="F54" i="90"/>
  <c r="H54" i="90" s="1"/>
  <c r="F55" i="90"/>
  <c r="H55" i="90" s="1"/>
  <c r="F56" i="90"/>
  <c r="H56" i="90" s="1"/>
  <c r="F57" i="90"/>
  <c r="H57" i="90" s="1"/>
  <c r="F58" i="90"/>
  <c r="H58" i="90" s="1"/>
  <c r="F59" i="90"/>
  <c r="H59" i="90" s="1"/>
  <c r="F60" i="90"/>
  <c r="H60" i="90" s="1"/>
  <c r="F61" i="90"/>
  <c r="H61" i="90" s="1"/>
  <c r="F62" i="90"/>
  <c r="H62" i="90" s="1"/>
  <c r="F63" i="90"/>
  <c r="H63" i="90" s="1"/>
  <c r="F64" i="90"/>
  <c r="H64" i="90" s="1"/>
  <c r="F65" i="90"/>
  <c r="H65" i="90" s="1"/>
  <c r="F67" i="90"/>
  <c r="H67" i="90" s="1"/>
  <c r="F68" i="90"/>
  <c r="H68" i="90" s="1"/>
  <c r="F69" i="90"/>
  <c r="H69" i="90" s="1"/>
  <c r="F70" i="90"/>
  <c r="H70" i="90" s="1"/>
  <c r="F71" i="90"/>
  <c r="H71" i="90" s="1"/>
  <c r="F72" i="90"/>
  <c r="H72" i="90" s="1"/>
  <c r="F73" i="90"/>
  <c r="H73" i="90" s="1"/>
  <c r="F74" i="90"/>
  <c r="H74" i="90" s="1"/>
  <c r="F75" i="90"/>
  <c r="H75" i="90" s="1"/>
  <c r="F76" i="90"/>
  <c r="H76" i="90" s="1"/>
  <c r="F77" i="90"/>
  <c r="H77" i="90" s="1"/>
  <c r="F78" i="90"/>
  <c r="H78" i="90" s="1"/>
  <c r="F79" i="90"/>
  <c r="H79" i="90" s="1"/>
  <c r="F80" i="90"/>
  <c r="H80" i="90" s="1"/>
  <c r="F81" i="90"/>
  <c r="H81" i="90" s="1"/>
  <c r="F82" i="90"/>
  <c r="H82" i="90" s="1"/>
  <c r="F83" i="90"/>
  <c r="H83" i="90" s="1"/>
  <c r="F84" i="90"/>
  <c r="H84" i="90" s="1"/>
  <c r="F85" i="90"/>
  <c r="H85" i="90" s="1"/>
  <c r="F86" i="90"/>
  <c r="H86" i="90" s="1"/>
  <c r="F87" i="90"/>
  <c r="H87" i="90" s="1"/>
  <c r="F88" i="90"/>
  <c r="H88" i="90" s="1"/>
  <c r="F89" i="90"/>
  <c r="H89" i="90" s="1"/>
  <c r="F90" i="90"/>
  <c r="H90" i="90" s="1"/>
  <c r="F91" i="90"/>
  <c r="H91" i="90" s="1"/>
  <c r="F92" i="90"/>
  <c r="H92" i="90" s="1"/>
  <c r="F93" i="90"/>
  <c r="H93" i="90" s="1"/>
  <c r="F94" i="90"/>
  <c r="H94" i="90" s="1"/>
  <c r="F95" i="90"/>
  <c r="H95" i="90" s="1"/>
  <c r="F96" i="90"/>
  <c r="H96" i="90" s="1"/>
  <c r="F97" i="90"/>
  <c r="H97" i="90" s="1"/>
  <c r="F98" i="90"/>
  <c r="H98" i="90" s="1"/>
  <c r="F99" i="90"/>
  <c r="H99" i="90" s="1"/>
  <c r="F100" i="90"/>
  <c r="H100" i="90" s="1"/>
  <c r="F101" i="90"/>
  <c r="H101" i="90" s="1"/>
  <c r="F102" i="90"/>
  <c r="H102" i="90" s="1"/>
  <c r="F103" i="90"/>
  <c r="H103" i="90" s="1"/>
  <c r="F104" i="90"/>
  <c r="H104" i="90" s="1"/>
  <c r="F105" i="90"/>
  <c r="H105" i="90" s="1"/>
  <c r="F106" i="90"/>
  <c r="H106" i="90" s="1"/>
  <c r="F107" i="90"/>
  <c r="H107" i="90" s="1"/>
  <c r="F108" i="90"/>
  <c r="H108" i="90" s="1"/>
  <c r="F109" i="90"/>
  <c r="H109" i="90" s="1"/>
  <c r="F110" i="90"/>
  <c r="H110" i="90" s="1"/>
  <c r="F111" i="90"/>
  <c r="H111" i="90" s="1"/>
  <c r="F112" i="90"/>
  <c r="H112" i="90" s="1"/>
  <c r="F113" i="90"/>
  <c r="H113" i="90" s="1"/>
  <c r="F114" i="90"/>
  <c r="H114" i="90" s="1"/>
  <c r="F115" i="90"/>
  <c r="H115" i="90" s="1"/>
  <c r="F116" i="90"/>
  <c r="H116" i="90" s="1"/>
  <c r="F117" i="90"/>
  <c r="H117" i="90" s="1"/>
  <c r="F118" i="90"/>
  <c r="H118" i="90" s="1"/>
  <c r="F119" i="90"/>
  <c r="H119" i="90" s="1"/>
  <c r="F120" i="90"/>
  <c r="H120" i="90" s="1"/>
  <c r="F121" i="90"/>
  <c r="H121" i="90" s="1"/>
  <c r="F122" i="90"/>
  <c r="H122" i="90" s="1"/>
  <c r="F123" i="90"/>
  <c r="H123" i="90" s="1"/>
  <c r="F124" i="90"/>
  <c r="H124" i="90" s="1"/>
  <c r="F125" i="90"/>
  <c r="H125" i="90" s="1"/>
  <c r="F126" i="90"/>
  <c r="H126" i="90" s="1"/>
  <c r="F127" i="90"/>
  <c r="H127" i="90" s="1"/>
  <c r="F128" i="90"/>
  <c r="H128" i="90" s="1"/>
  <c r="F129" i="90"/>
  <c r="H129" i="90" s="1"/>
  <c r="F130" i="90"/>
  <c r="H130" i="90" s="1"/>
  <c r="F131" i="90"/>
  <c r="H131" i="90" s="1"/>
  <c r="F132" i="90"/>
  <c r="H132" i="90" s="1"/>
  <c r="F133" i="90"/>
  <c r="H133" i="90" s="1"/>
  <c r="F134" i="90"/>
  <c r="H134" i="90" s="1"/>
  <c r="F135" i="90"/>
  <c r="H135" i="90" s="1"/>
  <c r="F136" i="90"/>
  <c r="H136" i="90" s="1"/>
  <c r="F137" i="90"/>
  <c r="H137" i="90" s="1"/>
  <c r="F138" i="90"/>
  <c r="H138" i="90" s="1"/>
  <c r="F139" i="90"/>
  <c r="H139" i="90" s="1"/>
  <c r="F140" i="90"/>
  <c r="H140" i="90" s="1"/>
  <c r="F141" i="90"/>
  <c r="H141" i="90" s="1"/>
  <c r="F142" i="90"/>
  <c r="H142" i="90" s="1"/>
  <c r="F143" i="90"/>
  <c r="H143" i="90" s="1"/>
  <c r="F144" i="90"/>
  <c r="H144" i="90" s="1"/>
  <c r="F145" i="90"/>
  <c r="H145" i="90" s="1"/>
  <c r="F146" i="90"/>
  <c r="H146" i="90" s="1"/>
  <c r="F147" i="90"/>
  <c r="H147" i="90" s="1"/>
  <c r="F148" i="90"/>
  <c r="H148" i="90" s="1"/>
  <c r="F149" i="90"/>
  <c r="H149" i="90" s="1"/>
  <c r="F150" i="90"/>
  <c r="H150" i="90" s="1"/>
  <c r="F151" i="90"/>
  <c r="H151" i="90" s="1"/>
  <c r="F152" i="90"/>
  <c r="H152" i="90" s="1"/>
  <c r="F153" i="90"/>
  <c r="H153" i="90" s="1"/>
  <c r="F154" i="90"/>
  <c r="H154" i="90" s="1"/>
  <c r="F155" i="90"/>
  <c r="H155" i="90" s="1"/>
  <c r="F156" i="90"/>
  <c r="H156" i="90" s="1"/>
  <c r="F157" i="90"/>
  <c r="H157" i="90" s="1"/>
  <c r="F158" i="90"/>
  <c r="H158" i="90" s="1"/>
  <c r="F159" i="90"/>
  <c r="H159" i="90" s="1"/>
  <c r="F160" i="90"/>
  <c r="H160" i="90" s="1"/>
  <c r="F161" i="90"/>
  <c r="H161" i="90" s="1"/>
  <c r="F162" i="90"/>
  <c r="H162" i="90" s="1"/>
  <c r="F163" i="90"/>
  <c r="H163" i="90" s="1"/>
  <c r="F164" i="90"/>
  <c r="H164" i="90" s="1"/>
  <c r="F165" i="90"/>
  <c r="H165" i="90" s="1"/>
  <c r="F166" i="90"/>
  <c r="H166" i="90" s="1"/>
  <c r="F167" i="90"/>
  <c r="H167" i="90" s="1"/>
  <c r="F168" i="90"/>
  <c r="H168" i="90" s="1"/>
  <c r="F169" i="90"/>
  <c r="H169" i="90" s="1"/>
  <c r="F170" i="90"/>
  <c r="H170" i="90" s="1"/>
  <c r="F171" i="90"/>
  <c r="H171" i="90" s="1"/>
  <c r="F172" i="90"/>
  <c r="H172" i="90" s="1"/>
  <c r="F173" i="90"/>
  <c r="H173" i="90" s="1"/>
  <c r="F175" i="90"/>
  <c r="H175" i="90" s="1"/>
  <c r="F176" i="90"/>
  <c r="H176" i="90" s="1"/>
  <c r="F177" i="90"/>
  <c r="H177" i="90" s="1"/>
  <c r="F178" i="90"/>
  <c r="H178" i="90" s="1"/>
  <c r="F180" i="90"/>
  <c r="H180" i="90" s="1"/>
  <c r="F181" i="90"/>
  <c r="H181" i="90" s="1"/>
  <c r="F182" i="90"/>
  <c r="H182" i="90" s="1"/>
  <c r="F183" i="90"/>
  <c r="H183" i="90" s="1"/>
  <c r="F184" i="90"/>
  <c r="H184" i="90" s="1"/>
  <c r="F185" i="90"/>
  <c r="H185" i="90" s="1"/>
  <c r="F186" i="90"/>
  <c r="H186" i="90" s="1"/>
  <c r="F187" i="90"/>
  <c r="H187" i="90" s="1"/>
  <c r="F188" i="90"/>
  <c r="H188" i="90" s="1"/>
  <c r="F189" i="90"/>
  <c r="H189" i="90" s="1"/>
  <c r="F190" i="90"/>
  <c r="H190" i="90" s="1"/>
  <c r="F191" i="90"/>
  <c r="H191" i="90" s="1"/>
  <c r="F192" i="90"/>
  <c r="H192" i="90" s="1"/>
  <c r="F193" i="90"/>
  <c r="H193" i="90" s="1"/>
  <c r="F194" i="90"/>
  <c r="H194" i="90" s="1"/>
  <c r="F195" i="90"/>
  <c r="H195" i="90" s="1"/>
  <c r="F196" i="90"/>
  <c r="H196" i="90" s="1"/>
  <c r="F197" i="90"/>
  <c r="H197" i="90" s="1"/>
  <c r="F198" i="90"/>
  <c r="H198" i="90" s="1"/>
  <c r="F199" i="90"/>
  <c r="H199" i="90" s="1"/>
  <c r="F200" i="90"/>
  <c r="H200" i="90" s="1"/>
  <c r="F201" i="90"/>
  <c r="H201" i="90" s="1"/>
  <c r="F202" i="90"/>
  <c r="H202" i="90" s="1"/>
  <c r="F203" i="90"/>
  <c r="H203" i="90" s="1"/>
  <c r="F204" i="90"/>
  <c r="H204" i="90" s="1"/>
  <c r="F205" i="90"/>
  <c r="H205" i="90" s="1"/>
  <c r="F206" i="90"/>
  <c r="H206" i="90" s="1"/>
  <c r="F207" i="90"/>
  <c r="H207" i="90" s="1"/>
  <c r="F208" i="90"/>
  <c r="H208" i="90" s="1"/>
  <c r="F209" i="90"/>
  <c r="H209" i="90" s="1"/>
  <c r="F210" i="90"/>
  <c r="H210" i="90" s="1"/>
  <c r="F211" i="90"/>
  <c r="H211" i="90" s="1"/>
  <c r="F212" i="90"/>
  <c r="H212" i="90" s="1"/>
  <c r="F213" i="90"/>
  <c r="H213" i="90" s="1"/>
  <c r="F214" i="90"/>
  <c r="H214" i="90" s="1"/>
  <c r="F215" i="90"/>
  <c r="H215" i="90" s="1"/>
  <c r="F216" i="90"/>
  <c r="H216" i="90" s="1"/>
  <c r="F218" i="90"/>
  <c r="H218" i="90" s="1"/>
  <c r="F219" i="90"/>
  <c r="H219" i="90" s="1"/>
  <c r="F220" i="90"/>
  <c r="H220" i="90" s="1"/>
  <c r="F221" i="90"/>
  <c r="H221" i="90" s="1"/>
  <c r="F222" i="90"/>
  <c r="H222" i="90" s="1"/>
  <c r="F223" i="90"/>
  <c r="H223" i="90" s="1"/>
  <c r="F224" i="90"/>
  <c r="H224" i="90" s="1"/>
  <c r="F225" i="90"/>
  <c r="H225" i="90" s="1"/>
  <c r="F226" i="90"/>
  <c r="H226" i="90" s="1"/>
  <c r="F227" i="90"/>
  <c r="H227" i="90" s="1"/>
  <c r="F228" i="90"/>
  <c r="H228" i="90" s="1"/>
  <c r="F229" i="90"/>
  <c r="H229" i="90" s="1"/>
  <c r="F230" i="90"/>
  <c r="H230" i="90" s="1"/>
  <c r="F231" i="90"/>
  <c r="H231" i="90" s="1"/>
  <c r="F232" i="90"/>
  <c r="H232" i="90" s="1"/>
  <c r="F233" i="90"/>
  <c r="H233" i="90" s="1"/>
  <c r="F234" i="90"/>
  <c r="H234" i="90" s="1"/>
  <c r="F235" i="90"/>
  <c r="H235" i="90" s="1"/>
  <c r="F236" i="90"/>
  <c r="H236" i="90" s="1"/>
  <c r="F237" i="90"/>
  <c r="H237" i="90" s="1"/>
  <c r="F238" i="90"/>
  <c r="H238" i="90" s="1"/>
  <c r="F239" i="90"/>
  <c r="H239" i="90" s="1"/>
  <c r="F240" i="90"/>
  <c r="H240" i="90" s="1"/>
  <c r="F241" i="90"/>
  <c r="H241" i="90" s="1"/>
  <c r="F242" i="90"/>
  <c r="H242" i="90" s="1"/>
  <c r="F243" i="90"/>
  <c r="H243" i="90" s="1"/>
  <c r="F244" i="90"/>
  <c r="H244" i="90" s="1"/>
  <c r="F245" i="90"/>
  <c r="H245" i="90" s="1"/>
  <c r="F246" i="90"/>
  <c r="H246" i="90" s="1"/>
  <c r="F247" i="90"/>
  <c r="H247" i="90" s="1"/>
  <c r="F248" i="90"/>
  <c r="H248" i="90" s="1"/>
  <c r="F249" i="90"/>
  <c r="H249" i="90" s="1"/>
  <c r="F250" i="90"/>
  <c r="H250" i="90" s="1"/>
  <c r="F251" i="90"/>
  <c r="H251" i="90" s="1"/>
  <c r="F252" i="90"/>
  <c r="H252" i="90" s="1"/>
  <c r="F253" i="90"/>
  <c r="H253" i="90" s="1"/>
  <c r="F254" i="90"/>
  <c r="H254" i="90" s="1"/>
  <c r="F255" i="90"/>
  <c r="H255" i="90" s="1"/>
  <c r="F256" i="90"/>
  <c r="H256" i="90" s="1"/>
  <c r="F257" i="90"/>
  <c r="H257" i="90" s="1"/>
  <c r="F258" i="90"/>
  <c r="H258" i="90" s="1"/>
  <c r="F259" i="90"/>
  <c r="H259" i="90" s="1"/>
  <c r="F260" i="90"/>
  <c r="H260" i="90" s="1"/>
  <c r="F261" i="90"/>
  <c r="H261" i="90" s="1"/>
  <c r="F262" i="90"/>
  <c r="H262" i="90" s="1"/>
  <c r="F263" i="90"/>
  <c r="H263" i="90" s="1"/>
  <c r="F264" i="90"/>
  <c r="H264" i="90" s="1"/>
  <c r="F265" i="90"/>
  <c r="H265" i="90" s="1"/>
  <c r="F266" i="90"/>
  <c r="H266" i="90" s="1"/>
  <c r="F267" i="90"/>
  <c r="H267" i="90" s="1"/>
  <c r="F268" i="90"/>
  <c r="H268" i="90" s="1"/>
  <c r="F269" i="90"/>
  <c r="H269" i="90" s="1"/>
  <c r="F270" i="90"/>
  <c r="H270" i="90" s="1"/>
  <c r="F271" i="90"/>
  <c r="H271" i="90" s="1"/>
  <c r="F272" i="90"/>
  <c r="H272" i="90" s="1"/>
  <c r="F273" i="90"/>
  <c r="H273" i="90" s="1"/>
  <c r="F274" i="90"/>
  <c r="H274" i="90" s="1"/>
  <c r="F275" i="90"/>
  <c r="H275" i="90" s="1"/>
  <c r="F276" i="90"/>
  <c r="H276" i="90" s="1"/>
  <c r="F277" i="90"/>
  <c r="H277" i="90" s="1"/>
  <c r="F278" i="90"/>
  <c r="H278" i="90" s="1"/>
  <c r="F279" i="90"/>
  <c r="H279" i="90" s="1"/>
  <c r="F280" i="90"/>
  <c r="H280" i="90" s="1"/>
  <c r="F282" i="90"/>
  <c r="H282" i="90" s="1"/>
  <c r="F283" i="90"/>
  <c r="H283" i="90" s="1"/>
  <c r="F284" i="90"/>
  <c r="H284" i="90" s="1"/>
  <c r="F286" i="90"/>
  <c r="H286" i="90" s="1"/>
  <c r="F287" i="90"/>
  <c r="H287" i="90" s="1"/>
  <c r="F288" i="90"/>
  <c r="H288" i="90" s="1"/>
  <c r="F289" i="90"/>
  <c r="H289" i="90" s="1"/>
  <c r="F290" i="90"/>
  <c r="H290" i="90" s="1"/>
  <c r="F291" i="90"/>
  <c r="H291" i="90" s="1"/>
  <c r="F292" i="90"/>
  <c r="H292" i="90" s="1"/>
  <c r="F293" i="90"/>
  <c r="H293" i="90" s="1"/>
  <c r="F294" i="90"/>
  <c r="H294" i="90" s="1"/>
  <c r="F295" i="90"/>
  <c r="H295" i="90" s="1"/>
  <c r="F296" i="90"/>
  <c r="H296" i="90" s="1"/>
  <c r="F297" i="90"/>
  <c r="H297" i="90" s="1"/>
  <c r="F298" i="90"/>
  <c r="H298" i="90" s="1"/>
  <c r="F299" i="90"/>
  <c r="H299" i="90" s="1"/>
  <c r="B272" i="74" l="1"/>
  <c r="B152" i="74"/>
  <c r="F4" i="90"/>
  <c r="F174" i="90"/>
  <c r="H174" i="90" s="1"/>
  <c r="G174" i="90"/>
  <c r="I174" i="90" s="1"/>
  <c r="G195" i="90"/>
  <c r="I195" i="90" s="1"/>
  <c r="G162" i="90"/>
  <c r="I162" i="90" s="1"/>
  <c r="G132" i="90"/>
  <c r="I132" i="90" s="1"/>
  <c r="G190" i="90"/>
  <c r="I190" i="90" s="1"/>
  <c r="G157" i="90"/>
  <c r="I157" i="90" s="1"/>
  <c r="G127" i="90"/>
  <c r="I127" i="90" s="1"/>
  <c r="G209" i="90"/>
  <c r="I209" i="90" s="1"/>
  <c r="G147" i="90"/>
  <c r="I147" i="90" s="1"/>
  <c r="G120" i="90"/>
  <c r="I120" i="90" s="1"/>
  <c r="G205" i="90"/>
  <c r="I205" i="90" s="1"/>
  <c r="G173" i="90"/>
  <c r="I173" i="90" s="1"/>
  <c r="G142" i="90"/>
  <c r="I142" i="90" s="1"/>
  <c r="G299" i="90"/>
  <c r="I299" i="90" s="1"/>
  <c r="G295" i="90"/>
  <c r="I295" i="90" s="1"/>
  <c r="G291" i="90"/>
  <c r="I291" i="90" s="1"/>
  <c r="G287" i="90"/>
  <c r="I287" i="90" s="1"/>
  <c r="G282" i="90"/>
  <c r="I282" i="90" s="1"/>
  <c r="G277" i="90"/>
  <c r="I277" i="90" s="1"/>
  <c r="G274" i="90"/>
  <c r="I274" i="90" s="1"/>
  <c r="G270" i="90"/>
  <c r="I270" i="90" s="1"/>
  <c r="G266" i="90"/>
  <c r="I266" i="90" s="1"/>
  <c r="G262" i="90"/>
  <c r="I262" i="90" s="1"/>
  <c r="G258" i="90"/>
  <c r="I258" i="90" s="1"/>
  <c r="G254" i="90"/>
  <c r="I254" i="90" s="1"/>
  <c r="G250" i="90"/>
  <c r="I250" i="90" s="1"/>
  <c r="G246" i="90"/>
  <c r="I246" i="90" s="1"/>
  <c r="G242" i="90"/>
  <c r="I242" i="90" s="1"/>
  <c r="G238" i="90"/>
  <c r="I238" i="90" s="1"/>
  <c r="G234" i="90"/>
  <c r="I234" i="90" s="1"/>
  <c r="G230" i="90"/>
  <c r="I230" i="90" s="1"/>
  <c r="G224" i="90"/>
  <c r="I224" i="90" s="1"/>
  <c r="G221" i="90"/>
  <c r="I221" i="90" s="1"/>
  <c r="G199" i="90"/>
  <c r="I199" i="90" s="1"/>
  <c r="G184" i="90"/>
  <c r="I184" i="90" s="1"/>
  <c r="G167" i="90"/>
  <c r="I167" i="90" s="1"/>
  <c r="G152" i="90"/>
  <c r="I152" i="90" s="1"/>
  <c r="G136" i="90"/>
  <c r="I136" i="90" s="1"/>
  <c r="G107" i="90"/>
  <c r="I107" i="90" s="1"/>
  <c r="G91" i="90"/>
  <c r="I91" i="90" s="1"/>
  <c r="G77" i="90"/>
  <c r="I77" i="90" s="1"/>
  <c r="G62" i="90"/>
  <c r="I62" i="90" s="1"/>
  <c r="G48" i="90"/>
  <c r="I48" i="90" s="1"/>
  <c r="G33" i="90"/>
  <c r="I33" i="90" s="1"/>
  <c r="G17" i="90"/>
  <c r="I17" i="90" s="1"/>
  <c r="E301" i="90"/>
  <c r="E303" i="90" s="1"/>
  <c r="G116" i="90"/>
  <c r="I116" i="90" s="1"/>
  <c r="G109" i="90"/>
  <c r="I109" i="90" s="1"/>
  <c r="G106" i="90"/>
  <c r="I106" i="90" s="1"/>
  <c r="G102" i="90"/>
  <c r="I102" i="90" s="1"/>
  <c r="G98" i="90"/>
  <c r="I98" i="90" s="1"/>
  <c r="G94" i="90"/>
  <c r="I94" i="90" s="1"/>
  <c r="G90" i="90"/>
  <c r="I90" i="90" s="1"/>
  <c r="G87" i="90"/>
  <c r="I87" i="90" s="1"/>
  <c r="G83" i="90"/>
  <c r="I83" i="90" s="1"/>
  <c r="G80" i="90"/>
  <c r="I80" i="90" s="1"/>
  <c r="G76" i="90"/>
  <c r="I76" i="90" s="1"/>
  <c r="G72" i="90"/>
  <c r="I72" i="90" s="1"/>
  <c r="G69" i="90"/>
  <c r="I69" i="90" s="1"/>
  <c r="G64" i="90"/>
  <c r="I64" i="90" s="1"/>
  <c r="G61" i="90"/>
  <c r="I61" i="90" s="1"/>
  <c r="G59" i="90"/>
  <c r="I59" i="90" s="1"/>
  <c r="G55" i="90"/>
  <c r="I55" i="90" s="1"/>
  <c r="G51" i="90"/>
  <c r="I51" i="90" s="1"/>
  <c r="G44" i="90"/>
  <c r="I44" i="90" s="1"/>
  <c r="G40" i="90"/>
  <c r="I40" i="90" s="1"/>
  <c r="G36" i="90"/>
  <c r="I36" i="90" s="1"/>
  <c r="G32" i="90"/>
  <c r="I32" i="90" s="1"/>
  <c r="G28" i="90"/>
  <c r="I28" i="90" s="1"/>
  <c r="G24" i="90"/>
  <c r="I24" i="90" s="1"/>
  <c r="G20" i="90"/>
  <c r="I20" i="90" s="1"/>
  <c r="G16" i="90"/>
  <c r="I16" i="90" s="1"/>
  <c r="G9" i="90"/>
  <c r="I9" i="90" s="1"/>
  <c r="G5" i="90"/>
  <c r="I5" i="90" s="1"/>
  <c r="G298" i="90"/>
  <c r="I298" i="90" s="1"/>
  <c r="G294" i="90"/>
  <c r="I294" i="90" s="1"/>
  <c r="G290" i="90"/>
  <c r="I290" i="90" s="1"/>
  <c r="G286" i="90"/>
  <c r="I286" i="90" s="1"/>
  <c r="G280" i="90"/>
  <c r="I280" i="90" s="1"/>
  <c r="G276" i="90"/>
  <c r="I276" i="90" s="1"/>
  <c r="G273" i="90"/>
  <c r="I273" i="90" s="1"/>
  <c r="G269" i="90"/>
  <c r="I269" i="90" s="1"/>
  <c r="G265" i="90"/>
  <c r="I265" i="90" s="1"/>
  <c r="G261" i="90"/>
  <c r="I261" i="90" s="1"/>
  <c r="G257" i="90"/>
  <c r="I257" i="90" s="1"/>
  <c r="G253" i="90"/>
  <c r="I253" i="90" s="1"/>
  <c r="G249" i="90"/>
  <c r="I249" i="90" s="1"/>
  <c r="G245" i="90"/>
  <c r="I245" i="90" s="1"/>
  <c r="G241" i="90"/>
  <c r="I241" i="90" s="1"/>
  <c r="G237" i="90"/>
  <c r="I237" i="90" s="1"/>
  <c r="G233" i="90"/>
  <c r="I233" i="90" s="1"/>
  <c r="G229" i="90"/>
  <c r="I229" i="90" s="1"/>
  <c r="G226" i="90"/>
  <c r="I226" i="90" s="1"/>
  <c r="G220" i="90"/>
  <c r="I220" i="90" s="1"/>
  <c r="G215" i="90"/>
  <c r="I215" i="90" s="1"/>
  <c r="G211" i="90"/>
  <c r="I211" i="90" s="1"/>
  <c r="G203" i="90"/>
  <c r="I203" i="90" s="1"/>
  <c r="G194" i="90"/>
  <c r="I194" i="90" s="1"/>
  <c r="G188" i="90"/>
  <c r="I188" i="90" s="1"/>
  <c r="G183" i="90"/>
  <c r="I183" i="90" s="1"/>
  <c r="G178" i="90"/>
  <c r="I178" i="90" s="1"/>
  <c r="G171" i="90"/>
  <c r="I171" i="90" s="1"/>
  <c r="G166" i="90"/>
  <c r="I166" i="90" s="1"/>
  <c r="G161" i="90"/>
  <c r="I161" i="90" s="1"/>
  <c r="G155" i="90"/>
  <c r="I155" i="90" s="1"/>
  <c r="G151" i="90"/>
  <c r="I151" i="90" s="1"/>
  <c r="G146" i="90"/>
  <c r="I146" i="90" s="1"/>
  <c r="G140" i="90"/>
  <c r="I140" i="90" s="1"/>
  <c r="G135" i="90"/>
  <c r="I135" i="90" s="1"/>
  <c r="G131" i="90"/>
  <c r="I131" i="90" s="1"/>
  <c r="G125" i="90"/>
  <c r="I125" i="90" s="1"/>
  <c r="G117" i="90"/>
  <c r="I117" i="90" s="1"/>
  <c r="G103" i="90"/>
  <c r="I103" i="90" s="1"/>
  <c r="G73" i="90"/>
  <c r="I73" i="90" s="1"/>
  <c r="G60" i="90"/>
  <c r="I60" i="90" s="1"/>
  <c r="G45" i="90"/>
  <c r="I45" i="90" s="1"/>
  <c r="G29" i="90"/>
  <c r="I29" i="90" s="1"/>
  <c r="G13" i="90"/>
  <c r="I13" i="90" s="1"/>
  <c r="G123" i="90"/>
  <c r="I123" i="90" s="1"/>
  <c r="G119" i="90"/>
  <c r="I119" i="90" s="1"/>
  <c r="G115" i="90"/>
  <c r="I115" i="90" s="1"/>
  <c r="G112" i="90"/>
  <c r="I112" i="90" s="1"/>
  <c r="G105" i="90"/>
  <c r="I105" i="90" s="1"/>
  <c r="G101" i="90"/>
  <c r="I101" i="90" s="1"/>
  <c r="G97" i="90"/>
  <c r="I97" i="90" s="1"/>
  <c r="G93" i="90"/>
  <c r="I93" i="90" s="1"/>
  <c r="G89" i="90"/>
  <c r="I89" i="90" s="1"/>
  <c r="G86" i="90"/>
  <c r="I86" i="90" s="1"/>
  <c r="G79" i="90"/>
  <c r="I79" i="90" s="1"/>
  <c r="G75" i="90"/>
  <c r="I75" i="90" s="1"/>
  <c r="G71" i="90"/>
  <c r="I71" i="90" s="1"/>
  <c r="G68" i="90"/>
  <c r="I68" i="90" s="1"/>
  <c r="G58" i="90"/>
  <c r="I58" i="90" s="1"/>
  <c r="G54" i="90"/>
  <c r="I54" i="90" s="1"/>
  <c r="G50" i="90"/>
  <c r="I50" i="90" s="1"/>
  <c r="G47" i="90"/>
  <c r="I47" i="90" s="1"/>
  <c r="G43" i="90"/>
  <c r="I43" i="90" s="1"/>
  <c r="G39" i="90"/>
  <c r="I39" i="90" s="1"/>
  <c r="G35" i="90"/>
  <c r="I35" i="90" s="1"/>
  <c r="G31" i="90"/>
  <c r="I31" i="90" s="1"/>
  <c r="G27" i="90"/>
  <c r="I27" i="90" s="1"/>
  <c r="G23" i="90"/>
  <c r="I23" i="90" s="1"/>
  <c r="G19" i="90"/>
  <c r="I19" i="90" s="1"/>
  <c r="G15" i="90"/>
  <c r="I15" i="90" s="1"/>
  <c r="G12" i="90"/>
  <c r="I12" i="90" s="1"/>
  <c r="G8" i="90"/>
  <c r="I8" i="90" s="1"/>
  <c r="G297" i="90"/>
  <c r="I297" i="90" s="1"/>
  <c r="G293" i="90"/>
  <c r="I293" i="90" s="1"/>
  <c r="G289" i="90"/>
  <c r="I289" i="90" s="1"/>
  <c r="G284" i="90"/>
  <c r="I284" i="90" s="1"/>
  <c r="G279" i="90"/>
  <c r="I279" i="90" s="1"/>
  <c r="G272" i="90"/>
  <c r="I272" i="90" s="1"/>
  <c r="G264" i="90"/>
  <c r="I264" i="90" s="1"/>
  <c r="G260" i="90"/>
  <c r="I260" i="90" s="1"/>
  <c r="G256" i="90"/>
  <c r="I256" i="90" s="1"/>
  <c r="G252" i="90"/>
  <c r="I252" i="90" s="1"/>
  <c r="G248" i="90"/>
  <c r="I248" i="90" s="1"/>
  <c r="G244" i="90"/>
  <c r="I244" i="90" s="1"/>
  <c r="G240" i="90"/>
  <c r="I240" i="90" s="1"/>
  <c r="G236" i="90"/>
  <c r="I236" i="90" s="1"/>
  <c r="G232" i="90"/>
  <c r="I232" i="90" s="1"/>
  <c r="G228" i="90"/>
  <c r="I228" i="90" s="1"/>
  <c r="G225" i="90"/>
  <c r="I225" i="90" s="1"/>
  <c r="G223" i="90"/>
  <c r="I223" i="90" s="1"/>
  <c r="G219" i="90"/>
  <c r="I219" i="90" s="1"/>
  <c r="G214" i="90"/>
  <c r="I214" i="90" s="1"/>
  <c r="G207" i="90"/>
  <c r="I207" i="90" s="1"/>
  <c r="G202" i="90"/>
  <c r="I202" i="90" s="1"/>
  <c r="G198" i="90"/>
  <c r="I198" i="90" s="1"/>
  <c r="G192" i="90"/>
  <c r="I192" i="90" s="1"/>
  <c r="G187" i="90"/>
  <c r="I187" i="90" s="1"/>
  <c r="G182" i="90"/>
  <c r="I182" i="90" s="1"/>
  <c r="G176" i="90"/>
  <c r="I176" i="90" s="1"/>
  <c r="G170" i="90"/>
  <c r="I170" i="90" s="1"/>
  <c r="G165" i="90"/>
  <c r="I165" i="90" s="1"/>
  <c r="G159" i="90"/>
  <c r="I159" i="90" s="1"/>
  <c r="G150" i="90"/>
  <c r="I150" i="90" s="1"/>
  <c r="G144" i="90"/>
  <c r="I144" i="90" s="1"/>
  <c r="G139" i="90"/>
  <c r="I139" i="90" s="1"/>
  <c r="G134" i="90"/>
  <c r="I134" i="90" s="1"/>
  <c r="G129" i="90"/>
  <c r="I129" i="90" s="1"/>
  <c r="G124" i="90"/>
  <c r="I124" i="90" s="1"/>
  <c r="G113" i="90"/>
  <c r="I113" i="90" s="1"/>
  <c r="G99" i="90"/>
  <c r="I99" i="90" s="1"/>
  <c r="G84" i="90"/>
  <c r="I84" i="90" s="1"/>
  <c r="G56" i="90"/>
  <c r="I56" i="90" s="1"/>
  <c r="G41" i="90"/>
  <c r="I41" i="90" s="1"/>
  <c r="G25" i="90"/>
  <c r="I25" i="90" s="1"/>
  <c r="G10" i="90"/>
  <c r="I10" i="90" s="1"/>
  <c r="G216" i="90"/>
  <c r="I216" i="90" s="1"/>
  <c r="G212" i="90"/>
  <c r="I212" i="90" s="1"/>
  <c r="G208" i="90"/>
  <c r="I208" i="90" s="1"/>
  <c r="G204" i="90"/>
  <c r="I204" i="90" s="1"/>
  <c r="G200" i="90"/>
  <c r="I200" i="90" s="1"/>
  <c r="G197" i="90"/>
  <c r="I197" i="90" s="1"/>
  <c r="G193" i="90"/>
  <c r="I193" i="90" s="1"/>
  <c r="G189" i="90"/>
  <c r="I189" i="90" s="1"/>
  <c r="G185" i="90"/>
  <c r="I185" i="90" s="1"/>
  <c r="G181" i="90"/>
  <c r="I181" i="90" s="1"/>
  <c r="G177" i="90"/>
  <c r="I177" i="90" s="1"/>
  <c r="G172" i="90"/>
  <c r="I172" i="90" s="1"/>
  <c r="G168" i="90"/>
  <c r="I168" i="90" s="1"/>
  <c r="G164" i="90"/>
  <c r="I164" i="90" s="1"/>
  <c r="G160" i="90"/>
  <c r="I160" i="90" s="1"/>
  <c r="G156" i="90"/>
  <c r="I156" i="90" s="1"/>
  <c r="G153" i="90"/>
  <c r="I153" i="90" s="1"/>
  <c r="G149" i="90"/>
  <c r="I149" i="90" s="1"/>
  <c r="G145" i="90"/>
  <c r="I145" i="90" s="1"/>
  <c r="G141" i="90"/>
  <c r="I141" i="90" s="1"/>
  <c r="G137" i="90"/>
  <c r="I137" i="90" s="1"/>
  <c r="G133" i="90"/>
  <c r="I133" i="90" s="1"/>
  <c r="G130" i="90"/>
  <c r="I130" i="90" s="1"/>
  <c r="G126" i="90"/>
  <c r="I126" i="90" s="1"/>
  <c r="G122" i="90"/>
  <c r="I122" i="90" s="1"/>
  <c r="G118" i="90"/>
  <c r="I118" i="90" s="1"/>
  <c r="G114" i="90"/>
  <c r="I114" i="90" s="1"/>
  <c r="G111" i="90"/>
  <c r="I111" i="90" s="1"/>
  <c r="G108" i="90"/>
  <c r="I108" i="90" s="1"/>
  <c r="G104" i="90"/>
  <c r="I104" i="90" s="1"/>
  <c r="G100" i="90"/>
  <c r="I100" i="90" s="1"/>
  <c r="G96" i="90"/>
  <c r="I96" i="90" s="1"/>
  <c r="G92" i="90"/>
  <c r="I92" i="90" s="1"/>
  <c r="G88" i="90"/>
  <c r="I88" i="90" s="1"/>
  <c r="G85" i="90"/>
  <c r="I85" i="90" s="1"/>
  <c r="G82" i="90"/>
  <c r="I82" i="90" s="1"/>
  <c r="G78" i="90"/>
  <c r="I78" i="90" s="1"/>
  <c r="G74" i="90"/>
  <c r="I74" i="90" s="1"/>
  <c r="G70" i="90"/>
  <c r="I70" i="90" s="1"/>
  <c r="G67" i="90"/>
  <c r="I67" i="90" s="1"/>
  <c r="G63" i="90"/>
  <c r="I63" i="90" s="1"/>
  <c r="G57" i="90"/>
  <c r="I57" i="90" s="1"/>
  <c r="G53" i="90"/>
  <c r="I53" i="90" s="1"/>
  <c r="G49" i="90"/>
  <c r="I49" i="90" s="1"/>
  <c r="G46" i="90"/>
  <c r="I46" i="90" s="1"/>
  <c r="G42" i="90"/>
  <c r="I42" i="90" s="1"/>
  <c r="G38" i="90"/>
  <c r="I38" i="90" s="1"/>
  <c r="G34" i="90"/>
  <c r="I34" i="90" s="1"/>
  <c r="G30" i="90"/>
  <c r="I30" i="90" s="1"/>
  <c r="G26" i="90"/>
  <c r="I26" i="90" s="1"/>
  <c r="G22" i="90"/>
  <c r="I22" i="90" s="1"/>
  <c r="G18" i="90"/>
  <c r="I18" i="90" s="1"/>
  <c r="G14" i="90"/>
  <c r="I14" i="90" s="1"/>
  <c r="G11" i="90"/>
  <c r="I11" i="90" s="1"/>
  <c r="G7" i="90"/>
  <c r="I7" i="90" s="1"/>
  <c r="G4" i="90"/>
  <c r="I4" i="90" s="1"/>
  <c r="G296" i="90"/>
  <c r="I296" i="90" s="1"/>
  <c r="G292" i="90"/>
  <c r="I292" i="90" s="1"/>
  <c r="G288" i="90"/>
  <c r="I288" i="90" s="1"/>
  <c r="G283" i="90"/>
  <c r="I283" i="90" s="1"/>
  <c r="G278" i="90"/>
  <c r="I278" i="90" s="1"/>
  <c r="G275" i="90"/>
  <c r="I275" i="90" s="1"/>
  <c r="G271" i="90"/>
  <c r="I271" i="90" s="1"/>
  <c r="G267" i="90"/>
  <c r="I267" i="90" s="1"/>
  <c r="G263" i="90"/>
  <c r="I263" i="90" s="1"/>
  <c r="G259" i="90"/>
  <c r="I259" i="90" s="1"/>
  <c r="G255" i="90"/>
  <c r="I255" i="90" s="1"/>
  <c r="G251" i="90"/>
  <c r="I251" i="90" s="1"/>
  <c r="G243" i="90"/>
  <c r="I243" i="90" s="1"/>
  <c r="G239" i="90"/>
  <c r="I239" i="90" s="1"/>
  <c r="G235" i="90"/>
  <c r="I235" i="90" s="1"/>
  <c r="G231" i="90"/>
  <c r="I231" i="90" s="1"/>
  <c r="G227" i="90"/>
  <c r="I227" i="90" s="1"/>
  <c r="G222" i="90"/>
  <c r="I222" i="90" s="1"/>
  <c r="G218" i="90"/>
  <c r="I218" i="90" s="1"/>
  <c r="G213" i="90"/>
  <c r="I213" i="90" s="1"/>
  <c r="G210" i="90"/>
  <c r="I210" i="90" s="1"/>
  <c r="G206" i="90"/>
  <c r="I206" i="90" s="1"/>
  <c r="G196" i="90"/>
  <c r="I196" i="90" s="1"/>
  <c r="G191" i="90"/>
  <c r="I191" i="90" s="1"/>
  <c r="G186" i="90"/>
  <c r="I186" i="90" s="1"/>
  <c r="G180" i="90"/>
  <c r="I180" i="90" s="1"/>
  <c r="G175" i="90"/>
  <c r="I175" i="90" s="1"/>
  <c r="G163" i="90"/>
  <c r="I163" i="90" s="1"/>
  <c r="G158" i="90"/>
  <c r="I158" i="90" s="1"/>
  <c r="G154" i="90"/>
  <c r="I154" i="90" s="1"/>
  <c r="G148" i="90"/>
  <c r="I148" i="90" s="1"/>
  <c r="G143" i="90"/>
  <c r="I143" i="90" s="1"/>
  <c r="G138" i="90"/>
  <c r="I138" i="90" s="1"/>
  <c r="G128" i="90"/>
  <c r="I128" i="90" s="1"/>
  <c r="G121" i="90"/>
  <c r="I121" i="90" s="1"/>
  <c r="G110" i="90"/>
  <c r="I110" i="90" s="1"/>
  <c r="G95" i="90"/>
  <c r="I95" i="90" s="1"/>
  <c r="G81" i="90"/>
  <c r="I81" i="90" s="1"/>
  <c r="G65" i="90"/>
  <c r="I65" i="90" s="1"/>
  <c r="G52" i="90"/>
  <c r="I52" i="90" s="1"/>
  <c r="G37" i="90"/>
  <c r="I37" i="90" s="1"/>
  <c r="G21" i="90"/>
  <c r="I21" i="90" s="1"/>
  <c r="G6" i="90"/>
  <c r="I6" i="90" s="1"/>
  <c r="H4" i="90" l="1"/>
  <c r="H301" i="90" s="1"/>
  <c r="L285" i="90" s="1"/>
  <c r="F301" i="90"/>
  <c r="I301" i="90"/>
  <c r="M285" i="90" s="1"/>
  <c r="D301" i="90"/>
  <c r="D303" i="90" s="1"/>
  <c r="G301" i="90"/>
  <c r="N285" i="90" l="1"/>
  <c r="L179" i="90"/>
  <c r="L217" i="90"/>
  <c r="M179" i="90"/>
  <c r="M217" i="90"/>
  <c r="L286" i="90"/>
  <c r="L66" i="90"/>
  <c r="M281" i="90"/>
  <c r="M66" i="90"/>
  <c r="L4" i="90"/>
  <c r="M4" i="90"/>
  <c r="L281" i="90"/>
  <c r="L294" i="90"/>
  <c r="M289" i="90"/>
  <c r="M174" i="90"/>
  <c r="L296" i="90"/>
  <c r="M42" i="90"/>
  <c r="L174" i="90"/>
  <c r="M141" i="90"/>
  <c r="M64" i="90"/>
  <c r="M71" i="90"/>
  <c r="M172" i="90"/>
  <c r="M53" i="90"/>
  <c r="M105" i="90"/>
  <c r="M90" i="90"/>
  <c r="M85" i="90"/>
  <c r="M68" i="90"/>
  <c r="M22" i="90"/>
  <c r="M8" i="90"/>
  <c r="M32" i="90"/>
  <c r="M89" i="90"/>
  <c r="M36" i="90"/>
  <c r="M201" i="90"/>
  <c r="M5" i="90"/>
  <c r="M12" i="90"/>
  <c r="M111" i="90"/>
  <c r="M106" i="90"/>
  <c r="M145" i="90"/>
  <c r="M75" i="90"/>
  <c r="M177" i="90"/>
  <c r="M43" i="90"/>
  <c r="M70" i="90"/>
  <c r="M169" i="90"/>
  <c r="M94" i="90"/>
  <c r="M101" i="90"/>
  <c r="M204" i="90"/>
  <c r="M82" i="90"/>
  <c r="M55" i="90"/>
  <c r="M57" i="90"/>
  <c r="M185" i="90"/>
  <c r="M92" i="90"/>
  <c r="L299" i="90"/>
  <c r="L279" i="90"/>
  <c r="L264" i="90"/>
  <c r="L248" i="90"/>
  <c r="L232" i="90"/>
  <c r="L219" i="90"/>
  <c r="L207" i="90"/>
  <c r="L192" i="90"/>
  <c r="L176" i="90"/>
  <c r="L159" i="90"/>
  <c r="L144" i="90"/>
  <c r="L297" i="90"/>
  <c r="L283" i="90"/>
  <c r="L267" i="90"/>
  <c r="L251" i="90"/>
  <c r="L235" i="90"/>
  <c r="L222" i="90"/>
  <c r="L209" i="90"/>
  <c r="L195" i="90"/>
  <c r="L162" i="90"/>
  <c r="L147" i="90"/>
  <c r="L132" i="90"/>
  <c r="L116" i="90"/>
  <c r="L102" i="90"/>
  <c r="L87" i="90"/>
  <c r="L72" i="90"/>
  <c r="L59" i="90"/>
  <c r="L44" i="90"/>
  <c r="L28" i="90"/>
  <c r="L295" i="90"/>
  <c r="L277" i="90"/>
  <c r="L262" i="90"/>
  <c r="L246" i="90"/>
  <c r="L230" i="90"/>
  <c r="L205" i="90"/>
  <c r="L190" i="90"/>
  <c r="L173" i="90"/>
  <c r="L157" i="90"/>
  <c r="L142" i="90"/>
  <c r="L290" i="90"/>
  <c r="L273" i="90"/>
  <c r="L257" i="90"/>
  <c r="L241" i="90"/>
  <c r="L226" i="90"/>
  <c r="L212" i="90"/>
  <c r="L200" i="90"/>
  <c r="L185" i="90"/>
  <c r="L168" i="90"/>
  <c r="L153" i="90"/>
  <c r="L129" i="90"/>
  <c r="L113" i="90"/>
  <c r="L99" i="90"/>
  <c r="L84" i="90"/>
  <c r="L56" i="90"/>
  <c r="L41" i="90"/>
  <c r="L25" i="90"/>
  <c r="L10" i="90"/>
  <c r="L127" i="90"/>
  <c r="L112" i="90"/>
  <c r="L97" i="90"/>
  <c r="L68" i="90"/>
  <c r="L54" i="90"/>
  <c r="L39" i="90"/>
  <c r="L23" i="90"/>
  <c r="L8" i="90"/>
  <c r="L133" i="90"/>
  <c r="L118" i="90"/>
  <c r="L104" i="90"/>
  <c r="L88" i="90"/>
  <c r="L74" i="90"/>
  <c r="L46" i="90"/>
  <c r="L30" i="90"/>
  <c r="L14" i="90"/>
  <c r="L293" i="90"/>
  <c r="L260" i="90"/>
  <c r="L244" i="90"/>
  <c r="L228" i="90"/>
  <c r="L215" i="90"/>
  <c r="L203" i="90"/>
  <c r="L188" i="90"/>
  <c r="L171" i="90"/>
  <c r="L155" i="90"/>
  <c r="L140" i="90"/>
  <c r="L278" i="90"/>
  <c r="L263" i="90"/>
  <c r="L247" i="90"/>
  <c r="L231" i="90"/>
  <c r="L218" i="90"/>
  <c r="L206" i="90"/>
  <c r="L191" i="90"/>
  <c r="L175" i="90"/>
  <c r="L158" i="90"/>
  <c r="L143" i="90"/>
  <c r="L128" i="90"/>
  <c r="L98" i="90"/>
  <c r="L83" i="90"/>
  <c r="L69" i="90"/>
  <c r="L55" i="90"/>
  <c r="L40" i="90"/>
  <c r="L24" i="90"/>
  <c r="L9" i="90"/>
  <c r="L291" i="90"/>
  <c r="L274" i="90"/>
  <c r="L258" i="90"/>
  <c r="L242" i="90"/>
  <c r="L213" i="90"/>
  <c r="L201" i="90"/>
  <c r="L186" i="90"/>
  <c r="L169" i="90"/>
  <c r="L154" i="90"/>
  <c r="L138" i="90"/>
  <c r="L269" i="90"/>
  <c r="L253" i="90"/>
  <c r="L237" i="90"/>
  <c r="L197" i="90"/>
  <c r="L181" i="90"/>
  <c r="L164" i="90"/>
  <c r="L149" i="90"/>
  <c r="L125" i="90"/>
  <c r="L110" i="90"/>
  <c r="L95" i="90"/>
  <c r="L81" i="90"/>
  <c r="L65" i="90"/>
  <c r="L52" i="90"/>
  <c r="L37" i="90"/>
  <c r="L21" i="90"/>
  <c r="L6" i="90"/>
  <c r="L123" i="90"/>
  <c r="L93" i="90"/>
  <c r="L79" i="90"/>
  <c r="L50" i="90"/>
  <c r="L35" i="90"/>
  <c r="L19" i="90"/>
  <c r="L130" i="90"/>
  <c r="L114" i="90"/>
  <c r="L100" i="90"/>
  <c r="L85" i="90"/>
  <c r="L70" i="90"/>
  <c r="L57" i="90"/>
  <c r="L42" i="90"/>
  <c r="L26" i="90"/>
  <c r="L11" i="90"/>
  <c r="L289" i="90"/>
  <c r="L272" i="90"/>
  <c r="L256" i="90"/>
  <c r="L240" i="90"/>
  <c r="L225" i="90"/>
  <c r="L199" i="90"/>
  <c r="L184" i="90"/>
  <c r="L167" i="90"/>
  <c r="L152" i="90"/>
  <c r="L136" i="90"/>
  <c r="L292" i="90"/>
  <c r="L275" i="90"/>
  <c r="L259" i="90"/>
  <c r="L243" i="90"/>
  <c r="L227" i="90"/>
  <c r="L214" i="90"/>
  <c r="L202" i="90"/>
  <c r="L187" i="90"/>
  <c r="L170" i="90"/>
  <c r="L139" i="90"/>
  <c r="L124" i="90"/>
  <c r="L109" i="90"/>
  <c r="L94" i="90"/>
  <c r="L80" i="90"/>
  <c r="L64" i="90"/>
  <c r="L51" i="90"/>
  <c r="L36" i="90"/>
  <c r="L20" i="90"/>
  <c r="L5" i="90"/>
  <c r="L287" i="90"/>
  <c r="L270" i="90"/>
  <c r="L254" i="90"/>
  <c r="L238" i="90"/>
  <c r="L224" i="90"/>
  <c r="L198" i="90"/>
  <c r="L182" i="90"/>
  <c r="L165" i="90"/>
  <c r="L150" i="90"/>
  <c r="L298" i="90"/>
  <c r="L280" i="90"/>
  <c r="L265" i="90"/>
  <c r="L249" i="90"/>
  <c r="L233" i="90"/>
  <c r="L220" i="90"/>
  <c r="L208" i="90"/>
  <c r="L193" i="90"/>
  <c r="L177" i="90"/>
  <c r="L160" i="90"/>
  <c r="L145" i="90"/>
  <c r="L121" i="90"/>
  <c r="L107" i="90"/>
  <c r="L91" i="90"/>
  <c r="L77" i="90"/>
  <c r="L62" i="90"/>
  <c r="L48" i="90"/>
  <c r="L33" i="90"/>
  <c r="L17" i="90"/>
  <c r="L134" i="90"/>
  <c r="L119" i="90"/>
  <c r="L105" i="90"/>
  <c r="L89" i="90"/>
  <c r="L75" i="90"/>
  <c r="L47" i="90"/>
  <c r="L31" i="90"/>
  <c r="L15" i="90"/>
  <c r="L126" i="90"/>
  <c r="L111" i="90"/>
  <c r="L96" i="90"/>
  <c r="L82" i="90"/>
  <c r="L67" i="90"/>
  <c r="L53" i="90"/>
  <c r="L38" i="90"/>
  <c r="L22" i="90"/>
  <c r="L7" i="90"/>
  <c r="L284" i="90"/>
  <c r="L268" i="90"/>
  <c r="L252" i="90"/>
  <c r="L236" i="90"/>
  <c r="L223" i="90"/>
  <c r="L210" i="90"/>
  <c r="L196" i="90"/>
  <c r="L180" i="90"/>
  <c r="L163" i="90"/>
  <c r="L148" i="90"/>
  <c r="L288" i="90"/>
  <c r="L271" i="90"/>
  <c r="L255" i="90"/>
  <c r="L239" i="90"/>
  <c r="L211" i="90"/>
  <c r="L183" i="90"/>
  <c r="L166" i="90"/>
  <c r="L151" i="90"/>
  <c r="L135" i="90"/>
  <c r="L120" i="90"/>
  <c r="L106" i="90"/>
  <c r="L90" i="90"/>
  <c r="L76" i="90"/>
  <c r="L61" i="90"/>
  <c r="L32" i="90"/>
  <c r="L16" i="90"/>
  <c r="L282" i="90"/>
  <c r="L266" i="90"/>
  <c r="L250" i="90"/>
  <c r="L234" i="90"/>
  <c r="L221" i="90"/>
  <c r="L194" i="90"/>
  <c r="L178" i="90"/>
  <c r="L161" i="90"/>
  <c r="L146" i="90"/>
  <c r="L276" i="90"/>
  <c r="L261" i="90"/>
  <c r="L245" i="90"/>
  <c r="L229" i="90"/>
  <c r="L216" i="90"/>
  <c r="L204" i="90"/>
  <c r="L189" i="90"/>
  <c r="L172" i="90"/>
  <c r="L156" i="90"/>
  <c r="L141" i="90"/>
  <c r="L117" i="90"/>
  <c r="L103" i="90"/>
  <c r="L73" i="90"/>
  <c r="L60" i="90"/>
  <c r="L45" i="90"/>
  <c r="L29" i="90"/>
  <c r="L13" i="90"/>
  <c r="L131" i="90"/>
  <c r="L115" i="90"/>
  <c r="L101" i="90"/>
  <c r="L86" i="90"/>
  <c r="L71" i="90"/>
  <c r="L58" i="90"/>
  <c r="L43" i="90"/>
  <c r="L27" i="90"/>
  <c r="L12" i="90"/>
  <c r="L137" i="90"/>
  <c r="L122" i="90"/>
  <c r="L108" i="90"/>
  <c r="L92" i="90"/>
  <c r="L78" i="90"/>
  <c r="L63" i="90"/>
  <c r="L49" i="90"/>
  <c r="L34" i="90"/>
  <c r="L18" i="90"/>
  <c r="M9" i="90"/>
  <c r="M116" i="90"/>
  <c r="M87" i="90"/>
  <c r="M59" i="90"/>
  <c r="M28" i="90"/>
  <c r="M123" i="90"/>
  <c r="M93" i="90"/>
  <c r="M35" i="90"/>
  <c r="M197" i="90"/>
  <c r="M164" i="90"/>
  <c r="M133" i="90"/>
  <c r="M104" i="90"/>
  <c r="M74" i="90"/>
  <c r="M46" i="90"/>
  <c r="M14" i="90"/>
  <c r="M98" i="90"/>
  <c r="M40" i="90"/>
  <c r="M212" i="90"/>
  <c r="M122" i="90"/>
  <c r="M34" i="90"/>
  <c r="M76" i="90"/>
  <c r="M16" i="90"/>
  <c r="M47" i="90"/>
  <c r="M160" i="90"/>
  <c r="M49" i="90"/>
  <c r="M54" i="90"/>
  <c r="M153" i="90"/>
  <c r="M63" i="90"/>
  <c r="M109" i="90"/>
  <c r="M80" i="90"/>
  <c r="M51" i="90"/>
  <c r="M20" i="90"/>
  <c r="M115" i="90"/>
  <c r="M86" i="90"/>
  <c r="M58" i="90"/>
  <c r="M27" i="90"/>
  <c r="M216" i="90"/>
  <c r="M189" i="90"/>
  <c r="M156" i="90"/>
  <c r="M126" i="90"/>
  <c r="M96" i="90"/>
  <c r="M67" i="90"/>
  <c r="M38" i="90"/>
  <c r="M7" i="90"/>
  <c r="M83" i="90"/>
  <c r="M24" i="90"/>
  <c r="M193" i="90"/>
  <c r="M100" i="90"/>
  <c r="M11" i="90"/>
  <c r="M61" i="90"/>
  <c r="M112" i="90"/>
  <c r="M15" i="90"/>
  <c r="M137" i="90"/>
  <c r="M26" i="90"/>
  <c r="M23" i="90"/>
  <c r="M130" i="90"/>
  <c r="M294" i="90"/>
  <c r="M276" i="90"/>
  <c r="M261" i="90"/>
  <c r="M245" i="90"/>
  <c r="M229" i="90"/>
  <c r="M291" i="90"/>
  <c r="M274" i="90"/>
  <c r="M258" i="90"/>
  <c r="M242" i="90"/>
  <c r="M213" i="90"/>
  <c r="M198" i="90"/>
  <c r="M182" i="90"/>
  <c r="M161" i="90"/>
  <c r="M146" i="90"/>
  <c r="M131" i="90"/>
  <c r="M272" i="90"/>
  <c r="M252" i="90"/>
  <c r="M236" i="90"/>
  <c r="M223" i="90"/>
  <c r="M210" i="90"/>
  <c r="M196" i="90"/>
  <c r="M180" i="90"/>
  <c r="M163" i="90"/>
  <c r="M148" i="90"/>
  <c r="M117" i="90"/>
  <c r="M103" i="90"/>
  <c r="M73" i="90"/>
  <c r="M60" i="90"/>
  <c r="M45" i="90"/>
  <c r="M29" i="90"/>
  <c r="M13" i="90"/>
  <c r="M292" i="90"/>
  <c r="M275" i="90"/>
  <c r="M259" i="90"/>
  <c r="M239" i="90"/>
  <c r="M211" i="90"/>
  <c r="M183" i="90"/>
  <c r="M166" i="90"/>
  <c r="M151" i="90"/>
  <c r="M135" i="90"/>
  <c r="M120" i="90"/>
  <c r="M290" i="90"/>
  <c r="M273" i="90"/>
  <c r="M257" i="90"/>
  <c r="M241" i="90"/>
  <c r="M226" i="90"/>
  <c r="M287" i="90"/>
  <c r="M270" i="90"/>
  <c r="M254" i="90"/>
  <c r="M238" i="90"/>
  <c r="M224" i="90"/>
  <c r="M194" i="90"/>
  <c r="M178" i="90"/>
  <c r="M157" i="90"/>
  <c r="M142" i="90"/>
  <c r="M127" i="90"/>
  <c r="M284" i="90"/>
  <c r="M264" i="90"/>
  <c r="M248" i="90"/>
  <c r="M232" i="90"/>
  <c r="M219" i="90"/>
  <c r="M207" i="90"/>
  <c r="M192" i="90"/>
  <c r="M176" i="90"/>
  <c r="M159" i="90"/>
  <c r="M144" i="90"/>
  <c r="M129" i="90"/>
  <c r="M113" i="90"/>
  <c r="M99" i="90"/>
  <c r="M84" i="90"/>
  <c r="M56" i="90"/>
  <c r="M41" i="90"/>
  <c r="M25" i="90"/>
  <c r="M10" i="90"/>
  <c r="M288" i="90"/>
  <c r="M271" i="90"/>
  <c r="M255" i="90"/>
  <c r="M235" i="90"/>
  <c r="M222" i="90"/>
  <c r="M209" i="90"/>
  <c r="M195" i="90"/>
  <c r="M162" i="90"/>
  <c r="M147" i="90"/>
  <c r="M132" i="90"/>
  <c r="M286" i="90"/>
  <c r="M269" i="90"/>
  <c r="M253" i="90"/>
  <c r="M237" i="90"/>
  <c r="M299" i="90"/>
  <c r="M282" i="90"/>
  <c r="M266" i="90"/>
  <c r="M250" i="90"/>
  <c r="M234" i="90"/>
  <c r="M221" i="90"/>
  <c r="M190" i="90"/>
  <c r="M173" i="90"/>
  <c r="M154" i="90"/>
  <c r="M138" i="90"/>
  <c r="M297" i="90"/>
  <c r="M279" i="90"/>
  <c r="M260" i="90"/>
  <c r="M244" i="90"/>
  <c r="M228" i="90"/>
  <c r="M215" i="90"/>
  <c r="M203" i="90"/>
  <c r="M188" i="90"/>
  <c r="M171" i="90"/>
  <c r="M155" i="90"/>
  <c r="M140" i="90"/>
  <c r="M125" i="90"/>
  <c r="M110" i="90"/>
  <c r="M95" i="90"/>
  <c r="M81" i="90"/>
  <c r="M65" i="90"/>
  <c r="M52" i="90"/>
  <c r="M37" i="90"/>
  <c r="M21" i="90"/>
  <c r="M6" i="90"/>
  <c r="M283" i="90"/>
  <c r="M267" i="90"/>
  <c r="M251" i="90"/>
  <c r="M231" i="90"/>
  <c r="M218" i="90"/>
  <c r="M206" i="90"/>
  <c r="M191" i="90"/>
  <c r="M175" i="90"/>
  <c r="M158" i="90"/>
  <c r="M143" i="90"/>
  <c r="M128" i="90"/>
  <c r="M298" i="90"/>
  <c r="M280" i="90"/>
  <c r="M265" i="90"/>
  <c r="M249" i="90"/>
  <c r="M233" i="90"/>
  <c r="M220" i="90"/>
  <c r="M295" i="90"/>
  <c r="M277" i="90"/>
  <c r="M262" i="90"/>
  <c r="M246" i="90"/>
  <c r="M230" i="90"/>
  <c r="M205" i="90"/>
  <c r="M186" i="90"/>
  <c r="M165" i="90"/>
  <c r="M150" i="90"/>
  <c r="M134" i="90"/>
  <c r="M293" i="90"/>
  <c r="M256" i="90"/>
  <c r="M240" i="90"/>
  <c r="M225" i="90"/>
  <c r="M199" i="90"/>
  <c r="M184" i="90"/>
  <c r="M167" i="90"/>
  <c r="M152" i="90"/>
  <c r="M136" i="90"/>
  <c r="M121" i="90"/>
  <c r="M107" i="90"/>
  <c r="M91" i="90"/>
  <c r="M77" i="90"/>
  <c r="M62" i="90"/>
  <c r="M48" i="90"/>
  <c r="M33" i="90"/>
  <c r="M17" i="90"/>
  <c r="M296" i="90"/>
  <c r="M278" i="90"/>
  <c r="M263" i="90"/>
  <c r="M243" i="90"/>
  <c r="M227" i="90"/>
  <c r="M214" i="90"/>
  <c r="M202" i="90"/>
  <c r="M187" i="90"/>
  <c r="M170" i="90"/>
  <c r="M139" i="90"/>
  <c r="M124" i="90"/>
  <c r="M31" i="90"/>
  <c r="M102" i="90"/>
  <c r="M72" i="90"/>
  <c r="M44" i="90"/>
  <c r="M79" i="90"/>
  <c r="M50" i="90"/>
  <c r="M19" i="90"/>
  <c r="M181" i="90"/>
  <c r="M149" i="90"/>
  <c r="M118" i="90"/>
  <c r="M88" i="90"/>
  <c r="M30" i="90"/>
  <c r="M247" i="90"/>
  <c r="M69" i="90"/>
  <c r="M268" i="90"/>
  <c r="M39" i="90"/>
  <c r="M168" i="90"/>
  <c r="M78" i="90"/>
  <c r="M97" i="90"/>
  <c r="M200" i="90"/>
  <c r="M108" i="90"/>
  <c r="M119" i="90"/>
  <c r="M208" i="90"/>
  <c r="M114" i="90"/>
  <c r="M18" i="90"/>
  <c r="Q285" i="90" l="1"/>
  <c r="R285" i="90" s="1"/>
  <c r="N217" i="90"/>
  <c r="N179" i="90"/>
  <c r="N66" i="90"/>
  <c r="N281" i="90"/>
  <c r="N57" i="90"/>
  <c r="N105" i="90"/>
  <c r="N204" i="90"/>
  <c r="N43" i="90"/>
  <c r="N101" i="90"/>
  <c r="N92" i="90"/>
  <c r="N12" i="90"/>
  <c r="N53" i="90"/>
  <c r="L301" i="90"/>
  <c r="N64" i="90"/>
  <c r="N111" i="90"/>
  <c r="N174" i="90"/>
  <c r="N90" i="90"/>
  <c r="N71" i="90"/>
  <c r="N106" i="90"/>
  <c r="N201" i="90"/>
  <c r="N8" i="90"/>
  <c r="N177" i="90"/>
  <c r="N42" i="90"/>
  <c r="N141" i="90"/>
  <c r="N22" i="90"/>
  <c r="N82" i="90"/>
  <c r="N75" i="90"/>
  <c r="N36" i="90"/>
  <c r="N94" i="90"/>
  <c r="N169" i="90"/>
  <c r="N55" i="90"/>
  <c r="N89" i="90"/>
  <c r="N68" i="90"/>
  <c r="N145" i="90"/>
  <c r="N70" i="90"/>
  <c r="N185" i="90"/>
  <c r="N172" i="90"/>
  <c r="N32" i="90"/>
  <c r="N5" i="90"/>
  <c r="N85" i="90"/>
  <c r="N49" i="90"/>
  <c r="N27" i="90"/>
  <c r="N13" i="90"/>
  <c r="N73" i="90"/>
  <c r="N63" i="90"/>
  <c r="N34" i="90"/>
  <c r="N4" i="90"/>
  <c r="N131" i="90"/>
  <c r="N60" i="90"/>
  <c r="N117" i="90"/>
  <c r="N189" i="90"/>
  <c r="N245" i="90"/>
  <c r="N146" i="90"/>
  <c r="N266" i="90"/>
  <c r="N166" i="90"/>
  <c r="N288" i="90"/>
  <c r="N180" i="90"/>
  <c r="N236" i="90"/>
  <c r="N7" i="90"/>
  <c r="N67" i="90"/>
  <c r="N126" i="90"/>
  <c r="N119" i="90"/>
  <c r="N48" i="90"/>
  <c r="N107" i="90"/>
  <c r="N233" i="90"/>
  <c r="N298" i="90"/>
  <c r="N198" i="90"/>
  <c r="N254" i="90"/>
  <c r="N20" i="90"/>
  <c r="N80" i="90"/>
  <c r="N139" i="90"/>
  <c r="N202" i="90"/>
  <c r="N259" i="90"/>
  <c r="N152" i="90"/>
  <c r="N272" i="90"/>
  <c r="N100" i="90"/>
  <c r="N19" i="90"/>
  <c r="N79" i="90"/>
  <c r="N6" i="90"/>
  <c r="N65" i="90"/>
  <c r="N125" i="90"/>
  <c r="N197" i="90"/>
  <c r="N253" i="90"/>
  <c r="N154" i="90"/>
  <c r="N213" i="90"/>
  <c r="N274" i="90"/>
  <c r="N40" i="90"/>
  <c r="N98" i="90"/>
  <c r="N158" i="90"/>
  <c r="N218" i="90"/>
  <c r="N278" i="90"/>
  <c r="N171" i="90"/>
  <c r="N228" i="90"/>
  <c r="N293" i="90"/>
  <c r="N118" i="90"/>
  <c r="N39" i="90"/>
  <c r="N97" i="90"/>
  <c r="N25" i="90"/>
  <c r="N84" i="90"/>
  <c r="N153" i="90"/>
  <c r="N212" i="90"/>
  <c r="N273" i="90"/>
  <c r="N173" i="90"/>
  <c r="N230" i="90"/>
  <c r="N295" i="90"/>
  <c r="N59" i="90"/>
  <c r="N116" i="90"/>
  <c r="N235" i="90"/>
  <c r="N297" i="90"/>
  <c r="N192" i="90"/>
  <c r="N248" i="90"/>
  <c r="N108" i="90"/>
  <c r="N86" i="90"/>
  <c r="N261" i="90"/>
  <c r="N161" i="90"/>
  <c r="N221" i="90"/>
  <c r="N282" i="90"/>
  <c r="N61" i="90"/>
  <c r="N120" i="90"/>
  <c r="N183" i="90"/>
  <c r="N239" i="90"/>
  <c r="N196" i="90"/>
  <c r="N252" i="90"/>
  <c r="N15" i="90"/>
  <c r="N134" i="90"/>
  <c r="N62" i="90"/>
  <c r="N121" i="90"/>
  <c r="N193" i="90"/>
  <c r="N249" i="90"/>
  <c r="N150" i="90"/>
  <c r="N270" i="90"/>
  <c r="N214" i="90"/>
  <c r="N275" i="90"/>
  <c r="N167" i="90"/>
  <c r="N225" i="90"/>
  <c r="N289" i="90"/>
  <c r="N114" i="90"/>
  <c r="N35" i="90"/>
  <c r="N93" i="90"/>
  <c r="N21" i="90"/>
  <c r="N81" i="90"/>
  <c r="N149" i="90"/>
  <c r="N269" i="90"/>
  <c r="N291" i="90"/>
  <c r="N175" i="90"/>
  <c r="N231" i="90"/>
  <c r="N296" i="90"/>
  <c r="N188" i="90"/>
  <c r="N244" i="90"/>
  <c r="N14" i="90"/>
  <c r="N74" i="90"/>
  <c r="N133" i="90"/>
  <c r="N54" i="90"/>
  <c r="N112" i="90"/>
  <c r="N41" i="90"/>
  <c r="N99" i="90"/>
  <c r="N168" i="90"/>
  <c r="N226" i="90"/>
  <c r="N290" i="90"/>
  <c r="N190" i="90"/>
  <c r="N246" i="90"/>
  <c r="N72" i="90"/>
  <c r="N132" i="90"/>
  <c r="N195" i="90"/>
  <c r="N251" i="90"/>
  <c r="N144" i="90"/>
  <c r="N207" i="90"/>
  <c r="N264" i="90"/>
  <c r="M301" i="90"/>
  <c r="N122" i="90"/>
  <c r="N29" i="90"/>
  <c r="N156" i="90"/>
  <c r="N216" i="90"/>
  <c r="N276" i="90"/>
  <c r="N178" i="90"/>
  <c r="N234" i="90"/>
  <c r="N16" i="90"/>
  <c r="N76" i="90"/>
  <c r="N135" i="90"/>
  <c r="N255" i="90"/>
  <c r="N148" i="90"/>
  <c r="N210" i="90"/>
  <c r="N268" i="90"/>
  <c r="N38" i="90"/>
  <c r="N96" i="90"/>
  <c r="N31" i="90"/>
  <c r="N17" i="90"/>
  <c r="N77" i="90"/>
  <c r="N208" i="90"/>
  <c r="N265" i="90"/>
  <c r="N165" i="90"/>
  <c r="N224" i="90"/>
  <c r="N287" i="90"/>
  <c r="N51" i="90"/>
  <c r="N109" i="90"/>
  <c r="N170" i="90"/>
  <c r="N227" i="90"/>
  <c r="N292" i="90"/>
  <c r="N184" i="90"/>
  <c r="N240" i="90"/>
  <c r="N11" i="90"/>
  <c r="N130" i="90"/>
  <c r="N50" i="90"/>
  <c r="N37" i="90"/>
  <c r="N95" i="90"/>
  <c r="N164" i="90"/>
  <c r="N286" i="90"/>
  <c r="N186" i="90"/>
  <c r="N242" i="90"/>
  <c r="N9" i="90"/>
  <c r="N69" i="90"/>
  <c r="N128" i="90"/>
  <c r="N191" i="90"/>
  <c r="N247" i="90"/>
  <c r="N140" i="90"/>
  <c r="N203" i="90"/>
  <c r="N260" i="90"/>
  <c r="N30" i="90"/>
  <c r="N88" i="90"/>
  <c r="N127" i="90"/>
  <c r="N56" i="90"/>
  <c r="N113" i="90"/>
  <c r="N241" i="90"/>
  <c r="N142" i="90"/>
  <c r="N205" i="90"/>
  <c r="N262" i="90"/>
  <c r="N28" i="90"/>
  <c r="N87" i="90"/>
  <c r="N147" i="90"/>
  <c r="N209" i="90"/>
  <c r="N267" i="90"/>
  <c r="N159" i="90"/>
  <c r="N219" i="90"/>
  <c r="N279" i="90"/>
  <c r="N18" i="90"/>
  <c r="N78" i="90"/>
  <c r="N137" i="90"/>
  <c r="N58" i="90"/>
  <c r="N115" i="90"/>
  <c r="N45" i="90"/>
  <c r="N103" i="90"/>
  <c r="N229" i="90"/>
  <c r="N294" i="90"/>
  <c r="N194" i="90"/>
  <c r="N250" i="90"/>
  <c r="N151" i="90"/>
  <c r="N211" i="90"/>
  <c r="N271" i="90"/>
  <c r="N163" i="90"/>
  <c r="N223" i="90"/>
  <c r="N284" i="90"/>
  <c r="N47" i="90"/>
  <c r="N33" i="90"/>
  <c r="N91" i="90"/>
  <c r="N160" i="90"/>
  <c r="N220" i="90"/>
  <c r="N280" i="90"/>
  <c r="N182" i="90"/>
  <c r="N238" i="90"/>
  <c r="N124" i="90"/>
  <c r="N187" i="90"/>
  <c r="N243" i="90"/>
  <c r="N136" i="90"/>
  <c r="N199" i="90"/>
  <c r="N256" i="90"/>
  <c r="N26" i="90"/>
  <c r="N123" i="90"/>
  <c r="N52" i="90"/>
  <c r="N110" i="90"/>
  <c r="N181" i="90"/>
  <c r="N237" i="90"/>
  <c r="N138" i="90"/>
  <c r="N258" i="90"/>
  <c r="N24" i="90"/>
  <c r="N83" i="90"/>
  <c r="N143" i="90"/>
  <c r="N206" i="90"/>
  <c r="N263" i="90"/>
  <c r="N155" i="90"/>
  <c r="N215" i="90"/>
  <c r="N46" i="90"/>
  <c r="N104" i="90"/>
  <c r="N23" i="90"/>
  <c r="N10" i="90"/>
  <c r="N129" i="90"/>
  <c r="N200" i="90"/>
  <c r="N257" i="90"/>
  <c r="N157" i="90"/>
  <c r="N277" i="90"/>
  <c r="N44" i="90"/>
  <c r="N102" i="90"/>
  <c r="N162" i="90"/>
  <c r="N222" i="90"/>
  <c r="N283" i="90"/>
  <c r="N176" i="90"/>
  <c r="N232" i="90"/>
  <c r="N299" i="90"/>
  <c r="Q89" i="90" l="1"/>
  <c r="R89" i="90" s="1"/>
  <c r="Q36" i="90"/>
  <c r="R36" i="90" s="1"/>
  <c r="Q141" i="90"/>
  <c r="R141" i="90" s="1"/>
  <c r="Q201" i="90"/>
  <c r="R201" i="90" s="1"/>
  <c r="Q174" i="90"/>
  <c r="R174" i="90" s="1"/>
  <c r="Q53" i="90"/>
  <c r="R53" i="90" s="1"/>
  <c r="Q43" i="90"/>
  <c r="R43" i="90" s="1"/>
  <c r="Q105" i="90"/>
  <c r="R105" i="90" s="1"/>
  <c r="Q179" i="90"/>
  <c r="R179" i="90" s="1"/>
  <c r="B628" i="74"/>
  <c r="K35" i="1"/>
  <c r="Q55" i="90"/>
  <c r="R55" i="90" s="1"/>
  <c r="Q75" i="90"/>
  <c r="R75" i="90" s="1"/>
  <c r="Q42" i="90"/>
  <c r="R42" i="90" s="1"/>
  <c r="Q106" i="90"/>
  <c r="R106" i="90" s="1"/>
  <c r="Q111" i="90"/>
  <c r="R111" i="90" s="1"/>
  <c r="Q12" i="90"/>
  <c r="R12" i="90" s="1"/>
  <c r="Q57" i="90"/>
  <c r="R57" i="90" s="1"/>
  <c r="Q217" i="90"/>
  <c r="R217" i="90" s="1"/>
  <c r="Q169" i="90"/>
  <c r="R169" i="90" s="1"/>
  <c r="Q82" i="90"/>
  <c r="R82" i="90" s="1"/>
  <c r="Q177" i="90"/>
  <c r="R177" i="90" s="1"/>
  <c r="Q64" i="90"/>
  <c r="R64" i="90" s="1"/>
  <c r="Q281" i="90"/>
  <c r="R281" i="90" s="1"/>
  <c r="Q68" i="90"/>
  <c r="R68" i="90" s="1"/>
  <c r="Q94" i="90"/>
  <c r="R94" i="90" s="1"/>
  <c r="Q22" i="90"/>
  <c r="R22" i="90" s="1"/>
  <c r="Q101" i="90"/>
  <c r="R101" i="90" s="1"/>
  <c r="Q204" i="90"/>
  <c r="R204" i="90" s="1"/>
  <c r="Q66" i="90"/>
  <c r="R66" i="90" s="1"/>
  <c r="Q71" i="90"/>
  <c r="R71" i="90" s="1"/>
  <c r="Q92" i="90"/>
  <c r="R92" i="90" s="1"/>
  <c r="Q90" i="90"/>
  <c r="R90" i="90" s="1"/>
  <c r="Q8" i="90"/>
  <c r="R8" i="90" s="1"/>
  <c r="Q283" i="90"/>
  <c r="R283" i="90" s="1"/>
  <c r="Q257" i="90"/>
  <c r="R257" i="90" s="1"/>
  <c r="Q46" i="90"/>
  <c r="R46" i="90" s="1"/>
  <c r="Q24" i="90"/>
  <c r="R24" i="90" s="1"/>
  <c r="Q124" i="90"/>
  <c r="R124" i="90" s="1"/>
  <c r="Q47" i="90"/>
  <c r="R47" i="90" s="1"/>
  <c r="Q194" i="90"/>
  <c r="R194" i="90" s="1"/>
  <c r="Q78" i="90"/>
  <c r="R78" i="90" s="1"/>
  <c r="Q87" i="90"/>
  <c r="R87" i="90" s="1"/>
  <c r="Q127" i="90"/>
  <c r="R127" i="90" s="1"/>
  <c r="Q128" i="90"/>
  <c r="R128" i="90" s="1"/>
  <c r="Q95" i="90"/>
  <c r="R95" i="90" s="1"/>
  <c r="Q292" i="90"/>
  <c r="R292" i="90" s="1"/>
  <c r="Q265" i="90"/>
  <c r="R265" i="90" s="1"/>
  <c r="Q210" i="90"/>
  <c r="R210" i="90" s="1"/>
  <c r="Q178" i="90"/>
  <c r="R178" i="90" s="1"/>
  <c r="Q264" i="90"/>
  <c r="R264" i="90" s="1"/>
  <c r="Q195" i="90"/>
  <c r="R195" i="90" s="1"/>
  <c r="Q168" i="90"/>
  <c r="R168" i="90" s="1"/>
  <c r="Q244" i="90"/>
  <c r="R244" i="90" s="1"/>
  <c r="Q21" i="90"/>
  <c r="R21" i="90" s="1"/>
  <c r="Q214" i="90"/>
  <c r="R214" i="90" s="1"/>
  <c r="Q62" i="90"/>
  <c r="R62" i="90" s="1"/>
  <c r="Q120" i="90"/>
  <c r="R120" i="90" s="1"/>
  <c r="Q248" i="90"/>
  <c r="R248" i="90" s="1"/>
  <c r="Q230" i="90"/>
  <c r="R230" i="90" s="1"/>
  <c r="Q228" i="90"/>
  <c r="R228" i="90" s="1"/>
  <c r="Q5" i="90"/>
  <c r="R5" i="90" s="1"/>
  <c r="Q44" i="90"/>
  <c r="R44" i="90" s="1"/>
  <c r="Q10" i="90"/>
  <c r="R10" i="90" s="1"/>
  <c r="Q263" i="90"/>
  <c r="R263" i="90" s="1"/>
  <c r="Q181" i="90"/>
  <c r="R181" i="90" s="1"/>
  <c r="Q199" i="90"/>
  <c r="R199" i="90" s="1"/>
  <c r="Q220" i="90"/>
  <c r="R220" i="90" s="1"/>
  <c r="Q271" i="90"/>
  <c r="R271" i="90" s="1"/>
  <c r="Q45" i="90"/>
  <c r="R45" i="90" s="1"/>
  <c r="Q159" i="90"/>
  <c r="R159" i="90" s="1"/>
  <c r="Q142" i="90"/>
  <c r="R142" i="90" s="1"/>
  <c r="Q203" i="90"/>
  <c r="R203" i="90" s="1"/>
  <c r="Q186" i="90"/>
  <c r="R186" i="90" s="1"/>
  <c r="Q130" i="90"/>
  <c r="R130" i="90" s="1"/>
  <c r="Q51" i="90"/>
  <c r="R51" i="90" s="1"/>
  <c r="Q31" i="90"/>
  <c r="R31" i="90" s="1"/>
  <c r="Q135" i="90"/>
  <c r="R135" i="90" s="1"/>
  <c r="Q246" i="90"/>
  <c r="R246" i="90" s="1"/>
  <c r="Q54" i="90"/>
  <c r="R54" i="90" s="1"/>
  <c r="Q175" i="90"/>
  <c r="R175" i="90" s="1"/>
  <c r="Q269" i="90"/>
  <c r="R269" i="90" s="1"/>
  <c r="Q289" i="90"/>
  <c r="R289" i="90" s="1"/>
  <c r="Q150" i="90"/>
  <c r="R150" i="90" s="1"/>
  <c r="Q196" i="90"/>
  <c r="R196" i="90" s="1"/>
  <c r="Q161" i="90"/>
  <c r="R161" i="90" s="1"/>
  <c r="Q153" i="90"/>
  <c r="R153" i="90" s="1"/>
  <c r="Q39" i="90"/>
  <c r="R39" i="90" s="1"/>
  <c r="Q158" i="90"/>
  <c r="R158" i="90" s="1"/>
  <c r="Q213" i="90"/>
  <c r="R213" i="90" s="1"/>
  <c r="Q125" i="90"/>
  <c r="R125" i="90" s="1"/>
  <c r="Q19" i="90"/>
  <c r="R19" i="90" s="1"/>
  <c r="Q152" i="90"/>
  <c r="R152" i="90" s="1"/>
  <c r="Q80" i="90"/>
  <c r="R80" i="90" s="1"/>
  <c r="Q298" i="90"/>
  <c r="R298" i="90" s="1"/>
  <c r="Q119" i="90"/>
  <c r="R119" i="90" s="1"/>
  <c r="Q7" i="90"/>
  <c r="R7" i="90" s="1"/>
  <c r="Q117" i="90"/>
  <c r="R117" i="90" s="1"/>
  <c r="Q13" i="90"/>
  <c r="R13" i="90" s="1"/>
  <c r="Q70" i="90"/>
  <c r="R70" i="90" s="1"/>
  <c r="Q299" i="90"/>
  <c r="R299" i="90" s="1"/>
  <c r="Q222" i="90"/>
  <c r="R222" i="90" s="1"/>
  <c r="Q277" i="90"/>
  <c r="R277" i="90" s="1"/>
  <c r="Q200" i="90"/>
  <c r="R200" i="90" s="1"/>
  <c r="Q206" i="90"/>
  <c r="R206" i="90" s="1"/>
  <c r="Q258" i="90"/>
  <c r="R258" i="90" s="1"/>
  <c r="Q110" i="90"/>
  <c r="R110" i="90" s="1"/>
  <c r="Q136" i="90"/>
  <c r="R136" i="90" s="1"/>
  <c r="Q238" i="90"/>
  <c r="R238" i="90" s="1"/>
  <c r="Q160" i="90"/>
  <c r="R160" i="90" s="1"/>
  <c r="Q284" i="90"/>
  <c r="R284" i="90" s="1"/>
  <c r="Q211" i="90"/>
  <c r="R211" i="90" s="1"/>
  <c r="Q294" i="90"/>
  <c r="R294" i="90" s="1"/>
  <c r="Q115" i="90"/>
  <c r="R115" i="90" s="1"/>
  <c r="Q18" i="90"/>
  <c r="R18" i="90" s="1"/>
  <c r="Q267" i="90"/>
  <c r="R267" i="90" s="1"/>
  <c r="Q28" i="90"/>
  <c r="R28" i="90" s="1"/>
  <c r="Q241" i="90"/>
  <c r="R241" i="90" s="1"/>
  <c r="Q88" i="90"/>
  <c r="R88" i="90" s="1"/>
  <c r="Q140" i="90"/>
  <c r="R140" i="90" s="1"/>
  <c r="Q69" i="90"/>
  <c r="R69" i="90" s="1"/>
  <c r="Q286" i="90"/>
  <c r="R286" i="90" s="1"/>
  <c r="Q37" i="90"/>
  <c r="R37" i="90" s="1"/>
  <c r="Q11" i="90"/>
  <c r="R11" i="90" s="1"/>
  <c r="Q227" i="90"/>
  <c r="R227" i="90" s="1"/>
  <c r="Q287" i="90"/>
  <c r="R287" i="90" s="1"/>
  <c r="Q208" i="90"/>
  <c r="R208" i="90" s="1"/>
  <c r="Q96" i="90"/>
  <c r="R96" i="90" s="1"/>
  <c r="Q148" i="90"/>
  <c r="R148" i="90" s="1"/>
  <c r="Q76" i="90"/>
  <c r="R76" i="90" s="1"/>
  <c r="Q276" i="90"/>
  <c r="R276" i="90" s="1"/>
  <c r="Q29" i="90"/>
  <c r="R29" i="90" s="1"/>
  <c r="Q207" i="90"/>
  <c r="R207" i="90" s="1"/>
  <c r="Q132" i="90"/>
  <c r="R132" i="90" s="1"/>
  <c r="Q190" i="90"/>
  <c r="R190" i="90" s="1"/>
  <c r="Q99" i="90"/>
  <c r="R99" i="90" s="1"/>
  <c r="Q133" i="90"/>
  <c r="R133" i="90" s="1"/>
  <c r="Q188" i="90"/>
  <c r="R188" i="90" s="1"/>
  <c r="Q93" i="90"/>
  <c r="R93" i="90" s="1"/>
  <c r="Q225" i="90"/>
  <c r="R225" i="90" s="1"/>
  <c r="Q249" i="90"/>
  <c r="R249" i="90" s="1"/>
  <c r="Q134" i="90"/>
  <c r="R134" i="90" s="1"/>
  <c r="Q61" i="90"/>
  <c r="R61" i="90" s="1"/>
  <c r="Q261" i="90"/>
  <c r="R261" i="90" s="1"/>
  <c r="Q192" i="90"/>
  <c r="R192" i="90" s="1"/>
  <c r="Q116" i="90"/>
  <c r="R116" i="90" s="1"/>
  <c r="Q173" i="90"/>
  <c r="R173" i="90" s="1"/>
  <c r="Q84" i="90"/>
  <c r="R84" i="90" s="1"/>
  <c r="Q118" i="90"/>
  <c r="R118" i="90" s="1"/>
  <c r="Q171" i="90"/>
  <c r="R171" i="90" s="1"/>
  <c r="Q98" i="90"/>
  <c r="R98" i="90" s="1"/>
  <c r="Q154" i="90"/>
  <c r="R154" i="90" s="1"/>
  <c r="Q65" i="90"/>
  <c r="R65" i="90" s="1"/>
  <c r="Q100" i="90"/>
  <c r="R100" i="90" s="1"/>
  <c r="Q259" i="90"/>
  <c r="R259" i="90" s="1"/>
  <c r="Q20" i="90"/>
  <c r="R20" i="90" s="1"/>
  <c r="Q233" i="90"/>
  <c r="R233" i="90" s="1"/>
  <c r="Q236" i="90"/>
  <c r="R236" i="90" s="1"/>
  <c r="Q166" i="90"/>
  <c r="R166" i="90" s="1"/>
  <c r="Q146" i="90"/>
  <c r="R146" i="90" s="1"/>
  <c r="Q60" i="90"/>
  <c r="R60" i="90" s="1"/>
  <c r="Q34" i="90"/>
  <c r="R34" i="90" s="1"/>
  <c r="Q27" i="90"/>
  <c r="R27" i="90" s="1"/>
  <c r="Q32" i="90"/>
  <c r="R32" i="90" s="1"/>
  <c r="Q145" i="90"/>
  <c r="R145" i="90" s="1"/>
  <c r="Q162" i="90"/>
  <c r="R162" i="90" s="1"/>
  <c r="Q23" i="90"/>
  <c r="R23" i="90" s="1"/>
  <c r="Q143" i="90"/>
  <c r="R143" i="90" s="1"/>
  <c r="Q26" i="90"/>
  <c r="R26" i="90" s="1"/>
  <c r="Q182" i="90"/>
  <c r="R182" i="90" s="1"/>
  <c r="Q223" i="90"/>
  <c r="R223" i="90" s="1"/>
  <c r="Q58" i="90"/>
  <c r="R58" i="90" s="1"/>
  <c r="Q209" i="90"/>
  <c r="R209" i="90" s="1"/>
  <c r="Q30" i="90"/>
  <c r="R30" i="90" s="1"/>
  <c r="Q9" i="90"/>
  <c r="R9" i="90" s="1"/>
  <c r="Q240" i="90"/>
  <c r="R240" i="90" s="1"/>
  <c r="Q224" i="90"/>
  <c r="R224" i="90" s="1"/>
  <c r="Q255" i="90"/>
  <c r="R255" i="90" s="1"/>
  <c r="Q216" i="90"/>
  <c r="R216" i="90" s="1"/>
  <c r="Q72" i="90"/>
  <c r="R72" i="90" s="1"/>
  <c r="Q41" i="90"/>
  <c r="R41" i="90" s="1"/>
  <c r="Q296" i="90"/>
  <c r="R296" i="90" s="1"/>
  <c r="Q35" i="90"/>
  <c r="R35" i="90" s="1"/>
  <c r="Q193" i="90"/>
  <c r="R193" i="90" s="1"/>
  <c r="Q239" i="90"/>
  <c r="R239" i="90" s="1"/>
  <c r="Q297" i="90"/>
  <c r="R297" i="90" s="1"/>
  <c r="Q273" i="90"/>
  <c r="R273" i="90" s="1"/>
  <c r="Q278" i="90"/>
  <c r="R278" i="90" s="1"/>
  <c r="Q272" i="90"/>
  <c r="R272" i="90" s="1"/>
  <c r="Q107" i="90"/>
  <c r="R107" i="90" s="1"/>
  <c r="Q131" i="90"/>
  <c r="R131" i="90" s="1"/>
  <c r="Q232" i="90"/>
  <c r="R232" i="90" s="1"/>
  <c r="Q129" i="90"/>
  <c r="R129" i="90" s="1"/>
  <c r="Q215" i="90"/>
  <c r="R215" i="90" s="1"/>
  <c r="Q138" i="90"/>
  <c r="R138" i="90" s="1"/>
  <c r="Q52" i="90"/>
  <c r="R52" i="90" s="1"/>
  <c r="Q243" i="90"/>
  <c r="R243" i="90" s="1"/>
  <c r="Q91" i="90"/>
  <c r="R91" i="90" s="1"/>
  <c r="Q151" i="90"/>
  <c r="R151" i="90" s="1"/>
  <c r="Q229" i="90"/>
  <c r="R229" i="90" s="1"/>
  <c r="Q279" i="90"/>
  <c r="R279" i="90" s="1"/>
  <c r="Q262" i="90"/>
  <c r="R262" i="90" s="1"/>
  <c r="Q113" i="90"/>
  <c r="R113" i="90" s="1"/>
  <c r="Q247" i="90"/>
  <c r="R247" i="90" s="1"/>
  <c r="Q170" i="90"/>
  <c r="R170" i="90" s="1"/>
  <c r="Q77" i="90"/>
  <c r="R77" i="90" s="1"/>
  <c r="Q38" i="90"/>
  <c r="R38" i="90" s="1"/>
  <c r="Q16" i="90"/>
  <c r="R16" i="90" s="1"/>
  <c r="Q122" i="90"/>
  <c r="R122" i="90" s="1"/>
  <c r="Q144" i="90"/>
  <c r="R144" i="90" s="1"/>
  <c r="Q290" i="90"/>
  <c r="R290" i="90" s="1"/>
  <c r="Q74" i="90"/>
  <c r="R74" i="90" s="1"/>
  <c r="Q291" i="90"/>
  <c r="R291" i="90" s="1"/>
  <c r="Q149" i="90"/>
  <c r="R149" i="90" s="1"/>
  <c r="Q167" i="90"/>
  <c r="R167" i="90" s="1"/>
  <c r="Q270" i="90"/>
  <c r="R270" i="90" s="1"/>
  <c r="Q15" i="90"/>
  <c r="R15" i="90" s="1"/>
  <c r="Q282" i="90"/>
  <c r="R282" i="90" s="1"/>
  <c r="Q86" i="90"/>
  <c r="R86" i="90" s="1"/>
  <c r="Q59" i="90"/>
  <c r="R59" i="90" s="1"/>
  <c r="Q25" i="90"/>
  <c r="R25" i="90" s="1"/>
  <c r="Q40" i="90"/>
  <c r="R40" i="90" s="1"/>
  <c r="Q253" i="90"/>
  <c r="R253" i="90" s="1"/>
  <c r="Q6" i="90"/>
  <c r="R6" i="90" s="1"/>
  <c r="Q202" i="90"/>
  <c r="R202" i="90" s="1"/>
  <c r="Q254" i="90"/>
  <c r="R254" i="90" s="1"/>
  <c r="Q126" i="90"/>
  <c r="R126" i="90" s="1"/>
  <c r="Q180" i="90"/>
  <c r="R180" i="90" s="1"/>
  <c r="Q245" i="90"/>
  <c r="R245" i="90" s="1"/>
  <c r="Q63" i="90"/>
  <c r="R63" i="90" s="1"/>
  <c r="Q49" i="90"/>
  <c r="R49" i="90" s="1"/>
  <c r="Q172" i="90"/>
  <c r="R172" i="90" s="1"/>
  <c r="Q176" i="90"/>
  <c r="R176" i="90" s="1"/>
  <c r="Q102" i="90"/>
  <c r="R102" i="90" s="1"/>
  <c r="Q157" i="90"/>
  <c r="R157" i="90" s="1"/>
  <c r="Q104" i="90"/>
  <c r="R104" i="90" s="1"/>
  <c r="Q155" i="90"/>
  <c r="R155" i="90" s="1"/>
  <c r="Q83" i="90"/>
  <c r="R83" i="90" s="1"/>
  <c r="Q237" i="90"/>
  <c r="R237" i="90" s="1"/>
  <c r="Q123" i="90"/>
  <c r="R123" i="90" s="1"/>
  <c r="Q256" i="90"/>
  <c r="R256" i="90" s="1"/>
  <c r="Q187" i="90"/>
  <c r="R187" i="90" s="1"/>
  <c r="Q280" i="90"/>
  <c r="R280" i="90" s="1"/>
  <c r="Q33" i="90"/>
  <c r="R33" i="90" s="1"/>
  <c r="Q163" i="90"/>
  <c r="R163" i="90" s="1"/>
  <c r="Q250" i="90"/>
  <c r="R250" i="90" s="1"/>
  <c r="Q103" i="90"/>
  <c r="R103" i="90" s="1"/>
  <c r="Q137" i="90"/>
  <c r="R137" i="90" s="1"/>
  <c r="Q219" i="90"/>
  <c r="R219" i="90" s="1"/>
  <c r="Q147" i="90"/>
  <c r="R147" i="90" s="1"/>
  <c r="Q205" i="90"/>
  <c r="R205" i="90" s="1"/>
  <c r="Q56" i="90"/>
  <c r="R56" i="90" s="1"/>
  <c r="Q260" i="90"/>
  <c r="R260" i="90" s="1"/>
  <c r="Q191" i="90"/>
  <c r="R191" i="90" s="1"/>
  <c r="Q242" i="90"/>
  <c r="R242" i="90" s="1"/>
  <c r="Q164" i="90"/>
  <c r="R164" i="90" s="1"/>
  <c r="Q50" i="90"/>
  <c r="R50" i="90" s="1"/>
  <c r="Q184" i="90"/>
  <c r="R184" i="90" s="1"/>
  <c r="Q109" i="90"/>
  <c r="R109" i="90" s="1"/>
  <c r="Q165" i="90"/>
  <c r="R165" i="90" s="1"/>
  <c r="Q17" i="90"/>
  <c r="R17" i="90" s="1"/>
  <c r="Q268" i="90"/>
  <c r="R268" i="90" s="1"/>
  <c r="Q234" i="90"/>
  <c r="R234" i="90" s="1"/>
  <c r="Q156" i="90"/>
  <c r="R156" i="90" s="1"/>
  <c r="Q251" i="90"/>
  <c r="R251" i="90" s="1"/>
  <c r="Q226" i="90"/>
  <c r="R226" i="90" s="1"/>
  <c r="Q112" i="90"/>
  <c r="R112" i="90" s="1"/>
  <c r="Q14" i="90"/>
  <c r="R14" i="90" s="1"/>
  <c r="Q231" i="90"/>
  <c r="R231" i="90" s="1"/>
  <c r="Q81" i="90"/>
  <c r="R81" i="90" s="1"/>
  <c r="Q114" i="90"/>
  <c r="R114" i="90" s="1"/>
  <c r="Q275" i="90"/>
  <c r="R275" i="90" s="1"/>
  <c r="Q121" i="90"/>
  <c r="R121" i="90" s="1"/>
  <c r="Q252" i="90"/>
  <c r="R252" i="90" s="1"/>
  <c r="Q183" i="90"/>
  <c r="R183" i="90" s="1"/>
  <c r="Q221" i="90"/>
  <c r="R221" i="90" s="1"/>
  <c r="Q108" i="90"/>
  <c r="R108" i="90" s="1"/>
  <c r="Q235" i="90"/>
  <c r="R235" i="90" s="1"/>
  <c r="Q295" i="90"/>
  <c r="R295" i="90" s="1"/>
  <c r="Q212" i="90"/>
  <c r="R212" i="90" s="1"/>
  <c r="Q97" i="90"/>
  <c r="R97" i="90" s="1"/>
  <c r="Q293" i="90"/>
  <c r="R293" i="90" s="1"/>
  <c r="Q218" i="90"/>
  <c r="R218" i="90" s="1"/>
  <c r="Q274" i="90"/>
  <c r="R274" i="90" s="1"/>
  <c r="Q197" i="90"/>
  <c r="R197" i="90" s="1"/>
  <c r="Q79" i="90"/>
  <c r="R79" i="90" s="1"/>
  <c r="Q139" i="90"/>
  <c r="R139" i="90" s="1"/>
  <c r="Q198" i="90"/>
  <c r="R198" i="90" s="1"/>
  <c r="Q48" i="90"/>
  <c r="R48" i="90" s="1"/>
  <c r="Q67" i="90"/>
  <c r="R67" i="90" s="1"/>
  <c r="Q288" i="90"/>
  <c r="R288" i="90" s="1"/>
  <c r="Q266" i="90"/>
  <c r="R266" i="90" s="1"/>
  <c r="Q189" i="90"/>
  <c r="R189" i="90" s="1"/>
  <c r="Q73" i="90"/>
  <c r="R73" i="90" s="1"/>
  <c r="Q85" i="90"/>
  <c r="R85" i="90" s="1"/>
  <c r="Q185" i="90"/>
  <c r="R185" i="90" s="1"/>
  <c r="Q4" i="90"/>
  <c r="R4" i="90" s="1"/>
  <c r="N301" i="90"/>
  <c r="K39" i="1" l="1"/>
  <c r="B608" i="74"/>
  <c r="H28" i="23"/>
  <c r="K255" i="1" l="1"/>
  <c r="S206" i="1" s="1"/>
  <c r="M154" i="6"/>
  <c r="AB154" i="6" s="1"/>
  <c r="AF154" i="6" s="1"/>
  <c r="B131" i="74" l="1"/>
  <c r="B251" i="74"/>
  <c r="B370" i="74"/>
  <c r="C55" i="41"/>
  <c r="J50" i="41"/>
  <c r="G55" i="41"/>
  <c r="G50" i="41"/>
  <c r="B616" i="74"/>
  <c r="B623" i="74" s="1"/>
  <c r="C50" i="41"/>
  <c r="S191" i="1" l="1"/>
  <c r="AC20" i="30"/>
  <c r="B80" i="52" l="1"/>
  <c r="B81" i="52"/>
  <c r="B82" i="52"/>
  <c r="B83" i="52"/>
  <c r="B84" i="52"/>
  <c r="B85" i="52"/>
  <c r="B86" i="52"/>
  <c r="B87" i="52"/>
  <c r="B88" i="52"/>
  <c r="B89" i="52"/>
  <c r="B90" i="52"/>
  <c r="B91" i="52"/>
  <c r="B93" i="52"/>
  <c r="B94" i="52"/>
  <c r="B95" i="52"/>
  <c r="B96" i="52"/>
  <c r="B97" i="52"/>
  <c r="B98" i="52"/>
  <c r="B99" i="52"/>
  <c r="B100" i="52"/>
  <c r="B101" i="52"/>
  <c r="B102" i="52"/>
  <c r="B103" i="52"/>
  <c r="B104" i="52"/>
  <c r="B105" i="52"/>
  <c r="B106" i="52"/>
  <c r="B107" i="52"/>
  <c r="B108" i="52"/>
  <c r="B109" i="52"/>
  <c r="B110" i="52"/>
  <c r="B112" i="52"/>
  <c r="B113" i="52"/>
  <c r="B114" i="52"/>
  <c r="B115" i="52"/>
  <c r="B116" i="52"/>
  <c r="B117" i="52"/>
  <c r="B118" i="52"/>
  <c r="B119" i="52"/>
  <c r="B120" i="52"/>
  <c r="B121" i="52"/>
  <c r="B122" i="52"/>
  <c r="B123" i="52"/>
  <c r="B124" i="52"/>
  <c r="B125" i="52"/>
  <c r="B126" i="52"/>
  <c r="B127" i="52"/>
  <c r="B128" i="52"/>
  <c r="B131" i="52"/>
  <c r="B132" i="52"/>
  <c r="B133" i="52"/>
  <c r="B134" i="52"/>
  <c r="B137" i="52"/>
  <c r="B138" i="52"/>
  <c r="B139" i="52"/>
  <c r="B140" i="52"/>
  <c r="B141" i="52"/>
  <c r="B142" i="52"/>
  <c r="B143" i="52"/>
  <c r="B144" i="52"/>
  <c r="B145" i="52"/>
  <c r="B146" i="52"/>
  <c r="B147" i="52"/>
  <c r="B148" i="52"/>
  <c r="B149" i="52"/>
  <c r="B150" i="52"/>
  <c r="B151" i="52"/>
  <c r="B152" i="52"/>
  <c r="B153" i="52"/>
  <c r="B154" i="52"/>
  <c r="B155" i="52"/>
  <c r="B156" i="52"/>
  <c r="B157" i="52"/>
  <c r="B158" i="52"/>
  <c r="B159" i="52"/>
  <c r="B160" i="52"/>
  <c r="B161" i="52"/>
  <c r="B162" i="52"/>
  <c r="B163" i="52"/>
  <c r="B164" i="52"/>
  <c r="B165" i="52"/>
  <c r="B167" i="52"/>
  <c r="B168" i="52"/>
  <c r="B169" i="52"/>
  <c r="B170" i="52"/>
  <c r="B171" i="52"/>
  <c r="B172" i="52"/>
  <c r="B173" i="52"/>
  <c r="B174" i="52"/>
  <c r="B175" i="52"/>
  <c r="B176" i="52"/>
  <c r="B177" i="52"/>
  <c r="B178" i="52"/>
  <c r="B179" i="52"/>
  <c r="B180" i="52"/>
  <c r="B181" i="52"/>
  <c r="B182" i="52"/>
  <c r="B183" i="52"/>
  <c r="B184" i="52"/>
  <c r="B185" i="52"/>
  <c r="B186" i="52"/>
  <c r="B187" i="52"/>
  <c r="B188" i="52"/>
  <c r="B189" i="52"/>
  <c r="B190" i="52"/>
  <c r="B191" i="52"/>
  <c r="B192" i="52"/>
  <c r="B193" i="52"/>
  <c r="B194" i="52"/>
  <c r="B195" i="52"/>
  <c r="B196" i="52"/>
  <c r="B197" i="52"/>
  <c r="B198" i="52"/>
  <c r="B199" i="52"/>
  <c r="B200" i="52"/>
  <c r="B201" i="52"/>
  <c r="B202" i="52"/>
  <c r="B203" i="52"/>
  <c r="B204" i="52"/>
  <c r="B205" i="52"/>
  <c r="B206" i="52"/>
  <c r="B207" i="52"/>
  <c r="B208" i="52"/>
  <c r="B209" i="52"/>
  <c r="B210" i="52"/>
  <c r="B211" i="52"/>
  <c r="B212" i="52"/>
  <c r="B213" i="52"/>
  <c r="B214" i="52"/>
  <c r="B215" i="52"/>
  <c r="B216" i="52"/>
  <c r="B218" i="52"/>
  <c r="B219" i="52"/>
  <c r="B220" i="52"/>
  <c r="B221" i="52"/>
  <c r="B222" i="52"/>
  <c r="B223" i="52"/>
  <c r="B224" i="52"/>
  <c r="B225" i="52"/>
  <c r="B226" i="52"/>
  <c r="B227" i="52"/>
  <c r="B228" i="52"/>
  <c r="B229" i="52"/>
  <c r="B230" i="52"/>
  <c r="B231" i="52"/>
  <c r="B232" i="52"/>
  <c r="B233" i="52"/>
  <c r="B234" i="52"/>
  <c r="B235" i="52"/>
  <c r="B236" i="52"/>
  <c r="B237" i="52"/>
  <c r="B238" i="52"/>
  <c r="B239" i="52"/>
  <c r="B240" i="52"/>
  <c r="B241" i="52"/>
  <c r="B242" i="52"/>
  <c r="B243" i="52"/>
  <c r="B244" i="52"/>
  <c r="B245" i="52"/>
  <c r="B246" i="52"/>
  <c r="B247" i="52"/>
  <c r="B250" i="52"/>
  <c r="B251" i="52"/>
  <c r="B252" i="52"/>
  <c r="B253" i="52"/>
  <c r="B254" i="52"/>
  <c r="B255" i="52"/>
  <c r="B258" i="52"/>
  <c r="B259" i="52"/>
  <c r="B260" i="52"/>
  <c r="B261" i="52"/>
  <c r="B262" i="52"/>
  <c r="B263" i="52"/>
  <c r="B264" i="52"/>
  <c r="B265" i="52"/>
  <c r="B266" i="52"/>
  <c r="B267" i="52"/>
  <c r="B268" i="52"/>
  <c r="B269" i="52"/>
  <c r="B270" i="52"/>
  <c r="B271" i="52"/>
  <c r="B272" i="52"/>
  <c r="B273" i="52"/>
  <c r="B274" i="52"/>
  <c r="B275" i="52"/>
  <c r="B276" i="52"/>
  <c r="B277" i="52"/>
  <c r="B278" i="52"/>
  <c r="B279" i="52"/>
  <c r="B280" i="52"/>
  <c r="B281" i="52"/>
  <c r="B282" i="52"/>
  <c r="B283" i="52"/>
  <c r="B285" i="52"/>
  <c r="B286" i="52"/>
  <c r="B288" i="52"/>
  <c r="B289" i="52"/>
  <c r="B290" i="52"/>
  <c r="B291" i="52"/>
  <c r="B293" i="52"/>
  <c r="B294" i="52"/>
  <c r="B295" i="52"/>
  <c r="B296" i="52"/>
  <c r="B298" i="52"/>
  <c r="B299" i="52"/>
  <c r="B300" i="52"/>
  <c r="B301" i="52"/>
  <c r="B302" i="52"/>
  <c r="B303" i="52"/>
  <c r="B304" i="52"/>
  <c r="B305" i="52"/>
  <c r="B306" i="52"/>
  <c r="B307" i="52"/>
  <c r="B309" i="52"/>
  <c r="B310" i="52"/>
  <c r="B311" i="52"/>
  <c r="B312" i="52"/>
  <c r="B313" i="52"/>
  <c r="B314" i="52"/>
  <c r="B316" i="52"/>
  <c r="B317" i="52"/>
  <c r="B318" i="52"/>
  <c r="B319" i="52"/>
  <c r="B320" i="52"/>
  <c r="B321" i="52"/>
  <c r="B322" i="52"/>
  <c r="B323" i="52"/>
  <c r="B324" i="52"/>
  <c r="B325" i="52"/>
  <c r="B326" i="52"/>
  <c r="B327" i="52"/>
  <c r="B328" i="52"/>
  <c r="B329" i="52"/>
  <c r="B330" i="52"/>
  <c r="B333" i="52"/>
  <c r="B334" i="52"/>
  <c r="B335" i="52"/>
  <c r="B336" i="52"/>
  <c r="B337" i="52"/>
  <c r="B339" i="52"/>
  <c r="B340" i="52"/>
  <c r="B341" i="52"/>
  <c r="B342" i="52"/>
  <c r="B344" i="52"/>
  <c r="B345" i="52"/>
  <c r="B346" i="52"/>
  <c r="B347" i="52"/>
  <c r="B348" i="52"/>
  <c r="B349" i="52"/>
  <c r="B350" i="52"/>
  <c r="B351" i="52"/>
  <c r="B352" i="52"/>
  <c r="B353" i="52"/>
  <c r="B354" i="52"/>
  <c r="B355" i="52"/>
  <c r="B356" i="52"/>
  <c r="B357" i="52"/>
  <c r="B358" i="52"/>
  <c r="B359" i="52"/>
  <c r="B360" i="52"/>
  <c r="B362" i="52"/>
  <c r="B363" i="52"/>
  <c r="B364" i="52"/>
  <c r="B365" i="52"/>
  <c r="B366" i="52"/>
  <c r="B367" i="52"/>
  <c r="B368" i="52"/>
  <c r="B369" i="52"/>
  <c r="B371" i="52"/>
  <c r="B372" i="52"/>
  <c r="B373" i="52"/>
  <c r="B374" i="52"/>
  <c r="B375" i="52"/>
  <c r="B376" i="52"/>
  <c r="B377" i="52"/>
  <c r="B378" i="52"/>
  <c r="B379" i="52"/>
  <c r="B380" i="52"/>
  <c r="B381" i="52"/>
  <c r="B382" i="52"/>
  <c r="B383" i="52"/>
  <c r="B384" i="52"/>
  <c r="B385" i="52"/>
  <c r="B386" i="52"/>
  <c r="B388" i="52"/>
  <c r="B389" i="52"/>
  <c r="B390" i="52"/>
  <c r="B391" i="52"/>
  <c r="B392" i="52"/>
  <c r="B393" i="52"/>
  <c r="B394" i="52"/>
  <c r="B395" i="52"/>
  <c r="B396" i="52"/>
  <c r="B397" i="52"/>
  <c r="B398" i="52"/>
  <c r="B399" i="52"/>
  <c r="B400" i="52"/>
  <c r="B401" i="52"/>
  <c r="B404" i="52"/>
  <c r="B405" i="52"/>
  <c r="B406" i="52"/>
  <c r="B407" i="52"/>
  <c r="B408" i="52"/>
  <c r="B410" i="52"/>
  <c r="B411" i="52"/>
  <c r="B412" i="52"/>
  <c r="B413" i="52"/>
  <c r="B414" i="52"/>
  <c r="B415" i="52"/>
  <c r="B416" i="52"/>
  <c r="B417" i="52"/>
  <c r="B418" i="52"/>
  <c r="B419" i="52"/>
  <c r="B420" i="52"/>
  <c r="B421" i="52"/>
  <c r="B422" i="52"/>
  <c r="B423" i="52"/>
  <c r="B424" i="52"/>
  <c r="B425" i="52"/>
  <c r="B427" i="52"/>
  <c r="B428" i="52"/>
  <c r="B429" i="52"/>
  <c r="B430" i="52"/>
  <c r="B431" i="52"/>
  <c r="B432" i="52"/>
  <c r="B433" i="52"/>
  <c r="B434" i="52"/>
  <c r="B435" i="52"/>
  <c r="B436" i="52"/>
  <c r="B437" i="52"/>
  <c r="B438" i="52"/>
  <c r="B440" i="52"/>
  <c r="B441" i="52"/>
  <c r="B442" i="52"/>
  <c r="B443" i="52"/>
  <c r="B445" i="52"/>
  <c r="B446" i="52"/>
  <c r="B447" i="52"/>
  <c r="B448" i="52"/>
  <c r="B449" i="52"/>
  <c r="B450" i="52"/>
  <c r="B452" i="52"/>
  <c r="B453" i="52"/>
  <c r="B454" i="52"/>
  <c r="B455" i="52"/>
  <c r="B456" i="52"/>
  <c r="B457" i="52"/>
  <c r="B458" i="52"/>
  <c r="B459" i="52"/>
  <c r="B460" i="52"/>
  <c r="B687" i="74" l="1"/>
  <c r="B686" i="74"/>
  <c r="B682" i="74"/>
  <c r="B681" i="74"/>
  <c r="B679" i="74"/>
  <c r="B678" i="74"/>
  <c r="B677" i="74"/>
  <c r="B676" i="74"/>
  <c r="B675" i="74"/>
  <c r="B674" i="74"/>
  <c r="B667" i="74"/>
  <c r="B666" i="74"/>
  <c r="B665" i="74"/>
  <c r="B663" i="74"/>
  <c r="B660" i="74"/>
  <c r="B659" i="74"/>
  <c r="B658" i="74"/>
  <c r="B657" i="74"/>
  <c r="B656" i="74"/>
  <c r="B655" i="74"/>
  <c r="B654" i="74"/>
  <c r="B653" i="74"/>
  <c r="B652" i="74"/>
  <c r="B651" i="74"/>
  <c r="B650" i="74"/>
  <c r="B649" i="74"/>
  <c r="B648" i="74"/>
  <c r="B647" i="74"/>
  <c r="B646" i="74"/>
  <c r="B645" i="74"/>
  <c r="B643" i="74"/>
  <c r="B1373" i="74"/>
  <c r="B1372" i="74"/>
  <c r="B1371" i="74"/>
  <c r="B1370" i="74"/>
  <c r="B1369" i="74"/>
  <c r="B1367" i="74"/>
  <c r="B1366" i="74"/>
  <c r="B1365" i="74"/>
  <c r="B1364" i="74"/>
  <c r="B1363" i="74"/>
  <c r="B1362" i="74"/>
  <c r="B1361" i="74"/>
  <c r="B1360" i="74"/>
  <c r="B1359" i="74"/>
  <c r="B1357" i="74"/>
  <c r="B1356" i="74"/>
  <c r="B1355" i="74"/>
  <c r="B1274" i="74"/>
  <c r="B1273" i="74"/>
  <c r="B1272" i="74"/>
  <c r="B1271" i="74"/>
  <c r="B1269" i="74"/>
  <c r="B1268" i="74"/>
  <c r="B1267" i="74"/>
  <c r="B1266" i="74"/>
  <c r="B1264" i="74"/>
  <c r="B1263" i="74"/>
  <c r="B1262" i="74"/>
  <c r="B1261" i="74"/>
  <c r="B1260" i="74"/>
  <c r="B1258" i="74"/>
  <c r="B1257" i="74"/>
  <c r="B1256" i="74"/>
  <c r="B1255" i="74"/>
  <c r="B1381" i="74"/>
  <c r="B1275" i="74"/>
  <c r="B1148" i="74"/>
  <c r="B1147" i="74"/>
  <c r="B1146" i="74"/>
  <c r="B1145" i="74"/>
  <c r="B1144" i="74"/>
  <c r="B1143" i="74"/>
  <c r="B1142" i="74"/>
  <c r="B1141" i="74"/>
  <c r="B1140" i="74"/>
  <c r="B1139" i="74"/>
  <c r="B1138" i="74"/>
  <c r="B1137" i="74"/>
  <c r="B1136" i="74"/>
  <c r="B1135" i="74"/>
  <c r="B1134" i="74"/>
  <c r="B1133" i="74"/>
  <c r="B1132" i="74"/>
  <c r="B1131" i="74"/>
  <c r="B1130" i="74"/>
  <c r="B1129" i="74"/>
  <c r="B1128" i="74"/>
  <c r="B1127" i="74"/>
  <c r="B1126" i="74"/>
  <c r="B1125" i="74"/>
  <c r="B1124" i="74"/>
  <c r="B1123" i="74"/>
  <c r="B1122" i="74"/>
  <c r="B1121" i="74"/>
  <c r="B1120" i="74"/>
  <c r="B1119" i="74"/>
  <c r="B1118" i="74"/>
  <c r="B1117" i="74"/>
  <c r="B1116" i="74"/>
  <c r="B1115" i="74"/>
  <c r="B1114" i="74"/>
  <c r="B1113" i="74"/>
  <c r="B1112" i="74"/>
  <c r="B1111" i="74"/>
  <c r="B1110" i="74"/>
  <c r="B1109" i="74"/>
  <c r="B1108" i="74"/>
  <c r="B1022" i="74"/>
  <c r="B1021" i="74"/>
  <c r="B1020" i="74"/>
  <c r="B1019" i="74"/>
  <c r="B1018" i="74"/>
  <c r="B1017" i="74"/>
  <c r="B1016" i="74"/>
  <c r="B1015" i="74"/>
  <c r="B1014" i="74"/>
  <c r="B1013" i="74"/>
  <c r="B1012" i="74"/>
  <c r="B1011" i="74"/>
  <c r="B1010" i="74"/>
  <c r="B1009" i="74"/>
  <c r="B1008" i="74"/>
  <c r="B1007" i="74"/>
  <c r="B1006" i="74"/>
  <c r="B1005" i="74"/>
  <c r="B1004" i="74"/>
  <c r="B1003" i="74"/>
  <c r="B1002" i="74"/>
  <c r="B1001" i="74"/>
  <c r="B1000" i="74"/>
  <c r="B999" i="74"/>
  <c r="B998" i="74"/>
  <c r="B997" i="74"/>
  <c r="B996" i="74"/>
  <c r="B995" i="74"/>
  <c r="B994" i="74"/>
  <c r="B993" i="74"/>
  <c r="B992" i="74"/>
  <c r="B991" i="74"/>
  <c r="B990" i="74"/>
  <c r="B989" i="74"/>
  <c r="B988" i="74"/>
  <c r="B987" i="74"/>
  <c r="B986" i="74"/>
  <c r="B985" i="74"/>
  <c r="B984" i="74"/>
  <c r="B983" i="74"/>
  <c r="B982" i="74"/>
  <c r="B980" i="74"/>
  <c r="B979" i="74"/>
  <c r="B978" i="74"/>
  <c r="B977" i="74"/>
  <c r="B976" i="74"/>
  <c r="B975" i="74"/>
  <c r="B974" i="74"/>
  <c r="B973" i="74"/>
  <c r="B972" i="74"/>
  <c r="B971" i="74"/>
  <c r="B970" i="74"/>
  <c r="B969" i="74"/>
  <c r="B968" i="74"/>
  <c r="B967" i="74"/>
  <c r="B966" i="74"/>
  <c r="B965" i="74"/>
  <c r="B964" i="74"/>
  <c r="B963" i="74"/>
  <c r="B962" i="74"/>
  <c r="B961" i="74"/>
  <c r="B960" i="74"/>
  <c r="B959" i="74"/>
  <c r="B958" i="74"/>
  <c r="B957" i="74"/>
  <c r="B956" i="74"/>
  <c r="B955" i="74"/>
  <c r="B954" i="74"/>
  <c r="B953" i="74"/>
  <c r="B952" i="74"/>
  <c r="B951" i="74"/>
  <c r="B950" i="74"/>
  <c r="B949" i="74"/>
  <c r="B948" i="74"/>
  <c r="B947" i="74"/>
  <c r="B946" i="74"/>
  <c r="B945" i="74"/>
  <c r="B944" i="74"/>
  <c r="B943" i="74"/>
  <c r="B942" i="74"/>
  <c r="B941" i="74"/>
  <c r="B940" i="74"/>
  <c r="B938" i="74"/>
  <c r="B937" i="74"/>
  <c r="B936" i="74"/>
  <c r="B935" i="74"/>
  <c r="B934" i="74"/>
  <c r="B933" i="74"/>
  <c r="B932" i="74"/>
  <c r="B931" i="74"/>
  <c r="B930" i="74"/>
  <c r="B929" i="74"/>
  <c r="B928" i="74"/>
  <c r="B927" i="74"/>
  <c r="B926" i="74"/>
  <c r="B925" i="74"/>
  <c r="B924" i="74"/>
  <c r="B923" i="74"/>
  <c r="B922" i="74"/>
  <c r="B921" i="74"/>
  <c r="B920" i="74"/>
  <c r="B919" i="74"/>
  <c r="B918" i="74"/>
  <c r="B917" i="74"/>
  <c r="B916" i="74"/>
  <c r="B915" i="74"/>
  <c r="B914" i="74"/>
  <c r="B913" i="74"/>
  <c r="B912" i="74"/>
  <c r="B911" i="74"/>
  <c r="B910" i="74"/>
  <c r="B909" i="74"/>
  <c r="B908" i="74"/>
  <c r="B907" i="74"/>
  <c r="B906" i="74"/>
  <c r="B905" i="74"/>
  <c r="B904" i="74"/>
  <c r="B903" i="74"/>
  <c r="B902" i="74"/>
  <c r="B901" i="74"/>
  <c r="B900" i="74"/>
  <c r="B899" i="74"/>
  <c r="B898" i="74"/>
  <c r="B854" i="74"/>
  <c r="B853" i="74"/>
  <c r="B852" i="74"/>
  <c r="B851" i="74"/>
  <c r="B850" i="74"/>
  <c r="B849" i="74"/>
  <c r="B848" i="74"/>
  <c r="B847" i="74"/>
  <c r="B846" i="74"/>
  <c r="B845" i="74"/>
  <c r="B844" i="74"/>
  <c r="B843" i="74"/>
  <c r="B842" i="74"/>
  <c r="B841" i="74"/>
  <c r="B840" i="74"/>
  <c r="B839" i="74"/>
  <c r="B838" i="74"/>
  <c r="B837" i="74"/>
  <c r="B836" i="74"/>
  <c r="B835" i="74"/>
  <c r="B834" i="74"/>
  <c r="B833" i="74"/>
  <c r="B832" i="74"/>
  <c r="B831" i="74"/>
  <c r="B830" i="74"/>
  <c r="B829" i="74"/>
  <c r="B828" i="74"/>
  <c r="B827" i="74"/>
  <c r="B826" i="74"/>
  <c r="B825" i="74"/>
  <c r="B824" i="74"/>
  <c r="B823" i="74"/>
  <c r="B822" i="74"/>
  <c r="B821" i="74"/>
  <c r="B820" i="74"/>
  <c r="B819" i="74"/>
  <c r="B818" i="74"/>
  <c r="B817" i="74"/>
  <c r="B816" i="74"/>
  <c r="B815" i="74"/>
  <c r="B814" i="74"/>
  <c r="B813" i="74"/>
  <c r="B812" i="74"/>
  <c r="B811" i="74"/>
  <c r="B810" i="74"/>
  <c r="B809" i="74"/>
  <c r="B808" i="74"/>
  <c r="B807" i="74"/>
  <c r="B806" i="74"/>
  <c r="B805" i="74"/>
  <c r="B804" i="74"/>
  <c r="B803" i="74"/>
  <c r="B802" i="74"/>
  <c r="B801" i="74"/>
  <c r="B800" i="74"/>
  <c r="B799" i="74"/>
  <c r="B798" i="74"/>
  <c r="B797" i="74"/>
  <c r="B796" i="74"/>
  <c r="B795" i="74"/>
  <c r="B794" i="74"/>
  <c r="B793" i="74"/>
  <c r="B792" i="74"/>
  <c r="B791" i="74"/>
  <c r="B790" i="74"/>
  <c r="B789" i="74"/>
  <c r="B788" i="74"/>
  <c r="B787" i="74"/>
  <c r="B786" i="74"/>
  <c r="B785" i="74"/>
  <c r="B784" i="74"/>
  <c r="B783" i="74"/>
  <c r="B782" i="74"/>
  <c r="B781" i="74"/>
  <c r="B780" i="74"/>
  <c r="B779" i="74"/>
  <c r="B778" i="74"/>
  <c r="B777" i="74"/>
  <c r="B776" i="74"/>
  <c r="B775" i="74"/>
  <c r="B774" i="74"/>
  <c r="B773" i="74"/>
  <c r="B772" i="74"/>
  <c r="B770" i="74"/>
  <c r="B769" i="74"/>
  <c r="B768" i="74"/>
  <c r="B767" i="74"/>
  <c r="B766" i="74"/>
  <c r="B765" i="74"/>
  <c r="B764" i="74"/>
  <c r="B763" i="74"/>
  <c r="B762" i="74"/>
  <c r="B761" i="74"/>
  <c r="B760" i="74"/>
  <c r="B759" i="74"/>
  <c r="B758" i="74"/>
  <c r="B757" i="74"/>
  <c r="B756" i="74"/>
  <c r="B755" i="74"/>
  <c r="B754" i="74"/>
  <c r="B753" i="74"/>
  <c r="B752" i="74"/>
  <c r="B751" i="74"/>
  <c r="B750" i="74"/>
  <c r="B749" i="74"/>
  <c r="B748" i="74"/>
  <c r="B747" i="74"/>
  <c r="B746" i="74"/>
  <c r="B745" i="74"/>
  <c r="B744" i="74"/>
  <c r="B743" i="74"/>
  <c r="B742" i="74"/>
  <c r="B741" i="74"/>
  <c r="B740" i="74"/>
  <c r="B739" i="74"/>
  <c r="B738" i="74"/>
  <c r="B737" i="74"/>
  <c r="B736" i="74"/>
  <c r="B735" i="74"/>
  <c r="B734" i="74"/>
  <c r="B733" i="74"/>
  <c r="B732" i="74"/>
  <c r="B731" i="74"/>
  <c r="B730" i="74"/>
  <c r="B641" i="74"/>
  <c r="B640" i="74"/>
  <c r="B639" i="74"/>
  <c r="B580" i="74"/>
  <c r="B579" i="74"/>
  <c r="B578" i="74"/>
  <c r="B577" i="74"/>
  <c r="B576" i="74"/>
  <c r="B575" i="74"/>
  <c r="B574" i="74"/>
  <c r="B572" i="74"/>
  <c r="B571" i="74"/>
  <c r="B570" i="74"/>
  <c r="B568" i="74"/>
  <c r="B567" i="74"/>
  <c r="B566" i="74"/>
  <c r="B565" i="74"/>
  <c r="B564" i="74"/>
  <c r="B558" i="74"/>
  <c r="B545" i="74"/>
  <c r="B39" i="74"/>
  <c r="B38" i="74"/>
  <c r="B37" i="74"/>
  <c r="B22" i="74"/>
  <c r="B9" i="74"/>
  <c r="B8" i="74"/>
  <c r="B7" i="74"/>
  <c r="B3" i="74"/>
  <c r="I5" i="52" l="1"/>
  <c r="J5" i="52" s="1"/>
  <c r="K5" i="52" s="1"/>
  <c r="I6" i="52"/>
  <c r="J6" i="52" s="1"/>
  <c r="K6" i="52" s="1"/>
  <c r="I7" i="52"/>
  <c r="J7" i="52" s="1"/>
  <c r="K7" i="52" s="1"/>
  <c r="I8" i="52"/>
  <c r="J8" i="52" s="1"/>
  <c r="K8" i="52" s="1"/>
  <c r="I13" i="52"/>
  <c r="J13" i="52" s="1"/>
  <c r="K13" i="52" s="1"/>
  <c r="L13" i="52" s="1"/>
  <c r="I15" i="52"/>
  <c r="J15" i="52" s="1"/>
  <c r="K15" i="52" s="1"/>
  <c r="L15" i="52" s="1"/>
  <c r="I20" i="52"/>
  <c r="J20" i="52" s="1"/>
  <c r="K20" i="52" s="1"/>
  <c r="L20" i="52" s="1"/>
  <c r="I21" i="52"/>
  <c r="J21" i="52" s="1"/>
  <c r="K21" i="52" s="1"/>
  <c r="L21" i="52" s="1"/>
  <c r="I26" i="52"/>
  <c r="J26" i="52" s="1"/>
  <c r="K26" i="52" s="1"/>
  <c r="L26" i="52" s="1"/>
  <c r="I27" i="52"/>
  <c r="J27" i="52" s="1"/>
  <c r="K27" i="52" s="1"/>
  <c r="L27" i="52" s="1"/>
  <c r="I29" i="52"/>
  <c r="J29" i="52" s="1"/>
  <c r="K29" i="52" s="1"/>
  <c r="L29" i="52" s="1"/>
  <c r="I30" i="52"/>
  <c r="J30" i="52" s="1"/>
  <c r="K30" i="52" s="1"/>
  <c r="L30" i="52" s="1"/>
  <c r="I31" i="52"/>
  <c r="J31" i="52" s="1"/>
  <c r="K31" i="52" s="1"/>
  <c r="L31" i="52" s="1"/>
  <c r="I32" i="52"/>
  <c r="J32" i="52" s="1"/>
  <c r="K32" i="52" s="1"/>
  <c r="L32" i="52" s="1"/>
  <c r="I33" i="52"/>
  <c r="J33" i="52" s="1"/>
  <c r="K33" i="52" s="1"/>
  <c r="L33" i="52" s="1"/>
  <c r="I37" i="52"/>
  <c r="J37" i="52" s="1"/>
  <c r="K37" i="52" s="1"/>
  <c r="L37" i="52" s="1"/>
  <c r="I38" i="52"/>
  <c r="J38" i="52" s="1"/>
  <c r="K38" i="52" s="1"/>
  <c r="L38" i="52" s="1"/>
  <c r="I39" i="52"/>
  <c r="J39" i="52" s="1"/>
  <c r="K39" i="52" s="1"/>
  <c r="L39" i="52" s="1"/>
  <c r="I40" i="52"/>
  <c r="J40" i="52" s="1"/>
  <c r="K40" i="52" s="1"/>
  <c r="L40" i="52" s="1"/>
  <c r="I41" i="52"/>
  <c r="J41" i="52" s="1"/>
  <c r="K41" i="52" s="1"/>
  <c r="L41" i="52" s="1"/>
  <c r="I45" i="52"/>
  <c r="J45" i="52" s="1"/>
  <c r="K45" i="52" s="1"/>
  <c r="L45" i="52" s="1"/>
  <c r="I46" i="52"/>
  <c r="J46" i="52" s="1"/>
  <c r="K46" i="52" s="1"/>
  <c r="L46" i="52" s="1"/>
  <c r="I47" i="52"/>
  <c r="J47" i="52" s="1"/>
  <c r="K47" i="52" s="1"/>
  <c r="L47" i="52" s="1"/>
  <c r="I48" i="52"/>
  <c r="J48" i="52" s="1"/>
  <c r="K48" i="52" s="1"/>
  <c r="L48" i="52" s="1"/>
  <c r="I53" i="52"/>
  <c r="J53" i="52" s="1"/>
  <c r="K53" i="52" s="1"/>
  <c r="L53" i="52" s="1"/>
  <c r="I54" i="52"/>
  <c r="J54" i="52" s="1"/>
  <c r="K54" i="52" s="1"/>
  <c r="L54" i="52" s="1"/>
  <c r="I56" i="52"/>
  <c r="J56" i="52" s="1"/>
  <c r="K56" i="52" s="1"/>
  <c r="L56" i="52" s="1"/>
  <c r="I57" i="52"/>
  <c r="J57" i="52" s="1"/>
  <c r="K57" i="52" s="1"/>
  <c r="L57" i="52" s="1"/>
  <c r="I58" i="52"/>
  <c r="J58" i="52" s="1"/>
  <c r="K58" i="52" s="1"/>
  <c r="L58" i="52" s="1"/>
  <c r="I59" i="52"/>
  <c r="J59" i="52" s="1"/>
  <c r="K59" i="52" s="1"/>
  <c r="L59" i="52" s="1"/>
  <c r="I60" i="52"/>
  <c r="J60" i="52" s="1"/>
  <c r="K60" i="52" s="1"/>
  <c r="L60" i="52" s="1"/>
  <c r="I61" i="52"/>
  <c r="J61" i="52" s="1"/>
  <c r="K61" i="52" s="1"/>
  <c r="L61" i="52" s="1"/>
  <c r="I64" i="52"/>
  <c r="J64" i="52" s="1"/>
  <c r="K64" i="52" s="1"/>
  <c r="L64" i="52" s="1"/>
  <c r="I65" i="52"/>
  <c r="J65" i="52" s="1"/>
  <c r="K65" i="52" s="1"/>
  <c r="L65" i="52" s="1"/>
  <c r="I66" i="52"/>
  <c r="J66" i="52" s="1"/>
  <c r="K66" i="52" s="1"/>
  <c r="L66" i="52" s="1"/>
  <c r="I79" i="52"/>
  <c r="J79" i="52" s="1"/>
  <c r="K79" i="52" s="1"/>
  <c r="L79" i="52" s="1"/>
  <c r="I80" i="52"/>
  <c r="J80" i="52" s="1"/>
  <c r="K80" i="52" s="1"/>
  <c r="L80" i="52" s="1"/>
  <c r="I81" i="52"/>
  <c r="J81" i="52" s="1"/>
  <c r="K81" i="52" s="1"/>
  <c r="L81" i="52" s="1"/>
  <c r="I82" i="52"/>
  <c r="J82" i="52" s="1"/>
  <c r="K82" i="52" s="1"/>
  <c r="L82" i="52" s="1"/>
  <c r="I88" i="52"/>
  <c r="J88" i="52" s="1"/>
  <c r="K88" i="52" s="1"/>
  <c r="L88" i="52" s="1"/>
  <c r="I89" i="52"/>
  <c r="J89" i="52" s="1"/>
  <c r="K89" i="52" s="1"/>
  <c r="L89" i="52" s="1"/>
  <c r="I90" i="52"/>
  <c r="J90" i="52" s="1"/>
  <c r="K90" i="52" s="1"/>
  <c r="L90" i="52" s="1"/>
  <c r="I101" i="52"/>
  <c r="J101" i="52" s="1"/>
  <c r="K101" i="52" s="1"/>
  <c r="L101" i="52" s="1"/>
  <c r="I102" i="52"/>
  <c r="J102" i="52" s="1"/>
  <c r="K102" i="52" s="1"/>
  <c r="L102" i="52" s="1"/>
  <c r="I104" i="52"/>
  <c r="J104" i="52" s="1"/>
  <c r="K104" i="52" s="1"/>
  <c r="L104" i="52" s="1"/>
  <c r="I113" i="52"/>
  <c r="J113" i="52" s="1"/>
  <c r="K113" i="52" s="1"/>
  <c r="L113" i="52" s="1"/>
  <c r="I120" i="52"/>
  <c r="J120" i="52" s="1"/>
  <c r="K120" i="52" s="1"/>
  <c r="L120" i="52" s="1"/>
  <c r="I121" i="52"/>
  <c r="J121" i="52" s="1"/>
  <c r="K121" i="52" s="1"/>
  <c r="L121" i="52" s="1"/>
  <c r="I131" i="52"/>
  <c r="J131" i="52" s="1"/>
  <c r="K131" i="52" s="1"/>
  <c r="L131" i="52" s="1"/>
  <c r="I136" i="52"/>
  <c r="J136" i="52" s="1"/>
  <c r="K136" i="52" s="1"/>
  <c r="L136" i="52" s="1"/>
  <c r="I138" i="52"/>
  <c r="J138" i="52" s="1"/>
  <c r="K138" i="52" s="1"/>
  <c r="L138" i="52" s="1"/>
  <c r="I139" i="52"/>
  <c r="J139" i="52" s="1"/>
  <c r="K139" i="52" s="1"/>
  <c r="L139" i="52" s="1"/>
  <c r="I140" i="52"/>
  <c r="J140" i="52" s="1"/>
  <c r="K140" i="52" s="1"/>
  <c r="L140" i="52" s="1"/>
  <c r="I141" i="52"/>
  <c r="J141" i="52" s="1"/>
  <c r="K141" i="52" s="1"/>
  <c r="L141" i="52" s="1"/>
  <c r="I142" i="52"/>
  <c r="J142" i="52" s="1"/>
  <c r="K142" i="52" s="1"/>
  <c r="L142" i="52" s="1"/>
  <c r="I143" i="52"/>
  <c r="J143" i="52" s="1"/>
  <c r="K143" i="52" s="1"/>
  <c r="L143" i="52" s="1"/>
  <c r="I145" i="52"/>
  <c r="J145" i="52" s="1"/>
  <c r="K145" i="52" s="1"/>
  <c r="L145" i="52" s="1"/>
  <c r="I146" i="52"/>
  <c r="J146" i="52" s="1"/>
  <c r="K146" i="52" s="1"/>
  <c r="L146" i="52" s="1"/>
  <c r="I151" i="52"/>
  <c r="J151" i="52" s="1"/>
  <c r="K151" i="52" s="1"/>
  <c r="L151" i="52" s="1"/>
  <c r="I152" i="52"/>
  <c r="J152" i="52" s="1"/>
  <c r="K152" i="52" s="1"/>
  <c r="L152" i="52" s="1"/>
  <c r="I162" i="52"/>
  <c r="J162" i="52" s="1"/>
  <c r="K162" i="52" s="1"/>
  <c r="L162" i="52" s="1"/>
  <c r="I163" i="52"/>
  <c r="J163" i="52" s="1"/>
  <c r="K163" i="52" s="1"/>
  <c r="L163" i="52" s="1"/>
  <c r="I164" i="52"/>
  <c r="J164" i="52" s="1"/>
  <c r="K164" i="52" s="1"/>
  <c r="L164" i="52" s="1"/>
  <c r="I167" i="52"/>
  <c r="J167" i="52" s="1"/>
  <c r="K167" i="52" s="1"/>
  <c r="L167" i="52" s="1"/>
  <c r="I168" i="52"/>
  <c r="J168" i="52" s="1"/>
  <c r="K168" i="52" s="1"/>
  <c r="L168" i="52" s="1"/>
  <c r="I169" i="52"/>
  <c r="J169" i="52" s="1"/>
  <c r="K169" i="52" s="1"/>
  <c r="L169" i="52" s="1"/>
  <c r="I171" i="52"/>
  <c r="J171" i="52" s="1"/>
  <c r="K171" i="52" s="1"/>
  <c r="L171" i="52" s="1"/>
  <c r="I172" i="52"/>
  <c r="J172" i="52" s="1"/>
  <c r="K172" i="52" s="1"/>
  <c r="L172" i="52" s="1"/>
  <c r="I174" i="52"/>
  <c r="J174" i="52" s="1"/>
  <c r="K174" i="52" s="1"/>
  <c r="L174" i="52" s="1"/>
  <c r="I176" i="52"/>
  <c r="J176" i="52" s="1"/>
  <c r="K176" i="52" s="1"/>
  <c r="L176" i="52" s="1"/>
  <c r="I178" i="52"/>
  <c r="J178" i="52" s="1"/>
  <c r="K178" i="52" s="1"/>
  <c r="L178" i="52" s="1"/>
  <c r="I179" i="52"/>
  <c r="J179" i="52" s="1"/>
  <c r="K179" i="52" s="1"/>
  <c r="L179" i="52" s="1"/>
  <c r="I180" i="52"/>
  <c r="J180" i="52" s="1"/>
  <c r="K180" i="52" s="1"/>
  <c r="L180" i="52" s="1"/>
  <c r="I183" i="52"/>
  <c r="J183" i="52" s="1"/>
  <c r="K183" i="52" s="1"/>
  <c r="L183" i="52" s="1"/>
  <c r="I184" i="52"/>
  <c r="J184" i="52" s="1"/>
  <c r="K184" i="52" s="1"/>
  <c r="L184" i="52" s="1"/>
  <c r="I186" i="52"/>
  <c r="J186" i="52" s="1"/>
  <c r="K186" i="52" s="1"/>
  <c r="L186" i="52" s="1"/>
  <c r="I190" i="52"/>
  <c r="J190" i="52" s="1"/>
  <c r="K190" i="52" s="1"/>
  <c r="L190" i="52" s="1"/>
  <c r="I191" i="52"/>
  <c r="J191" i="52" s="1"/>
  <c r="K191" i="52" s="1"/>
  <c r="L191" i="52" s="1"/>
  <c r="I192" i="52"/>
  <c r="J192" i="52" s="1"/>
  <c r="K192" i="52" s="1"/>
  <c r="L192" i="52" s="1"/>
  <c r="I193" i="52"/>
  <c r="J193" i="52" s="1"/>
  <c r="K193" i="52" s="1"/>
  <c r="L193" i="52" s="1"/>
  <c r="I218" i="52"/>
  <c r="J218" i="52" s="1"/>
  <c r="K218" i="52" s="1"/>
  <c r="L218" i="52" s="1"/>
  <c r="I222" i="52"/>
  <c r="J222" i="52" s="1"/>
  <c r="K222" i="52" s="1"/>
  <c r="L222" i="52" s="1"/>
  <c r="I224" i="52"/>
  <c r="J224" i="52" s="1"/>
  <c r="K224" i="52" s="1"/>
  <c r="L224" i="52" s="1"/>
  <c r="I235" i="52"/>
  <c r="J235" i="52" s="1"/>
  <c r="K235" i="52" s="1"/>
  <c r="L235" i="52" s="1"/>
  <c r="I236" i="52"/>
  <c r="J236" i="52" s="1"/>
  <c r="K236" i="52" s="1"/>
  <c r="L236" i="52" s="1"/>
  <c r="I237" i="52"/>
  <c r="J237" i="52" s="1"/>
  <c r="K237" i="52" s="1"/>
  <c r="L237" i="52" s="1"/>
  <c r="I242" i="52"/>
  <c r="J242" i="52" s="1"/>
  <c r="K242" i="52" s="1"/>
  <c r="L242" i="52" s="1"/>
  <c r="I243" i="52"/>
  <c r="J243" i="52" s="1"/>
  <c r="K243" i="52" s="1"/>
  <c r="L243" i="52" s="1"/>
  <c r="I250" i="52"/>
  <c r="J250" i="52" s="1"/>
  <c r="K250" i="52" s="1"/>
  <c r="L250" i="52" s="1"/>
  <c r="I252" i="52"/>
  <c r="J252" i="52" s="1"/>
  <c r="K252" i="52" s="1"/>
  <c r="L252" i="52" s="1"/>
  <c r="I253" i="52"/>
  <c r="J253" i="52" s="1"/>
  <c r="K253" i="52" s="1"/>
  <c r="L253" i="52" s="1"/>
  <c r="I254" i="52"/>
  <c r="J254" i="52" s="1"/>
  <c r="K254" i="52" s="1"/>
  <c r="L254" i="52" s="1"/>
  <c r="I257" i="52"/>
  <c r="J257" i="52" s="1"/>
  <c r="K257" i="52" s="1"/>
  <c r="L257" i="52" s="1"/>
  <c r="I260" i="52"/>
  <c r="J260" i="52" s="1"/>
  <c r="K260" i="52" s="1"/>
  <c r="L260" i="52" s="1"/>
  <c r="I261" i="52"/>
  <c r="J261" i="52" s="1"/>
  <c r="K261" i="52" s="1"/>
  <c r="L261" i="52" s="1"/>
  <c r="I263" i="52"/>
  <c r="J263" i="52" s="1"/>
  <c r="K263" i="52" s="1"/>
  <c r="L263" i="52" s="1"/>
  <c r="I270" i="52"/>
  <c r="J270" i="52" s="1"/>
  <c r="K270" i="52" s="1"/>
  <c r="L270" i="52" s="1"/>
  <c r="I271" i="52"/>
  <c r="J271" i="52" s="1"/>
  <c r="K271" i="52" s="1"/>
  <c r="L271" i="52" s="1"/>
  <c r="I280" i="52"/>
  <c r="J280" i="52" s="1"/>
  <c r="K280" i="52" s="1"/>
  <c r="L280" i="52" s="1"/>
  <c r="I281" i="52"/>
  <c r="J281" i="52" s="1"/>
  <c r="K281" i="52" s="1"/>
  <c r="L281" i="52" s="1"/>
  <c r="I290" i="52"/>
  <c r="J290" i="52" s="1"/>
  <c r="K290" i="52" s="1"/>
  <c r="L290" i="52" s="1"/>
  <c r="I298" i="52"/>
  <c r="J298" i="52" s="1"/>
  <c r="K298" i="52" s="1"/>
  <c r="L298" i="52" s="1"/>
  <c r="I301" i="52"/>
  <c r="J301" i="52" s="1"/>
  <c r="K301" i="52" s="1"/>
  <c r="L301" i="52" s="1"/>
  <c r="I302" i="52"/>
  <c r="J302" i="52" s="1"/>
  <c r="K302" i="52" s="1"/>
  <c r="L302" i="52" s="1"/>
  <c r="I303" i="52"/>
  <c r="J303" i="52" s="1"/>
  <c r="K303" i="52" s="1"/>
  <c r="L303" i="52" s="1"/>
  <c r="I304" i="52"/>
  <c r="J304" i="52" s="1"/>
  <c r="K304" i="52" s="1"/>
  <c r="L304" i="52" s="1"/>
  <c r="I305" i="52"/>
  <c r="J305" i="52" s="1"/>
  <c r="K305" i="52" s="1"/>
  <c r="L305" i="52" s="1"/>
  <c r="I306" i="52"/>
  <c r="J306" i="52" s="1"/>
  <c r="K306" i="52" s="1"/>
  <c r="L306" i="52" s="1"/>
  <c r="I309" i="52"/>
  <c r="J309" i="52" s="1"/>
  <c r="K309" i="52" s="1"/>
  <c r="L309" i="52" s="1"/>
  <c r="I310" i="52"/>
  <c r="J310" i="52" s="1"/>
  <c r="K310" i="52" s="1"/>
  <c r="L310" i="52" s="1"/>
  <c r="I311" i="52"/>
  <c r="J311" i="52" s="1"/>
  <c r="K311" i="52" s="1"/>
  <c r="L311" i="52" s="1"/>
  <c r="I312" i="52"/>
  <c r="J312" i="52" s="1"/>
  <c r="K312" i="52" s="1"/>
  <c r="L312" i="52" s="1"/>
  <c r="J314" i="52"/>
  <c r="I316" i="52"/>
  <c r="J316" i="52" s="1"/>
  <c r="K316" i="52" s="1"/>
  <c r="L316" i="52" s="1"/>
  <c r="I317" i="52"/>
  <c r="J317" i="52" s="1"/>
  <c r="K317" i="52" s="1"/>
  <c r="L317" i="52" s="1"/>
  <c r="I319" i="52"/>
  <c r="J319" i="52" s="1"/>
  <c r="K319" i="52" s="1"/>
  <c r="L319" i="52" s="1"/>
  <c r="I320" i="52"/>
  <c r="J320" i="52" s="1"/>
  <c r="K320" i="52" s="1"/>
  <c r="L320" i="52" s="1"/>
  <c r="I321" i="52"/>
  <c r="J321" i="52" s="1"/>
  <c r="K321" i="52" s="1"/>
  <c r="L321" i="52" s="1"/>
  <c r="I322" i="52"/>
  <c r="J322" i="52" s="1"/>
  <c r="K322" i="52" s="1"/>
  <c r="L322" i="52" s="1"/>
  <c r="I323" i="52"/>
  <c r="J323" i="52" s="1"/>
  <c r="K323" i="52" s="1"/>
  <c r="L323" i="52" s="1"/>
  <c r="I325" i="52"/>
  <c r="J325" i="52" s="1"/>
  <c r="K325" i="52" s="1"/>
  <c r="L325" i="52" s="1"/>
  <c r="I328" i="52"/>
  <c r="J328" i="52" s="1"/>
  <c r="K328" i="52" s="1"/>
  <c r="L328" i="52" s="1"/>
  <c r="I329" i="52"/>
  <c r="J329" i="52" s="1"/>
  <c r="K329" i="52" s="1"/>
  <c r="L329" i="52" s="1"/>
  <c r="I330" i="52"/>
  <c r="J330" i="52" s="1"/>
  <c r="K330" i="52" s="1"/>
  <c r="L330" i="52" s="1"/>
  <c r="I333" i="52"/>
  <c r="J333" i="52" s="1"/>
  <c r="K333" i="52" s="1"/>
  <c r="L333" i="52" s="1"/>
  <c r="I334" i="52"/>
  <c r="J334" i="52" s="1"/>
  <c r="K334" i="52" s="1"/>
  <c r="L334" i="52" s="1"/>
  <c r="I335" i="52"/>
  <c r="J335" i="52" s="1"/>
  <c r="K335" i="52" s="1"/>
  <c r="L335" i="52" s="1"/>
  <c r="I339" i="52"/>
  <c r="J339" i="52" s="1"/>
  <c r="K339" i="52" s="1"/>
  <c r="L339" i="52" s="1"/>
  <c r="I340" i="52"/>
  <c r="J340" i="52" s="1"/>
  <c r="K340" i="52" s="1"/>
  <c r="L340" i="52" s="1"/>
  <c r="I341" i="52"/>
  <c r="J341" i="52" s="1"/>
  <c r="K341" i="52" s="1"/>
  <c r="L341" i="52" s="1"/>
  <c r="I342" i="52"/>
  <c r="J342" i="52" s="1"/>
  <c r="K342" i="52" s="1"/>
  <c r="L342" i="52" s="1"/>
  <c r="I350" i="52"/>
  <c r="J350" i="52" s="1"/>
  <c r="K350" i="52" s="1"/>
  <c r="L350" i="52" s="1"/>
  <c r="I351" i="52"/>
  <c r="J351" i="52" s="1"/>
  <c r="K351" i="52" s="1"/>
  <c r="L351" i="52" s="1"/>
  <c r="K362" i="52"/>
  <c r="I363" i="52"/>
  <c r="J363" i="52" s="1"/>
  <c r="K363" i="52" s="1"/>
  <c r="L363" i="52" s="1"/>
  <c r="I364" i="52"/>
  <c r="J364" i="52" s="1"/>
  <c r="K364" i="52" s="1"/>
  <c r="L364" i="52" s="1"/>
  <c r="I365" i="52"/>
  <c r="J365" i="52" s="1"/>
  <c r="K365" i="52" s="1"/>
  <c r="L365" i="52" s="1"/>
  <c r="I371" i="52"/>
  <c r="J371" i="52" s="1"/>
  <c r="K371" i="52" s="1"/>
  <c r="L371" i="52" s="1"/>
  <c r="I372" i="52"/>
  <c r="J372" i="52" s="1"/>
  <c r="K372" i="52" s="1"/>
  <c r="L372" i="52" s="1"/>
  <c r="I373" i="52"/>
  <c r="J373" i="52" s="1"/>
  <c r="K373" i="52" s="1"/>
  <c r="L373" i="52" s="1"/>
  <c r="I382" i="52"/>
  <c r="J382" i="52" s="1"/>
  <c r="K382" i="52" s="1"/>
  <c r="L382" i="52" s="1"/>
  <c r="I383" i="52"/>
  <c r="J383" i="52" s="1"/>
  <c r="K383" i="52" s="1"/>
  <c r="L383" i="52" s="1"/>
  <c r="I388" i="52"/>
  <c r="J388" i="52" s="1"/>
  <c r="K388" i="52" s="1"/>
  <c r="L388" i="52" s="1"/>
  <c r="I389" i="52"/>
  <c r="J389" i="52" s="1"/>
  <c r="K389" i="52" s="1"/>
  <c r="L389" i="52" s="1"/>
  <c r="I390" i="52"/>
  <c r="J390" i="52" s="1"/>
  <c r="K390" i="52" s="1"/>
  <c r="L390" i="52" s="1"/>
  <c r="I391" i="52"/>
  <c r="J391" i="52" s="1"/>
  <c r="K391" i="52" s="1"/>
  <c r="L391" i="52" s="1"/>
  <c r="I392" i="52"/>
  <c r="J392" i="52" s="1"/>
  <c r="K392" i="52" s="1"/>
  <c r="L392" i="52" s="1"/>
  <c r="I393" i="52"/>
  <c r="J393" i="52" s="1"/>
  <c r="K393" i="52" s="1"/>
  <c r="L393" i="52" s="1"/>
  <c r="I394" i="52"/>
  <c r="J394" i="52" s="1"/>
  <c r="K394" i="52" s="1"/>
  <c r="L394" i="52" s="1"/>
  <c r="I395" i="52"/>
  <c r="J395" i="52" s="1"/>
  <c r="K395" i="52" s="1"/>
  <c r="L395" i="52" s="1"/>
  <c r="I396" i="52"/>
  <c r="J396" i="52" s="1"/>
  <c r="K396" i="52" s="1"/>
  <c r="L396" i="52" s="1"/>
  <c r="I398" i="52"/>
  <c r="J398" i="52" s="1"/>
  <c r="K398" i="52" s="1"/>
  <c r="L398" i="52" s="1"/>
  <c r="I399" i="52"/>
  <c r="J399" i="52" s="1"/>
  <c r="K399" i="52" s="1"/>
  <c r="L399" i="52" s="1"/>
  <c r="I400" i="52"/>
  <c r="J400" i="52" s="1"/>
  <c r="K400" i="52" s="1"/>
  <c r="L400" i="52" s="1"/>
  <c r="I401" i="52"/>
  <c r="J401" i="52" s="1"/>
  <c r="K401" i="52" s="1"/>
  <c r="L401" i="52" s="1"/>
  <c r="I405" i="52"/>
  <c r="J405" i="52" s="1"/>
  <c r="K405" i="52" s="1"/>
  <c r="L405" i="52" s="1"/>
  <c r="I406" i="52"/>
  <c r="J406" i="52" s="1"/>
  <c r="K406" i="52" s="1"/>
  <c r="L406" i="52" s="1"/>
  <c r="I407" i="52"/>
  <c r="J407" i="52" s="1"/>
  <c r="K407" i="52" s="1"/>
  <c r="L407" i="52" s="1"/>
  <c r="I408" i="52"/>
  <c r="J408" i="52" s="1"/>
  <c r="K408" i="52" s="1"/>
  <c r="L408" i="52" s="1"/>
  <c r="I410" i="52"/>
  <c r="J410" i="52" s="1"/>
  <c r="K410" i="52" s="1"/>
  <c r="L410" i="52" s="1"/>
  <c r="I411" i="52"/>
  <c r="J411" i="52" s="1"/>
  <c r="K411" i="52" s="1"/>
  <c r="L411" i="52" s="1"/>
  <c r="I427" i="52"/>
  <c r="J427" i="52" s="1"/>
  <c r="K427" i="52" s="1"/>
  <c r="L427" i="52" s="1"/>
  <c r="I430" i="52"/>
  <c r="J430" i="52" s="1"/>
  <c r="K430" i="52" s="1"/>
  <c r="L430" i="52" s="1"/>
  <c r="I431" i="52"/>
  <c r="J431" i="52" s="1"/>
  <c r="K431" i="52" s="1"/>
  <c r="L431" i="52" s="1"/>
  <c r="I432" i="52"/>
  <c r="J432" i="52" s="1"/>
  <c r="K432" i="52" s="1"/>
  <c r="L432" i="52" s="1"/>
  <c r="I433" i="52"/>
  <c r="J433" i="52" s="1"/>
  <c r="K433" i="52" s="1"/>
  <c r="L433" i="52" s="1"/>
  <c r="I434" i="52"/>
  <c r="J434" i="52" s="1"/>
  <c r="K434" i="52" s="1"/>
  <c r="L434" i="52" s="1"/>
  <c r="I435" i="52"/>
  <c r="J435" i="52" s="1"/>
  <c r="K435" i="52" s="1"/>
  <c r="L435" i="52" s="1"/>
  <c r="I436" i="52"/>
  <c r="J436" i="52" s="1"/>
  <c r="K436" i="52" s="1"/>
  <c r="L436" i="52" s="1"/>
  <c r="I437" i="52"/>
  <c r="J437" i="52" s="1"/>
  <c r="K437" i="52" s="1"/>
  <c r="L437" i="52" s="1"/>
  <c r="I438" i="52"/>
  <c r="J438" i="52" s="1"/>
  <c r="K438" i="52" s="1"/>
  <c r="L438" i="52" s="1"/>
  <c r="I440" i="52"/>
  <c r="J440" i="52" s="1"/>
  <c r="K440" i="52" s="1"/>
  <c r="L440" i="52" s="1"/>
  <c r="I443" i="52"/>
  <c r="J443" i="52" s="1"/>
  <c r="K443" i="52" s="1"/>
  <c r="L443" i="52" s="1"/>
  <c r="I445" i="52"/>
  <c r="J445" i="52" s="1"/>
  <c r="K445" i="52" s="1"/>
  <c r="L445" i="52" s="1"/>
  <c r="I446" i="52"/>
  <c r="J446" i="52" s="1"/>
  <c r="K446" i="52" s="1"/>
  <c r="L446" i="52" s="1"/>
  <c r="I447" i="52"/>
  <c r="J447" i="52" s="1"/>
  <c r="K447" i="52" s="1"/>
  <c r="L447" i="52" s="1"/>
  <c r="I448" i="52"/>
  <c r="J448" i="52" s="1"/>
  <c r="K448" i="52" s="1"/>
  <c r="L448" i="52" s="1"/>
  <c r="I452" i="52"/>
  <c r="J452" i="52" s="1"/>
  <c r="K452" i="52" s="1"/>
  <c r="L452" i="52" s="1"/>
  <c r="I453" i="52"/>
  <c r="J453" i="52" s="1"/>
  <c r="K453" i="52" s="1"/>
  <c r="L453" i="52" s="1"/>
  <c r="I455" i="52"/>
  <c r="J455" i="52" s="1"/>
  <c r="K455" i="52" s="1"/>
  <c r="L455" i="52" s="1"/>
  <c r="I456" i="52"/>
  <c r="J456" i="52" s="1"/>
  <c r="K456" i="52" s="1"/>
  <c r="L456" i="52" s="1"/>
  <c r="I457" i="52"/>
  <c r="J457" i="52" s="1"/>
  <c r="K457" i="52" s="1"/>
  <c r="L457" i="52" s="1"/>
  <c r="I459" i="52"/>
  <c r="J459" i="52" s="1"/>
  <c r="K459" i="52" s="1"/>
  <c r="L459" i="52" s="1"/>
  <c r="I4" i="52"/>
  <c r="J4" i="52" s="1"/>
  <c r="K4" i="52" s="1"/>
  <c r="I1" i="52"/>
  <c r="I12" i="52" s="1"/>
  <c r="I175" i="52" l="1"/>
  <c r="J175" i="52" s="1"/>
  <c r="K175" i="52" s="1"/>
  <c r="L175" i="52" s="1"/>
  <c r="I137" i="52"/>
  <c r="J137" i="52" s="1"/>
  <c r="K137" i="52" s="1"/>
  <c r="L137" i="52" s="1"/>
  <c r="I327" i="52"/>
  <c r="J327" i="52" s="1"/>
  <c r="K327" i="52" s="1"/>
  <c r="L327" i="52" s="1"/>
  <c r="I291" i="52"/>
  <c r="J291" i="52" s="1"/>
  <c r="K291" i="52" s="1"/>
  <c r="L291" i="52" s="1"/>
  <c r="I439" i="52"/>
  <c r="J439" i="52" s="1"/>
  <c r="K439" i="52" s="1"/>
  <c r="L439" i="52" s="1"/>
  <c r="I343" i="52"/>
  <c r="J343" i="52" s="1"/>
  <c r="K343" i="52" s="1"/>
  <c r="L343" i="52" s="1"/>
  <c r="I52" i="52"/>
  <c r="J52" i="52" s="1"/>
  <c r="K52" i="52" s="1"/>
  <c r="L52" i="52" s="1"/>
  <c r="I18" i="52"/>
  <c r="J18" i="52" s="1"/>
  <c r="K18" i="52" s="1"/>
  <c r="L18" i="52" s="1"/>
  <c r="I36" i="52"/>
  <c r="J36" i="52" s="1"/>
  <c r="K36" i="52" s="1"/>
  <c r="L36" i="52" s="1"/>
  <c r="I42" i="52"/>
  <c r="J42" i="52" s="1"/>
  <c r="K42" i="52" s="1"/>
  <c r="L42" i="52" s="1"/>
  <c r="I49" i="52"/>
  <c r="J49" i="52" s="1"/>
  <c r="K49" i="52" s="1"/>
  <c r="L49" i="52" s="1"/>
  <c r="I55" i="52"/>
  <c r="J55" i="52" s="1"/>
  <c r="K55" i="52" s="1"/>
  <c r="L55" i="52" s="1"/>
  <c r="I67" i="52"/>
  <c r="J67" i="52" s="1"/>
  <c r="K67" i="52" s="1"/>
  <c r="L67" i="52" s="1"/>
  <c r="I70" i="52"/>
  <c r="J70" i="52" s="1"/>
  <c r="K70" i="52" s="1"/>
  <c r="L70" i="52" s="1"/>
  <c r="I73" i="52"/>
  <c r="J73" i="52" s="1"/>
  <c r="K73" i="52" s="1"/>
  <c r="L73" i="52" s="1"/>
  <c r="I76" i="52"/>
  <c r="J76" i="52" s="1"/>
  <c r="K76" i="52" s="1"/>
  <c r="L76" i="52" s="1"/>
  <c r="I83" i="52"/>
  <c r="J83" i="52" s="1"/>
  <c r="K83" i="52" s="1"/>
  <c r="L83" i="52" s="1"/>
  <c r="I86" i="52"/>
  <c r="J86" i="52" s="1"/>
  <c r="K86" i="52" s="1"/>
  <c r="L86" i="52" s="1"/>
  <c r="I96" i="52"/>
  <c r="J96" i="52" s="1"/>
  <c r="K96" i="52" s="1"/>
  <c r="L96" i="52" s="1"/>
  <c r="I112" i="52"/>
  <c r="J112" i="52" s="1"/>
  <c r="K112" i="52" s="1"/>
  <c r="L112" i="52" s="1"/>
  <c r="I115" i="52"/>
  <c r="J115" i="52" s="1"/>
  <c r="K115" i="52" s="1"/>
  <c r="L115" i="52" s="1"/>
  <c r="I118" i="52"/>
  <c r="J118" i="52" s="1"/>
  <c r="K118" i="52" s="1"/>
  <c r="L118" i="52" s="1"/>
  <c r="I127" i="52"/>
  <c r="J127" i="52" s="1"/>
  <c r="K127" i="52" s="1"/>
  <c r="L127" i="52" s="1"/>
  <c r="I132" i="52"/>
  <c r="J132" i="52" s="1"/>
  <c r="K132" i="52" s="1"/>
  <c r="L132" i="52" s="1"/>
  <c r="I148" i="52"/>
  <c r="J148" i="52" s="1"/>
  <c r="K148" i="52" s="1"/>
  <c r="L148" i="52" s="1"/>
  <c r="I154" i="52"/>
  <c r="J154" i="52" s="1"/>
  <c r="K154" i="52" s="1"/>
  <c r="L154" i="52" s="1"/>
  <c r="I161" i="52"/>
  <c r="J161" i="52" s="1"/>
  <c r="K161" i="52" s="1"/>
  <c r="L161" i="52" s="1"/>
  <c r="I182" i="52"/>
  <c r="J182" i="52" s="1"/>
  <c r="K182" i="52" s="1"/>
  <c r="L182" i="52" s="1"/>
  <c r="I197" i="52"/>
  <c r="J197" i="52" s="1"/>
  <c r="K197" i="52" s="1"/>
  <c r="L197" i="52" s="1"/>
  <c r="I201" i="52"/>
  <c r="J201" i="52" s="1"/>
  <c r="K201" i="52" s="1"/>
  <c r="L201" i="52" s="1"/>
  <c r="I205" i="52"/>
  <c r="J205" i="52" s="1"/>
  <c r="K205" i="52" s="1"/>
  <c r="L205" i="52" s="1"/>
  <c r="I209" i="52"/>
  <c r="J209" i="52" s="1"/>
  <c r="K209" i="52" s="1"/>
  <c r="L209" i="52" s="1"/>
  <c r="I213" i="52"/>
  <c r="J213" i="52" s="1"/>
  <c r="K213" i="52" s="1"/>
  <c r="L213" i="52" s="1"/>
  <c r="I226" i="52"/>
  <c r="J226" i="52" s="1"/>
  <c r="K226" i="52" s="1"/>
  <c r="L226" i="52" s="1"/>
  <c r="I230" i="52"/>
  <c r="J230" i="52" s="1"/>
  <c r="K230" i="52" s="1"/>
  <c r="L230" i="52" s="1"/>
  <c r="I234" i="52"/>
  <c r="J234" i="52" s="1"/>
  <c r="K234" i="52" s="1"/>
  <c r="L234" i="52" s="1"/>
  <c r="I238" i="52"/>
  <c r="J238" i="52" s="1"/>
  <c r="K238" i="52" s="1"/>
  <c r="L238" i="52" s="1"/>
  <c r="I246" i="52"/>
  <c r="J246" i="52" s="1"/>
  <c r="K246" i="52" s="1"/>
  <c r="L246" i="52" s="1"/>
  <c r="I255" i="52"/>
  <c r="J255" i="52" s="1"/>
  <c r="K255" i="52" s="1"/>
  <c r="L255" i="52" s="1"/>
  <c r="I264" i="52"/>
  <c r="J264" i="52" s="1"/>
  <c r="K264" i="52" s="1"/>
  <c r="L264" i="52" s="1"/>
  <c r="I268" i="52"/>
  <c r="J268" i="52" s="1"/>
  <c r="K268" i="52" s="1"/>
  <c r="L268" i="52" s="1"/>
  <c r="I272" i="52"/>
  <c r="J272" i="52" s="1"/>
  <c r="K272" i="52" s="1"/>
  <c r="L272" i="52" s="1"/>
  <c r="I276" i="52"/>
  <c r="J276" i="52" s="1"/>
  <c r="K276" i="52" s="1"/>
  <c r="L276" i="52" s="1"/>
  <c r="I289" i="52"/>
  <c r="J289" i="52" s="1"/>
  <c r="K289" i="52" s="1"/>
  <c r="L289" i="52" s="1"/>
  <c r="I295" i="52"/>
  <c r="J295" i="52" s="1"/>
  <c r="K295" i="52" s="1"/>
  <c r="L295" i="52" s="1"/>
  <c r="I300" i="52"/>
  <c r="J300" i="52" s="1"/>
  <c r="K300" i="52" s="1"/>
  <c r="L300" i="52" s="1"/>
  <c r="I313" i="52"/>
  <c r="J313" i="52" s="1"/>
  <c r="K313" i="52" s="1"/>
  <c r="L313" i="52" s="1"/>
  <c r="I326" i="52"/>
  <c r="J326" i="52" s="1"/>
  <c r="K326" i="52" s="1"/>
  <c r="L326" i="52" s="1"/>
  <c r="I348" i="52"/>
  <c r="J348" i="52" s="1"/>
  <c r="K348" i="52" s="1"/>
  <c r="L348" i="52" s="1"/>
  <c r="I354" i="52"/>
  <c r="J354" i="52" s="1"/>
  <c r="K354" i="52" s="1"/>
  <c r="L354" i="52" s="1"/>
  <c r="I357" i="52"/>
  <c r="J357" i="52" s="1"/>
  <c r="K357" i="52" s="1"/>
  <c r="L357" i="52" s="1"/>
  <c r="I374" i="52"/>
  <c r="J374" i="52" s="1"/>
  <c r="K374" i="52" s="1"/>
  <c r="L374" i="52" s="1"/>
  <c r="I379" i="52"/>
  <c r="J379" i="52" s="1"/>
  <c r="K379" i="52" s="1"/>
  <c r="L379" i="52" s="1"/>
  <c r="I50" i="52"/>
  <c r="J50" i="52" s="1"/>
  <c r="K50" i="52" s="1"/>
  <c r="L50" i="52" s="1"/>
  <c r="I11" i="52"/>
  <c r="J11" i="52" s="1"/>
  <c r="K11" i="52" s="1"/>
  <c r="L11" i="52" s="1"/>
  <c r="I19" i="52"/>
  <c r="J19" i="52" s="1"/>
  <c r="K19" i="52" s="1"/>
  <c r="L19" i="52" s="1"/>
  <c r="I22" i="52"/>
  <c r="J22" i="52" s="1"/>
  <c r="K22" i="52" s="1"/>
  <c r="L22" i="52" s="1"/>
  <c r="I43" i="52"/>
  <c r="J43" i="52" s="1"/>
  <c r="K43" i="52" s="1"/>
  <c r="L43" i="52" s="1"/>
  <c r="I71" i="52"/>
  <c r="J71" i="52" s="1"/>
  <c r="K71" i="52" s="1"/>
  <c r="L71" i="52" s="1"/>
  <c r="I74" i="52"/>
  <c r="J74" i="52" s="1"/>
  <c r="K74" i="52" s="1"/>
  <c r="L74" i="52" s="1"/>
  <c r="I77" i="52"/>
  <c r="J77" i="52" s="1"/>
  <c r="K77" i="52" s="1"/>
  <c r="L77" i="52" s="1"/>
  <c r="I84" i="52"/>
  <c r="J84" i="52" s="1"/>
  <c r="K84" i="52" s="1"/>
  <c r="L84" i="52" s="1"/>
  <c r="I87" i="52"/>
  <c r="J87" i="52" s="1"/>
  <c r="K87" i="52" s="1"/>
  <c r="L87" i="52" s="1"/>
  <c r="I93" i="52"/>
  <c r="J93" i="52" s="1"/>
  <c r="K93" i="52" s="1"/>
  <c r="L93" i="52" s="1"/>
  <c r="I99" i="52"/>
  <c r="J99" i="52" s="1"/>
  <c r="K99" i="52" s="1"/>
  <c r="L99" i="52" s="1"/>
  <c r="I105" i="52"/>
  <c r="J105" i="52" s="1"/>
  <c r="K105" i="52" s="1"/>
  <c r="L105" i="52" s="1"/>
  <c r="I108" i="52"/>
  <c r="J108" i="52" s="1"/>
  <c r="K108" i="52" s="1"/>
  <c r="L108" i="52" s="1"/>
  <c r="I116" i="52"/>
  <c r="J116" i="52" s="1"/>
  <c r="K116" i="52" s="1"/>
  <c r="L116" i="52" s="1"/>
  <c r="I119" i="52"/>
  <c r="J119" i="52" s="1"/>
  <c r="K119" i="52" s="1"/>
  <c r="L119" i="52" s="1"/>
  <c r="I124" i="52"/>
  <c r="J124" i="52" s="1"/>
  <c r="K124" i="52" s="1"/>
  <c r="L124" i="52" s="1"/>
  <c r="I133" i="52"/>
  <c r="J133" i="52" s="1"/>
  <c r="K133" i="52" s="1"/>
  <c r="L133" i="52" s="1"/>
  <c r="I149" i="52"/>
  <c r="J149" i="52" s="1"/>
  <c r="K149" i="52" s="1"/>
  <c r="L149" i="52" s="1"/>
  <c r="I155" i="52"/>
  <c r="J155" i="52" s="1"/>
  <c r="K155" i="52" s="1"/>
  <c r="L155" i="52" s="1"/>
  <c r="I158" i="52"/>
  <c r="J158" i="52" s="1"/>
  <c r="K158" i="52" s="1"/>
  <c r="L158" i="52" s="1"/>
  <c r="I165" i="52"/>
  <c r="J165" i="52" s="1"/>
  <c r="K165" i="52" s="1"/>
  <c r="L165" i="52" s="1"/>
  <c r="I187" i="52"/>
  <c r="J187" i="52" s="1"/>
  <c r="K187" i="52" s="1"/>
  <c r="L187" i="52" s="1"/>
  <c r="I194" i="52"/>
  <c r="J194" i="52" s="1"/>
  <c r="K194" i="52" s="1"/>
  <c r="L194" i="52" s="1"/>
  <c r="I198" i="52"/>
  <c r="J198" i="52" s="1"/>
  <c r="K198" i="52" s="1"/>
  <c r="L198" i="52" s="1"/>
  <c r="I202" i="52"/>
  <c r="J202" i="52" s="1"/>
  <c r="K202" i="52" s="1"/>
  <c r="L202" i="52" s="1"/>
  <c r="I206" i="52"/>
  <c r="J206" i="52" s="1"/>
  <c r="K206" i="52" s="1"/>
  <c r="L206" i="52" s="1"/>
  <c r="I210" i="52"/>
  <c r="J210" i="52" s="1"/>
  <c r="K210" i="52" s="1"/>
  <c r="L210" i="52" s="1"/>
  <c r="I214" i="52"/>
  <c r="J214" i="52" s="1"/>
  <c r="K214" i="52" s="1"/>
  <c r="L214" i="52" s="1"/>
  <c r="I219" i="52"/>
  <c r="J219" i="52" s="1"/>
  <c r="K219" i="52" s="1"/>
  <c r="L219" i="52" s="1"/>
  <c r="I223" i="52"/>
  <c r="J223" i="52" s="1"/>
  <c r="K223" i="52" s="1"/>
  <c r="L223" i="52" s="1"/>
  <c r="I227" i="52"/>
  <c r="J227" i="52" s="1"/>
  <c r="K227" i="52" s="1"/>
  <c r="L227" i="52" s="1"/>
  <c r="I231" i="52"/>
  <c r="J231" i="52" s="1"/>
  <c r="K231" i="52" s="1"/>
  <c r="L231" i="52" s="1"/>
  <c r="I239" i="52"/>
  <c r="J239" i="52" s="1"/>
  <c r="K239" i="52" s="1"/>
  <c r="L239" i="52" s="1"/>
  <c r="I247" i="52"/>
  <c r="J247" i="52" s="1"/>
  <c r="K247" i="52" s="1"/>
  <c r="L247" i="52" s="1"/>
  <c r="I265" i="52"/>
  <c r="J265" i="52" s="1"/>
  <c r="K265" i="52" s="1"/>
  <c r="L265" i="52" s="1"/>
  <c r="I269" i="52"/>
  <c r="J269" i="52" s="1"/>
  <c r="K269" i="52" s="1"/>
  <c r="L269" i="52" s="1"/>
  <c r="I273" i="52"/>
  <c r="J273" i="52" s="1"/>
  <c r="K273" i="52" s="1"/>
  <c r="L273" i="52" s="1"/>
  <c r="I277" i="52"/>
  <c r="J277" i="52" s="1"/>
  <c r="K277" i="52" s="1"/>
  <c r="L277" i="52" s="1"/>
  <c r="I285" i="52"/>
  <c r="J285" i="52" s="1"/>
  <c r="K285" i="52" s="1"/>
  <c r="L285" i="52" s="1"/>
  <c r="I293" i="52"/>
  <c r="J293" i="52" s="1"/>
  <c r="K293" i="52" s="1"/>
  <c r="L293" i="52" s="1"/>
  <c r="I296" i="52"/>
  <c r="J296" i="52" s="1"/>
  <c r="K296" i="52" s="1"/>
  <c r="L296" i="52" s="1"/>
  <c r="I307" i="52"/>
  <c r="J307" i="52" s="1"/>
  <c r="K307" i="52" s="1"/>
  <c r="L307" i="52" s="1"/>
  <c r="I324" i="52"/>
  <c r="J324" i="52" s="1"/>
  <c r="K324" i="52" s="1"/>
  <c r="L324" i="52" s="1"/>
  <c r="I346" i="52"/>
  <c r="J346" i="52" s="1"/>
  <c r="K346" i="52" s="1"/>
  <c r="L346" i="52" s="1"/>
  <c r="I355" i="52"/>
  <c r="J355" i="52" s="1"/>
  <c r="K355" i="52" s="1"/>
  <c r="L355" i="52" s="1"/>
  <c r="I359" i="52"/>
  <c r="J359" i="52" s="1"/>
  <c r="K359" i="52" s="1"/>
  <c r="L359" i="52" s="1"/>
  <c r="I9" i="52"/>
  <c r="J9" i="52" s="1"/>
  <c r="K9" i="52" s="1"/>
  <c r="L9" i="52" s="1"/>
  <c r="J12" i="52"/>
  <c r="K12" i="52" s="1"/>
  <c r="L12" i="52" s="1"/>
  <c r="I16" i="52"/>
  <c r="J16" i="52" s="1"/>
  <c r="K16" i="52" s="1"/>
  <c r="L16" i="52" s="1"/>
  <c r="I23" i="52"/>
  <c r="J23" i="52" s="1"/>
  <c r="K23" i="52" s="1"/>
  <c r="L23" i="52" s="1"/>
  <c r="I28" i="52"/>
  <c r="J28" i="52" s="1"/>
  <c r="K28" i="52" s="1"/>
  <c r="L28" i="52" s="1"/>
  <c r="I34" i="52"/>
  <c r="J34" i="52" s="1"/>
  <c r="K34" i="52" s="1"/>
  <c r="L34" i="52" s="1"/>
  <c r="I44" i="52"/>
  <c r="J44" i="52" s="1"/>
  <c r="K44" i="52" s="1"/>
  <c r="L44" i="52" s="1"/>
  <c r="I62" i="52"/>
  <c r="J62" i="52" s="1"/>
  <c r="K62" i="52" s="1"/>
  <c r="L62" i="52" s="1"/>
  <c r="I68" i="52"/>
  <c r="J68" i="52" s="1"/>
  <c r="K68" i="52" s="1"/>
  <c r="L68" i="52" s="1"/>
  <c r="I75" i="52"/>
  <c r="J75" i="52" s="1"/>
  <c r="K75" i="52" s="1"/>
  <c r="L75" i="52" s="1"/>
  <c r="I78" i="52"/>
  <c r="J78" i="52" s="1"/>
  <c r="K78" i="52" s="1"/>
  <c r="L78" i="52" s="1"/>
  <c r="I94" i="52"/>
  <c r="J94" i="52" s="1"/>
  <c r="K94" i="52" s="1"/>
  <c r="L94" i="52" s="1"/>
  <c r="I97" i="52"/>
  <c r="J97" i="52" s="1"/>
  <c r="K97" i="52" s="1"/>
  <c r="L97" i="52" s="1"/>
  <c r="I103" i="52"/>
  <c r="J103" i="52" s="1"/>
  <c r="K103" i="52" s="1"/>
  <c r="L103" i="52" s="1"/>
  <c r="I106" i="52"/>
  <c r="J106" i="52" s="1"/>
  <c r="K106" i="52" s="1"/>
  <c r="L106" i="52" s="1"/>
  <c r="I109" i="52"/>
  <c r="J109" i="52" s="1"/>
  <c r="K109" i="52" s="1"/>
  <c r="L109" i="52" s="1"/>
  <c r="I122" i="52"/>
  <c r="J122" i="52" s="1"/>
  <c r="K122" i="52" s="1"/>
  <c r="L122" i="52" s="1"/>
  <c r="I125" i="52"/>
  <c r="J125" i="52" s="1"/>
  <c r="K125" i="52" s="1"/>
  <c r="L125" i="52" s="1"/>
  <c r="I128" i="52"/>
  <c r="J128" i="52" s="1"/>
  <c r="K128" i="52" s="1"/>
  <c r="L128" i="52" s="1"/>
  <c r="I153" i="52"/>
  <c r="J153" i="52" s="1"/>
  <c r="K153" i="52" s="1"/>
  <c r="L153" i="52" s="1"/>
  <c r="I156" i="52"/>
  <c r="J156" i="52" s="1"/>
  <c r="K156" i="52" s="1"/>
  <c r="L156" i="52" s="1"/>
  <c r="I159" i="52"/>
  <c r="J159" i="52" s="1"/>
  <c r="K159" i="52" s="1"/>
  <c r="L159" i="52" s="1"/>
  <c r="I170" i="52"/>
  <c r="J170" i="52" s="1"/>
  <c r="K170" i="52" s="1"/>
  <c r="L170" i="52" s="1"/>
  <c r="I188" i="52"/>
  <c r="J188" i="52" s="1"/>
  <c r="K188" i="52" s="1"/>
  <c r="L188" i="52" s="1"/>
  <c r="I195" i="52"/>
  <c r="J195" i="52" s="1"/>
  <c r="K195" i="52" s="1"/>
  <c r="L195" i="52" s="1"/>
  <c r="I199" i="52"/>
  <c r="J199" i="52" s="1"/>
  <c r="K199" i="52" s="1"/>
  <c r="L199" i="52" s="1"/>
  <c r="I203" i="52"/>
  <c r="J203" i="52" s="1"/>
  <c r="K203" i="52" s="1"/>
  <c r="L203" i="52" s="1"/>
  <c r="I207" i="52"/>
  <c r="J207" i="52" s="1"/>
  <c r="K207" i="52" s="1"/>
  <c r="L207" i="52" s="1"/>
  <c r="I211" i="52"/>
  <c r="J211" i="52" s="1"/>
  <c r="K211" i="52" s="1"/>
  <c r="L211" i="52" s="1"/>
  <c r="I215" i="52"/>
  <c r="J215" i="52" s="1"/>
  <c r="K215" i="52" s="1"/>
  <c r="L215" i="52" s="1"/>
  <c r="I220" i="52"/>
  <c r="J220" i="52" s="1"/>
  <c r="K220" i="52" s="1"/>
  <c r="L220" i="52" s="1"/>
  <c r="I228" i="52"/>
  <c r="J228" i="52" s="1"/>
  <c r="K228" i="52" s="1"/>
  <c r="L228" i="52" s="1"/>
  <c r="I232" i="52"/>
  <c r="J232" i="52" s="1"/>
  <c r="K232" i="52" s="1"/>
  <c r="L232" i="52" s="1"/>
  <c r="I240" i="52"/>
  <c r="J240" i="52" s="1"/>
  <c r="K240" i="52" s="1"/>
  <c r="L240" i="52" s="1"/>
  <c r="I244" i="52"/>
  <c r="J244" i="52" s="1"/>
  <c r="K244" i="52" s="1"/>
  <c r="L244" i="52" s="1"/>
  <c r="I258" i="52"/>
  <c r="J258" i="52" s="1"/>
  <c r="K258" i="52" s="1"/>
  <c r="L258" i="52" s="1"/>
  <c r="I266" i="52"/>
  <c r="J266" i="52" s="1"/>
  <c r="K266" i="52" s="1"/>
  <c r="L266" i="52" s="1"/>
  <c r="I274" i="52"/>
  <c r="J274" i="52" s="1"/>
  <c r="K274" i="52" s="1"/>
  <c r="L274" i="52" s="1"/>
  <c r="I278" i="52"/>
  <c r="J278" i="52" s="1"/>
  <c r="K278" i="52" s="1"/>
  <c r="L278" i="52" s="1"/>
  <c r="I282" i="52"/>
  <c r="J282" i="52" s="1"/>
  <c r="K282" i="52" s="1"/>
  <c r="L282" i="52" s="1"/>
  <c r="I286" i="52"/>
  <c r="J286" i="52" s="1"/>
  <c r="K286" i="52" s="1"/>
  <c r="L286" i="52" s="1"/>
  <c r="I318" i="52"/>
  <c r="J318" i="52" s="1"/>
  <c r="K318" i="52" s="1"/>
  <c r="L318" i="52" s="1"/>
  <c r="I336" i="52"/>
  <c r="J336" i="52" s="1"/>
  <c r="K336" i="52" s="1"/>
  <c r="L336" i="52" s="1"/>
  <c r="I344" i="52"/>
  <c r="J344" i="52" s="1"/>
  <c r="K344" i="52" s="1"/>
  <c r="L344" i="52" s="1"/>
  <c r="I353" i="52"/>
  <c r="J353" i="52" s="1"/>
  <c r="K353" i="52" s="1"/>
  <c r="L353" i="52" s="1"/>
  <c r="I360" i="52"/>
  <c r="J360" i="52" s="1"/>
  <c r="K360" i="52" s="1"/>
  <c r="L360" i="52" s="1"/>
  <c r="I366" i="52"/>
  <c r="J366" i="52" s="1"/>
  <c r="K366" i="52" s="1"/>
  <c r="L366" i="52" s="1"/>
  <c r="I375" i="52"/>
  <c r="J375" i="52" s="1"/>
  <c r="K375" i="52" s="1"/>
  <c r="L375" i="52" s="1"/>
  <c r="I378" i="52"/>
  <c r="J378" i="52" s="1"/>
  <c r="K378" i="52" s="1"/>
  <c r="L378" i="52" s="1"/>
  <c r="I386" i="52"/>
  <c r="J386" i="52" s="1"/>
  <c r="K386" i="52" s="1"/>
  <c r="L386" i="52" s="1"/>
  <c r="I404" i="52"/>
  <c r="J404" i="52" s="1"/>
  <c r="K404" i="52" s="1"/>
  <c r="L404" i="52" s="1"/>
  <c r="I413" i="52"/>
  <c r="J413" i="52" s="1"/>
  <c r="K413" i="52" s="1"/>
  <c r="L413" i="52" s="1"/>
  <c r="I418" i="52"/>
  <c r="J418" i="52" s="1"/>
  <c r="K418" i="52" s="1"/>
  <c r="L418" i="52" s="1"/>
  <c r="I421" i="52"/>
  <c r="J421" i="52" s="1"/>
  <c r="K421" i="52" s="1"/>
  <c r="L421" i="52" s="1"/>
  <c r="I425" i="52"/>
  <c r="J425" i="52" s="1"/>
  <c r="K425" i="52" s="1"/>
  <c r="L425" i="52" s="1"/>
  <c r="I368" i="52"/>
  <c r="J368" i="52" s="1"/>
  <c r="K368" i="52" s="1"/>
  <c r="L368" i="52" s="1"/>
  <c r="I358" i="52"/>
  <c r="J358" i="52" s="1"/>
  <c r="K358" i="52" s="1"/>
  <c r="L358" i="52" s="1"/>
  <c r="I299" i="52"/>
  <c r="J299" i="52" s="1"/>
  <c r="K299" i="52" s="1"/>
  <c r="L299" i="52" s="1"/>
  <c r="I225" i="52"/>
  <c r="J225" i="52" s="1"/>
  <c r="K225" i="52" s="1"/>
  <c r="L225" i="52" s="1"/>
  <c r="I204" i="52"/>
  <c r="J204" i="52" s="1"/>
  <c r="K204" i="52" s="1"/>
  <c r="L204" i="52" s="1"/>
  <c r="I189" i="52"/>
  <c r="J189" i="52" s="1"/>
  <c r="K189" i="52" s="1"/>
  <c r="L189" i="52" s="1"/>
  <c r="I160" i="52"/>
  <c r="J160" i="52" s="1"/>
  <c r="K160" i="52" s="1"/>
  <c r="L160" i="52" s="1"/>
  <c r="I110" i="52"/>
  <c r="J110" i="52" s="1"/>
  <c r="K110" i="52" s="1"/>
  <c r="L110" i="52" s="1"/>
  <c r="I98" i="52"/>
  <c r="J98" i="52" s="1"/>
  <c r="K98" i="52" s="1"/>
  <c r="L98" i="52" s="1"/>
  <c r="I449" i="52"/>
  <c r="J449" i="52" s="1"/>
  <c r="K449" i="52" s="1"/>
  <c r="L449" i="52" s="1"/>
  <c r="I428" i="52"/>
  <c r="J428" i="52" s="1"/>
  <c r="K428" i="52" s="1"/>
  <c r="L428" i="52" s="1"/>
  <c r="I424" i="52"/>
  <c r="J424" i="52" s="1"/>
  <c r="K424" i="52" s="1"/>
  <c r="L424" i="52" s="1"/>
  <c r="I420" i="52"/>
  <c r="J420" i="52" s="1"/>
  <c r="K420" i="52" s="1"/>
  <c r="L420" i="52" s="1"/>
  <c r="I417" i="52"/>
  <c r="J417" i="52" s="1"/>
  <c r="K417" i="52" s="1"/>
  <c r="L417" i="52" s="1"/>
  <c r="I384" i="52"/>
  <c r="J384" i="52" s="1"/>
  <c r="K384" i="52" s="1"/>
  <c r="L384" i="52" s="1"/>
  <c r="I381" i="52"/>
  <c r="J381" i="52" s="1"/>
  <c r="K381" i="52" s="1"/>
  <c r="L381" i="52" s="1"/>
  <c r="I376" i="52"/>
  <c r="J376" i="52" s="1"/>
  <c r="K376" i="52" s="1"/>
  <c r="L376" i="52" s="1"/>
  <c r="I367" i="52"/>
  <c r="J367" i="52" s="1"/>
  <c r="K367" i="52" s="1"/>
  <c r="L367" i="52" s="1"/>
  <c r="I352" i="52"/>
  <c r="J352" i="52" s="1"/>
  <c r="K352" i="52" s="1"/>
  <c r="L352" i="52" s="1"/>
  <c r="I345" i="52"/>
  <c r="J345" i="52" s="1"/>
  <c r="K345" i="52" s="1"/>
  <c r="L345" i="52" s="1"/>
  <c r="I251" i="52"/>
  <c r="J251" i="52" s="1"/>
  <c r="K251" i="52" s="1"/>
  <c r="L251" i="52" s="1"/>
  <c r="I216" i="52"/>
  <c r="J216" i="52" s="1"/>
  <c r="K216" i="52" s="1"/>
  <c r="L216" i="52" s="1"/>
  <c r="I200" i="52"/>
  <c r="J200" i="52" s="1"/>
  <c r="K200" i="52" s="1"/>
  <c r="L200" i="52" s="1"/>
  <c r="I181" i="52"/>
  <c r="J181" i="52" s="1"/>
  <c r="K181" i="52" s="1"/>
  <c r="L181" i="52" s="1"/>
  <c r="I177" i="52"/>
  <c r="J177" i="52" s="1"/>
  <c r="K177" i="52" s="1"/>
  <c r="L177" i="52" s="1"/>
  <c r="I173" i="52"/>
  <c r="J173" i="52" s="1"/>
  <c r="K173" i="52" s="1"/>
  <c r="L173" i="52" s="1"/>
  <c r="I157" i="52"/>
  <c r="J157" i="52" s="1"/>
  <c r="K157" i="52" s="1"/>
  <c r="L157" i="52" s="1"/>
  <c r="I150" i="52"/>
  <c r="J150" i="52" s="1"/>
  <c r="K150" i="52" s="1"/>
  <c r="L150" i="52" s="1"/>
  <c r="I134" i="52"/>
  <c r="J134" i="52" s="1"/>
  <c r="K134" i="52" s="1"/>
  <c r="L134" i="52" s="1"/>
  <c r="I117" i="52"/>
  <c r="J117" i="52" s="1"/>
  <c r="K117" i="52" s="1"/>
  <c r="L117" i="52" s="1"/>
  <c r="I107" i="52"/>
  <c r="J107" i="52" s="1"/>
  <c r="K107" i="52" s="1"/>
  <c r="L107" i="52" s="1"/>
  <c r="I95" i="52"/>
  <c r="J95" i="52" s="1"/>
  <c r="K95" i="52" s="1"/>
  <c r="L95" i="52" s="1"/>
  <c r="I460" i="52"/>
  <c r="J460" i="52" s="1"/>
  <c r="K460" i="52" s="1"/>
  <c r="L460" i="52" s="1"/>
  <c r="I385" i="52"/>
  <c r="J385" i="52" s="1"/>
  <c r="K385" i="52" s="1"/>
  <c r="L385" i="52" s="1"/>
  <c r="I423" i="52"/>
  <c r="J423" i="52" s="1"/>
  <c r="K423" i="52" s="1"/>
  <c r="L423" i="52" s="1"/>
  <c r="I416" i="52"/>
  <c r="J416" i="52" s="1"/>
  <c r="K416" i="52" s="1"/>
  <c r="L416" i="52" s="1"/>
  <c r="I412" i="52"/>
  <c r="J412" i="52" s="1"/>
  <c r="K412" i="52" s="1"/>
  <c r="L412" i="52" s="1"/>
  <c r="I380" i="52"/>
  <c r="J380" i="52" s="1"/>
  <c r="K380" i="52" s="1"/>
  <c r="L380" i="52" s="1"/>
  <c r="I356" i="52"/>
  <c r="J356" i="52" s="1"/>
  <c r="K356" i="52" s="1"/>
  <c r="L356" i="52" s="1"/>
  <c r="I337" i="52"/>
  <c r="J337" i="52" s="1"/>
  <c r="K337" i="52" s="1"/>
  <c r="L337" i="52" s="1"/>
  <c r="I294" i="52"/>
  <c r="J294" i="52" s="1"/>
  <c r="K294" i="52" s="1"/>
  <c r="L294" i="52" s="1"/>
  <c r="I288" i="52"/>
  <c r="J288" i="52" s="1"/>
  <c r="K288" i="52" s="1"/>
  <c r="L288" i="52" s="1"/>
  <c r="I279" i="52"/>
  <c r="J279" i="52" s="1"/>
  <c r="K279" i="52" s="1"/>
  <c r="L279" i="52" s="1"/>
  <c r="I267" i="52"/>
  <c r="J267" i="52" s="1"/>
  <c r="K267" i="52" s="1"/>
  <c r="L267" i="52" s="1"/>
  <c r="I241" i="52"/>
  <c r="J241" i="52" s="1"/>
  <c r="K241" i="52" s="1"/>
  <c r="L241" i="52" s="1"/>
  <c r="I233" i="52"/>
  <c r="J233" i="52" s="1"/>
  <c r="K233" i="52" s="1"/>
  <c r="L233" i="52" s="1"/>
  <c r="I212" i="52"/>
  <c r="J212" i="52" s="1"/>
  <c r="K212" i="52" s="1"/>
  <c r="L212" i="52" s="1"/>
  <c r="I196" i="52"/>
  <c r="J196" i="52" s="1"/>
  <c r="K196" i="52" s="1"/>
  <c r="L196" i="52" s="1"/>
  <c r="I185" i="52"/>
  <c r="J185" i="52" s="1"/>
  <c r="K185" i="52" s="1"/>
  <c r="L185" i="52" s="1"/>
  <c r="I147" i="52"/>
  <c r="J147" i="52" s="1"/>
  <c r="K147" i="52" s="1"/>
  <c r="L147" i="52" s="1"/>
  <c r="I144" i="52"/>
  <c r="J144" i="52" s="1"/>
  <c r="K144" i="52" s="1"/>
  <c r="L144" i="52" s="1"/>
  <c r="I114" i="52"/>
  <c r="J114" i="52" s="1"/>
  <c r="K114" i="52" s="1"/>
  <c r="L114" i="52" s="1"/>
  <c r="I100" i="52"/>
  <c r="J100" i="52" s="1"/>
  <c r="K100" i="52" s="1"/>
  <c r="L100" i="52" s="1"/>
  <c r="I91" i="52"/>
  <c r="J91" i="52" s="1"/>
  <c r="K91" i="52" s="1"/>
  <c r="L91" i="52" s="1"/>
  <c r="I72" i="52"/>
  <c r="J72" i="52" s="1"/>
  <c r="K72" i="52" s="1"/>
  <c r="L72" i="52" s="1"/>
  <c r="I14" i="52"/>
  <c r="J14" i="52" s="1"/>
  <c r="K14" i="52" s="1"/>
  <c r="L14" i="52" s="1"/>
  <c r="I414" i="52"/>
  <c r="J414" i="52" s="1"/>
  <c r="K414" i="52" s="1"/>
  <c r="L414" i="52" s="1"/>
  <c r="I377" i="52"/>
  <c r="J377" i="52" s="1"/>
  <c r="K377" i="52" s="1"/>
  <c r="L377" i="52" s="1"/>
  <c r="I123" i="52"/>
  <c r="J123" i="52" s="1"/>
  <c r="K123" i="52" s="1"/>
  <c r="L123" i="52" s="1"/>
  <c r="I85" i="52"/>
  <c r="J85" i="52" s="1"/>
  <c r="K85" i="52" s="1"/>
  <c r="L85" i="52" s="1"/>
  <c r="I442" i="52"/>
  <c r="J442" i="52" s="1"/>
  <c r="K442" i="52" s="1"/>
  <c r="L442" i="52" s="1"/>
  <c r="I458" i="52"/>
  <c r="J458" i="52" s="1"/>
  <c r="K458" i="52" s="1"/>
  <c r="L458" i="52" s="1"/>
  <c r="I454" i="52"/>
  <c r="J454" i="52" s="1"/>
  <c r="K454" i="52" s="1"/>
  <c r="L454" i="52" s="1"/>
  <c r="I450" i="52"/>
  <c r="J450" i="52" s="1"/>
  <c r="K450" i="52" s="1"/>
  <c r="L450" i="52" s="1"/>
  <c r="I441" i="52"/>
  <c r="J441" i="52" s="1"/>
  <c r="K441" i="52" s="1"/>
  <c r="L441" i="52" s="1"/>
  <c r="I429" i="52"/>
  <c r="J429" i="52" s="1"/>
  <c r="K429" i="52" s="1"/>
  <c r="L429" i="52" s="1"/>
  <c r="I422" i="52"/>
  <c r="J422" i="52" s="1"/>
  <c r="K422" i="52" s="1"/>
  <c r="L422" i="52" s="1"/>
  <c r="I419" i="52"/>
  <c r="J419" i="52" s="1"/>
  <c r="K419" i="52" s="1"/>
  <c r="L419" i="52" s="1"/>
  <c r="I415" i="52"/>
  <c r="J415" i="52" s="1"/>
  <c r="K415" i="52" s="1"/>
  <c r="L415" i="52" s="1"/>
  <c r="I283" i="52"/>
  <c r="J283" i="52" s="1"/>
  <c r="K283" i="52" s="1"/>
  <c r="L283" i="52" s="1"/>
  <c r="I275" i="52"/>
  <c r="J275" i="52" s="1"/>
  <c r="K275" i="52" s="1"/>
  <c r="L275" i="52" s="1"/>
  <c r="I259" i="52"/>
  <c r="J259" i="52" s="1"/>
  <c r="K259" i="52" s="1"/>
  <c r="L259" i="52" s="1"/>
  <c r="I245" i="52"/>
  <c r="J245" i="52" s="1"/>
  <c r="K245" i="52" s="1"/>
  <c r="L245" i="52" s="1"/>
  <c r="I229" i="52"/>
  <c r="J229" i="52" s="1"/>
  <c r="K229" i="52" s="1"/>
  <c r="L229" i="52" s="1"/>
  <c r="I221" i="52"/>
  <c r="J221" i="52" s="1"/>
  <c r="K221" i="52" s="1"/>
  <c r="L221" i="52" s="1"/>
  <c r="I208" i="52"/>
  <c r="J208" i="52" s="1"/>
  <c r="K208" i="52" s="1"/>
  <c r="L208" i="52" s="1"/>
  <c r="I126" i="52"/>
  <c r="J126" i="52" s="1"/>
  <c r="K126" i="52" s="1"/>
  <c r="L126" i="52" s="1"/>
  <c r="I69" i="52"/>
  <c r="J69" i="52" s="1"/>
  <c r="K69" i="52" s="1"/>
  <c r="L69" i="52" s="1"/>
  <c r="I63" i="52"/>
  <c r="J63" i="52" s="1"/>
  <c r="K63" i="52" s="1"/>
  <c r="L63" i="52" s="1"/>
  <c r="I35" i="52"/>
  <c r="J35" i="52" s="1"/>
  <c r="K35" i="52" s="1"/>
  <c r="L35" i="52" s="1"/>
  <c r="I17" i="52"/>
  <c r="J17" i="52" s="1"/>
  <c r="K17" i="52" s="1"/>
  <c r="L17" i="52" s="1"/>
  <c r="I51" i="52"/>
  <c r="J51" i="52" s="1"/>
  <c r="K51" i="52" s="1"/>
  <c r="L51" i="52" s="1"/>
  <c r="B563" i="74" l="1"/>
  <c r="AC48" i="24" l="1"/>
  <c r="M58" i="41" l="1"/>
  <c r="B559" i="74" l="1"/>
  <c r="B664" i="74"/>
  <c r="H129" i="22"/>
  <c r="B609" i="74" l="1"/>
  <c r="Q50" i="23" l="1"/>
  <c r="B581" i="74"/>
  <c r="E6" i="51" l="1"/>
  <c r="G6" i="51"/>
  <c r="M6" i="51"/>
  <c r="O6" i="51"/>
  <c r="J37" i="41" s="1"/>
  <c r="Q6" i="51"/>
  <c r="G52" i="6" s="1"/>
  <c r="W6" i="51"/>
  <c r="B897" i="74" l="1"/>
  <c r="J35" i="41"/>
  <c r="M35" i="41" s="1"/>
  <c r="J39" i="41"/>
  <c r="J40" i="41" s="1"/>
  <c r="Q7" i="51"/>
  <c r="B771" i="74"/>
  <c r="B981" i="74"/>
  <c r="B729" i="74"/>
  <c r="B1107" i="74"/>
  <c r="B939" i="74"/>
  <c r="M7" i="51"/>
  <c r="M60" i="51" s="1"/>
  <c r="O7" i="51"/>
  <c r="O60" i="51" s="1"/>
  <c r="J27" i="6"/>
  <c r="AB27" i="6" l="1"/>
  <c r="AF27" i="6" s="1"/>
  <c r="B273" i="74"/>
  <c r="B153" i="74"/>
  <c r="G60" i="51"/>
  <c r="J55" i="41"/>
  <c r="B548" i="74"/>
  <c r="B14" i="52"/>
  <c r="C441" i="52" l="1"/>
  <c r="C442" i="52"/>
  <c r="C132" i="52"/>
  <c r="C103" i="52"/>
  <c r="C134" i="52" l="1"/>
  <c r="C133" i="52"/>
  <c r="B546" i="74" l="1"/>
  <c r="M37" i="41"/>
  <c r="K54" i="1" s="1"/>
  <c r="R37" i="41" l="1"/>
  <c r="B547" i="74"/>
  <c r="B24" i="74"/>
  <c r="S112" i="1" l="1"/>
  <c r="O112" i="1" s="1"/>
  <c r="Q112" i="1" l="1"/>
  <c r="B57" i="74"/>
  <c r="E48" i="24" l="1"/>
  <c r="G48" i="24" l="1"/>
  <c r="M48" i="24" l="1"/>
  <c r="B1212" i="74"/>
  <c r="Y48" i="24" l="1"/>
  <c r="B1253" i="74"/>
  <c r="G26" i="24" l="1"/>
  <c r="B1197" i="74" s="1"/>
  <c r="H26" i="24" l="1"/>
  <c r="B1218" i="74" s="1"/>
  <c r="B5" i="52"/>
  <c r="B6" i="52"/>
  <c r="B7" i="52"/>
  <c r="B8" i="52"/>
  <c r="B50" i="52"/>
  <c r="B51" i="52"/>
  <c r="B52" i="52"/>
  <c r="B9" i="52"/>
  <c r="B10" i="52"/>
  <c r="B11" i="52"/>
  <c r="B12" i="52"/>
  <c r="B13" i="52"/>
  <c r="B15" i="52"/>
  <c r="B16" i="52"/>
  <c r="B17" i="52"/>
  <c r="B18" i="52"/>
  <c r="B19" i="52"/>
  <c r="B20" i="52"/>
  <c r="B21" i="52"/>
  <c r="B22" i="52"/>
  <c r="B23" i="52"/>
  <c r="B26" i="52"/>
  <c r="B27" i="52"/>
  <c r="B28" i="52"/>
  <c r="B29" i="52"/>
  <c r="B30" i="52"/>
  <c r="B31" i="52"/>
  <c r="B32" i="52"/>
  <c r="B33" i="52"/>
  <c r="B34" i="52"/>
  <c r="B35" i="52"/>
  <c r="B36" i="52"/>
  <c r="B37" i="52"/>
  <c r="B38" i="52"/>
  <c r="B39" i="52"/>
  <c r="B40" i="52"/>
  <c r="B41" i="52"/>
  <c r="B42" i="52"/>
  <c r="B43" i="52"/>
  <c r="B44" i="52"/>
  <c r="B45" i="52"/>
  <c r="B46" i="52"/>
  <c r="B47" i="52"/>
  <c r="B48" i="52"/>
  <c r="B49" i="52"/>
  <c r="B53" i="52"/>
  <c r="B54" i="52"/>
  <c r="B55" i="52"/>
  <c r="B56" i="52"/>
  <c r="B57" i="52"/>
  <c r="B58" i="52"/>
  <c r="B59" i="52"/>
  <c r="B60" i="52"/>
  <c r="B61" i="52"/>
  <c r="B62" i="52"/>
  <c r="B63" i="52"/>
  <c r="B64" i="52"/>
  <c r="B65" i="52"/>
  <c r="B66" i="52"/>
  <c r="B67" i="52"/>
  <c r="B68" i="52"/>
  <c r="B69" i="52"/>
  <c r="B70" i="52"/>
  <c r="B71" i="52"/>
  <c r="B72" i="52"/>
  <c r="B73" i="52"/>
  <c r="B74" i="52"/>
  <c r="B75" i="52"/>
  <c r="B76" i="52"/>
  <c r="B77" i="52"/>
  <c r="B78" i="52"/>
  <c r="B79" i="52"/>
  <c r="C255" i="52"/>
  <c r="C314" i="52"/>
  <c r="C386" i="52"/>
  <c r="C388" i="52"/>
  <c r="C389" i="52"/>
  <c r="C391" i="52"/>
  <c r="C392" i="52"/>
  <c r="C393" i="52"/>
  <c r="C394" i="52"/>
  <c r="C395" i="52"/>
  <c r="C396" i="52"/>
  <c r="C398" i="52"/>
  <c r="C399" i="52"/>
  <c r="C400" i="52"/>
  <c r="C404" i="52"/>
  <c r="C405" i="52"/>
  <c r="C407" i="52"/>
  <c r="C408" i="52"/>
  <c r="C410" i="52"/>
  <c r="C411" i="52"/>
  <c r="C412" i="52"/>
  <c r="C414" i="52"/>
  <c r="C415" i="52"/>
  <c r="C416" i="52"/>
  <c r="C418" i="52"/>
  <c r="C423" i="52"/>
  <c r="C424" i="52"/>
  <c r="C427" i="52"/>
  <c r="C428" i="52"/>
  <c r="C430" i="52"/>
  <c r="C431" i="52"/>
  <c r="C432" i="52"/>
  <c r="C433" i="52"/>
  <c r="C434" i="52"/>
  <c r="C435" i="52"/>
  <c r="C436" i="52"/>
  <c r="C437" i="52"/>
  <c r="C438" i="52"/>
  <c r="C440" i="52"/>
  <c r="C443" i="52"/>
  <c r="C445" i="52"/>
  <c r="C446" i="52"/>
  <c r="C447" i="52"/>
  <c r="C448" i="52"/>
  <c r="C449" i="52"/>
  <c r="C452" i="52"/>
  <c r="C453" i="52"/>
  <c r="C454" i="52"/>
  <c r="C455" i="52"/>
  <c r="C456" i="52"/>
  <c r="C457" i="52"/>
  <c r="C458" i="52"/>
  <c r="C459" i="52"/>
  <c r="C460" i="52"/>
  <c r="B4" i="52"/>
  <c r="J34" i="6"/>
  <c r="J29" i="23"/>
  <c r="J55" i="23" s="1"/>
  <c r="G168" i="6"/>
  <c r="J99" i="6"/>
  <c r="M69" i="6"/>
  <c r="AB69" i="6" s="1"/>
  <c r="AF151" i="6"/>
  <c r="W60" i="51"/>
  <c r="AC45" i="30"/>
  <c r="AC42" i="30"/>
  <c r="AC41" i="30"/>
  <c r="AC40" i="30"/>
  <c r="AC39" i="30"/>
  <c r="AC38" i="30"/>
  <c r="AC34" i="30"/>
  <c r="AC33" i="30"/>
  <c r="AC32" i="30"/>
  <c r="AC31" i="30"/>
  <c r="AC30" i="30"/>
  <c r="AC29" i="30"/>
  <c r="AC28" i="30"/>
  <c r="AC21" i="30"/>
  <c r="AC22" i="30"/>
  <c r="AC24" i="30"/>
  <c r="AC25" i="30"/>
  <c r="AC45" i="24"/>
  <c r="AC44" i="24"/>
  <c r="AC41" i="24"/>
  <c r="AC38" i="24"/>
  <c r="AC37" i="24"/>
  <c r="AC36" i="24"/>
  <c r="AC35" i="24"/>
  <c r="AC34" i="24"/>
  <c r="AC33" i="24"/>
  <c r="AC32" i="24"/>
  <c r="AC28" i="24"/>
  <c r="AC27" i="24"/>
  <c r="AC24" i="24"/>
  <c r="AC23" i="24"/>
  <c r="AC22" i="24"/>
  <c r="AC19" i="24"/>
  <c r="S94" i="1"/>
  <c r="M57" i="6"/>
  <c r="E39" i="30"/>
  <c r="E42" i="30"/>
  <c r="E40" i="30"/>
  <c r="E38" i="30"/>
  <c r="E33" i="30"/>
  <c r="E34" i="30"/>
  <c r="E32" i="30"/>
  <c r="E31" i="30"/>
  <c r="E30" i="30"/>
  <c r="E29" i="30"/>
  <c r="E28" i="30"/>
  <c r="E24" i="30"/>
  <c r="E21" i="30"/>
  <c r="E20" i="30"/>
  <c r="E38" i="24"/>
  <c r="G38" i="24" s="1"/>
  <c r="E37" i="24"/>
  <c r="M93" i="6"/>
  <c r="AB93" i="6" s="1"/>
  <c r="AF93" i="6" s="1"/>
  <c r="H78" i="22"/>
  <c r="F87" i="22"/>
  <c r="B7" i="30"/>
  <c r="B6" i="30"/>
  <c r="B5" i="30"/>
  <c r="P19" i="24"/>
  <c r="B5" i="24"/>
  <c r="B7" i="24"/>
  <c r="B6" i="24"/>
  <c r="M124" i="6"/>
  <c r="M121" i="6"/>
  <c r="M118" i="6"/>
  <c r="M112" i="6"/>
  <c r="AB112" i="6" s="1"/>
  <c r="AF112" i="6" s="1"/>
  <c r="M96" i="6"/>
  <c r="AB96" i="6" s="1"/>
  <c r="AF96" i="6" s="1"/>
  <c r="M66" i="6"/>
  <c r="AB66" i="6" s="1"/>
  <c r="AF66" i="6" s="1"/>
  <c r="M63" i="6"/>
  <c r="AB63" i="6" s="1"/>
  <c r="AF63" i="6" s="1"/>
  <c r="M59" i="6"/>
  <c r="C17" i="22"/>
  <c r="C16" i="22"/>
  <c r="C15" i="22"/>
  <c r="H114" i="22"/>
  <c r="A61" i="1"/>
  <c r="C67" i="1" s="1"/>
  <c r="H80" i="22"/>
  <c r="AB59" i="6" l="1"/>
  <c r="AF59" i="6"/>
  <c r="AF29" i="6"/>
  <c r="AB121" i="6"/>
  <c r="AF121" i="6"/>
  <c r="AB118" i="6"/>
  <c r="AF118" i="6" s="1"/>
  <c r="AB124" i="6"/>
  <c r="B289" i="74"/>
  <c r="AB57" i="6"/>
  <c r="AF164" i="6"/>
  <c r="B382" i="74"/>
  <c r="B263" i="74"/>
  <c r="B325" i="74"/>
  <c r="B206" i="74"/>
  <c r="B333" i="74"/>
  <c r="B339" i="74"/>
  <c r="B298" i="74"/>
  <c r="B345" i="74"/>
  <c r="B320" i="74"/>
  <c r="B295" i="74"/>
  <c r="B173" i="74"/>
  <c r="B292" i="74"/>
  <c r="H95" i="22"/>
  <c r="C96" i="22" s="1"/>
  <c r="B323" i="74"/>
  <c r="B301" i="74"/>
  <c r="AF160" i="6"/>
  <c r="B381" i="74"/>
  <c r="B262" i="74"/>
  <c r="B277" i="74"/>
  <c r="B158" i="74"/>
  <c r="N68" i="23"/>
  <c r="N70" i="23" s="1"/>
  <c r="S122" i="1"/>
  <c r="O122" i="1" s="1"/>
  <c r="I60" i="51"/>
  <c r="B348" i="74"/>
  <c r="H111" i="22"/>
  <c r="B680" i="74" s="1"/>
  <c r="M26" i="24"/>
  <c r="B1238" i="74" s="1"/>
  <c r="C4" i="52"/>
  <c r="J58" i="6"/>
  <c r="G60" i="6" s="1"/>
  <c r="E45" i="30"/>
  <c r="AC46" i="30"/>
  <c r="J106" i="6"/>
  <c r="C58" i="41"/>
  <c r="B5" i="74"/>
  <c r="AC49" i="24"/>
  <c r="M107" i="1"/>
  <c r="B543" i="74"/>
  <c r="AF57" i="6"/>
  <c r="M90" i="1"/>
  <c r="M162" i="1" s="1"/>
  <c r="M168" i="6"/>
  <c r="AB168" i="6" s="1"/>
  <c r="AF168" i="6" s="1"/>
  <c r="B552" i="74"/>
  <c r="Q29" i="23"/>
  <c r="B573" i="74"/>
  <c r="Q20" i="23"/>
  <c r="B569" i="74"/>
  <c r="G62" i="41"/>
  <c r="B55" i="74"/>
  <c r="E253" i="1"/>
  <c r="B30" i="74"/>
  <c r="B16" i="74"/>
  <c r="B644" i="74"/>
  <c r="G34" i="6"/>
  <c r="AF28" i="6" s="1"/>
  <c r="G144" i="6"/>
  <c r="B4" i="74"/>
  <c r="G45" i="30"/>
  <c r="B1295" i="74" s="1"/>
  <c r="O94" i="1"/>
  <c r="Q94" i="1"/>
  <c r="K47" i="1"/>
  <c r="C73" i="1" s="1"/>
  <c r="AF69" i="6"/>
  <c r="B556" i="74"/>
  <c r="G106" i="6"/>
  <c r="R58" i="41"/>
  <c r="S118" i="1"/>
  <c r="K253" i="1"/>
  <c r="N253" i="1"/>
  <c r="G19" i="24"/>
  <c r="C43" i="52"/>
  <c r="C26" i="52"/>
  <c r="C29" i="52"/>
  <c r="C250" i="52"/>
  <c r="C226" i="52"/>
  <c r="C181" i="52"/>
  <c r="C154" i="52"/>
  <c r="C298" i="52"/>
  <c r="C254" i="52"/>
  <c r="C230" i="52"/>
  <c r="C33" i="52"/>
  <c r="C72" i="52"/>
  <c r="C301" i="52"/>
  <c r="C237" i="52"/>
  <c r="C235" i="52"/>
  <c r="C221" i="52"/>
  <c r="C156" i="52"/>
  <c r="C21" i="52"/>
  <c r="C302" i="52"/>
  <c r="C347" i="52"/>
  <c r="C239" i="52"/>
  <c r="C227" i="52"/>
  <c r="C372" i="52"/>
  <c r="C382" i="52"/>
  <c r="C383" i="52"/>
  <c r="C63" i="52"/>
  <c r="C174" i="52"/>
  <c r="C93" i="52"/>
  <c r="C79" i="52"/>
  <c r="C62" i="52"/>
  <c r="C34" i="52"/>
  <c r="C366" i="52"/>
  <c r="C194" i="52"/>
  <c r="C193" i="52"/>
  <c r="C191" i="52"/>
  <c r="C95" i="52"/>
  <c r="C296" i="52"/>
  <c r="C188" i="52"/>
  <c r="C148" i="52"/>
  <c r="C55" i="52"/>
  <c r="C23" i="52"/>
  <c r="C173" i="52"/>
  <c r="C152" i="52"/>
  <c r="C385" i="52"/>
  <c r="C268" i="52"/>
  <c r="C119" i="52"/>
  <c r="C61" i="52"/>
  <c r="C56" i="52"/>
  <c r="C14" i="52"/>
  <c r="C316" i="52"/>
  <c r="C303" i="52"/>
  <c r="C253" i="52"/>
  <c r="C172" i="52"/>
  <c r="C164" i="52"/>
  <c r="C145" i="52"/>
  <c r="C39" i="52"/>
  <c r="C37" i="52"/>
  <c r="C6" i="52"/>
  <c r="C355" i="52"/>
  <c r="C339" i="52"/>
  <c r="C269" i="52"/>
  <c r="C225" i="52"/>
  <c r="C223" i="52"/>
  <c r="C220" i="52"/>
  <c r="C197" i="52"/>
  <c r="C177" i="52"/>
  <c r="C175" i="52"/>
  <c r="C165" i="52"/>
  <c r="C100" i="52"/>
  <c r="C97" i="52"/>
  <c r="C45" i="52"/>
  <c r="C40" i="52"/>
  <c r="C318" i="52"/>
  <c r="C293" i="52"/>
  <c r="C167" i="52"/>
  <c r="C146" i="52"/>
  <c r="C368" i="52"/>
  <c r="C334" i="52"/>
  <c r="C327" i="52"/>
  <c r="C325" i="52"/>
  <c r="C294" i="52"/>
  <c r="C270" i="52"/>
  <c r="C196" i="52"/>
  <c r="C189" i="52"/>
  <c r="C182" i="52"/>
  <c r="C160" i="52"/>
  <c r="C121" i="52"/>
  <c r="C180" i="52"/>
  <c r="C168" i="52"/>
  <c r="C143" i="52"/>
  <c r="C107" i="52"/>
  <c r="C102" i="52"/>
  <c r="C87" i="52"/>
  <c r="C71" i="52"/>
  <c r="C66" i="52"/>
  <c r="C54" i="52"/>
  <c r="C11" i="52"/>
  <c r="C330" i="52"/>
  <c r="C290" i="52"/>
  <c r="C273" i="52"/>
  <c r="C251" i="52"/>
  <c r="C242" i="52"/>
  <c r="C185" i="52"/>
  <c r="C183" i="52"/>
  <c r="C99" i="52"/>
  <c r="C98" i="52"/>
  <c r="C96" i="52"/>
  <c r="C85" i="52"/>
  <c r="C59" i="52"/>
  <c r="C57" i="52"/>
  <c r="C44" i="52"/>
  <c r="C42" i="52"/>
  <c r="C38" i="52"/>
  <c r="C32" i="52"/>
  <c r="C20" i="52"/>
  <c r="C13" i="52"/>
  <c r="C319" i="52"/>
  <c r="C222" i="52"/>
  <c r="C190" i="52"/>
  <c r="C170" i="52"/>
  <c r="C141" i="52"/>
  <c r="C122" i="52"/>
  <c r="C105" i="52"/>
  <c r="C90" i="52"/>
  <c r="C82" i="52"/>
  <c r="C64" i="52"/>
  <c r="C49" i="52"/>
  <c r="C15" i="52"/>
  <c r="C9" i="52"/>
  <c r="C114" i="52"/>
  <c r="C367" i="52"/>
  <c r="C364" i="52"/>
  <c r="C337" i="52"/>
  <c r="C309" i="52"/>
  <c r="C113" i="52"/>
  <c r="C101" i="52"/>
  <c r="C81" i="52"/>
  <c r="C69" i="52"/>
  <c r="C67" i="52"/>
  <c r="C48" i="52"/>
  <c r="C46" i="52"/>
  <c r="C31" i="52"/>
  <c r="C51" i="52"/>
  <c r="C14" i="22"/>
  <c r="C42" i="1"/>
  <c r="C253" i="1"/>
  <c r="R22" i="41"/>
  <c r="C333" i="52"/>
  <c r="C323" i="52"/>
  <c r="C317" i="52"/>
  <c r="C307" i="52"/>
  <c r="C291" i="52"/>
  <c r="C262" i="52"/>
  <c r="C376" i="52"/>
  <c r="C363" i="52"/>
  <c r="C353" i="52"/>
  <c r="C348" i="52"/>
  <c r="C346" i="52"/>
  <c r="C340" i="52"/>
  <c r="C326" i="52"/>
  <c r="C310" i="52"/>
  <c r="C281" i="52"/>
  <c r="C266" i="52"/>
  <c r="C377" i="52"/>
  <c r="C321" i="52"/>
  <c r="C378" i="52"/>
  <c r="C267" i="52"/>
  <c r="C264" i="52"/>
  <c r="C258" i="52"/>
  <c r="C108" i="52"/>
  <c r="C126" i="52"/>
  <c r="C118" i="52"/>
  <c r="C324" i="52"/>
  <c r="C312" i="52"/>
  <c r="C218" i="52"/>
  <c r="C186" i="52"/>
  <c r="C78" i="52"/>
  <c r="C16" i="52"/>
  <c r="C8" i="52"/>
  <c r="C374" i="52"/>
  <c r="C360" i="52"/>
  <c r="C358" i="52"/>
  <c r="C357" i="52"/>
  <c r="C354" i="52"/>
  <c r="C351" i="52"/>
  <c r="C349" i="52"/>
  <c r="C271" i="52"/>
  <c r="C252" i="52"/>
  <c r="C178" i="52"/>
  <c r="C162" i="52"/>
  <c r="C150" i="52"/>
  <c r="C144" i="52"/>
  <c r="C89" i="52"/>
  <c r="C80" i="52"/>
  <c r="C70" i="52"/>
  <c r="C30" i="52"/>
  <c r="C28" i="52"/>
  <c r="C329" i="52"/>
  <c r="C288" i="52"/>
  <c r="C243" i="52"/>
  <c r="C128" i="52"/>
  <c r="C18" i="52"/>
  <c r="C12" i="52"/>
  <c r="C283" i="52"/>
  <c r="C305" i="52"/>
  <c r="C260" i="52"/>
  <c r="C238" i="52"/>
  <c r="C158" i="52"/>
  <c r="C139" i="52"/>
  <c r="C124" i="52"/>
  <c r="C116" i="52"/>
  <c r="C83" i="52"/>
  <c r="C369" i="52"/>
  <c r="C359" i="52"/>
  <c r="C341" i="52"/>
  <c r="C322" i="52"/>
  <c r="C313" i="52"/>
  <c r="C306" i="52"/>
  <c r="C289" i="52"/>
  <c r="C282" i="52"/>
  <c r="C272" i="52"/>
  <c r="C241" i="52"/>
  <c r="C236" i="52"/>
  <c r="C229" i="52"/>
  <c r="C219" i="52"/>
  <c r="C187" i="52"/>
  <c r="C184" i="52"/>
  <c r="C179" i="52"/>
  <c r="C176" i="52"/>
  <c r="C171" i="52"/>
  <c r="C169" i="52"/>
  <c r="C163" i="52"/>
  <c r="C112" i="52"/>
  <c r="C106" i="52"/>
  <c r="C104" i="52"/>
  <c r="C68" i="52"/>
  <c r="C65" i="52"/>
  <c r="C60" i="52"/>
  <c r="C58" i="52"/>
  <c r="C53" i="52"/>
  <c r="C47" i="52"/>
  <c r="C27" i="52"/>
  <c r="C22" i="52"/>
  <c r="C19" i="52"/>
  <c r="C17" i="52"/>
  <c r="C10" i="52"/>
  <c r="C52" i="52"/>
  <c r="C384" i="52"/>
  <c r="C373" i="52"/>
  <c r="C371" i="52"/>
  <c r="C365" i="52"/>
  <c r="C362" i="52"/>
  <c r="C352" i="52"/>
  <c r="C350" i="52"/>
  <c r="C342" i="52"/>
  <c r="C336" i="52"/>
  <c r="C328" i="52"/>
  <c r="C320" i="52"/>
  <c r="C311" i="52"/>
  <c r="C304" i="52"/>
  <c r="C295" i="52"/>
  <c r="C280" i="52"/>
  <c r="C86" i="52"/>
  <c r="C84" i="52"/>
  <c r="G85" i="6"/>
  <c r="S58" i="41"/>
  <c r="A1" i="55"/>
  <c r="C425" i="52"/>
  <c r="C417" i="52"/>
  <c r="C381" i="52"/>
  <c r="C429" i="52"/>
  <c r="C419" i="52"/>
  <c r="C406" i="52"/>
  <c r="C390" i="52"/>
  <c r="C380" i="52"/>
  <c r="C344" i="52"/>
  <c r="C300" i="52"/>
  <c r="C299" i="52"/>
  <c r="C275" i="52"/>
  <c r="C246" i="52"/>
  <c r="C420" i="52"/>
  <c r="C397" i="52"/>
  <c r="C379" i="52"/>
  <c r="C356" i="52"/>
  <c r="C345" i="52"/>
  <c r="C335" i="52"/>
  <c r="C279" i="52"/>
  <c r="C277" i="52"/>
  <c r="C401" i="52"/>
  <c r="C286" i="52"/>
  <c r="C265" i="52"/>
  <c r="C263" i="52"/>
  <c r="C261" i="52"/>
  <c r="C259" i="52"/>
  <c r="C240" i="52"/>
  <c r="C228" i="52"/>
  <c r="C195" i="52"/>
  <c r="C192" i="52"/>
  <c r="C450" i="52"/>
  <c r="C413" i="52"/>
  <c r="C375" i="52"/>
  <c r="C285" i="52"/>
  <c r="C274" i="52"/>
  <c r="C244" i="52"/>
  <c r="C224" i="52"/>
  <c r="C276" i="52"/>
  <c r="C245" i="52"/>
  <c r="C231" i="52"/>
  <c r="C198" i="52"/>
  <c r="C151" i="52"/>
  <c r="C147" i="52"/>
  <c r="C120" i="52"/>
  <c r="C117" i="52"/>
  <c r="C140" i="52"/>
  <c r="C159" i="52"/>
  <c r="C155" i="52"/>
  <c r="C137" i="52"/>
  <c r="C127" i="52"/>
  <c r="C123" i="52"/>
  <c r="C161" i="52"/>
  <c r="C157" i="52"/>
  <c r="C153" i="52"/>
  <c r="C149" i="52"/>
  <c r="C142" i="52"/>
  <c r="C138" i="52"/>
  <c r="C131" i="52"/>
  <c r="C125" i="52"/>
  <c r="C115" i="52"/>
  <c r="C36" i="52"/>
  <c r="C35" i="52"/>
  <c r="C73" i="52"/>
  <c r="C247" i="52"/>
  <c r="C94" i="52"/>
  <c r="C91" i="52"/>
  <c r="C88" i="52"/>
  <c r="C41" i="52"/>
  <c r="C50" i="52"/>
  <c r="C7" i="52"/>
  <c r="C5" i="52"/>
  <c r="E25" i="30"/>
  <c r="G38" i="30"/>
  <c r="C13" i="22"/>
  <c r="H90" i="22" s="1"/>
  <c r="C2" i="6"/>
  <c r="G39" i="30"/>
  <c r="B4" i="24"/>
  <c r="C155" i="1"/>
  <c r="C2" i="41"/>
  <c r="B4" i="30"/>
  <c r="C2" i="23"/>
  <c r="C79" i="1"/>
  <c r="G28" i="30"/>
  <c r="M110" i="1"/>
  <c r="E3" i="51"/>
  <c r="C3" i="51" s="1"/>
  <c r="Q170" i="1" l="1"/>
  <c r="B82" i="74" s="1"/>
  <c r="Q180" i="1"/>
  <c r="O170" i="1"/>
  <c r="B81" i="74" s="1"/>
  <c r="O180" i="1"/>
  <c r="AF131" i="6"/>
  <c r="C132" i="6" s="1"/>
  <c r="AF129" i="6"/>
  <c r="C130" i="6" s="1"/>
  <c r="AF124" i="6"/>
  <c r="AF133" i="6"/>
  <c r="C134" i="6" s="1"/>
  <c r="H119" i="22"/>
  <c r="AF127" i="6"/>
  <c r="Q206" i="1"/>
  <c r="B130" i="74" s="1"/>
  <c r="O206" i="1"/>
  <c r="H125" i="22"/>
  <c r="B685" i="74" s="1"/>
  <c r="B683" i="74"/>
  <c r="G176" i="6"/>
  <c r="G178" i="6" s="1"/>
  <c r="O114" i="1"/>
  <c r="Q185" i="1"/>
  <c r="O185" i="1"/>
  <c r="Q209" i="1"/>
  <c r="B134" i="74" s="1"/>
  <c r="O209" i="1"/>
  <c r="B133" i="74" s="1"/>
  <c r="Q191" i="1"/>
  <c r="O191" i="1"/>
  <c r="Q182" i="1"/>
  <c r="Q188" i="1"/>
  <c r="Q197" i="1"/>
  <c r="Q200" i="1"/>
  <c r="Q194" i="1"/>
  <c r="Q178" i="1"/>
  <c r="O200" i="1"/>
  <c r="O194" i="1"/>
  <c r="O188" i="1"/>
  <c r="O182" i="1"/>
  <c r="O197" i="1"/>
  <c r="O178" i="1"/>
  <c r="B170" i="74"/>
  <c r="E22" i="24"/>
  <c r="G22" i="24" s="1"/>
  <c r="B1193" i="74" s="1"/>
  <c r="B182" i="74"/>
  <c r="E25" i="24"/>
  <c r="B226" i="74"/>
  <c r="E35" i="24"/>
  <c r="B220" i="74"/>
  <c r="E34" i="24"/>
  <c r="B328" i="74"/>
  <c r="B209" i="74"/>
  <c r="AF137" i="6"/>
  <c r="B359" i="74"/>
  <c r="B240" i="74"/>
  <c r="B204" i="74"/>
  <c r="E28" i="24"/>
  <c r="B176" i="74"/>
  <c r="E23" i="24"/>
  <c r="G23" i="24" s="1"/>
  <c r="B201" i="74"/>
  <c r="E27" i="24"/>
  <c r="B179" i="74"/>
  <c r="E24" i="24"/>
  <c r="B214" i="74"/>
  <c r="E32" i="24"/>
  <c r="B329" i="74"/>
  <c r="B210" i="74"/>
  <c r="Q114" i="1"/>
  <c r="B383" i="74"/>
  <c r="L68" i="23"/>
  <c r="L70" i="23" s="1"/>
  <c r="B276" i="74"/>
  <c r="B157" i="74"/>
  <c r="J68" i="23"/>
  <c r="J70" i="23" s="1"/>
  <c r="Q122" i="1"/>
  <c r="M122" i="1"/>
  <c r="F68" i="23"/>
  <c r="F70" i="23" s="1"/>
  <c r="H68" i="23"/>
  <c r="H70" i="23" s="1"/>
  <c r="B315" i="74"/>
  <c r="B196" i="74"/>
  <c r="B360" i="74"/>
  <c r="B241" i="74"/>
  <c r="B229" i="74"/>
  <c r="E36" i="24"/>
  <c r="Y26" i="24"/>
  <c r="Q55" i="23"/>
  <c r="J61" i="23"/>
  <c r="O90" i="1"/>
  <c r="O162" i="1" s="1"/>
  <c r="Q90" i="1"/>
  <c r="Q162" i="1" s="1"/>
  <c r="L61" i="23"/>
  <c r="B602" i="74"/>
  <c r="K52" i="1"/>
  <c r="W53" i="1" s="1"/>
  <c r="A67" i="1"/>
  <c r="W44" i="1" s="1"/>
  <c r="M51" i="6"/>
  <c r="AB51" i="6" s="1"/>
  <c r="AF51" i="6" s="1"/>
  <c r="J85" i="6"/>
  <c r="M34" i="6"/>
  <c r="K51" i="1"/>
  <c r="K94" i="1"/>
  <c r="R35" i="41"/>
  <c r="AF79" i="6"/>
  <c r="B19" i="74"/>
  <c r="M116" i="1"/>
  <c r="B555" i="74"/>
  <c r="M144" i="6"/>
  <c r="AB144" i="6" s="1"/>
  <c r="AF144" i="6" s="1"/>
  <c r="AF140" i="6"/>
  <c r="B544" i="74"/>
  <c r="B673" i="74"/>
  <c r="B51" i="74"/>
  <c r="AF99" i="6"/>
  <c r="B553" i="74"/>
  <c r="H39" i="30"/>
  <c r="B1291" i="74"/>
  <c r="G22" i="30"/>
  <c r="B27" i="74"/>
  <c r="G20" i="30"/>
  <c r="B1276" i="74" s="1"/>
  <c r="H19" i="24"/>
  <c r="B1192" i="74"/>
  <c r="B29" i="74"/>
  <c r="B56" i="74"/>
  <c r="H38" i="30"/>
  <c r="B1290" i="74"/>
  <c r="G41" i="30"/>
  <c r="H45" i="30"/>
  <c r="B1321" i="74" s="1"/>
  <c r="B28" i="74"/>
  <c r="H28" i="30"/>
  <c r="B1282" i="74"/>
  <c r="G31" i="30"/>
  <c r="G32" i="30"/>
  <c r="B1286" i="74" s="1"/>
  <c r="M118" i="1"/>
  <c r="B65" i="74"/>
  <c r="B131" i="22"/>
  <c r="F116" i="22"/>
  <c r="H112" i="22"/>
  <c r="F109" i="22"/>
  <c r="AF102" i="6"/>
  <c r="M106" i="6"/>
  <c r="AB106" i="6" s="1"/>
  <c r="AF106" i="6" s="1"/>
  <c r="M112" i="1"/>
  <c r="W112" i="1" s="1"/>
  <c r="C278" i="52"/>
  <c r="C110" i="52"/>
  <c r="C109" i="52"/>
  <c r="G34" i="30"/>
  <c r="G30" i="30"/>
  <c r="G21" i="30"/>
  <c r="G42" i="30"/>
  <c r="G40" i="30"/>
  <c r="G25" i="30"/>
  <c r="G29" i="30"/>
  <c r="G24" i="30"/>
  <c r="G33" i="30"/>
  <c r="C199" i="52"/>
  <c r="C232" i="52"/>
  <c r="C74" i="52"/>
  <c r="C422" i="52"/>
  <c r="C421" i="52"/>
  <c r="C189" i="6"/>
  <c r="J62" i="41"/>
  <c r="M55" i="41"/>
  <c r="M50" i="41"/>
  <c r="B14" i="51"/>
  <c r="B16" i="51"/>
  <c r="B18" i="51"/>
  <c r="B20" i="51"/>
  <c r="B22" i="51"/>
  <c r="B24" i="51"/>
  <c r="B26" i="51"/>
  <c r="B28" i="51"/>
  <c r="B30" i="51"/>
  <c r="B32" i="51"/>
  <c r="B34" i="51"/>
  <c r="B36" i="51"/>
  <c r="B38" i="51"/>
  <c r="B40" i="51"/>
  <c r="B42" i="51"/>
  <c r="B44" i="51"/>
  <c r="B46" i="51"/>
  <c r="B48" i="51"/>
  <c r="B50" i="51"/>
  <c r="B52" i="51"/>
  <c r="B13" i="51"/>
  <c r="B17" i="51"/>
  <c r="B21" i="51"/>
  <c r="B25" i="51"/>
  <c r="B29" i="51"/>
  <c r="B33" i="51"/>
  <c r="B37" i="51"/>
  <c r="B41" i="51"/>
  <c r="B45" i="51"/>
  <c r="B49" i="51"/>
  <c r="B53" i="51"/>
  <c r="B15" i="51"/>
  <c r="B31" i="51"/>
  <c r="B47" i="51"/>
  <c r="B23" i="51"/>
  <c r="B39" i="51"/>
  <c r="B19" i="51"/>
  <c r="B51" i="51"/>
  <c r="B27" i="51"/>
  <c r="B35" i="51"/>
  <c r="B43" i="51"/>
  <c r="J176" i="6" l="1"/>
  <c r="E7" i="51" s="1"/>
  <c r="AF80" i="6"/>
  <c r="C128" i="6"/>
  <c r="V132" i="6"/>
  <c r="G179" i="6"/>
  <c r="U25" i="41"/>
  <c r="T25" i="41"/>
  <c r="G14" i="41"/>
  <c r="U24" i="41"/>
  <c r="T24" i="41"/>
  <c r="J178" i="6"/>
  <c r="J14" i="41"/>
  <c r="B507" i="74" s="1"/>
  <c r="AB34" i="6"/>
  <c r="AF34" i="6" s="1"/>
  <c r="B129" i="74"/>
  <c r="M206" i="1"/>
  <c r="H22" i="24"/>
  <c r="M22" i="24" s="1"/>
  <c r="M191" i="1"/>
  <c r="S180" i="1"/>
  <c r="B211" i="74"/>
  <c r="B330" i="74"/>
  <c r="B316" i="74"/>
  <c r="B197" i="74"/>
  <c r="B264" i="74"/>
  <c r="K122" i="1"/>
  <c r="B278" i="74"/>
  <c r="Q31" i="1"/>
  <c r="B286" i="74"/>
  <c r="B384" i="74"/>
  <c r="B265" i="74"/>
  <c r="B242" i="74"/>
  <c r="B361" i="74"/>
  <c r="B117" i="74"/>
  <c r="B118" i="74"/>
  <c r="B122" i="74"/>
  <c r="Q68" i="23"/>
  <c r="B599" i="74"/>
  <c r="B598" i="74"/>
  <c r="B600" i="74"/>
  <c r="B607" i="74"/>
  <c r="Q71" i="23"/>
  <c r="F56" i="23" s="1"/>
  <c r="B601" i="74"/>
  <c r="B121" i="74"/>
  <c r="B89" i="74"/>
  <c r="M85" i="6"/>
  <c r="AB85" i="6" s="1"/>
  <c r="AF85" i="6" s="1"/>
  <c r="S110" i="1"/>
  <c r="B21" i="74"/>
  <c r="A73" i="1"/>
  <c r="W50" i="1" s="1"/>
  <c r="K53" i="1"/>
  <c r="W118" i="1"/>
  <c r="B92" i="74"/>
  <c r="B113" i="74"/>
  <c r="B105" i="74"/>
  <c r="B90" i="74"/>
  <c r="B114" i="74"/>
  <c r="B26" i="74"/>
  <c r="B23" i="74"/>
  <c r="H131" i="22"/>
  <c r="B64" i="74"/>
  <c r="H20" i="30"/>
  <c r="B1302" i="74" s="1"/>
  <c r="H32" i="30"/>
  <c r="M32" i="30" s="1"/>
  <c r="B561" i="74"/>
  <c r="B62" i="74"/>
  <c r="B111" i="74"/>
  <c r="B59" i="74"/>
  <c r="H40" i="30"/>
  <c r="B1292" i="74"/>
  <c r="H34" i="30"/>
  <c r="B1288" i="74"/>
  <c r="B102" i="74"/>
  <c r="B110" i="74"/>
  <c r="H24" i="30"/>
  <c r="B1280" i="74"/>
  <c r="H42" i="30"/>
  <c r="B1294" i="74"/>
  <c r="H21" i="30"/>
  <c r="B1277" i="74"/>
  <c r="B97" i="74"/>
  <c r="B106" i="74"/>
  <c r="H31" i="30"/>
  <c r="B1285" i="74"/>
  <c r="M28" i="30"/>
  <c r="B1308" i="74"/>
  <c r="M45" i="30"/>
  <c r="B1348" i="74" s="1"/>
  <c r="H41" i="30"/>
  <c r="B1293" i="74"/>
  <c r="H22" i="30"/>
  <c r="B1278" i="74"/>
  <c r="M39" i="30"/>
  <c r="B1317" i="74"/>
  <c r="B109" i="74"/>
  <c r="H29" i="30"/>
  <c r="B1283" i="74"/>
  <c r="B60" i="74"/>
  <c r="B101" i="74"/>
  <c r="B98" i="74"/>
  <c r="B94" i="74"/>
  <c r="R55" i="41"/>
  <c r="B557" i="74"/>
  <c r="B554" i="74"/>
  <c r="H33" i="30"/>
  <c r="B1287" i="74"/>
  <c r="H25" i="30"/>
  <c r="B1281" i="74"/>
  <c r="H30" i="30"/>
  <c r="B1284" i="74"/>
  <c r="B54" i="74"/>
  <c r="B93" i="74"/>
  <c r="M38" i="30"/>
  <c r="B1316" i="74"/>
  <c r="M19" i="24"/>
  <c r="B1213" i="74"/>
  <c r="C145" i="1"/>
  <c r="A145" i="1" s="1"/>
  <c r="O110" i="1"/>
  <c r="Q60" i="51"/>
  <c r="R19" i="41"/>
  <c r="C234" i="52"/>
  <c r="C233" i="52"/>
  <c r="C75" i="52"/>
  <c r="C200" i="52"/>
  <c r="R50" i="41"/>
  <c r="S114" i="1"/>
  <c r="S116" i="1"/>
  <c r="B128" i="74" l="1"/>
  <c r="W206" i="1"/>
  <c r="G27" i="41"/>
  <c r="B515" i="74" s="1"/>
  <c r="B506" i="74"/>
  <c r="M176" i="6"/>
  <c r="B1214" i="74"/>
  <c r="K30" i="1"/>
  <c r="B14" i="74" s="1"/>
  <c r="K32" i="1"/>
  <c r="B15" i="74" s="1"/>
  <c r="Q29" i="1"/>
  <c r="B159" i="74"/>
  <c r="Q26" i="1"/>
  <c r="B167" i="74"/>
  <c r="Q28" i="1"/>
  <c r="B317" i="74"/>
  <c r="B385" i="74"/>
  <c r="E60" i="51"/>
  <c r="B266" i="74"/>
  <c r="Q70" i="23"/>
  <c r="B606" i="74"/>
  <c r="B605" i="74"/>
  <c r="B604" i="74"/>
  <c r="B603" i="74"/>
  <c r="W191" i="1"/>
  <c r="C234" i="1" s="1"/>
  <c r="A234" i="1" s="1"/>
  <c r="B53" i="74"/>
  <c r="W180" i="1"/>
  <c r="W116" i="1"/>
  <c r="C149" i="1" s="1"/>
  <c r="A149" i="1" s="1"/>
  <c r="W110" i="1"/>
  <c r="C143" i="1" s="1"/>
  <c r="A143" i="1" s="1"/>
  <c r="M20" i="30"/>
  <c r="B1312" i="74"/>
  <c r="B61" i="74"/>
  <c r="B52" i="74"/>
  <c r="B108" i="74"/>
  <c r="B95" i="74"/>
  <c r="Y19" i="24"/>
  <c r="B1233" i="74"/>
  <c r="M30" i="30"/>
  <c r="B1310" i="74"/>
  <c r="M33" i="30"/>
  <c r="B1313" i="74"/>
  <c r="Y32" i="30"/>
  <c r="B1339" i="74"/>
  <c r="Y39" i="30"/>
  <c r="B1344" i="74"/>
  <c r="B1319" i="74"/>
  <c r="M41" i="30"/>
  <c r="Y28" i="30"/>
  <c r="B1335" i="74"/>
  <c r="M42" i="30"/>
  <c r="B1320" i="74"/>
  <c r="M40" i="30"/>
  <c r="B1318" i="74"/>
  <c r="B63" i="74"/>
  <c r="H23" i="24"/>
  <c r="B1194" i="74"/>
  <c r="Y22" i="24"/>
  <c r="B1234" i="74"/>
  <c r="Y38" i="30"/>
  <c r="B1343" i="74"/>
  <c r="M25" i="30"/>
  <c r="B1307" i="74"/>
  <c r="M29" i="30"/>
  <c r="B1309" i="74"/>
  <c r="M22" i="30"/>
  <c r="B1304" i="74"/>
  <c r="Y45" i="30"/>
  <c r="B1311" i="74"/>
  <c r="M31" i="30"/>
  <c r="M21" i="30"/>
  <c r="B1303" i="74"/>
  <c r="M24" i="30"/>
  <c r="B1306" i="74"/>
  <c r="M34" i="30"/>
  <c r="B1314" i="74"/>
  <c r="C77" i="52"/>
  <c r="C76" i="52"/>
  <c r="C201" i="52"/>
  <c r="G24" i="24"/>
  <c r="M114" i="1"/>
  <c r="S13" i="51" l="1"/>
  <c r="B1329" i="74"/>
  <c r="M55" i="30"/>
  <c r="B1328" i="74" s="1"/>
  <c r="B386" i="74"/>
  <c r="M178" i="6"/>
  <c r="Q38" i="1"/>
  <c r="C65" i="1"/>
  <c r="A65" i="1" s="1"/>
  <c r="W42" i="1" s="1"/>
  <c r="B636" i="74"/>
  <c r="J27" i="41"/>
  <c r="B516" i="74" s="1"/>
  <c r="B198" i="74"/>
  <c r="AB176" i="6"/>
  <c r="Q76" i="23"/>
  <c r="C75" i="23" s="1"/>
  <c r="R29" i="41"/>
  <c r="Y20" i="30"/>
  <c r="C226" i="1"/>
  <c r="A226" i="1" s="1"/>
  <c r="W114" i="1"/>
  <c r="C147" i="1" s="1"/>
  <c r="A147" i="1" s="1"/>
  <c r="Y34" i="30"/>
  <c r="B1341" i="74"/>
  <c r="Y21" i="30"/>
  <c r="B1330" i="74"/>
  <c r="Y29" i="30"/>
  <c r="B1336" i="74"/>
  <c r="M23" i="24"/>
  <c r="B1215" i="74"/>
  <c r="Y33" i="30"/>
  <c r="B1340" i="74"/>
  <c r="H24" i="24"/>
  <c r="B1195" i="74"/>
  <c r="B58" i="74"/>
  <c r="Y31" i="30"/>
  <c r="B1338" i="74"/>
  <c r="Y41" i="30"/>
  <c r="B1346" i="74"/>
  <c r="Y24" i="30"/>
  <c r="B1333" i="74"/>
  <c r="Y22" i="30"/>
  <c r="B1331" i="74"/>
  <c r="Y25" i="30"/>
  <c r="B1334" i="74"/>
  <c r="Y40" i="30"/>
  <c r="B1345" i="74"/>
  <c r="Y42" i="30"/>
  <c r="B1347" i="74"/>
  <c r="Y30" i="30"/>
  <c r="B1337" i="74"/>
  <c r="C202" i="52"/>
  <c r="G25" i="24"/>
  <c r="AF176" i="6" l="1"/>
  <c r="AF183" i="6" s="1"/>
  <c r="C183" i="6" s="1"/>
  <c r="U26" i="41"/>
  <c r="R16" i="41"/>
  <c r="T26" i="41"/>
  <c r="AB178" i="6"/>
  <c r="M14" i="41"/>
  <c r="B508" i="74" s="1"/>
  <c r="M27" i="41"/>
  <c r="B633" i="74"/>
  <c r="R30" i="41"/>
  <c r="B637" i="74"/>
  <c r="E41" i="24"/>
  <c r="B267" i="74"/>
  <c r="B582" i="74"/>
  <c r="E45" i="24"/>
  <c r="B1211" i="74" s="1"/>
  <c r="B560" i="74"/>
  <c r="H25" i="24"/>
  <c r="B1217" i="74" s="1"/>
  <c r="B1196" i="74"/>
  <c r="M24" i="24"/>
  <c r="B1216" i="74"/>
  <c r="Y23" i="24"/>
  <c r="B1235" i="74"/>
  <c r="C203" i="52"/>
  <c r="B32" i="24"/>
  <c r="G27" i="24"/>
  <c r="R14" i="41" l="1"/>
  <c r="R27" i="41"/>
  <c r="K25" i="1"/>
  <c r="C63" i="1" s="1"/>
  <c r="B517" i="74"/>
  <c r="B634" i="74"/>
  <c r="R34" i="41"/>
  <c r="B610" i="74"/>
  <c r="M45" i="24"/>
  <c r="Y45" i="24" s="1"/>
  <c r="M62" i="41"/>
  <c r="M25" i="24"/>
  <c r="B1237" i="74" s="1"/>
  <c r="Y24" i="24"/>
  <c r="B1236" i="74"/>
  <c r="H27" i="24"/>
  <c r="B1219" i="74" s="1"/>
  <c r="B1198" i="74"/>
  <c r="C204" i="52"/>
  <c r="G28" i="24"/>
  <c r="B33" i="24"/>
  <c r="B638" i="74" l="1"/>
  <c r="A63" i="1"/>
  <c r="W40" i="1" s="1"/>
  <c r="B70" i="74"/>
  <c r="B562" i="74"/>
  <c r="B1252" i="74"/>
  <c r="K101" i="1"/>
  <c r="B36" i="74" s="1"/>
  <c r="R62" i="41"/>
  <c r="Y25" i="24"/>
  <c r="H28" i="24"/>
  <c r="B1199" i="74"/>
  <c r="M27" i="24"/>
  <c r="C205" i="52"/>
  <c r="G32" i="24"/>
  <c r="B34" i="24"/>
  <c r="B35" i="24" s="1"/>
  <c r="B635" i="74" l="1"/>
  <c r="B13" i="74"/>
  <c r="B69" i="74"/>
  <c r="S101" i="1"/>
  <c r="B40" i="74" s="1"/>
  <c r="M28" i="24"/>
  <c r="B1220" i="74"/>
  <c r="H32" i="24"/>
  <c r="B1200" i="74"/>
  <c r="Y27" i="24"/>
  <c r="B1239" i="74"/>
  <c r="C206" i="52"/>
  <c r="G33" i="24"/>
  <c r="B68" i="74" l="1"/>
  <c r="B67" i="74"/>
  <c r="B66" i="74"/>
  <c r="H33" i="24"/>
  <c r="B1201" i="74"/>
  <c r="M32" i="24"/>
  <c r="B1221" i="74"/>
  <c r="Y28" i="24"/>
  <c r="B1240" i="74"/>
  <c r="C207" i="52"/>
  <c r="G34" i="24"/>
  <c r="H34" i="24" l="1"/>
  <c r="B1202" i="74"/>
  <c r="B1241" i="74"/>
  <c r="Y32" i="24"/>
  <c r="M33" i="24"/>
  <c r="B1222" i="74"/>
  <c r="C208" i="52"/>
  <c r="B36" i="24"/>
  <c r="Y33" i="24" l="1"/>
  <c r="B1242" i="74"/>
  <c r="M34" i="24"/>
  <c r="B1223" i="74"/>
  <c r="C209" i="52"/>
  <c r="G35" i="24"/>
  <c r="B37" i="24"/>
  <c r="H35" i="24" l="1"/>
  <c r="B1225" i="74" s="1"/>
  <c r="B1204" i="74"/>
  <c r="B1243" i="74"/>
  <c r="Y34" i="24"/>
  <c r="C210" i="52"/>
  <c r="B38" i="24"/>
  <c r="B39" i="24" s="1"/>
  <c r="B41" i="24" s="1"/>
  <c r="G36" i="24"/>
  <c r="M35" i="24" l="1"/>
  <c r="Y35" i="24" s="1"/>
  <c r="H36" i="24"/>
  <c r="B1205" i="74"/>
  <c r="C211" i="52"/>
  <c r="G37" i="24"/>
  <c r="B1245" i="74" l="1"/>
  <c r="H37" i="24"/>
  <c r="B1227" i="74" s="1"/>
  <c r="B1206" i="74"/>
  <c r="M36" i="24"/>
  <c r="B1226" i="74"/>
  <c r="C212" i="52"/>
  <c r="B1207" i="74"/>
  <c r="M37" i="24" l="1"/>
  <c r="B1247" i="74" s="1"/>
  <c r="Y36" i="24"/>
  <c r="B1246" i="74"/>
  <c r="H38" i="24"/>
  <c r="C213" i="52"/>
  <c r="Y37" i="24" l="1"/>
  <c r="M38" i="24"/>
  <c r="B1228" i="74"/>
  <c r="C214" i="52"/>
  <c r="B44" i="24"/>
  <c r="Y38" i="24" l="1"/>
  <c r="B1248" i="74"/>
  <c r="C216" i="52"/>
  <c r="C215" i="52"/>
  <c r="B45" i="24"/>
  <c r="G41" i="24"/>
  <c r="S16" i="51" l="1"/>
  <c r="S14" i="51"/>
  <c r="S15" i="51"/>
  <c r="S43" i="51"/>
  <c r="S32" i="51"/>
  <c r="S21" i="51"/>
  <c r="S53" i="51"/>
  <c r="S46" i="51"/>
  <c r="S48" i="51"/>
  <c r="S18" i="51"/>
  <c r="S36" i="51"/>
  <c r="S25" i="51"/>
  <c r="S34" i="51"/>
  <c r="S38" i="51"/>
  <c r="S19" i="51"/>
  <c r="S51" i="51"/>
  <c r="S17" i="51"/>
  <c r="S44" i="51"/>
  <c r="S40" i="51"/>
  <c r="S28" i="51"/>
  <c r="S30" i="51"/>
  <c r="S47" i="51"/>
  <c r="S22" i="51"/>
  <c r="S41" i="51"/>
  <c r="S26" i="51"/>
  <c r="S24" i="51"/>
  <c r="S37" i="51"/>
  <c r="S33" i="51"/>
  <c r="S31" i="51"/>
  <c r="S23" i="51"/>
  <c r="S50" i="51"/>
  <c r="S39" i="51"/>
  <c r="S52" i="51"/>
  <c r="S49" i="51"/>
  <c r="S29" i="51"/>
  <c r="S42" i="51"/>
  <c r="S20" i="51"/>
  <c r="S35" i="51"/>
  <c r="S45" i="51"/>
  <c r="S27" i="51"/>
  <c r="C28" i="51"/>
  <c r="Y28" i="51" s="1"/>
  <c r="C47" i="51"/>
  <c r="Y47" i="51" s="1"/>
  <c r="C22" i="51"/>
  <c r="Y22" i="51" s="1"/>
  <c r="C36" i="51"/>
  <c r="Y36" i="51" s="1"/>
  <c r="C21" i="51"/>
  <c r="Y21" i="51" s="1"/>
  <c r="C18" i="51"/>
  <c r="Y18" i="51" s="1"/>
  <c r="C17" i="51"/>
  <c r="Y17" i="51" s="1"/>
  <c r="C46" i="51"/>
  <c r="Y46" i="51" s="1"/>
  <c r="C26" i="51"/>
  <c r="Y26" i="51" s="1"/>
  <c r="C16" i="51"/>
  <c r="Y16" i="51" s="1"/>
  <c r="C49" i="51"/>
  <c r="Y49" i="51" s="1"/>
  <c r="C37" i="51"/>
  <c r="Y37" i="51" s="1"/>
  <c r="C19" i="51"/>
  <c r="Y19" i="51" s="1"/>
  <c r="C38" i="51"/>
  <c r="Y38" i="51" s="1"/>
  <c r="C34" i="51"/>
  <c r="Y34" i="51" s="1"/>
  <c r="C41" i="51"/>
  <c r="Y41" i="51" s="1"/>
  <c r="C40" i="51"/>
  <c r="Y40" i="51" s="1"/>
  <c r="C42" i="51"/>
  <c r="Y42" i="51" s="1"/>
  <c r="C33" i="51"/>
  <c r="Y33" i="51" s="1"/>
  <c r="C31" i="51"/>
  <c r="Y31" i="51" s="1"/>
  <c r="C20" i="51"/>
  <c r="Y20" i="51" s="1"/>
  <c r="C53" i="51"/>
  <c r="Y53" i="51" s="1"/>
  <c r="C44" i="51"/>
  <c r="Y44" i="51" s="1"/>
  <c r="C13" i="51"/>
  <c r="AF13" i="51" s="1"/>
  <c r="C50" i="51"/>
  <c r="Y50" i="51" s="1"/>
  <c r="C39" i="51"/>
  <c r="Y39" i="51" s="1"/>
  <c r="C48" i="51"/>
  <c r="Y48" i="51" s="1"/>
  <c r="C35" i="51"/>
  <c r="Y35" i="51" s="1"/>
  <c r="C27" i="51"/>
  <c r="Y27" i="51" s="1"/>
  <c r="C25" i="51"/>
  <c r="Y25" i="51" s="1"/>
  <c r="C29" i="51"/>
  <c r="Y29" i="51" s="1"/>
  <c r="C52" i="51"/>
  <c r="Y52" i="51" s="1"/>
  <c r="C23" i="51"/>
  <c r="Y23" i="51" s="1"/>
  <c r="C14" i="51"/>
  <c r="Y14" i="51" s="1"/>
  <c r="C51" i="51"/>
  <c r="Y51" i="51" s="1"/>
  <c r="C45" i="51"/>
  <c r="Y45" i="51" s="1"/>
  <c r="C24" i="51"/>
  <c r="Y24" i="51" s="1"/>
  <c r="C32" i="51"/>
  <c r="Y32" i="51" s="1"/>
  <c r="C43" i="51"/>
  <c r="Y43" i="51" s="1"/>
  <c r="C30" i="51"/>
  <c r="Y30" i="51" s="1"/>
  <c r="C15" i="51"/>
  <c r="Y15" i="51" s="1"/>
  <c r="B1024" i="74"/>
  <c r="H41" i="24"/>
  <c r="B1230" i="74" s="1"/>
  <c r="B1209" i="74"/>
  <c r="G44" i="24"/>
  <c r="AF47" i="51" l="1"/>
  <c r="AF46" i="51"/>
  <c r="AF22" i="51"/>
  <c r="AF21" i="51"/>
  <c r="AF17" i="51"/>
  <c r="AG21" i="51"/>
  <c r="AF49" i="51"/>
  <c r="AF18" i="51"/>
  <c r="AF34" i="51"/>
  <c r="AF41" i="51"/>
  <c r="AF38" i="51"/>
  <c r="AF28" i="51"/>
  <c r="AF26" i="51"/>
  <c r="AF42" i="51"/>
  <c r="AF53" i="51"/>
  <c r="AF39" i="51"/>
  <c r="AF33" i="51"/>
  <c r="AF48" i="51"/>
  <c r="AF20" i="51"/>
  <c r="AF50" i="51"/>
  <c r="AF44" i="51"/>
  <c r="AF36" i="51"/>
  <c r="AF31" i="51"/>
  <c r="AF52" i="51"/>
  <c r="AF29" i="51"/>
  <c r="AF25" i="51"/>
  <c r="AF14" i="51"/>
  <c r="AF43" i="51"/>
  <c r="AF27" i="51"/>
  <c r="AF37" i="51"/>
  <c r="AF19" i="51"/>
  <c r="AF40" i="51"/>
  <c r="AF35" i="51"/>
  <c r="AF16" i="51"/>
  <c r="AF51" i="51"/>
  <c r="AG15" i="51"/>
  <c r="AF15" i="51"/>
  <c r="AF24" i="51"/>
  <c r="AF30" i="51"/>
  <c r="AF45" i="51"/>
  <c r="AF32" i="51"/>
  <c r="AF23" i="51"/>
  <c r="Y13" i="51"/>
  <c r="AG13" i="51"/>
  <c r="AG17" i="51"/>
  <c r="K17" i="51"/>
  <c r="AG16" i="51"/>
  <c r="AG14" i="51"/>
  <c r="AA14" i="51"/>
  <c r="B696" i="74"/>
  <c r="B710" i="74"/>
  <c r="AG35" i="51"/>
  <c r="B716" i="74"/>
  <c r="AG41" i="51"/>
  <c r="B715" i="74"/>
  <c r="AG40" i="51"/>
  <c r="B726" i="74"/>
  <c r="AG51" i="51"/>
  <c r="B718" i="74"/>
  <c r="AG43" i="51"/>
  <c r="B717" i="74"/>
  <c r="AG42" i="51"/>
  <c r="B727" i="74"/>
  <c r="AG52" i="51"/>
  <c r="B700" i="74"/>
  <c r="AG25" i="51"/>
  <c r="B719" i="74"/>
  <c r="AG44" i="51"/>
  <c r="B723" i="74"/>
  <c r="AG48" i="51"/>
  <c r="B695" i="74"/>
  <c r="AG20" i="51"/>
  <c r="B705" i="74"/>
  <c r="AG30" i="51"/>
  <c r="B713" i="74"/>
  <c r="AG38" i="51"/>
  <c r="B704" i="74"/>
  <c r="AG29" i="51"/>
  <c r="B698" i="74"/>
  <c r="AG23" i="51"/>
  <c r="B725" i="74"/>
  <c r="AG50" i="51"/>
  <c r="B707" i="74"/>
  <c r="AG32" i="51"/>
  <c r="B709" i="74"/>
  <c r="AG34" i="51"/>
  <c r="B693" i="74"/>
  <c r="AG18" i="51"/>
  <c r="B706" i="74"/>
  <c r="AG31" i="51"/>
  <c r="B699" i="74"/>
  <c r="AG24" i="51"/>
  <c r="B711" i="74"/>
  <c r="AG36" i="51"/>
  <c r="B697" i="74"/>
  <c r="AG22" i="51"/>
  <c r="B728" i="74"/>
  <c r="AG53" i="51"/>
  <c r="B722" i="74"/>
  <c r="AG47" i="51"/>
  <c r="B724" i="74"/>
  <c r="AG49" i="51"/>
  <c r="B708" i="74"/>
  <c r="AG33" i="51"/>
  <c r="B702" i="74"/>
  <c r="AG27" i="51"/>
  <c r="B694" i="74"/>
  <c r="AG19" i="51"/>
  <c r="B703" i="74"/>
  <c r="AG28" i="51"/>
  <c r="B721" i="74"/>
  <c r="AG46" i="51"/>
  <c r="B714" i="74"/>
  <c r="AG39" i="51"/>
  <c r="B720" i="74"/>
  <c r="AG45" i="51"/>
  <c r="B712" i="74"/>
  <c r="AG37" i="51"/>
  <c r="B701" i="74"/>
  <c r="AG26" i="51"/>
  <c r="AA13" i="51"/>
  <c r="M41" i="24"/>
  <c r="Y41" i="24" s="1"/>
  <c r="B1044" i="74"/>
  <c r="B1036" i="74"/>
  <c r="B1050" i="74"/>
  <c r="B1041" i="74"/>
  <c r="B1029" i="74"/>
  <c r="B1043" i="74"/>
  <c r="B1035" i="74"/>
  <c r="B1032" i="74"/>
  <c r="B1055" i="74"/>
  <c r="B1037" i="74"/>
  <c r="B1060" i="74"/>
  <c r="B1031" i="74"/>
  <c r="B1051" i="74"/>
  <c r="B1054" i="74"/>
  <c r="B1048" i="74"/>
  <c r="B1045" i="74"/>
  <c r="B1049" i="74"/>
  <c r="B1053" i="74"/>
  <c r="B1047" i="74"/>
  <c r="B1026" i="74"/>
  <c r="B1040" i="74"/>
  <c r="B1052" i="74"/>
  <c r="B1042" i="74"/>
  <c r="B1025" i="74"/>
  <c r="B1034" i="74"/>
  <c r="B1030" i="74"/>
  <c r="B1063" i="74"/>
  <c r="B1027" i="74"/>
  <c r="B1061" i="74"/>
  <c r="B1039" i="74"/>
  <c r="B1062" i="74"/>
  <c r="B1059" i="74"/>
  <c r="B1064" i="74"/>
  <c r="B1028" i="74"/>
  <c r="B1057" i="74"/>
  <c r="B1058" i="74"/>
  <c r="B1033" i="74"/>
  <c r="B1046" i="74"/>
  <c r="B1056" i="74"/>
  <c r="B1038" i="74"/>
  <c r="B692" i="74"/>
  <c r="H44" i="24"/>
  <c r="B1210" i="74"/>
  <c r="B690" i="74"/>
  <c r="B688" i="74"/>
  <c r="B689" i="74"/>
  <c r="B691" i="74"/>
  <c r="U39" i="51"/>
  <c r="U45" i="51"/>
  <c r="U37" i="51"/>
  <c r="U48" i="51"/>
  <c r="U43" i="51"/>
  <c r="U41" i="51"/>
  <c r="U40" i="51"/>
  <c r="U51" i="51"/>
  <c r="U52" i="51"/>
  <c r="U53" i="51"/>
  <c r="U38" i="51"/>
  <c r="U44" i="51"/>
  <c r="U49" i="51"/>
  <c r="U46" i="51"/>
  <c r="U42" i="51"/>
  <c r="U50" i="51"/>
  <c r="K48" i="51"/>
  <c r="AA48" i="51"/>
  <c r="AA43" i="51"/>
  <c r="K43" i="51"/>
  <c r="AA20" i="51"/>
  <c r="K20" i="51"/>
  <c r="U20" i="51" s="1"/>
  <c r="AA30" i="51"/>
  <c r="K30" i="51"/>
  <c r="U30" i="51" s="1"/>
  <c r="K53" i="51"/>
  <c r="AA53" i="51"/>
  <c r="K25" i="51"/>
  <c r="U25" i="51" s="1"/>
  <c r="AA25" i="51"/>
  <c r="AA38" i="51"/>
  <c r="K38" i="51"/>
  <c r="AA47" i="51"/>
  <c r="K47" i="51"/>
  <c r="U47" i="51" s="1"/>
  <c r="K44" i="51"/>
  <c r="AA44" i="51"/>
  <c r="AA29" i="51"/>
  <c r="K29" i="51"/>
  <c r="U29" i="51" s="1"/>
  <c r="K13" i="51"/>
  <c r="U13" i="51" s="1"/>
  <c r="K14" i="51"/>
  <c r="K16" i="51"/>
  <c r="U16" i="51" s="1"/>
  <c r="AA16" i="51"/>
  <c r="AA50" i="51"/>
  <c r="K50" i="51"/>
  <c r="K21" i="51"/>
  <c r="U21" i="51" s="1"/>
  <c r="AA21" i="51"/>
  <c r="AA18" i="51"/>
  <c r="K18" i="51"/>
  <c r="AA17" i="51"/>
  <c r="AA31" i="51"/>
  <c r="K31" i="51"/>
  <c r="U31" i="51" s="1"/>
  <c r="K24" i="51"/>
  <c r="U24" i="51" s="1"/>
  <c r="AA24" i="51"/>
  <c r="AA49" i="51"/>
  <c r="K49" i="51"/>
  <c r="K35" i="51"/>
  <c r="U35" i="51" s="1"/>
  <c r="AA35" i="51"/>
  <c r="K36" i="51"/>
  <c r="U36" i="51" s="1"/>
  <c r="AA36" i="51"/>
  <c r="AA41" i="51"/>
  <c r="K41" i="51"/>
  <c r="K42" i="51"/>
  <c r="AA42" i="51"/>
  <c r="AA40" i="51"/>
  <c r="K40" i="51"/>
  <c r="AA51" i="51"/>
  <c r="K51" i="51"/>
  <c r="AA22" i="51"/>
  <c r="K22" i="51"/>
  <c r="U22" i="51" s="1"/>
  <c r="AA52" i="51"/>
  <c r="K52" i="51"/>
  <c r="AA23" i="51"/>
  <c r="K23" i="51"/>
  <c r="U23" i="51" s="1"/>
  <c r="K32" i="51"/>
  <c r="U32" i="51" s="1"/>
  <c r="AA32" i="51"/>
  <c r="K34" i="51"/>
  <c r="U34" i="51" s="1"/>
  <c r="AA34" i="51"/>
  <c r="K33" i="51"/>
  <c r="U33" i="51" s="1"/>
  <c r="AA33" i="51"/>
  <c r="AA27" i="51"/>
  <c r="K27" i="51"/>
  <c r="U27" i="51" s="1"/>
  <c r="AA19" i="51"/>
  <c r="K19" i="51"/>
  <c r="AA28" i="51"/>
  <c r="K28" i="51"/>
  <c r="U28" i="51" s="1"/>
  <c r="AA46" i="51"/>
  <c r="K46" i="51"/>
  <c r="K39" i="51"/>
  <c r="AA39" i="51"/>
  <c r="AA45" i="51"/>
  <c r="K45" i="51"/>
  <c r="AA15" i="51"/>
  <c r="K15" i="51"/>
  <c r="AA37" i="51"/>
  <c r="K37" i="51"/>
  <c r="K26" i="51"/>
  <c r="U26" i="51" s="1"/>
  <c r="AA26" i="51"/>
  <c r="AF54" i="51" l="1"/>
  <c r="AG54" i="51"/>
  <c r="B1191" i="74" s="1"/>
  <c r="B1250" i="74"/>
  <c r="AA6" i="51"/>
  <c r="Y7" i="51" s="1"/>
  <c r="B857" i="74"/>
  <c r="B1098" i="74"/>
  <c r="B1081" i="74"/>
  <c r="B856" i="74"/>
  <c r="B1150" i="74"/>
  <c r="B1178" i="74"/>
  <c r="B1173" i="74"/>
  <c r="B867" i="74"/>
  <c r="B1167" i="74"/>
  <c r="B886" i="74"/>
  <c r="B1087" i="74"/>
  <c r="B1103" i="74"/>
  <c r="B1095" i="74"/>
  <c r="B1088" i="74"/>
  <c r="B1099" i="74"/>
  <c r="B1176" i="74"/>
  <c r="B862" i="74"/>
  <c r="B1168" i="74"/>
  <c r="B872" i="74"/>
  <c r="B887" i="74"/>
  <c r="B1184" i="74"/>
  <c r="B1190" i="74"/>
  <c r="B1163" i="74"/>
  <c r="B880" i="74"/>
  <c r="B1152" i="74"/>
  <c r="B889" i="74"/>
  <c r="B871" i="74"/>
  <c r="B1164" i="74"/>
  <c r="B876" i="74"/>
  <c r="B866" i="74"/>
  <c r="B1160" i="74"/>
  <c r="B894" i="74"/>
  <c r="B883" i="74"/>
  <c r="B1177" i="74"/>
  <c r="B1172" i="74"/>
  <c r="B892" i="74"/>
  <c r="B874" i="74"/>
  <c r="B860" i="74"/>
  <c r="B1154" i="74"/>
  <c r="B1153" i="74"/>
  <c r="B859" i="74"/>
  <c r="B896" i="74"/>
  <c r="B1180" i="74"/>
  <c r="B1185" i="74"/>
  <c r="B891" i="74"/>
  <c r="B1077" i="74"/>
  <c r="B1082" i="74"/>
  <c r="B1100" i="74"/>
  <c r="B1078" i="74"/>
  <c r="B1083" i="74"/>
  <c r="B1075" i="74"/>
  <c r="B1093" i="74"/>
  <c r="B1094" i="74"/>
  <c r="B1101" i="74"/>
  <c r="B1086" i="74"/>
  <c r="M44" i="24"/>
  <c r="B1231" i="74"/>
  <c r="B888" i="74"/>
  <c r="B877" i="74"/>
  <c r="B885" i="74"/>
  <c r="B1155" i="74"/>
  <c r="B1162" i="74"/>
  <c r="B873" i="74"/>
  <c r="B1157" i="74"/>
  <c r="B1074" i="74"/>
  <c r="B1085" i="74"/>
  <c r="B1076" i="74"/>
  <c r="B1089" i="74"/>
  <c r="B1079" i="74"/>
  <c r="B882" i="74"/>
  <c r="B1169" i="74"/>
  <c r="B1189" i="74"/>
  <c r="B1159" i="74"/>
  <c r="B1188" i="74"/>
  <c r="B1179" i="74"/>
  <c r="B879" i="74"/>
  <c r="B878" i="74"/>
  <c r="B1186" i="74"/>
  <c r="B861" i="74"/>
  <c r="B1158" i="74"/>
  <c r="B893" i="74"/>
  <c r="B1151" i="74"/>
  <c r="B1181" i="74"/>
  <c r="B869" i="74"/>
  <c r="B1174" i="74"/>
  <c r="B858" i="74"/>
  <c r="B1182" i="74"/>
  <c r="B1183" i="74"/>
  <c r="B1165" i="74"/>
  <c r="B1156" i="74"/>
  <c r="B870" i="74"/>
  <c r="B1170" i="74"/>
  <c r="B1171" i="74"/>
  <c r="B875" i="74"/>
  <c r="B895" i="74"/>
  <c r="B865" i="74"/>
  <c r="B884" i="74"/>
  <c r="B1161" i="74"/>
  <c r="B864" i="74"/>
  <c r="B1187" i="74"/>
  <c r="B1166" i="74"/>
  <c r="B890" i="74"/>
  <c r="B881" i="74"/>
  <c r="B1175" i="74"/>
  <c r="B868" i="74"/>
  <c r="B863" i="74"/>
  <c r="B1084" i="74"/>
  <c r="B1102" i="74"/>
  <c r="B1097" i="74"/>
  <c r="B1091" i="74"/>
  <c r="B1106" i="74"/>
  <c r="B1105" i="74"/>
  <c r="B1104" i="74"/>
  <c r="B1073" i="74"/>
  <c r="B1096" i="74"/>
  <c r="B1090" i="74"/>
  <c r="B1092" i="74"/>
  <c r="B1080" i="74"/>
  <c r="U18" i="51"/>
  <c r="U19" i="51"/>
  <c r="K6" i="51"/>
  <c r="S6" i="51"/>
  <c r="J41" i="41" s="1"/>
  <c r="U17" i="51"/>
  <c r="U15" i="51"/>
  <c r="U14" i="51"/>
  <c r="Y6" i="51"/>
  <c r="U6" i="51" l="1"/>
  <c r="S170" i="1" s="1"/>
  <c r="O108" i="1"/>
  <c r="B49" i="74" s="1"/>
  <c r="B1066" i="74"/>
  <c r="B1023" i="74"/>
  <c r="B1068" i="74"/>
  <c r="B1072" i="74"/>
  <c r="B1149" i="74"/>
  <c r="B1071" i="74"/>
  <c r="B1069" i="74"/>
  <c r="K7" i="51"/>
  <c r="K60" i="51" s="1"/>
  <c r="B855" i="74"/>
  <c r="B1067" i="74"/>
  <c r="B1070" i="74"/>
  <c r="B1251" i="74"/>
  <c r="Y44" i="24"/>
  <c r="M50" i="24"/>
  <c r="S7" i="51"/>
  <c r="S60" i="51" s="1"/>
  <c r="B83" i="74" l="1"/>
  <c r="S194" i="1"/>
  <c r="M194" i="1" s="1"/>
  <c r="S185" i="1"/>
  <c r="M185" i="1" s="1"/>
  <c r="S209" i="1"/>
  <c r="M209" i="1" s="1"/>
  <c r="S200" i="1"/>
  <c r="M200" i="1" s="1"/>
  <c r="S182" i="1"/>
  <c r="M182" i="1" s="1"/>
  <c r="S197" i="1"/>
  <c r="M197" i="1" s="1"/>
  <c r="S178" i="1"/>
  <c r="M178" i="1" s="1"/>
  <c r="S188" i="1"/>
  <c r="M188" i="1" s="1"/>
  <c r="A8" i="1"/>
  <c r="J45" i="41"/>
  <c r="K45" i="1" s="1"/>
  <c r="B1065" i="74"/>
  <c r="B549" i="74"/>
  <c r="B1232" i="74"/>
  <c r="C240" i="1"/>
  <c r="U7" i="51"/>
  <c r="U60" i="51" s="1"/>
  <c r="AD60" i="51" s="1"/>
  <c r="I56" i="51" s="1"/>
  <c r="M170" i="1" l="1"/>
  <c r="B80" i="74" s="1"/>
  <c r="B132" i="74"/>
  <c r="B135" i="74"/>
  <c r="B120" i="74"/>
  <c r="B123" i="74"/>
  <c r="B119" i="74"/>
  <c r="K58" i="1"/>
  <c r="M45" i="41"/>
  <c r="B91" i="74"/>
  <c r="B99" i="74"/>
  <c r="B103" i="74"/>
  <c r="B115" i="74"/>
  <c r="W194" i="1"/>
  <c r="B107" i="74"/>
  <c r="B550" i="74"/>
  <c r="O166" i="1" l="1"/>
  <c r="B77" i="74" s="1"/>
  <c r="Q166" i="1"/>
  <c r="B78" i="74" s="1"/>
  <c r="C71" i="1"/>
  <c r="A71" i="1" s="1"/>
  <c r="W48" i="1" s="1"/>
  <c r="S98" i="1"/>
  <c r="W98" i="1" s="1"/>
  <c r="W200" i="1"/>
  <c r="B116" i="74"/>
  <c r="W197" i="1"/>
  <c r="B20" i="74"/>
  <c r="B100" i="74"/>
  <c r="W185" i="1"/>
  <c r="C230" i="1" s="1"/>
  <c r="A230" i="1" s="1"/>
  <c r="W182" i="1"/>
  <c r="C228" i="1" s="1"/>
  <c r="A228" i="1" s="1"/>
  <c r="B96" i="74"/>
  <c r="W188" i="1"/>
  <c r="C232" i="1" s="1"/>
  <c r="A232" i="1" s="1"/>
  <c r="B104" i="74"/>
  <c r="B112" i="74"/>
  <c r="C236" i="1"/>
  <c r="A236" i="1" s="1"/>
  <c r="S108" i="1"/>
  <c r="M108" i="1" s="1"/>
  <c r="B551" i="74"/>
  <c r="R45" i="41"/>
  <c r="R66" i="41" l="1"/>
  <c r="B66" i="41" s="1"/>
  <c r="B50" i="74"/>
  <c r="M166" i="1"/>
  <c r="B76" i="74" l="1"/>
  <c r="W108" i="1"/>
  <c r="C141" i="1" s="1"/>
  <c r="A141" i="1" s="1"/>
  <c r="B48" i="74"/>
  <c r="S166" i="1" l="1"/>
  <c r="B79" i="74" s="1"/>
  <c r="C151" i="1"/>
  <c r="A151" i="1" s="1"/>
  <c r="W178" i="1" l="1"/>
  <c r="B88" i="74"/>
  <c r="C224" i="1" l="1"/>
  <c r="A224" i="1" s="1"/>
  <c r="B17" i="74" l="1"/>
  <c r="C69" i="1" l="1"/>
  <c r="A69" i="1" s="1"/>
  <c r="B18" i="74"/>
  <c r="S106" i="1"/>
  <c r="W46" i="1" l="1"/>
  <c r="C75" i="1"/>
  <c r="A75" i="1" s="1"/>
  <c r="B76" i="1" s="1"/>
  <c r="M98" i="1"/>
  <c r="B25" i="74"/>
  <c r="O98" i="1"/>
  <c r="O103" i="1" s="1"/>
  <c r="O127" i="1" s="1"/>
  <c r="Q98" i="1"/>
  <c r="Q103" i="1" s="1"/>
  <c r="M106" i="1"/>
  <c r="W106" i="1" s="1"/>
  <c r="C139" i="1" s="1"/>
  <c r="A139" i="1" s="1"/>
  <c r="B47" i="74"/>
  <c r="M103" i="1" l="1"/>
  <c r="M127" i="1" s="1"/>
  <c r="W124" i="1"/>
  <c r="C61" i="1"/>
  <c r="C133" i="1"/>
  <c r="A133" i="1" s="1"/>
  <c r="K98" i="1"/>
  <c r="W100" i="1" s="1"/>
  <c r="S103" i="1"/>
  <c r="S127" i="1" s="1"/>
  <c r="B35" i="74"/>
  <c r="B46" i="74"/>
  <c r="B34" i="74"/>
  <c r="B33" i="74"/>
  <c r="B32" i="74"/>
  <c r="O174" i="1" l="1"/>
  <c r="O213" i="1" s="1"/>
  <c r="C135" i="1"/>
  <c r="A135" i="1" s="1"/>
  <c r="B31" i="74"/>
  <c r="K103" i="1"/>
  <c r="K127" i="1" s="1"/>
  <c r="B43" i="74"/>
  <c r="B42" i="74"/>
  <c r="Q127" i="1"/>
  <c r="B44" i="74"/>
  <c r="B45" i="74"/>
  <c r="B85" i="74" l="1"/>
  <c r="M174" i="1"/>
  <c r="M213" i="1" s="1"/>
  <c r="W104" i="1"/>
  <c r="C137" i="1" s="1"/>
  <c r="A137" i="1" s="1"/>
  <c r="B152" i="1" s="1"/>
  <c r="C131" i="1" s="1"/>
  <c r="B41" i="74"/>
  <c r="B71" i="74"/>
  <c r="B73" i="74"/>
  <c r="B74" i="74"/>
  <c r="B75" i="74"/>
  <c r="B72" i="74"/>
  <c r="B84" i="74" l="1"/>
  <c r="Q174" i="1"/>
  <c r="Q213" i="1" s="1"/>
  <c r="B86" i="74" l="1"/>
  <c r="B146" i="74"/>
  <c r="S174" i="1"/>
  <c r="S213" i="1" s="1"/>
  <c r="W166" i="1"/>
  <c r="B144" i="74"/>
  <c r="B145" i="74"/>
  <c r="W213" i="1" l="1"/>
  <c r="B87" i="74"/>
  <c r="C222" i="1"/>
  <c r="A222" i="1" s="1"/>
  <c r="B147" i="74" l="1"/>
  <c r="B238" i="1"/>
  <c r="C2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 Coleman</author>
  </authors>
  <commentList>
    <comment ref="B148" authorId="0" shapeId="0" xr:uid="{5240E3EF-C35C-481E-92CF-60FE44DE5176}">
      <text>
        <r>
          <rPr>
            <b/>
            <sz val="9"/>
            <color indexed="81"/>
            <rFont val="Tahoma"/>
            <family val="2"/>
          </rPr>
          <t>Jo Coleman:</t>
        </r>
        <r>
          <rPr>
            <sz val="9"/>
            <color indexed="81"/>
            <rFont val="Tahoma"/>
            <family val="2"/>
          </rPr>
          <t xml:space="preserve">
this is a date</t>
        </r>
      </text>
    </comment>
    <comment ref="B686" authorId="0" shapeId="0" xr:uid="{F9B4DD4F-079E-4B51-97A0-84E6C45CBC12}">
      <text>
        <r>
          <rPr>
            <b/>
            <sz val="9"/>
            <color indexed="81"/>
            <rFont val="Tahoma"/>
            <family val="2"/>
          </rPr>
          <t>Jo Coleman:</t>
        </r>
        <r>
          <rPr>
            <sz val="9"/>
            <color indexed="81"/>
            <rFont val="Tahoma"/>
            <family val="2"/>
          </rPr>
          <t xml:space="preserve">
date field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Joanna Coleman</author>
  </authors>
  <commentList>
    <comment ref="J1" authorId="0" shapeId="0" xr:uid="{BF547C41-395A-47EA-A7AA-8BC407BA2031}">
      <text>
        <r>
          <rPr>
            <b/>
            <sz val="9"/>
            <color indexed="81"/>
            <rFont val="Tahoma"/>
            <family val="2"/>
          </rPr>
          <t>Joanna Coleman:</t>
        </r>
        <r>
          <rPr>
            <sz val="9"/>
            <color indexed="81"/>
            <rFont val="Tahoma"/>
            <family val="2"/>
          </rPr>
          <t xml:space="preserve">
Needs updating when have new multiplier
</t>
        </r>
      </text>
    </comment>
  </commentList>
</comments>
</file>

<file path=xl/sharedStrings.xml><?xml version="1.0" encoding="utf-8"?>
<sst xmlns="http://schemas.openxmlformats.org/spreadsheetml/2006/main" count="20710" uniqueCount="3413">
  <si>
    <t>E5010</t>
  </si>
  <si>
    <t>Colchester</t>
  </si>
  <si>
    <t>E1536</t>
  </si>
  <si>
    <t>Cornwall UA</t>
  </si>
  <si>
    <t>E0801</t>
  </si>
  <si>
    <t>Cotswold</t>
  </si>
  <si>
    <t>E1632</t>
  </si>
  <si>
    <t>Coventry</t>
  </si>
  <si>
    <t>E4602</t>
  </si>
  <si>
    <t>Crawley</t>
  </si>
  <si>
    <t>E3834</t>
  </si>
  <si>
    <t>Croydon</t>
  </si>
  <si>
    <t>E5035</t>
  </si>
  <si>
    <t>Dacorum</t>
  </si>
  <si>
    <t>E1932</t>
  </si>
  <si>
    <t>Darlington</t>
  </si>
  <si>
    <t>E1301</t>
  </si>
  <si>
    <t>Dartford</t>
  </si>
  <si>
    <t>E2233</t>
  </si>
  <si>
    <t>Derby</t>
  </si>
  <si>
    <t>E1001</t>
  </si>
  <si>
    <t>Derbyshire Dales</t>
  </si>
  <si>
    <t>E1035</t>
  </si>
  <si>
    <t>Doncaster</t>
  </si>
  <si>
    <t>E4402</t>
  </si>
  <si>
    <t>Errors</t>
  </si>
  <si>
    <t>TOTAL
(All BA Area)</t>
  </si>
  <si>
    <t xml:space="preserve">PART 1A: NON-DOMESTIC RATING INCOME </t>
  </si>
  <si>
    <t>Central
Government</t>
  </si>
  <si>
    <t>Estimated Surplus/Deficit on Collection Fund</t>
  </si>
  <si>
    <t xml:space="preserve">of which: </t>
  </si>
  <si>
    <t>GLA - functions exc police</t>
  </si>
  <si>
    <t>Retained NNDR shares</t>
  </si>
  <si>
    <t>Dover</t>
  </si>
  <si>
    <t>E2234</t>
  </si>
  <si>
    <t>Dudley</t>
  </si>
  <si>
    <t>E4603</t>
  </si>
  <si>
    <t>Durham UA</t>
  </si>
  <si>
    <t>E1302</t>
  </si>
  <si>
    <t>Ealing</t>
  </si>
  <si>
    <t>E5036</t>
  </si>
  <si>
    <t>East Cambridgeshire</t>
  </si>
  <si>
    <t>E0532</t>
  </si>
  <si>
    <t>East Devon</t>
  </si>
  <si>
    <t>E1131</t>
  </si>
  <si>
    <t>East Hampshire</t>
  </si>
  <si>
    <t>E1732</t>
  </si>
  <si>
    <t>East Hertfordshire</t>
  </si>
  <si>
    <t>E1933</t>
  </si>
  <si>
    <t>East Lindsey</t>
  </si>
  <si>
    <t>E2532</t>
  </si>
  <si>
    <t>East Riding of Yorkshire</t>
  </si>
  <si>
    <t>E2001</t>
  </si>
  <si>
    <t>Checking</t>
  </si>
  <si>
    <t>Error</t>
  </si>
  <si>
    <t>East Staffordshire</t>
  </si>
  <si>
    <t>E3432</t>
  </si>
  <si>
    <t>Eastbourne</t>
  </si>
  <si>
    <t>E1432</t>
  </si>
  <si>
    <t>Eastleigh</t>
  </si>
  <si>
    <t>E1733</t>
  </si>
  <si>
    <t>Elmbridge</t>
  </si>
  <si>
    <t>E3631</t>
  </si>
  <si>
    <t>Enfield</t>
  </si>
  <si>
    <t>E5037</t>
  </si>
  <si>
    <t>Epping Forest</t>
  </si>
  <si>
    <t>E1537</t>
  </si>
  <si>
    <t>Epsom &amp; Ewell</t>
  </si>
  <si>
    <t>E3632</t>
  </si>
  <si>
    <t>Erewash</t>
  </si>
  <si>
    <t>E1036</t>
  </si>
  <si>
    <t>Exeter</t>
  </si>
  <si>
    <t>E1132</t>
  </si>
  <si>
    <t>Fareham</t>
  </si>
  <si>
    <t>E1734</t>
  </si>
  <si>
    <t>Fenland</t>
  </si>
  <si>
    <t>E0533</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</si>
  <si>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</si>
  <si>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</si>
  <si>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</si>
  <si>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</si>
  <si>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</si>
  <si>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</si>
  <si>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</si>
  <si>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</si>
  <si>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</si>
  <si>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</si>
  <si>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</si>
  <si>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</si>
  <si>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</si>
  <si>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</si>
  <si>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</si>
  <si>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</si>
  <si>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</si>
  <si>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</si>
  <si>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</si>
  <si>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</si>
  <si>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</si>
  <si>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</si>
  <si>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</si>
  <si>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</si>
  <si>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Hammersmith and Fulham</t>
  </si>
  <si>
    <t>E5014</t>
  </si>
  <si>
    <t>Harborough</t>
  </si>
  <si>
    <t>E2433</t>
  </si>
  <si>
    <t>Haringey</t>
  </si>
  <si>
    <t>E5038</t>
  </si>
  <si>
    <t>Harlow</t>
  </si>
  <si>
    <t>E1538</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</si>
  <si>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</si>
  <si>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</si>
  <si>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</si>
  <si>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</si>
  <si>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</si>
  <si>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</si>
  <si>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</si>
  <si>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</si>
  <si>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</si>
  <si>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</si>
  <si>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</si>
  <si>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</si>
  <si>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</si>
  <si>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</si>
  <si>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</si>
  <si>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</si>
  <si>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</si>
  <si>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</si>
  <si>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</si>
  <si>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</si>
  <si>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</si>
  <si>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</si>
  <si>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</si>
  <si>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</si>
  <si>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</si>
  <si>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</si>
  <si>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</si>
  <si>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</si>
  <si>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</si>
  <si>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</si>
  <si>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</si>
  <si>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</si>
  <si>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</si>
  <si>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</si>
  <si>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</si>
  <si>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</si>
  <si>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</si>
  <si>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</si>
  <si>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Kensington and Chelsea</t>
  </si>
  <si>
    <t>E5016</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</si>
  <si>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</si>
  <si>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</si>
  <si>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</si>
  <si>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</si>
  <si>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</si>
  <si>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</si>
  <si>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</si>
  <si>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</si>
  <si>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</si>
  <si>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</si>
  <si>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</si>
  <si>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</si>
  <si>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</si>
  <si>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</si>
  <si>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</si>
  <si>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</si>
  <si>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</si>
  <si>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</si>
  <si>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</si>
  <si>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</si>
  <si>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</si>
  <si>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</si>
  <si>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</si>
  <si>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</si>
  <si>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</si>
  <si>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</si>
  <si>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</si>
  <si>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</si>
  <si>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</si>
  <si>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</si>
  <si>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</si>
  <si>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</si>
  <si>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</si>
  <si>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</si>
  <si>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</si>
  <si>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</si>
  <si>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</si>
  <si>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</si>
  <si>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</si>
  <si>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</si>
  <si>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</si>
  <si>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</si>
  <si>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</si>
  <si>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</si>
  <si>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</si>
  <si>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</si>
  <si>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</si>
  <si>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</si>
  <si>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</si>
  <si>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</si>
  <si>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</si>
  <si>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</si>
  <si>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</si>
  <si>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</si>
  <si>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</si>
  <si>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</si>
  <si>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</si>
  <si>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</si>
  <si>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</si>
  <si>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</si>
  <si>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</si>
  <si>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</si>
  <si>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Newcastle-upon-Tyne</t>
  </si>
  <si>
    <t>E4502</t>
  </si>
  <si>
    <t>Newcastle-under-Lyme</t>
  </si>
  <si>
    <t>E3434</t>
  </si>
  <si>
    <t>Newham</t>
  </si>
  <si>
    <t>E5045</t>
  </si>
  <si>
    <t>North Devon</t>
  </si>
  <si>
    <t>E1134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</si>
  <si>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</si>
  <si>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</si>
  <si>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</si>
  <si>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</si>
  <si>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</si>
  <si>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</si>
  <si>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</si>
  <si>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</si>
  <si>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</si>
  <si>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</si>
  <si>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</si>
  <si>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</si>
  <si>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</si>
  <si>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</si>
  <si>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</si>
  <si>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</si>
  <si>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</si>
  <si>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</si>
  <si>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 xml:space="preserve">OPENING BALANCE </t>
  </si>
  <si>
    <t>SUPPLEMENTARY INFORMATION ON HEREDITAMENTS BEING GRANTED RELIEF FROM
NATIONAL NON-DOMESTIC RATES AND THE AMOUNT OF RELIEF GRANTED</t>
  </si>
  <si>
    <t xml:space="preserve">Please complete the following questions on hereditaments that were being granted relief  from
national non-domestic rates and the amount of relief granted </t>
  </si>
  <si>
    <t>i. Relief to be given - industrial property above the exemption threshold</t>
  </si>
  <si>
    <t>ii. Relief to be given - listed building status</t>
  </si>
  <si>
    <t>iii. Relief to be given - Community Amateur Sports Clubs</t>
  </si>
  <si>
    <t>iv. Relief to be given - charities</t>
  </si>
  <si>
    <t>vi. Relief to be given - "non-industrial" above the exemption threshold</t>
  </si>
  <si>
    <t>PART 1B: PAYMENTS</t>
  </si>
  <si>
    <t>This sheet automatically highlights any validation queries and provides space for your explanations</t>
  </si>
  <si>
    <t>%</t>
  </si>
  <si>
    <t>North West Leicestershire</t>
  </si>
  <si>
    <t>E2437</t>
  </si>
  <si>
    <t>Northumberland UA</t>
  </si>
  <si>
    <t>E2901</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</si>
  <si>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</si>
  <si>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</si>
  <si>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</si>
  <si>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</si>
  <si>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</si>
  <si>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</si>
  <si>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</si>
  <si>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</si>
  <si>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</si>
  <si>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</si>
  <si>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</si>
  <si>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</si>
  <si>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</si>
  <si>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</si>
  <si>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</si>
  <si>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</si>
  <si>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</si>
  <si>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</si>
  <si>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Portsmouth</t>
  </si>
  <si>
    <t>E1701</t>
  </si>
  <si>
    <t>Preston</t>
  </si>
  <si>
    <t>E2339</t>
  </si>
  <si>
    <t>Reading</t>
  </si>
  <si>
    <t>E0303</t>
  </si>
  <si>
    <t>Redbridge</t>
  </si>
  <si>
    <t>E5046</t>
  </si>
  <si>
    <t>Redcar and Cleveland</t>
  </si>
  <si>
    <t>E0703</t>
  </si>
  <si>
    <t>Redditch</t>
  </si>
  <si>
    <t>E1835</t>
  </si>
  <si>
    <t>Reigate and Banstead</t>
  </si>
  <si>
    <t>E3635</t>
  </si>
  <si>
    <t>Ribble Valley</t>
  </si>
  <si>
    <t>E2340</t>
  </si>
  <si>
    <t>Richmond upon Thames</t>
  </si>
  <si>
    <t>E5047</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</si>
  <si>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</si>
  <si>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</si>
  <si>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</si>
  <si>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</si>
  <si>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</si>
  <si>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</si>
  <si>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</si>
  <si>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</si>
  <si>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</si>
  <si>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</si>
  <si>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</si>
  <si>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</si>
  <si>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</si>
  <si>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</si>
  <si>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</si>
  <si>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</si>
  <si>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</si>
  <si>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</si>
  <si>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</si>
  <si>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</si>
  <si>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Salford</t>
  </si>
  <si>
    <t>E4206</t>
  </si>
  <si>
    <t>Sandwell</t>
  </si>
  <si>
    <t>E4604</t>
  </si>
  <si>
    <t>Sefton</t>
  </si>
  <si>
    <t>E4304</t>
  </si>
  <si>
    <t>Sevenoaks</t>
  </si>
  <si>
    <t>E2239</t>
  </si>
  <si>
    <t>Sheffield</t>
  </si>
  <si>
    <t>E4404</t>
  </si>
  <si>
    <t>Shepway</t>
  </si>
  <si>
    <t>E2240</t>
  </si>
  <si>
    <t>Shropshire UA</t>
  </si>
  <si>
    <t>E3202</t>
  </si>
  <si>
    <t>Slough</t>
  </si>
  <si>
    <t>E0304</t>
  </si>
  <si>
    <t>Solihull</t>
  </si>
  <si>
    <t>E4605</t>
  </si>
  <si>
    <t>South Cambridgeshire</t>
  </si>
  <si>
    <t>E0536</t>
  </si>
  <si>
    <t>South Derbyshire</t>
  </si>
  <si>
    <t>E1039</t>
  </si>
  <si>
    <t>South Gloucestershire</t>
  </si>
  <si>
    <t>E0103</t>
  </si>
  <si>
    <t>South Hams</t>
  </si>
  <si>
    <t>E1136</t>
  </si>
  <si>
    <t>South Holland</t>
  </si>
  <si>
    <t>E2535</t>
  </si>
  <si>
    <t>South Kesteven</t>
  </si>
  <si>
    <t>E2536</t>
  </si>
  <si>
    <t>South Norfolk</t>
  </si>
  <si>
    <t>E2637</t>
  </si>
  <si>
    <t>South Oxfordshire</t>
  </si>
  <si>
    <t>E3133</t>
  </si>
  <si>
    <t>South Ribble</t>
  </si>
  <si>
    <t>E2342</t>
  </si>
  <si>
    <t>South Staffordshire</t>
  </si>
  <si>
    <t>E3435</t>
  </si>
  <si>
    <t>South Tyneside</t>
  </si>
  <si>
    <t>E4504</t>
  </si>
  <si>
    <t>Southampton</t>
  </si>
  <si>
    <t>E1702</t>
  </si>
  <si>
    <t>Southend-on-Sea</t>
  </si>
  <si>
    <t>E1501</t>
  </si>
  <si>
    <t>Southwark</t>
  </si>
  <si>
    <t>E5019</t>
  </si>
  <si>
    <t>Spelthorne</t>
  </si>
  <si>
    <t>E3637</t>
  </si>
  <si>
    <t>St Albans</t>
  </si>
  <si>
    <t>E1936</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</si>
  <si>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</si>
  <si>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</si>
  <si>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</si>
  <si>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</si>
  <si>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</si>
  <si>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</si>
  <si>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</si>
  <si>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</si>
  <si>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</si>
  <si>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</si>
  <si>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</si>
  <si>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</si>
  <si>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</si>
  <si>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</si>
  <si>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</si>
  <si>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</si>
  <si>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</si>
  <si>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</si>
  <si>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Sunderland</t>
  </si>
  <si>
    <t>E4505</t>
  </si>
  <si>
    <t>Surrey Heath</t>
  </si>
  <si>
    <t>E3638</t>
  </si>
  <si>
    <t>Sutton</t>
  </si>
  <si>
    <t>E5048</t>
  </si>
  <si>
    <t>Swale</t>
  </si>
  <si>
    <t>E2241</t>
  </si>
  <si>
    <t>Swindon</t>
  </si>
  <si>
    <t>E3901</t>
  </si>
  <si>
    <t>Tameside</t>
  </si>
  <si>
    <t>E4208</t>
  </si>
  <si>
    <t>Tamworth</t>
  </si>
  <si>
    <t>E3439</t>
  </si>
  <si>
    <t>Tandridge</t>
  </si>
  <si>
    <t>E3639</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</si>
  <si>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</si>
  <si>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</si>
  <si>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</si>
  <si>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</si>
  <si>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</si>
  <si>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</si>
  <si>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</si>
  <si>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</si>
  <si>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</si>
  <si>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</si>
  <si>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</si>
  <si>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</si>
  <si>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</si>
  <si>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</si>
  <si>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</si>
  <si>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</si>
  <si>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</si>
  <si>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</si>
  <si>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</si>
  <si>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</si>
  <si>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</si>
  <si>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</si>
  <si>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</si>
  <si>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</si>
  <si>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</si>
  <si>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</si>
  <si>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</si>
  <si>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</si>
  <si>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</si>
  <si>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</si>
  <si>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</si>
  <si>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</si>
  <si>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</si>
  <si>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</si>
  <si>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</si>
  <si>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</si>
  <si>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</si>
  <si>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</si>
  <si>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</si>
  <si>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</si>
  <si>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</si>
  <si>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</si>
  <si>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</si>
  <si>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</si>
  <si>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</si>
  <si>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</si>
  <si>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Waverley</t>
  </si>
  <si>
    <t>E3640</t>
  </si>
  <si>
    <t>Wealden</t>
  </si>
  <si>
    <t>E1437</t>
  </si>
  <si>
    <t>Welwyn Hatfield</t>
  </si>
  <si>
    <t>E1940</t>
  </si>
  <si>
    <t>West Berkshire</t>
  </si>
  <si>
    <t>E0302</t>
  </si>
  <si>
    <t>West Devon</t>
  </si>
  <si>
    <t>E1140</t>
  </si>
  <si>
    <t>West Lancashire</t>
  </si>
  <si>
    <t>E2343</t>
  </si>
  <si>
    <t>West Lindsey</t>
  </si>
  <si>
    <t>E2537</t>
  </si>
  <si>
    <t>West Oxfordshire</t>
  </si>
  <si>
    <t>E3135</t>
  </si>
  <si>
    <t>Westminster</t>
  </si>
  <si>
    <t>E5022</t>
  </si>
  <si>
    <t>Wigan</t>
  </si>
  <si>
    <t>E4210</t>
  </si>
  <si>
    <t>Wiltshire UA</t>
  </si>
  <si>
    <t>E3902</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</si>
  <si>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</si>
  <si>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</si>
  <si>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</si>
  <si>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</si>
  <si>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</si>
  <si>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</si>
  <si>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</si>
  <si>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</si>
  <si>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</si>
  <si>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</si>
  <si>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</si>
  <si>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</si>
  <si>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</si>
  <si>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</si>
  <si>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</si>
  <si>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</si>
  <si>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</si>
  <si>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</si>
  <si>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Wyre</t>
  </si>
  <si>
    <t>E2344</t>
  </si>
  <si>
    <t>Wyre Forest</t>
  </si>
  <si>
    <t>E1839</t>
  </si>
  <si>
    <t>York</t>
  </si>
  <si>
    <t>E2701</t>
  </si>
  <si>
    <t>ZZZZ</t>
  </si>
  <si>
    <t>EZZZZ</t>
  </si>
  <si>
    <t xml:space="preserve">Select your local authority's name from this list: </t>
  </si>
  <si>
    <t>Please enter your details after checking that you have selected the correct authority name</t>
  </si>
  <si>
    <t>EMPTY PROPERTY RELIEF</t>
  </si>
  <si>
    <t>b. The cost of small business rate relief for properties within the billing authority area</t>
  </si>
  <si>
    <t>Contact name</t>
  </si>
  <si>
    <t>Contact number</t>
  </si>
  <si>
    <t>Contact e-mail</t>
  </si>
  <si>
    <t>DATE OF LATEST INFORMATION</t>
  </si>
  <si>
    <t>Date of latest information taken into account when calculating the figures on the supplementary form</t>
  </si>
  <si>
    <t>Completing the form</t>
  </si>
  <si>
    <t>2. There are three different type of input cells:</t>
  </si>
  <si>
    <t>Checking the Validation Sheet</t>
  </si>
  <si>
    <t>If you have any queries on completing the form please contact</t>
  </si>
  <si>
    <t>MANDATORY RELIEF</t>
  </si>
  <si>
    <t>i. those that are classed as "industrial property" above the exemption threshold</t>
  </si>
  <si>
    <t>ii. those that have "listed building status"</t>
  </si>
  <si>
    <t>iii. those that are "Community Amateur Sports Clubs"</t>
  </si>
  <si>
    <t>iv. those that are "charities"</t>
  </si>
  <si>
    <t>vi. those that are classed as "non-industrial" above the exemption threshold</t>
  </si>
  <si>
    <t>DISCRETIONARY RELIEF</t>
  </si>
  <si>
    <t>SMALL BUSINESS RATE RELIEF</t>
  </si>
  <si>
    <t>Partially occupied hereditaments</t>
  </si>
  <si>
    <t>Empty premises</t>
  </si>
  <si>
    <t>Notes :</t>
  </si>
  <si>
    <t>Billing authority</t>
  </si>
  <si>
    <t>Upper tier</t>
  </si>
  <si>
    <t>Fire</t>
  </si>
  <si>
    <t>Bath &amp; North East Somerset UA</t>
  </si>
  <si>
    <t>NA</t>
  </si>
  <si>
    <t>UA</t>
  </si>
  <si>
    <t>E6101</t>
  </si>
  <si>
    <t>Avon Fire Authority</t>
  </si>
  <si>
    <t>Bristol UA</t>
  </si>
  <si>
    <t>South Gloucestershire UA</t>
  </si>
  <si>
    <t>North Somerset UA</t>
  </si>
  <si>
    <t>Luton UA</t>
  </si>
  <si>
    <t>E6102</t>
  </si>
  <si>
    <t>Bedfordshire Fire Authority</t>
  </si>
  <si>
    <t>Bracknell Forest UA</t>
  </si>
  <si>
    <t>E6103</t>
  </si>
  <si>
    <t>Berkshire Fire Authority</t>
  </si>
  <si>
    <t>West Berkshire UA</t>
  </si>
  <si>
    <t>Reading UA</t>
  </si>
  <si>
    <t>Slough UA</t>
  </si>
  <si>
    <t>Windsor &amp; Maidenhead UA</t>
  </si>
  <si>
    <t>Wokingham UA</t>
  </si>
  <si>
    <t>Milton Keynes UA</t>
  </si>
  <si>
    <t>E6104</t>
  </si>
  <si>
    <t>Buckinghamshire Fire Authority</t>
  </si>
  <si>
    <t>Buckinghamshire</t>
  </si>
  <si>
    <t>Peterborough UA</t>
  </si>
  <si>
    <t>E6105</t>
  </si>
  <si>
    <t>Cambridgeshire Fire Authority</t>
  </si>
  <si>
    <t>E0521</t>
  </si>
  <si>
    <t>Cambridgeshire</t>
  </si>
  <si>
    <t>Halton UA</t>
  </si>
  <si>
    <t>E6106</t>
  </si>
  <si>
    <t>Cheshire Fire Authority</t>
  </si>
  <si>
    <t>Warrington UA</t>
  </si>
  <si>
    <t>Cheshire West and Chester UA</t>
  </si>
  <si>
    <t>Hartlepool UA</t>
  </si>
  <si>
    <t>E6107</t>
  </si>
  <si>
    <t>Cleveland Fire Authority</t>
  </si>
  <si>
    <t>Middlesbrough UA</t>
  </si>
  <si>
    <t>Redcar &amp; Cleveland UA</t>
  </si>
  <si>
    <t>Stockton-on-Tees UA</t>
  </si>
  <si>
    <t>County</t>
  </si>
  <si>
    <t>Derby UA</t>
  </si>
  <si>
    <t>E6110</t>
  </si>
  <si>
    <t>Derbyshire Fire Authority</t>
  </si>
  <si>
    <t>E1021</t>
  </si>
  <si>
    <t>Derbyshire</t>
  </si>
  <si>
    <t xml:space="preserve">COLLECTABLE RATES </t>
  </si>
  <si>
    <t>Plymouth UA</t>
  </si>
  <si>
    <t>E6161</t>
  </si>
  <si>
    <t>Devon and Somerset Fire Authority</t>
  </si>
  <si>
    <t>Torbay UA</t>
  </si>
  <si>
    <t>E1121</t>
  </si>
  <si>
    <t>Devon</t>
  </si>
  <si>
    <t>E6112</t>
  </si>
  <si>
    <t>Dorset Fire Authority</t>
  </si>
  <si>
    <t>E1221</t>
  </si>
  <si>
    <t>Dorset</t>
  </si>
  <si>
    <t>Darlington UA</t>
  </si>
  <si>
    <t>E6113</t>
  </si>
  <si>
    <t>Durham Fire Authority</t>
  </si>
  <si>
    <t>Brighton &amp; Hove UA</t>
  </si>
  <si>
    <t>E6114</t>
  </si>
  <si>
    <t>East Sussex Fire Authority</t>
  </si>
  <si>
    <t>E1421</t>
  </si>
  <si>
    <t>East Sussex</t>
  </si>
  <si>
    <t>Southend-on-Sea UA</t>
  </si>
  <si>
    <t>E6115</t>
  </si>
  <si>
    <t>Essex Fire Authority</t>
  </si>
  <si>
    <t>Thurrock UA</t>
  </si>
  <si>
    <t>E1521</t>
  </si>
  <si>
    <t>Essex</t>
  </si>
  <si>
    <t>E1620</t>
  </si>
  <si>
    <t>Gloucestershire</t>
  </si>
  <si>
    <t>Portsmouth UA</t>
  </si>
  <si>
    <t>E6117</t>
  </si>
  <si>
    <t>Hampshire Fire Authority</t>
  </si>
  <si>
    <t>Southampton UA</t>
  </si>
  <si>
    <t>E1721</t>
  </si>
  <si>
    <t>Hampshire</t>
  </si>
  <si>
    <t>Herefordshire UA</t>
  </si>
  <si>
    <t>E6118</t>
  </si>
  <si>
    <t>Hereford and Worcester Fire Authority</t>
  </si>
  <si>
    <t>E1821</t>
  </si>
  <si>
    <t>Worcestershire</t>
  </si>
  <si>
    <t>E1920</t>
  </si>
  <si>
    <t>Hertfordshire</t>
  </si>
  <si>
    <t>East Riding of Yorkshire UA</t>
  </si>
  <si>
    <t>E6120</t>
  </si>
  <si>
    <t>Humberside Fire Authority</t>
  </si>
  <si>
    <t>Kingston-upon-Hull UA</t>
  </si>
  <si>
    <t>North East Lincolnshire UA</t>
  </si>
  <si>
    <t>North Lincolnshire UA</t>
  </si>
  <si>
    <t>Isle of Wight Council UA</t>
  </si>
  <si>
    <t>Medway UA</t>
  </si>
  <si>
    <t>E6122</t>
  </si>
  <si>
    <t>Kent Fire Authority</t>
  </si>
  <si>
    <t>E2221</t>
  </si>
  <si>
    <t>Kent</t>
  </si>
  <si>
    <t>Tonbridge &amp; Malling</t>
  </si>
  <si>
    <t>Blackburn with Darwen UA</t>
  </si>
  <si>
    <t>E6123</t>
  </si>
  <si>
    <t>Lancashire Fire Authority</t>
  </si>
  <si>
    <t>Blackpool UA</t>
  </si>
  <si>
    <t>E2321</t>
  </si>
  <si>
    <t>Lancashire</t>
  </si>
  <si>
    <t>Leicester UA</t>
  </si>
  <si>
    <t>E6124</t>
  </si>
  <si>
    <t>Leicestershire Fire Authority</t>
  </si>
  <si>
    <t>Rutland UA</t>
  </si>
  <si>
    <t>E2421</t>
  </si>
  <si>
    <t>Leicestershire</t>
  </si>
  <si>
    <t>Hinckley &amp; Bosworth</t>
  </si>
  <si>
    <t>Oadby &amp; Wigston</t>
  </si>
  <si>
    <t>E2520</t>
  </si>
  <si>
    <t>Lincolnshire</t>
  </si>
  <si>
    <t>E2620</t>
  </si>
  <si>
    <t>Norfolk</t>
  </si>
  <si>
    <t>King's Lynn &amp; West Norfolk</t>
  </si>
  <si>
    <t>York UA</t>
  </si>
  <si>
    <t>E6127</t>
  </si>
  <si>
    <t>North Yorkshire Fire Authority</t>
  </si>
  <si>
    <t>North Yorkshire</t>
  </si>
  <si>
    <t>E2820</t>
  </si>
  <si>
    <t>Northamptonshire</t>
  </si>
  <si>
    <t>Nottingham UA</t>
  </si>
  <si>
    <t>E6130</t>
  </si>
  <si>
    <t>Nottinghamshire Fire Authority</t>
  </si>
  <si>
    <t>E3021</t>
  </si>
  <si>
    <t>Nottinghamshire</t>
  </si>
  <si>
    <t>Newark &amp; Sherwood</t>
  </si>
  <si>
    <t>E3120</t>
  </si>
  <si>
    <t>Oxfordshire</t>
  </si>
  <si>
    <t>Telford &amp; Wrekin UA</t>
  </si>
  <si>
    <t>E6132</t>
  </si>
  <si>
    <t>Shropshire Fire Authority</t>
  </si>
  <si>
    <t>Somerset</t>
  </si>
  <si>
    <t>Stoke-on-Trent UA</t>
  </si>
  <si>
    <t>E6134</t>
  </si>
  <si>
    <t>Staffordshire Fire Authority</t>
  </si>
  <si>
    <t>E3421</t>
  </si>
  <si>
    <t>Staffordshire</t>
  </si>
  <si>
    <t>E3520</t>
  </si>
  <si>
    <t>Suffolk</t>
  </si>
  <si>
    <t>E3620</t>
  </si>
  <si>
    <t>Surrey</t>
  </si>
  <si>
    <t>Reigate &amp; Banstead</t>
  </si>
  <si>
    <t>E3720</t>
  </si>
  <si>
    <t>Warwickshire</t>
  </si>
  <si>
    <t>Nuneaton &amp; Bedworth</t>
  </si>
  <si>
    <t>E3820</t>
  </si>
  <si>
    <t>West Sussex</t>
  </si>
  <si>
    <t>Swindon UA</t>
  </si>
  <si>
    <t>E6139</t>
  </si>
  <si>
    <t>Wiltshire Fire Authority</t>
  </si>
  <si>
    <t>MD</t>
  </si>
  <si>
    <t>E6142</t>
  </si>
  <si>
    <t>Greater Manchester Fire</t>
  </si>
  <si>
    <t>E6143</t>
  </si>
  <si>
    <t>Merseyside Fire</t>
  </si>
  <si>
    <t>E6144</t>
  </si>
  <si>
    <t>South Yorkshire Fire</t>
  </si>
  <si>
    <t>E6145</t>
  </si>
  <si>
    <t>Tyne and Wear Fire</t>
  </si>
  <si>
    <t>E6146</t>
  </si>
  <si>
    <t>West Midlands Fire</t>
  </si>
  <si>
    <t>E6147</t>
  </si>
  <si>
    <t>West Yorkshire Fire</t>
  </si>
  <si>
    <t>E51np</t>
  </si>
  <si>
    <t>E5100</t>
  </si>
  <si>
    <t>Greater London Authority</t>
  </si>
  <si>
    <t>Hammersmith &amp; Fulham</t>
  </si>
  <si>
    <t>Kensington &amp; Chelsea</t>
  </si>
  <si>
    <t>Barking &amp; Dagenham</t>
  </si>
  <si>
    <t>Kingston-upon-Thames</t>
  </si>
  <si>
    <t>Richmond-upon-Thames</t>
  </si>
  <si>
    <t>£</t>
  </si>
  <si>
    <t>2.  Sums due to the authority</t>
  </si>
  <si>
    <t xml:space="preserve">3.  Sums due from the authority </t>
  </si>
  <si>
    <t>Authority Name</t>
  </si>
  <si>
    <t>E-code</t>
  </si>
  <si>
    <t>Local authority contact name</t>
  </si>
  <si>
    <t>Local authority contact number</t>
  </si>
  <si>
    <t>Local authority e-mail address</t>
  </si>
  <si>
    <t>Column 1</t>
  </si>
  <si>
    <t>Column 2</t>
  </si>
  <si>
    <t>Column 3</t>
  </si>
  <si>
    <t>Column 4</t>
  </si>
  <si>
    <t>Small Business Rate Relief</t>
  </si>
  <si>
    <t>Community Amateur Sports Clubs (CASCs)</t>
  </si>
  <si>
    <t>Non-profit making bodies</t>
  </si>
  <si>
    <t>Small rural businesses</t>
  </si>
  <si>
    <t>i)   the Secretary of State in accordance with Regulation 4 of the Non-Domestic Rating (Rates Retention) Regulations 2013;</t>
  </si>
  <si>
    <t>ii)  major precepting authorities in accordance with Regulations 5, 6 and 7; and to be</t>
  </si>
  <si>
    <t xml:space="preserve">iii) transferred by the billing authority from its Collection Fund to its General Fund, </t>
  </si>
  <si>
    <t>are set out below</t>
  </si>
  <si>
    <t>Total</t>
  </si>
  <si>
    <t xml:space="preserve"> </t>
  </si>
  <si>
    <t>TOTAL FOR THE YEAR</t>
  </si>
  <si>
    <t xml:space="preserve">NET RATES PAYABLE </t>
  </si>
  <si>
    <t>5.  Legal costs</t>
  </si>
  <si>
    <t>6.  Allowance for cost of collection</t>
  </si>
  <si>
    <t>4. Cost of collection formula</t>
  </si>
  <si>
    <t>SPECIAL AUTHORITY DEDUCTIONS</t>
  </si>
  <si>
    <t>Column 5</t>
  </si>
  <si>
    <t>Charitable occupation</t>
  </si>
  <si>
    <t>Rural rate relief</t>
  </si>
  <si>
    <t>NATIONAL NON-DOMESTIC RATES RETURN - NNDR1</t>
  </si>
  <si>
    <t>of which:</t>
  </si>
  <si>
    <t>1. Rateable Value at</t>
  </si>
  <si>
    <t xml:space="preserve">TRANSITIONAL PROTECTION PAYMENTS </t>
  </si>
  <si>
    <t xml:space="preserve">NON-DOMESTIC RATING INCOME </t>
  </si>
  <si>
    <t xml:space="preserve">DISREGARDED AMOUNTS </t>
  </si>
  <si>
    <t xml:space="preserve">1.  Net amount receivable from rate payers after taking account of transitional adjustments, empty property rate, mandatory and discretionary reliefs and accounting adjustments </t>
  </si>
  <si>
    <t xml:space="preserve">v. Relief to be given where the hereditament is empty and is not included in categories i to iv </t>
  </si>
  <si>
    <t>v. those where the hereditament is empty and not included in categories i to iv</t>
  </si>
  <si>
    <t xml:space="preserve">TOTAL:  </t>
  </si>
  <si>
    <t>No.</t>
  </si>
  <si>
    <t>Local Authority</t>
  </si>
  <si>
    <t>Ecodes</t>
  </si>
  <si>
    <t>Adur</t>
  </si>
  <si>
    <t>E3831</t>
  </si>
  <si>
    <t>Amber Valley</t>
  </si>
  <si>
    <t>E1031</t>
  </si>
  <si>
    <t>Arun</t>
  </si>
  <si>
    <t>E3832</t>
  </si>
  <si>
    <t>Ashfield</t>
  </si>
  <si>
    <t>E3031</t>
  </si>
  <si>
    <t>Ashford</t>
  </si>
  <si>
    <t>E2231</t>
  </si>
  <si>
    <t>Babergh</t>
  </si>
  <si>
    <t>E3531</t>
  </si>
  <si>
    <t>Barking and Dagenham</t>
  </si>
  <si>
    <t>E5030</t>
  </si>
  <si>
    <t>Barnet</t>
  </si>
  <si>
    <t>E5031</t>
  </si>
  <si>
    <t>Barnsley</t>
  </si>
  <si>
    <t>E4401</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</si>
  <si>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</si>
  <si>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</si>
  <si>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</si>
  <si>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</si>
  <si>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</si>
  <si>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</si>
  <si>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</si>
  <si>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</si>
  <si>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</si>
  <si>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</si>
  <si>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</si>
  <si>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</si>
  <si>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</si>
  <si>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</si>
  <si>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</si>
  <si>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</si>
  <si>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Blackburn with Darwen</t>
  </si>
  <si>
    <t>E2301</t>
  </si>
  <si>
    <t>Blackpool</t>
  </si>
  <si>
    <t>E2302</t>
  </si>
  <si>
    <t>Bolsover</t>
  </si>
  <si>
    <t>E1032</t>
  </si>
  <si>
    <t>Bolton</t>
  </si>
  <si>
    <t>E4201</t>
  </si>
  <si>
    <t>Boston</t>
  </si>
  <si>
    <t>E2531</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</si>
  <si>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</si>
  <si>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</si>
  <si>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</si>
  <si>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</si>
  <si>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</si>
  <si>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</si>
  <si>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</si>
  <si>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</si>
  <si>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</si>
  <si>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</si>
  <si>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</si>
  <si>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</si>
  <si>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</si>
  <si>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</si>
  <si>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</si>
  <si>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</si>
  <si>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</si>
  <si>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</si>
  <si>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</si>
  <si>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</si>
  <si>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</si>
  <si>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</si>
  <si>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</si>
  <si>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</si>
  <si>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</si>
  <si>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</si>
  <si>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</si>
  <si>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</si>
  <si>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</si>
  <si>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</si>
  <si>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</si>
  <si>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</si>
  <si>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</si>
  <si>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</si>
  <si>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</si>
  <si>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</si>
  <si>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</si>
  <si>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</si>
  <si>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</si>
  <si>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</si>
  <si>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Castle Point</t>
  </si>
  <si>
    <t>E1534</t>
  </si>
  <si>
    <t>Central Bedfordshire UA</t>
  </si>
  <si>
    <t>E0203</t>
  </si>
  <si>
    <t>Charnwood</t>
  </si>
  <si>
    <t>E2432</t>
  </si>
  <si>
    <t>Chelmsford</t>
  </si>
  <si>
    <t>E1535</t>
  </si>
  <si>
    <t>Cheltenham</t>
  </si>
  <si>
    <t>E1631</t>
  </si>
  <si>
    <t>Cherwell</t>
  </si>
  <si>
    <t>E3131</t>
  </si>
  <si>
    <t>Cheshire East UA</t>
  </si>
  <si>
    <t>E0603</t>
  </si>
  <si>
    <t>E0604</t>
  </si>
  <si>
    <t>Chesterfield</t>
  </si>
  <si>
    <t>E1033</t>
  </si>
  <si>
    <t>Chichester</t>
  </si>
  <si>
    <t>E3833</t>
  </si>
  <si>
    <t>Chorley</t>
  </si>
  <si>
    <t>E2334</t>
  </si>
  <si>
    <t>City of London</t>
  </si>
  <si>
    <t>BA Area (exc. Designated areas)</t>
  </si>
  <si>
    <t>Error checking</t>
  </si>
  <si>
    <t>Designated
areas</t>
  </si>
  <si>
    <t>Data</t>
  </si>
  <si>
    <t>Parameters</t>
  </si>
  <si>
    <t>Change</t>
  </si>
  <si>
    <t>Complete this column</t>
  </si>
  <si>
    <t>Do not complete this column</t>
  </si>
  <si>
    <t>Sheffield City region</t>
  </si>
  <si>
    <t>Enterprise Area</t>
  </si>
  <si>
    <t>West of England</t>
  </si>
  <si>
    <t>Notts Broxtowe</t>
  </si>
  <si>
    <t>Sheffield City Region</t>
  </si>
  <si>
    <t>NewQuay Aerohub</t>
  </si>
  <si>
    <t>Humber Port Corridor</t>
  </si>
  <si>
    <t>Humber Super Energy Cluster</t>
  </si>
  <si>
    <t>Solent</t>
  </si>
  <si>
    <t>Lancs Advanced Eng. &amp; Manufacturing</t>
  </si>
  <si>
    <t>Development Area</t>
  </si>
  <si>
    <t>New Anglia</t>
  </si>
  <si>
    <t>Sci-Tech Daresbury</t>
  </si>
  <si>
    <t>Tees Valley</t>
  </si>
  <si>
    <t>Hereford</t>
  </si>
  <si>
    <t>MIRA Technology Park</t>
  </si>
  <si>
    <t>Alconbury Enterprise Campus</t>
  </si>
  <si>
    <t>Aire Valley</t>
  </si>
  <si>
    <t>Mersey Waters</t>
  </si>
  <si>
    <t>Liverpool City</t>
  </si>
  <si>
    <t>NE Newcastle</t>
  </si>
  <si>
    <t>Royal Docks</t>
  </si>
  <si>
    <t>North East</t>
  </si>
  <si>
    <t>Waterside</t>
  </si>
  <si>
    <t xml:space="preserve">North East </t>
  </si>
  <si>
    <t>Nottingham City</t>
  </si>
  <si>
    <t>Development  Area</t>
  </si>
  <si>
    <t>Black Country</t>
  </si>
  <si>
    <t>Science Vale UK</t>
  </si>
  <si>
    <t>Yes</t>
  </si>
  <si>
    <t>Check total RV</t>
  </si>
  <si>
    <t>Actual</t>
  </si>
  <si>
    <t>Test</t>
  </si>
  <si>
    <t>Cost of CASC Relief</t>
  </si>
  <si>
    <t>Mandatory Reliefs</t>
  </si>
  <si>
    <t>Discretionary Reliefs</t>
  </si>
  <si>
    <t>Cost of non-profit bodies' relief</t>
  </si>
  <si>
    <t>Cost of other rural relief</t>
  </si>
  <si>
    <t>Cost of other discretionary relief</t>
  </si>
  <si>
    <t>Cost of Charity relief</t>
  </si>
  <si>
    <t>Cost of CASC relief</t>
  </si>
  <si>
    <t>Cost of Partly Occupied relief</t>
  </si>
  <si>
    <t>Cost of Empty property relief</t>
  </si>
  <si>
    <t>Validation Checks</t>
  </si>
  <si>
    <t>6.  Revenue foregone because increases in rates have been deferred (Show as -ve)</t>
  </si>
  <si>
    <t>This page is for information only; please do not amend any of the figures</t>
  </si>
  <si>
    <t>Birmingham City Centre</t>
  </si>
  <si>
    <t>Error
checking</t>
  </si>
  <si>
    <t>n/a</t>
  </si>
  <si>
    <t>Other checks</t>
  </si>
  <si>
    <t>Entering data</t>
  </si>
  <si>
    <t>Relief given to Case A hereditaments</t>
  </si>
  <si>
    <t>Relief given to Case B hereditaments</t>
  </si>
  <si>
    <t>Cost SBR relief</t>
  </si>
  <si>
    <t>Class A hereditaments</t>
  </si>
  <si>
    <t>Class B hereditaments</t>
  </si>
  <si>
    <t>Net rates payable</t>
  </si>
  <si>
    <t>Charity relief</t>
  </si>
  <si>
    <t>CASC relief</t>
  </si>
  <si>
    <t>Rural shop relief</t>
  </si>
  <si>
    <t>Partly Occupied relief</t>
  </si>
  <si>
    <t>Empty relief</t>
  </si>
  <si>
    <t>Non-profit bodies' relief</t>
  </si>
  <si>
    <t>CASC Relief</t>
  </si>
  <si>
    <t>Other rural relief</t>
  </si>
  <si>
    <t>Local discount relief</t>
  </si>
  <si>
    <t>Supplementary data - validation checks</t>
  </si>
  <si>
    <t>SBBR - getting a discount</t>
  </si>
  <si>
    <t>SBBR - just lower multiplier</t>
  </si>
  <si>
    <t>Number of hereditaments</t>
  </si>
  <si>
    <t>SBBR - contributing</t>
  </si>
  <si>
    <t>Total
Hereds</t>
  </si>
  <si>
    <t>Please provide any further comments below</t>
  </si>
  <si>
    <t>PART 3: COLLECTABLE RATES AND DISREGARDED AMOUNTS</t>
  </si>
  <si>
    <t>All figures must be entered in whole £</t>
  </si>
  <si>
    <t xml:space="preserve">Checked by Chief Financial / Section 151 Officer : </t>
  </si>
  <si>
    <t>Upper tier = UA, MD or GLA</t>
  </si>
  <si>
    <t>Manchester City Airport</t>
  </si>
  <si>
    <t>Infinity Park</t>
  </si>
  <si>
    <t>Please comment below where required</t>
  </si>
  <si>
    <t>BUSINESS RATES CREDITS AND CHARGES</t>
  </si>
  <si>
    <t>DA?</t>
  </si>
  <si>
    <t xml:space="preserve">4.  Where possible, you will be prevented from entering data with the wrong sign (+ve when it should be -ve or vice versa). </t>
  </si>
  <si>
    <t xml:space="preserve">   </t>
  </si>
  <si>
    <t>Hide this column</t>
  </si>
  <si>
    <t>Linking billing authorities with their precepting authorities and their proportional shares</t>
  </si>
  <si>
    <t>Has a Designated Area?</t>
  </si>
  <si>
    <t>Testing</t>
  </si>
  <si>
    <t>Updates</t>
  </si>
  <si>
    <t>1. The form can be set up for each individual local authority by selecting the appropriate authority name from the list. The example shows the local authority ZZZZ.  Once a local authority name is selected the spreadsheet will automatically complete the data for the white cells with a blue border.</t>
  </si>
  <si>
    <t>All figures should be entered in whole £</t>
  </si>
  <si>
    <t>NATIONAL NON-DOMESTIC RATES RETURN</t>
  </si>
  <si>
    <r>
      <t xml:space="preserve">3.  </t>
    </r>
    <r>
      <rPr>
        <u/>
        <sz val="14"/>
        <rFont val="Arial"/>
        <family val="2"/>
      </rPr>
      <t>All</t>
    </r>
    <r>
      <rPr>
        <sz val="14"/>
        <rFont val="Arial"/>
        <family val="2"/>
      </rPr>
      <t xml:space="preserve"> values in the form should be entered in whole £.  Except for part 1 of the form, </t>
    </r>
    <r>
      <rPr>
        <b/>
        <sz val="14"/>
        <rFont val="Arial"/>
        <family val="2"/>
      </rPr>
      <t>receipts</t>
    </r>
    <r>
      <rPr>
        <sz val="14"/>
        <rFont val="Arial"/>
        <family val="2"/>
      </rPr>
      <t xml:space="preserve"> (eg sums due to the billing authority from ratepayers, or central government) should always be entered as </t>
    </r>
    <r>
      <rPr>
        <b/>
        <sz val="14"/>
        <rFont val="Arial"/>
        <family val="2"/>
      </rPr>
      <t>positive numbers</t>
    </r>
    <r>
      <rPr>
        <sz val="14"/>
        <rFont val="Arial"/>
        <family val="2"/>
      </rPr>
      <t xml:space="preserve">.  </t>
    </r>
    <r>
      <rPr>
        <b/>
        <sz val="14"/>
        <rFont val="Arial"/>
        <family val="2"/>
      </rPr>
      <t>Payments from the authority, or amounts foregone</t>
    </r>
    <r>
      <rPr>
        <sz val="14"/>
        <rFont val="Arial"/>
        <family val="2"/>
      </rPr>
      <t xml:space="preserve"> (eg reliefs given to ratepayers) should always be entered as </t>
    </r>
    <r>
      <rPr>
        <b/>
        <sz val="14"/>
        <rFont val="Arial"/>
        <family val="2"/>
      </rPr>
      <t>negative numbers</t>
    </r>
    <r>
      <rPr>
        <sz val="14"/>
        <rFont val="Arial"/>
        <family val="2"/>
      </rPr>
      <t>.</t>
    </r>
  </si>
  <si>
    <t xml:space="preserve">9.  If you experience any problems using the form please email </t>
  </si>
  <si>
    <t>VOA data</t>
  </si>
  <si>
    <t>4. Changes to the allowance for non-collection</t>
  </si>
  <si>
    <t>7. Total business rates credits and charges (Total lines 2 to 6)</t>
  </si>
  <si>
    <t>17. Transfers/payments from the Collection Fund for end-year reconciliations</t>
  </si>
  <si>
    <t>Additional yield from the small business supplement</t>
  </si>
  <si>
    <t>Net cost of small business rate relief (line 12-line 14)</t>
  </si>
  <si>
    <t>Forecast of net rates payable by rate payers after taking account of transitional adjustments</t>
  </si>
  <si>
    <r>
      <t xml:space="preserve">* White, Black Border - these are blank for new data - Please ensure </t>
    </r>
    <r>
      <rPr>
        <i/>
        <u/>
        <sz val="14"/>
        <rFont val="Arial"/>
        <family val="2"/>
      </rPr>
      <t>all</t>
    </r>
    <r>
      <rPr>
        <i/>
        <sz val="14"/>
        <rFont val="Arial"/>
        <family val="2"/>
      </rPr>
      <t xml:space="preserve"> white cells are filled before submitting the form including entering zeroes where appropriate.</t>
    </r>
  </si>
  <si>
    <t>Ver</t>
  </si>
  <si>
    <t xml:space="preserve">Ver </t>
  </si>
  <si>
    <t>MIRA extension</t>
  </si>
  <si>
    <t>No</t>
  </si>
  <si>
    <t>Infinity Park Extension</t>
  </si>
  <si>
    <t>Newcastle upon Tyne</t>
  </si>
  <si>
    <t>Nine Elms and Battersea Power station</t>
  </si>
  <si>
    <t>Nine Elms</t>
  </si>
  <si>
    <t>DISREGARDED AMOUNTS</t>
  </si>
  <si>
    <t>DEDUCTIONS FROM CENTRAL SHARE</t>
  </si>
  <si>
    <t>VOA Data</t>
  </si>
  <si>
    <t xml:space="preserve"> 2017-18 Billing authority proportion</t>
  </si>
  <si>
    <t>2017-18 upper tier proportion</t>
  </si>
  <si>
    <t>2017-18 fire proportion</t>
  </si>
  <si>
    <t xml:space="preserve"> 2016-17 Billing authority proportion</t>
  </si>
  <si>
    <t>2016-17 upper tier proportion</t>
  </si>
  <si>
    <t>2016-17 fire proportion</t>
  </si>
  <si>
    <t>2017-18 Sum</t>
  </si>
  <si>
    <t>2016-17 Sum</t>
  </si>
  <si>
    <t>Port of Bristol</t>
  </si>
  <si>
    <t>Baseline</t>
  </si>
  <si>
    <t>EZ Name</t>
  </si>
  <si>
    <t>Ezcode</t>
  </si>
  <si>
    <t>ecode</t>
  </si>
  <si>
    <t>ecodes</t>
  </si>
  <si>
    <t>Select an authority</t>
  </si>
  <si>
    <t>Designated Areas</t>
  </si>
  <si>
    <t>Sum payable by rate payers after taking account of transitional adjustments, empty property rate, mandatory and discretionary reliefs</t>
  </si>
  <si>
    <t>NET RATES PAYABLE</t>
  </si>
  <si>
    <t>LOSSES</t>
  </si>
  <si>
    <t>Net Rates payable less losses</t>
  </si>
  <si>
    <t xml:space="preserve"> Renewable Energy</t>
  </si>
  <si>
    <t>Total Disregarded Amounts</t>
  </si>
  <si>
    <t>8.  Amounts retained in respect of Designated Areas</t>
  </si>
  <si>
    <t>Rural Rate Relief</t>
  </si>
  <si>
    <t>Designated Area</t>
  </si>
  <si>
    <t>Total Designated Area value</t>
  </si>
  <si>
    <t>NNDR1</t>
  </si>
  <si>
    <t>i. Hereditaments with a rateable value between £0 and £12,000 that will receive the full discount</t>
  </si>
  <si>
    <t>ii. Hereditaments with a rateable value between £12,001 and £15,000 that will receive the discount on a sliding scale</t>
  </si>
  <si>
    <t>i. Hereditaments with a rateable value between £0 and £12,000 receiving the maximum discount</t>
  </si>
  <si>
    <t>ii. Hereditaments with a rateable value between £12,001 and £15,000 receiving the discount on a sliding scale</t>
  </si>
  <si>
    <t>Windsor and Maidenhead UA</t>
  </si>
  <si>
    <t>St. Helens</t>
  </si>
  <si>
    <t>Redcar and Cleveland UA</t>
  </si>
  <si>
    <t>Kingston upon Hull UA</t>
  </si>
  <si>
    <t>Isle of Wight UA</t>
  </si>
  <si>
    <t>Isles of Scilly UA</t>
  </si>
  <si>
    <t>Epsom and Ewell</t>
  </si>
  <si>
    <t>King’s Lynn and West Norfolk</t>
  </si>
  <si>
    <t>Brighton and Hove UA</t>
  </si>
  <si>
    <t>Basingstoke and Deane</t>
  </si>
  <si>
    <t>Bath and North East Somerset UA</t>
  </si>
  <si>
    <t>Telford and Wrekin UA</t>
  </si>
  <si>
    <t>SBBR - RV between £0 &amp; £12k</t>
  </si>
  <si>
    <t>Number where comments are outstanding</t>
  </si>
  <si>
    <t>SBBR - RV between £12k &amp; £15k</t>
  </si>
  <si>
    <t>LOCK</t>
  </si>
  <si>
    <t>Buckinghamshire Thames Valley: Silverstone</t>
  </si>
  <si>
    <t>Buckinghamshire Thames Valley: Aria/Woodlands</t>
  </si>
  <si>
    <t>Buckinghamshire Thames Valley: Westcott</t>
  </si>
  <si>
    <t>Basing View</t>
  </si>
  <si>
    <t>Bath Enterprise Area</t>
  </si>
  <si>
    <t>Roseberry Place</t>
  </si>
  <si>
    <t>Old Mills</t>
  </si>
  <si>
    <t>Birmingham Curzon Extension</t>
  </si>
  <si>
    <t>Blackpool Airport Corridor</t>
  </si>
  <si>
    <t>Parry Lane</t>
  </si>
  <si>
    <t>Staithgate Lane</t>
  </si>
  <si>
    <t>Gain Lane</t>
  </si>
  <si>
    <t>Bristol Temple Quarter Enterprise Zone Expansion Area</t>
  </si>
  <si>
    <t>Clifton Business Park</t>
  </si>
  <si>
    <t>Carlisle Kingmoor Park EZ</t>
  </si>
  <si>
    <t>Loughborough Science and Enterprise Park</t>
  </si>
  <si>
    <t>Charnwood Campus</t>
  </si>
  <si>
    <t>Cheshire Science Corridor EZ: Alderley Park</t>
  </si>
  <si>
    <t>Cheshire Science Corridor EZ: South Road</t>
  </si>
  <si>
    <t>Cheshire Science Corridor EZ: Cloister Way (Andrews)</t>
  </si>
  <si>
    <t>Cheshire Science Corridor EZ: Cloister Way (CWAC)</t>
  </si>
  <si>
    <t>Cheshire Science Corridor EZ: Dufton Green</t>
  </si>
  <si>
    <t>Cheshire Science Corridor EZ: Former DSM Land</t>
  </si>
  <si>
    <t>Cheshire Science Corridor EZ: New Port Business Park</t>
  </si>
  <si>
    <t>Cheshire Science Corridor EZ: Stanney Mill Lane</t>
  </si>
  <si>
    <t>Cheshire Science Corridor EZ: Thornton Science Park</t>
  </si>
  <si>
    <t>Cheshire Science Corridor EZ: Hooton Park</t>
  </si>
  <si>
    <t>Cheshire Science Corridor EZ: Ince Park</t>
  </si>
  <si>
    <t>Cornwall Aerohub+ - Goon Hilly Earth Station</t>
  </si>
  <si>
    <t>Hayle North Quay</t>
  </si>
  <si>
    <t>Tolvaddon</t>
  </si>
  <si>
    <t>Falmouth Docks</t>
  </si>
  <si>
    <t>Kier site</t>
  </si>
  <si>
    <t>Spencer's Park (Phase 2) site</t>
  </si>
  <si>
    <t>HCA site</t>
  </si>
  <si>
    <t>DBC site</t>
  </si>
  <si>
    <t>Tees Valley EZ Growth Extension: Central Park</t>
  </si>
  <si>
    <t>Ebsfleet Central - Northfleet Rise</t>
  </si>
  <si>
    <t>Waterfront</t>
  </si>
  <si>
    <t>Archill</t>
  </si>
  <si>
    <t>Harts Hill</t>
  </si>
  <si>
    <t>Canal Walk</t>
  </si>
  <si>
    <t>Blackbrook Valley</t>
  </si>
  <si>
    <t>Pensnett</t>
  </si>
  <si>
    <t>Hawthorn Prestige Business Park</t>
  </si>
  <si>
    <t>Cambridge Compass: Lancaster Way</t>
  </si>
  <si>
    <t>Exeter Science Park</t>
  </si>
  <si>
    <t>Sky Park, Exeter</t>
  </si>
  <si>
    <t>Exeter Airport Business Park Expansion Area</t>
  </si>
  <si>
    <t>Cranbrook Commercial Area</t>
  </si>
  <si>
    <t>Louisburg</t>
  </si>
  <si>
    <t>Humber EZ: Capital Park Goole</t>
  </si>
  <si>
    <t>Humber EZ: Goole 36</t>
  </si>
  <si>
    <t>Humber EZ: Goole Intermodal Terminal</t>
  </si>
  <si>
    <t>Humber EZ: Melton Park</t>
  </si>
  <si>
    <t>Humber EZ: Melton West</t>
  </si>
  <si>
    <t>Follingsby Business Park</t>
  </si>
  <si>
    <t>Northfleet Riverside East</t>
  </si>
  <si>
    <t>Northfleet Riverside West</t>
  </si>
  <si>
    <t>Beacon Park Phase 3</t>
  </si>
  <si>
    <t>Vanguard Point</t>
  </si>
  <si>
    <t>Havenshore Base South</t>
  </si>
  <si>
    <t>Victory Court</t>
  </si>
  <si>
    <t>New Anglia EZ: Futura Park</t>
  </si>
  <si>
    <t>New Anglia EZ: Princes Street</t>
  </si>
  <si>
    <t>New Anglia EZ: Waterfront Island</t>
  </si>
  <si>
    <t>New Anglia EZ: Nar Ouse</t>
  </si>
  <si>
    <t>Humber EZ: Bird's Eye</t>
  </si>
  <si>
    <t>Humber EZ: Priory Park</t>
  </si>
  <si>
    <t>Humber EZ: Former Cavaghan and Gray</t>
  </si>
  <si>
    <t>Humber EZ: Benchmark Pods</t>
  </si>
  <si>
    <t>Humber EZ: Energy Works</t>
  </si>
  <si>
    <t>Humber EZ: Rix Stoneberry</t>
  </si>
  <si>
    <t>Humber EZ: Foster Street</t>
  </si>
  <si>
    <t>Humber EZ: Ashcourt</t>
  </si>
  <si>
    <t>Humber EZ: Former Two Wheel Centre</t>
  </si>
  <si>
    <t>Humber EZ: St Mark Street</t>
  </si>
  <si>
    <t>Humber EZ: Former LA site</t>
  </si>
  <si>
    <t>Humber EZ: Sammy's Point</t>
  </si>
  <si>
    <t>Humber EZ: Albert Dock</t>
  </si>
  <si>
    <t>Humber EZ: John Street Car Park</t>
  </si>
  <si>
    <t>Humber EZ: Pepi's</t>
  </si>
  <si>
    <t>Humber EZ: Osborne Street</t>
  </si>
  <si>
    <t>Humber EZ: Albion Street</t>
  </si>
  <si>
    <t>Humber EZ: Former Bonus Site</t>
  </si>
  <si>
    <t>Humber EZ: Somerden Road</t>
  </si>
  <si>
    <t>Humber EZ: Queen Elizabeth Dock</t>
  </si>
  <si>
    <t>Lindley Moor East</t>
  </si>
  <si>
    <t>Lindley Moor West</t>
  </si>
  <si>
    <t>Moor Park, Mirfield</t>
  </si>
  <si>
    <t>Leicester Waterside</t>
  </si>
  <si>
    <t>East Quay</t>
  </si>
  <si>
    <t>Eastside North</t>
  </si>
  <si>
    <t>Eastside South</t>
  </si>
  <si>
    <t>North Quay</t>
  </si>
  <si>
    <t>Railway Quay</t>
  </si>
  <si>
    <t>Bevan Funnell</t>
  </si>
  <si>
    <t>Town Centre</t>
  </si>
  <si>
    <t>Avis Way</t>
  </si>
  <si>
    <t>Luton Airport EZ</t>
  </si>
  <si>
    <t>Kent Medical Campus</t>
  </si>
  <si>
    <t>Greater Manchester Airport City</t>
  </si>
  <si>
    <t>Greater Manchester Life Science: MSP Central Campus</t>
  </si>
  <si>
    <t>Greater Manchester Life Science: CMFT Site</t>
  </si>
  <si>
    <t>Rochester Airport Technology Park</t>
  </si>
  <si>
    <t>New Anglia EZ: Sproughton Road</t>
  </si>
  <si>
    <t>New Anglia EZ: Mill Lane</t>
  </si>
  <si>
    <t>Tees Valley EZ Growth Extension: Middlesbrough historic quarter</t>
  </si>
  <si>
    <t>Ceramics Valley: Chatterley Valley West</t>
  </si>
  <si>
    <t>North Bank of the Tyne extension</t>
  </si>
  <si>
    <t>Newcastle International Airport Business Park</t>
  </si>
  <si>
    <t>Humber EZ: Stallingborough Interchange</t>
  </si>
  <si>
    <t>Humber EZ: Great Coates Business Park</t>
  </si>
  <si>
    <t>Humber EZ: King's Road</t>
  </si>
  <si>
    <t>Humber EZ: Queen's Road</t>
  </si>
  <si>
    <t>Humber EZ: Abengoa</t>
  </si>
  <si>
    <t>Humber EZ: Huntsman Tioxide</t>
  </si>
  <si>
    <t>Humber EZ: Humberside Airport</t>
  </si>
  <si>
    <t>New Anglia EZ: Scottow Enterprise Park</t>
  </si>
  <si>
    <t>New Anglia EZ: Egmere Business Park</t>
  </si>
  <si>
    <t>Fairmoor</t>
  </si>
  <si>
    <t>Ashwood Business Park</t>
  </si>
  <si>
    <t>Ramparts Business Park</t>
  </si>
  <si>
    <t>South Yard</t>
  </si>
  <si>
    <t>Dorset Technology Park</t>
  </si>
  <si>
    <t>Longcross Park</t>
  </si>
  <si>
    <t>Huntspill Energy Park</t>
  </si>
  <si>
    <t>Cambridge Compass: Cambourne Business Park</t>
  </si>
  <si>
    <t>Cambridge Compass: Cambridge Research Park</t>
  </si>
  <si>
    <t>Cambridge Compass: Northstowe</t>
  </si>
  <si>
    <t>New Anglia EZ: Norwich Research Park</t>
  </si>
  <si>
    <t>Didcot Growth Accelerator: Didcot A (South Oxfordshire)</t>
  </si>
  <si>
    <t>Didcot Growth Accelerator: Southmead 1</t>
  </si>
  <si>
    <t>Didcot Growth Accelerator: Southmead 2</t>
  </si>
  <si>
    <t>Didcot Growth Accelerator: Southmead 3</t>
  </si>
  <si>
    <t>Development</t>
  </si>
  <si>
    <t>Tyne Dock Enterprise Park</t>
  </si>
  <si>
    <t>Crown Estates site</t>
  </si>
  <si>
    <t>Building Research Establishment site</t>
  </si>
  <si>
    <t>Rothamsted Research site</t>
  </si>
  <si>
    <t>Cambridge Compass: Haverhill Research Park</t>
  </si>
  <si>
    <t>New Anglia EZ: Suffolk Business Park</t>
  </si>
  <si>
    <t>Tees Valley EZ Growth Extension: Northshore</t>
  </si>
  <si>
    <t>Ceramics Valley: Chatterley Valley East</t>
  </si>
  <si>
    <t>Ceramics Valley: Tunstall Arrow</t>
  </si>
  <si>
    <t>Ceramics Valley: Highgate/Ravensdale</t>
  </si>
  <si>
    <t>Ceramics Valley: Etruria Valley</t>
  </si>
  <si>
    <t>Ceramics Valley: Cliffe Vale</t>
  </si>
  <si>
    <t>Port of Sunderland</t>
  </si>
  <si>
    <t>Didcot Growth Accelerator: Diageo Site</t>
  </si>
  <si>
    <t>Didcot Growth Accelerator: Didcot A (Vale of White Horse)</t>
  </si>
  <si>
    <t>Didcot Growth Accelerator: Didcot Park</t>
  </si>
  <si>
    <t>Didcot Growth Accelerator: Milton Interchange</t>
  </si>
  <si>
    <t>Oxfordshire Milton Park Extension- Site A</t>
  </si>
  <si>
    <t>Oxfordshire Milton Park Extension- Site B</t>
  </si>
  <si>
    <t>Oxfordshire Milton Park Extension- Site C</t>
  </si>
  <si>
    <t>Oxfordshire Milton Park Extension- Site D</t>
  </si>
  <si>
    <t>Oxfordshire Milton Park Extension- Site E</t>
  </si>
  <si>
    <t>Oxfordshire Milton Park Extension- Site F</t>
  </si>
  <si>
    <t>Langhthwaite Business Park extension</t>
  </si>
  <si>
    <t>South Kirby Business Park</t>
  </si>
  <si>
    <t>Cheshire Science Corridor EZ: Birchwood Sites</t>
  </si>
  <si>
    <t>Riverside Road</t>
  </si>
  <si>
    <t>Mobbs Way</t>
  </si>
  <si>
    <t>Wirral Waters</t>
  </si>
  <si>
    <t>Lancashire - Hillhouse Chemicals and Energy EZ</t>
  </si>
  <si>
    <t>York Central site</t>
  </si>
  <si>
    <t>Enter as +ve figure</t>
  </si>
  <si>
    <t>Enter as -ve figure</t>
  </si>
  <si>
    <t>formula</t>
  </si>
  <si>
    <t>Relief Given to Case A Hereditaments</t>
  </si>
  <si>
    <t>Column 9  for non Pilot Authorities</t>
  </si>
  <si>
    <t>Compensation Due</t>
  </si>
  <si>
    <t>E6354</t>
  </si>
  <si>
    <t>West of England CA</t>
  </si>
  <si>
    <t xml:space="preserve">Transitional Protection Payment  </t>
  </si>
  <si>
    <t>A</t>
  </si>
  <si>
    <t>B</t>
  </si>
  <si>
    <t>ii. RV between £12001 and £15000 receive the discount on a sliding scale</t>
  </si>
  <si>
    <t>34. Cost to authorities of providing relief</t>
  </si>
  <si>
    <t>2017-18 Baseline published</t>
  </si>
  <si>
    <t>Uprated Baseline for 2018-19</t>
  </si>
  <si>
    <t>Amended 2017-18 Baseline</t>
  </si>
  <si>
    <t>Development Area - Gateshead Quays and Baltic Business Centre</t>
  </si>
  <si>
    <t>Greater Manchester Airport City 2</t>
  </si>
  <si>
    <t>Multiplier Cap</t>
  </si>
  <si>
    <t>2018-19 Sum</t>
  </si>
  <si>
    <t xml:space="preserve"> 2018-19 Billing authority proportion</t>
  </si>
  <si>
    <t>2018-19 upper tier proportion</t>
  </si>
  <si>
    <t>2018-19 fire proportion</t>
  </si>
  <si>
    <t>IAMP</t>
  </si>
  <si>
    <t>Brent Cross LGZ</t>
  </si>
  <si>
    <t>Croydon LGZ</t>
  </si>
  <si>
    <t>DESIGNATED AREAS RELIEF</t>
  </si>
  <si>
    <t xml:space="preserve">1. Opening Balance (From Collection Fund Statement) </t>
  </si>
  <si>
    <t>SBRR Threshold factors</t>
  </si>
  <si>
    <t/>
  </si>
  <si>
    <t>2019-20</t>
  </si>
  <si>
    <t>Multiplier adjustment factor</t>
  </si>
  <si>
    <t>2020-21</t>
  </si>
  <si>
    <t>Folkestone &amp; Hythe</t>
  </si>
  <si>
    <t>2019-20 upper tier proportion</t>
  </si>
  <si>
    <t>2019-20 fire proportion</t>
  </si>
  <si>
    <t>2019-20 Sum</t>
  </si>
  <si>
    <t>Ecode</t>
  </si>
  <si>
    <t>FRA</t>
  </si>
  <si>
    <t>100% BRR</t>
  </si>
  <si>
    <t>DA</t>
  </si>
  <si>
    <t>16-17 BA share</t>
  </si>
  <si>
    <t>16-17 UT ecode</t>
  </si>
  <si>
    <t>16-17 UT</t>
  </si>
  <si>
    <t>16-17 FRA ecode</t>
  </si>
  <si>
    <t>16-17 FRA</t>
  </si>
  <si>
    <t>16-17 FRA share</t>
  </si>
  <si>
    <t>i. RV between £0 and £12000 that will receive the 100% discount</t>
  </si>
  <si>
    <t>E1204</t>
  </si>
  <si>
    <t>Dorset Council</t>
  </si>
  <si>
    <t>E1203</t>
  </si>
  <si>
    <t>East Suffolk</t>
  </si>
  <si>
    <t>E3538</t>
  </si>
  <si>
    <t>West Suffolk</t>
  </si>
  <si>
    <t>E3539</t>
  </si>
  <si>
    <t>Dorset UA</t>
  </si>
  <si>
    <t>Northamptonshire PCC-Fire</t>
  </si>
  <si>
    <t>E7028</t>
  </si>
  <si>
    <t>Does it have shale gas relief</t>
  </si>
  <si>
    <t>Shale gas - upper tier</t>
  </si>
  <si>
    <t>Shale gas - UT share</t>
  </si>
  <si>
    <t>Shale gas - FRA</t>
  </si>
  <si>
    <t>Shale gas - FRA share</t>
  </si>
  <si>
    <t>Bournemouth, Christchurch &amp; Poole</t>
  </si>
  <si>
    <t>Shale gas</t>
  </si>
  <si>
    <t>9. Total Disregarded Amounts</t>
  </si>
  <si>
    <t xml:space="preserve">Pre-populated </t>
  </si>
  <si>
    <r>
      <t xml:space="preserve">The </t>
    </r>
    <r>
      <rPr>
        <b/>
        <sz val="14"/>
        <rFont val="Arial"/>
        <family val="2"/>
      </rPr>
      <t>Total column</t>
    </r>
    <r>
      <rPr>
        <sz val="14"/>
        <rFont val="Arial"/>
        <family val="2"/>
      </rPr>
      <t xml:space="preserve"> is greened out - there is no need to enter data in any of these cells.</t>
    </r>
  </si>
  <si>
    <r>
      <t xml:space="preserve">In addition areas of the form are </t>
    </r>
    <r>
      <rPr>
        <b/>
        <sz val="14"/>
        <rFont val="Arial"/>
        <family val="2"/>
      </rPr>
      <t>greyed out</t>
    </r>
    <r>
      <rPr>
        <sz val="14"/>
        <rFont val="Arial"/>
        <family val="2"/>
      </rPr>
      <t xml:space="preserve"> - especially for those authorities that do not have designated areas.  </t>
    </r>
    <r>
      <rPr>
        <b/>
        <sz val="14"/>
        <rFont val="Arial"/>
        <family val="2"/>
      </rPr>
      <t>Please do not enter data</t>
    </r>
    <r>
      <rPr>
        <sz val="14"/>
        <rFont val="Arial"/>
        <family val="2"/>
      </rPr>
      <t xml:space="preserve"> in these areas as this will cause delay as we will have to ask you to complete a revised form.</t>
    </r>
  </si>
  <si>
    <t>Checks</t>
  </si>
  <si>
    <t>UT</t>
  </si>
  <si>
    <t>Greater Manchester Combined Authority</t>
  </si>
  <si>
    <t>Essex Police, Fire &amp; Crime Commissioner</t>
  </si>
  <si>
    <t>Staffordshire Police, Fire and Rescue and Crime Commissioner</t>
  </si>
  <si>
    <t>Bournemouth, Christchurch &amp; Poole UA</t>
  </si>
  <si>
    <t>Dorset CC</t>
  </si>
  <si>
    <t>Uprated Baseline for 2019-20</t>
  </si>
  <si>
    <t>2020-21 upper tier proportion</t>
  </si>
  <si>
    <t>2020-21 fire proportion</t>
  </si>
  <si>
    <t>2020-21 Sum</t>
  </si>
  <si>
    <t>Uprated Baseline for 2020-21</t>
  </si>
  <si>
    <t>Uprating factor</t>
  </si>
  <si>
    <t>UNLOCK</t>
  </si>
  <si>
    <t>RELIEF FUNDED THROUGH SECTION 31 GRANT</t>
  </si>
  <si>
    <t>Buckinghamshire UA</t>
  </si>
  <si>
    <t>E0402</t>
  </si>
  <si>
    <t>na</t>
  </si>
  <si>
    <t>FIXED</t>
  </si>
  <si>
    <t>8.  A copy of the form must also be sent to your NNDR contact at all your major precepting authorities.</t>
  </si>
  <si>
    <t>6. Changes to the provision for alteration of lists and appeals</t>
  </si>
  <si>
    <r>
      <t xml:space="preserve">These instructions highlight the special features of the form and should be </t>
    </r>
    <r>
      <rPr>
        <b/>
        <sz val="14"/>
        <rFont val="Arial"/>
        <family val="2"/>
      </rPr>
      <t>read in conjunction with the
Guidance Notes and Validation notes.</t>
    </r>
  </si>
  <si>
    <t>AssetID</t>
  </si>
  <si>
    <t>AssetValue</t>
  </si>
  <si>
    <t>AssetComments</t>
  </si>
  <si>
    <t>AssetComments2</t>
  </si>
  <si>
    <t>AssetComments3</t>
  </si>
  <si>
    <t>Form</t>
  </si>
  <si>
    <t>FormVers</t>
  </si>
  <si>
    <t>OrgID</t>
  </si>
  <si>
    <t>Period</t>
  </si>
  <si>
    <t>Contact_Name</t>
  </si>
  <si>
    <t>Contact_Tele</t>
  </si>
  <si>
    <t>Contact_Email</t>
  </si>
  <si>
    <t>tpptola</t>
  </si>
  <si>
    <t>tppfromla</t>
  </si>
  <si>
    <t>cityoffset</t>
  </si>
  <si>
    <t>nndrincome</t>
  </si>
  <si>
    <t>rvdate</t>
  </si>
  <si>
    <t>ezcasea</t>
  </si>
  <si>
    <t>ezcaseb</t>
  </si>
  <si>
    <t>openbal</t>
  </si>
  <si>
    <t>surpdef</t>
  </si>
  <si>
    <t>suppdate</t>
  </si>
  <si>
    <t>suppnotes</t>
  </si>
  <si>
    <t>da_name_da1</t>
  </si>
  <si>
    <t>da_name_da2</t>
  </si>
  <si>
    <t>da_name_da3</t>
  </si>
  <si>
    <t>da_name_da4</t>
  </si>
  <si>
    <t>da_name_da5</t>
  </si>
  <si>
    <t>da_name_da6</t>
  </si>
  <si>
    <t>da_name_da7</t>
  </si>
  <si>
    <t>da_name_da8</t>
  </si>
  <si>
    <t>da_name_da9</t>
  </si>
  <si>
    <t>da_name_da10</t>
  </si>
  <si>
    <t>da_name_da11</t>
  </si>
  <si>
    <t>da_name_da12</t>
  </si>
  <si>
    <t>da_name_da13</t>
  </si>
  <si>
    <t>da_name_da14</t>
  </si>
  <si>
    <t>da_name_da15</t>
  </si>
  <si>
    <t>da_name_da16</t>
  </si>
  <si>
    <t>da_name_da17</t>
  </si>
  <si>
    <t>da_name_da18</t>
  </si>
  <si>
    <t>da_name_da19</t>
  </si>
  <si>
    <t>da_name_da20</t>
  </si>
  <si>
    <t>da_name_da21</t>
  </si>
  <si>
    <t>da_name_da22</t>
  </si>
  <si>
    <t>da_name_da23</t>
  </si>
  <si>
    <t>da_name_da24</t>
  </si>
  <si>
    <t>da_name_da25</t>
  </si>
  <si>
    <t>da_name_da26</t>
  </si>
  <si>
    <t>da_name_da27</t>
  </si>
  <si>
    <t>da_name_da28</t>
  </si>
  <si>
    <t>da_name_da29</t>
  </si>
  <si>
    <t>da_name_da30</t>
  </si>
  <si>
    <t>da_name_da31</t>
  </si>
  <si>
    <t>da_name_da32</t>
  </si>
  <si>
    <t>da_name_da33</t>
  </si>
  <si>
    <t>da_name_da34</t>
  </si>
  <si>
    <t>da_name_da35</t>
  </si>
  <si>
    <t>da_name_da36</t>
  </si>
  <si>
    <t>da_name_da37</t>
  </si>
  <si>
    <t>da_name_da38</t>
  </si>
  <si>
    <t>da_name_da39</t>
  </si>
  <si>
    <t>da_name_da40</t>
  </si>
  <si>
    <t>da_name_da41</t>
  </si>
  <si>
    <t>Shale oil and gas sites scheme</t>
  </si>
  <si>
    <t>E6348</t>
  </si>
  <si>
    <t>E6162</t>
  </si>
  <si>
    <t>Dorset &amp; Wiltshire Fire &amp; Rescue Authority</t>
  </si>
  <si>
    <t>Other ratepayers (refer to guidance for further details)</t>
  </si>
  <si>
    <t>Check Parameters ovewritten</t>
  </si>
  <si>
    <t>Check Parameters overwritten</t>
  </si>
  <si>
    <t>2021-22</t>
  </si>
  <si>
    <t>Local newspaper relief</t>
  </si>
  <si>
    <t>North Northamptonshire</t>
  </si>
  <si>
    <t>West Northamptonshire</t>
  </si>
  <si>
    <t>2021-22 upper tier proportion</t>
  </si>
  <si>
    <t>2021-22 fire proportion</t>
  </si>
  <si>
    <t>2021-22 Sum</t>
  </si>
  <si>
    <t>Hampshire and Isle of Wight Fire Authority</t>
  </si>
  <si>
    <t>Mandatory Relief telecoms relief</t>
  </si>
  <si>
    <t>LA Name</t>
  </si>
  <si>
    <t>ACF</t>
  </si>
  <si>
    <t>Hereditaments</t>
  </si>
  <si>
    <t>RV</t>
  </si>
  <si>
    <t>Hereditaments Rounded</t>
  </si>
  <si>
    <t>RV * ACF</t>
  </si>
  <si>
    <t>HDits * ACF</t>
  </si>
  <si>
    <t>Sum</t>
  </si>
  <si>
    <t>Figure to apportion to RV in regs</t>
  </si>
  <si>
    <t>Figure to apportion to Hdits in regs</t>
  </si>
  <si>
    <t>RV Apportioned</t>
  </si>
  <si>
    <t>Hdits Apportioned</t>
  </si>
  <si>
    <t>Cost of Collection Allowance</t>
  </si>
  <si>
    <t>Previous Year</t>
  </si>
  <si>
    <t>Difference</t>
  </si>
  <si>
    <t>% Difference</t>
  </si>
  <si>
    <t>To put into Data tab</t>
  </si>
  <si>
    <t>9a. sums retained by billing authority</t>
  </si>
  <si>
    <t>9b. sums retained by major precepting authority</t>
  </si>
  <si>
    <t xml:space="preserve">13. Non-domestic rating income from rates retention scheme </t>
  </si>
  <si>
    <t>14.(less) deductions from central share</t>
  </si>
  <si>
    <t>16. add: cost of collection allowance</t>
  </si>
  <si>
    <t>17. add: amounts retained in respect of Designated Areas</t>
  </si>
  <si>
    <t xml:space="preserve">18. add: amounts retained in respect of renewable energy schemes </t>
  </si>
  <si>
    <t>19. add: amounts retained in respect of Shale oil and gas sites schemes</t>
  </si>
  <si>
    <t>20. add: qualifying relief in Designated Areas</t>
  </si>
  <si>
    <t>21. add: City of London Offset</t>
  </si>
  <si>
    <t>32. Cost to authorities of providing relief</t>
  </si>
  <si>
    <t>Uprated Baseline for 2021-22</t>
  </si>
  <si>
    <t>Please enter comments here</t>
  </si>
  <si>
    <t>RV Rounded</t>
  </si>
  <si>
    <t>Control for Case B hereditaments</t>
  </si>
  <si>
    <t>DESIGNATED AREAS IN 100% BRR AUTHORITIES</t>
  </si>
  <si>
    <t>From cost of collection calculation</t>
  </si>
  <si>
    <t>OTHER RATES RETENTION SCHEME CHARGES  (enter as -ve)</t>
  </si>
  <si>
    <t>OTHER RATES RETENTION SCHEME CREDITS (enter as +ve)</t>
  </si>
  <si>
    <t>E2801</t>
  </si>
  <si>
    <t>E2802</t>
  </si>
  <si>
    <t>31. Cost to authorities of providing relief</t>
  </si>
  <si>
    <t>OrgName</t>
  </si>
  <si>
    <t>netcollect_tot_1</t>
  </si>
  <si>
    <t>costcoll_form</t>
  </si>
  <si>
    <t>costcoll_legal</t>
  </si>
  <si>
    <t>costcoll_allow</t>
  </si>
  <si>
    <t>disreg_da_2</t>
  </si>
  <si>
    <t>disreg_renew_tot_1</t>
  </si>
  <si>
    <t>disreg_renew_ba</t>
  </si>
  <si>
    <t>disreg_renew_mpa</t>
  </si>
  <si>
    <t>disreg_shale_tot_1</t>
  </si>
  <si>
    <t>nndrsharepc_cg</t>
  </si>
  <si>
    <t>nndrsharepc_ba</t>
  </si>
  <si>
    <t>nndrsharepc_mpa</t>
  </si>
  <si>
    <t>nndrsharepc_fra</t>
  </si>
  <si>
    <t>nndrsharepc_tot</t>
  </si>
  <si>
    <t>nndrshare_cg</t>
  </si>
  <si>
    <t>nndrshare_ba</t>
  </si>
  <si>
    <t>nndrshare_mpa</t>
  </si>
  <si>
    <t>nndrshare_fra</t>
  </si>
  <si>
    <t>nndrshare_tot</t>
  </si>
  <si>
    <t>nndrcsdeduct_cg</t>
  </si>
  <si>
    <t>nndrcsdeduct_ba</t>
  </si>
  <si>
    <t>nndrcsdeduct_mpa</t>
  </si>
  <si>
    <t>nndrcsdeduct_fra</t>
  </si>
  <si>
    <t>nndrcsdeduct_tot_1</t>
  </si>
  <si>
    <t>nri_cg</t>
  </si>
  <si>
    <t>nri_ba</t>
  </si>
  <si>
    <t>nri_mpa</t>
  </si>
  <si>
    <t>nri_fra</t>
  </si>
  <si>
    <t>nri_tot</t>
  </si>
  <si>
    <t>costcoll_allow_ba</t>
  </si>
  <si>
    <t>costcoll_allow_tot</t>
  </si>
  <si>
    <t>disreg_da_ba</t>
  </si>
  <si>
    <t>disreg_da_3</t>
  </si>
  <si>
    <t>disreg_renew_ba_1</t>
  </si>
  <si>
    <t>disreg_renew_mpa_1</t>
  </si>
  <si>
    <t>disreg_renew_tot_2</t>
  </si>
  <si>
    <t>disreg_shale_ba</t>
  </si>
  <si>
    <t>disreg_shale_mpa</t>
  </si>
  <si>
    <t>disreg_shale_fra</t>
  </si>
  <si>
    <t>disreg_shale_tot_2</t>
  </si>
  <si>
    <t>ezrelief_nonpil_ba</t>
  </si>
  <si>
    <t>ezrelief_nonpil_mpa</t>
  </si>
  <si>
    <t>ezrelief_nonpil_fra</t>
  </si>
  <si>
    <t>ezrelief_nonpil_tot_1</t>
  </si>
  <si>
    <t>cityoffset_ba</t>
  </si>
  <si>
    <t>cityoffset_tot</t>
  </si>
  <si>
    <t>portbristol_ba</t>
  </si>
  <si>
    <t>portbristol_tot_1</t>
  </si>
  <si>
    <t>surpdef_cg</t>
  </si>
  <si>
    <t>surpdef_ba</t>
  </si>
  <si>
    <t>surpdef_mpa</t>
  </si>
  <si>
    <t>surpdef_fra</t>
  </si>
  <si>
    <t>surpdef_tot</t>
  </si>
  <si>
    <t>totdue_cg</t>
  </si>
  <si>
    <t>totdue_ba</t>
  </si>
  <si>
    <t>totdue_mpa</t>
  </si>
  <si>
    <t>totdue_fra</t>
  </si>
  <si>
    <t>totdue_tot</t>
  </si>
  <si>
    <t>s31_sbrrmcap_ba</t>
  </si>
  <si>
    <t>s31_sbrrmcap_mpa</t>
  </si>
  <si>
    <t>s31_sbrrmcap_fra</t>
  </si>
  <si>
    <t>s31_sbrrmcap_tot</t>
  </si>
  <si>
    <t>s31_sbrrdouble_ba</t>
  </si>
  <si>
    <t>s31_sbrrdouble_mpa</t>
  </si>
  <si>
    <t>s31_sbrrdouble_fra</t>
  </si>
  <si>
    <t>s31_sbrrdouble_tot</t>
  </si>
  <si>
    <t>s31_sbrrloss_ba</t>
  </si>
  <si>
    <t>s31_sbrrloss_mpa</t>
  </si>
  <si>
    <t>s31_sbrrloss_fra</t>
  </si>
  <si>
    <t>s31_sbrrloss_tot</t>
  </si>
  <si>
    <t>s31_sbrrfirst_ba</t>
  </si>
  <si>
    <t>s31_sbrrfirst_mpa</t>
  </si>
  <si>
    <t>s31_sbrrfirst_fra</t>
  </si>
  <si>
    <t>s31_sbrrfirst_tot</t>
  </si>
  <si>
    <t>s31_rural_ba</t>
  </si>
  <si>
    <t>s31_rural_mpa</t>
  </si>
  <si>
    <t>s31_rural_fra</t>
  </si>
  <si>
    <t>s31_rural_tot</t>
  </si>
  <si>
    <t>s31_smlsupp_ba</t>
  </si>
  <si>
    <t>s31_smlsupp_mpa</t>
  </si>
  <si>
    <t>s31_smlsupp_fra</t>
  </si>
  <si>
    <t>s31_smlsupp_tot</t>
  </si>
  <si>
    <t>s31_ezr100pil_ba</t>
  </si>
  <si>
    <t>s31_ezr100pil_mpa</t>
  </si>
  <si>
    <t>s31_ezr100pil_fra</t>
  </si>
  <si>
    <t>s31_ezr100pil_tot</t>
  </si>
  <si>
    <t>s31_localnews_ba</t>
  </si>
  <si>
    <t>s31_localnews_mpa</t>
  </si>
  <si>
    <t>s31_localnews_fra</t>
  </si>
  <si>
    <t>s31_localnews_tot</t>
  </si>
  <si>
    <t>s31_total_ba</t>
  </si>
  <si>
    <t>s31_total_mpa</t>
  </si>
  <si>
    <t>s31_total_fra</t>
  </si>
  <si>
    <t>s31_total_tot</t>
  </si>
  <si>
    <t>totrv_baa</t>
  </si>
  <si>
    <t>totrv_da</t>
  </si>
  <si>
    <t>totrv_tot</t>
  </si>
  <si>
    <t>grsrate_baa</t>
  </si>
  <si>
    <t>grsrate_da</t>
  </si>
  <si>
    <t>grsrate_estgrow_baa</t>
  </si>
  <si>
    <t>grsrate_estgrow_da</t>
  </si>
  <si>
    <t>grsrate_fcast_baa</t>
  </si>
  <si>
    <t>grsrate_fcast_da</t>
  </si>
  <si>
    <t>grsrate_fcast_tot</t>
  </si>
  <si>
    <t>transarr_fgone_baa</t>
  </si>
  <si>
    <t>transarr_fgone_da</t>
  </si>
  <si>
    <t>transarr_fgone_tot</t>
  </si>
  <si>
    <t>transarr_estgrow_baa</t>
  </si>
  <si>
    <t>transarr_estgrow_da</t>
  </si>
  <si>
    <t>tpp_tot_baa</t>
  </si>
  <si>
    <t>tpp_tot_da</t>
  </si>
  <si>
    <t>tpp_tot_tot</t>
  </si>
  <si>
    <t>sbrr_fcastpy_baa</t>
  </si>
  <si>
    <t>sbrr_fcastpy_da</t>
  </si>
  <si>
    <t>sbrr_fcastpy_tot</t>
  </si>
  <si>
    <t>sbrrsecprop_baa</t>
  </si>
  <si>
    <t>sbrrsecprop_da</t>
  </si>
  <si>
    <t>sbrrsecprop_tot</t>
  </si>
  <si>
    <t>sbrr_addyield_tot</t>
  </si>
  <si>
    <t>sbrr_netcost_tot</t>
  </si>
  <si>
    <t>mr_charity_baa</t>
  </si>
  <si>
    <t>mr_charity_da</t>
  </si>
  <si>
    <t>mr_charity_tot</t>
  </si>
  <si>
    <t>mr_casc_baa</t>
  </si>
  <si>
    <t>mr_casc_da</t>
  </si>
  <si>
    <t>mr_casc_tot</t>
  </si>
  <si>
    <t>mr_rural_baa</t>
  </si>
  <si>
    <t>mr_rural_da</t>
  </si>
  <si>
    <t>mr_rural_tot</t>
  </si>
  <si>
    <t>mr_tot_baa</t>
  </si>
  <si>
    <t>mr_tot_da</t>
  </si>
  <si>
    <t>mr_estgrow_baa</t>
  </si>
  <si>
    <t>mr_estgrow_da</t>
  </si>
  <si>
    <t>mr_fcast_baa</t>
  </si>
  <si>
    <t>mr_fcast_da</t>
  </si>
  <si>
    <t>mr_fcast_tot</t>
  </si>
  <si>
    <t>partocc_baa</t>
  </si>
  <si>
    <t>partocc_da</t>
  </si>
  <si>
    <t>partocc_tot</t>
  </si>
  <si>
    <t>empty_baa</t>
  </si>
  <si>
    <t>empty_da</t>
  </si>
  <si>
    <t>empty_tot</t>
  </si>
  <si>
    <t>emptytot_baa</t>
  </si>
  <si>
    <t>emptytot_da</t>
  </si>
  <si>
    <t>emptytot_estgrow_baa</t>
  </si>
  <si>
    <t>emptytot_estgrow_da</t>
  </si>
  <si>
    <t>emptytot_fcast_baa</t>
  </si>
  <si>
    <t>emptytot_fcast_da</t>
  </si>
  <si>
    <t>emptytot_fcast_tot</t>
  </si>
  <si>
    <t>dr_charity_baa</t>
  </si>
  <si>
    <t>dr_charity_da</t>
  </si>
  <si>
    <t>dr_charity_tot</t>
  </si>
  <si>
    <t>dr_nonprof_baa</t>
  </si>
  <si>
    <t>dr_nonprof_da</t>
  </si>
  <si>
    <t>dr_nonprof_tot</t>
  </si>
  <si>
    <t>dr_casc_baa</t>
  </si>
  <si>
    <t>dr_casc_da</t>
  </si>
  <si>
    <t>dr_casc_tot</t>
  </si>
  <si>
    <t>dr_rshop_baa</t>
  </si>
  <si>
    <t>dr_rshop_da</t>
  </si>
  <si>
    <t>dr_rshop_tot</t>
  </si>
  <si>
    <t>dr_smlrural_baa</t>
  </si>
  <si>
    <t>dr_smlrural_da</t>
  </si>
  <si>
    <t>dr_smlrural_tot</t>
  </si>
  <si>
    <t>dr_other_baa</t>
  </si>
  <si>
    <t>dr_other_da</t>
  </si>
  <si>
    <t>dr_other_tot</t>
  </si>
  <si>
    <t>dr_tot_baa</t>
  </si>
  <si>
    <t>dr_tot_da</t>
  </si>
  <si>
    <t>dr_estgrow_baa</t>
  </si>
  <si>
    <t>dr_estgrow_da</t>
  </si>
  <si>
    <t>dr_fcast_baa</t>
  </si>
  <si>
    <t>dr_fcast_da</t>
  </si>
  <si>
    <t>dr_fcast_tot</t>
  </si>
  <si>
    <t>ruralplus_baa</t>
  </si>
  <si>
    <t>ruralplus_da</t>
  </si>
  <si>
    <t>ruralplus_tot</t>
  </si>
  <si>
    <t>smlsup_baa</t>
  </si>
  <si>
    <t>smlsup_da</t>
  </si>
  <si>
    <t>smlsup_tot</t>
  </si>
  <si>
    <t>localnews_baa</t>
  </si>
  <si>
    <t>localnews_da</t>
  </si>
  <si>
    <t>localnews_tot</t>
  </si>
  <si>
    <t>drs31_tot_baa</t>
  </si>
  <si>
    <t>drs31_tot_da</t>
  </si>
  <si>
    <t>drs31_estgrow_baa</t>
  </si>
  <si>
    <t>drs31_estgrow_da</t>
  </si>
  <si>
    <t>drs31_fcast_baa</t>
  </si>
  <si>
    <t>drs31_fcast_da</t>
  </si>
  <si>
    <t>drs31_fcast_tot</t>
  </si>
  <si>
    <t>netrates_baa</t>
  </si>
  <si>
    <t>netrates_da</t>
  </si>
  <si>
    <t>netrates_tot</t>
  </si>
  <si>
    <t>netrates_baa_1</t>
  </si>
  <si>
    <t>netrates_da_1</t>
  </si>
  <si>
    <t>netrates_tot_1</t>
  </si>
  <si>
    <t>loss_baddebt_baa</t>
  </si>
  <si>
    <t>loss_baddebt_da_1</t>
  </si>
  <si>
    <t>loss_baddebt_tot</t>
  </si>
  <si>
    <t>loss_repay_baa</t>
  </si>
  <si>
    <t>loss_repay_da_1</t>
  </si>
  <si>
    <t>loss_repay_tot</t>
  </si>
  <si>
    <t>netcollect_baa</t>
  </si>
  <si>
    <t>netcollect_da_1</t>
  </si>
  <si>
    <t>netcollect_tot</t>
  </si>
  <si>
    <t>disreg_renew_baa</t>
  </si>
  <si>
    <t>disreg_renew_da_1</t>
  </si>
  <si>
    <t>disreg_renew_tot</t>
  </si>
  <si>
    <t>disreg_shale_baa</t>
  </si>
  <si>
    <t>disreg_shale_da_1</t>
  </si>
  <si>
    <t>disreg_shale_tot</t>
  </si>
  <si>
    <t>tpp_tot_da_1</t>
  </si>
  <si>
    <t>disreg_base_da_1</t>
  </si>
  <si>
    <t>disreg_da_1</t>
  </si>
  <si>
    <t>disreg_tot</t>
  </si>
  <si>
    <t>ezrelief_pil_baa</t>
  </si>
  <si>
    <t>ezrelief_pil_da</t>
  </si>
  <si>
    <t>ezrelief_pil_tot</t>
  </si>
  <si>
    <t>ezrelief_nonpil_baa</t>
  </si>
  <si>
    <t>ezrelief_nonpil_da</t>
  </si>
  <si>
    <t>ezrelief_nonpil_tot</t>
  </si>
  <si>
    <t>portbristol_baa</t>
  </si>
  <si>
    <t>portbristol_tot</t>
  </si>
  <si>
    <t>nndrcsdeduct_baa</t>
  </si>
  <si>
    <t>nndrcsdeduct_da</t>
  </si>
  <si>
    <t>nndrcsdeduct_tot</t>
  </si>
  <si>
    <t>credit_br</t>
  </si>
  <si>
    <t>credit_writeoff</t>
  </si>
  <si>
    <t>credit_noncoll</t>
  </si>
  <si>
    <t>credit_appeal</t>
  </si>
  <si>
    <t>credit_appealchng</t>
  </si>
  <si>
    <t>credit_tot</t>
  </si>
  <si>
    <t>credit_tpprecv</t>
  </si>
  <si>
    <t>credit_reconcil</t>
  </si>
  <si>
    <t>credit_pydeficit</t>
  </si>
  <si>
    <t>credit_othertot</t>
  </si>
  <si>
    <t>charge_tpp</t>
  </si>
  <si>
    <t>charge_cshare</t>
  </si>
  <si>
    <t>charge_mpainc</t>
  </si>
  <si>
    <t>charge_genfund</t>
  </si>
  <si>
    <t>charge_disreg</t>
  </si>
  <si>
    <t>charge_reconcil</t>
  </si>
  <si>
    <t>charge_pysurp</t>
  </si>
  <si>
    <t>charge_tot</t>
  </si>
  <si>
    <t>py_surplus_check</t>
  </si>
  <si>
    <t>py_deficit_check</t>
  </si>
  <si>
    <t>collectionfund_check</t>
  </si>
  <si>
    <t>part4_check_comments</t>
  </si>
  <si>
    <t>hdit_mr_charity</t>
  </si>
  <si>
    <t>hdit_mr_casc</t>
  </si>
  <si>
    <t>hdit_mr_rshops</t>
  </si>
  <si>
    <t>hdit_mr_telecoms</t>
  </si>
  <si>
    <t>hdit_mr_partocc</t>
  </si>
  <si>
    <t>hdit_mr_empty</t>
  </si>
  <si>
    <t>hdit_mr_emptyind</t>
  </si>
  <si>
    <t>hdit_mr_emptylisted</t>
  </si>
  <si>
    <t>hdit_mr_emptycasc</t>
  </si>
  <si>
    <t>hdit_mr_emptycharity</t>
  </si>
  <si>
    <t>hdit_mr_emptyoth</t>
  </si>
  <si>
    <t>hdit_mr_emptyabove</t>
  </si>
  <si>
    <t>hdit_mr_retaildisc</t>
  </si>
  <si>
    <t>hdit_dr_charity</t>
  </si>
  <si>
    <t>hdit_dr_nonprof</t>
  </si>
  <si>
    <t>hdit_dr_casc</t>
  </si>
  <si>
    <t>hdit_dr_rshops</t>
  </si>
  <si>
    <t>hdit_dr_othrural</t>
  </si>
  <si>
    <t>hdit_dr_ez</t>
  </si>
  <si>
    <t>hdit_dr_s47</t>
  </si>
  <si>
    <t>hdit_s31_ruralplus</t>
  </si>
  <si>
    <t>hdit_s31_localnews</t>
  </si>
  <si>
    <t>hdit_s31_smlsup</t>
  </si>
  <si>
    <t>hdit_sbrr_supp</t>
  </si>
  <si>
    <t>hdit_sbrr_disc</t>
  </si>
  <si>
    <t>hdit_sbrr_discmax</t>
  </si>
  <si>
    <t>hdit_sbrr_discslide</t>
  </si>
  <si>
    <t>hdit_sbrr_multp</t>
  </si>
  <si>
    <t>value_empty</t>
  </si>
  <si>
    <t>value_emptyind</t>
  </si>
  <si>
    <t>value_emptylisted</t>
  </si>
  <si>
    <t>value_emptycasc</t>
  </si>
  <si>
    <t>value_emptycharity</t>
  </si>
  <si>
    <t>value_emptyoth</t>
  </si>
  <si>
    <t>value_emptyabove</t>
  </si>
  <si>
    <t>value_sbrr</t>
  </si>
  <si>
    <t>value_sbrr_discmax</t>
  </si>
  <si>
    <t>value_sbrr_discslide</t>
  </si>
  <si>
    <t>netrates_da_tot</t>
  </si>
  <si>
    <t>netrates_da1</t>
  </si>
  <si>
    <t>netrates_da2</t>
  </si>
  <si>
    <t>netrates_da3</t>
  </si>
  <si>
    <t>netrates_da4</t>
  </si>
  <si>
    <t>netrates_da5</t>
  </si>
  <si>
    <t>netrates_da6</t>
  </si>
  <si>
    <t>netrates_da7</t>
  </si>
  <si>
    <t>netrates_da8</t>
  </si>
  <si>
    <t>netrates_da9</t>
  </si>
  <si>
    <t>netrates_da10</t>
  </si>
  <si>
    <t>netrates_da11</t>
  </si>
  <si>
    <t>netrates_da12</t>
  </si>
  <si>
    <t>netrates_da13</t>
  </si>
  <si>
    <t>netrates_da14</t>
  </si>
  <si>
    <t>netrates_da15</t>
  </si>
  <si>
    <t>netrates_da16</t>
  </si>
  <si>
    <t>netrates_da17</t>
  </si>
  <si>
    <t>netrates_da18</t>
  </si>
  <si>
    <t>netrates_da19</t>
  </si>
  <si>
    <t>netrates_da20</t>
  </si>
  <si>
    <t>netrates_da21</t>
  </si>
  <si>
    <t>netrates_da22</t>
  </si>
  <si>
    <t>netrates_da23</t>
  </si>
  <si>
    <t>netrates_da24</t>
  </si>
  <si>
    <t>netrates_da25</t>
  </si>
  <si>
    <t>netrates_da26</t>
  </si>
  <si>
    <t>netrates_da27</t>
  </si>
  <si>
    <t>netrates_da28</t>
  </si>
  <si>
    <t>netrates_da29</t>
  </si>
  <si>
    <t>netrates_da30</t>
  </si>
  <si>
    <t>netrates_da31</t>
  </si>
  <si>
    <t>netrates_da32</t>
  </si>
  <si>
    <t>netrates_da33</t>
  </si>
  <si>
    <t>netrates_da34</t>
  </si>
  <si>
    <t>netrates_da35</t>
  </si>
  <si>
    <t>netrates_da36</t>
  </si>
  <si>
    <t>netrates_da37</t>
  </si>
  <si>
    <t>netrates_da38</t>
  </si>
  <si>
    <t>netrates_da39</t>
  </si>
  <si>
    <t>netrates_da40</t>
  </si>
  <si>
    <t>netrates_da41</t>
  </si>
  <si>
    <t>loss_baddebt_da</t>
  </si>
  <si>
    <t>loss_baddebt_da1</t>
  </si>
  <si>
    <t>loss_baddebt_da2</t>
  </si>
  <si>
    <t>loss_baddebt_da3</t>
  </si>
  <si>
    <t>loss_baddebt_da4</t>
  </si>
  <si>
    <t>loss_baddebt_da5</t>
  </si>
  <si>
    <t>loss_baddebt_da6</t>
  </si>
  <si>
    <t>loss_baddebt_da7</t>
  </si>
  <si>
    <t>loss_baddebt_da8</t>
  </si>
  <si>
    <t>loss_baddebt_da9</t>
  </si>
  <si>
    <t>loss_baddebt_da10</t>
  </si>
  <si>
    <t>loss_baddebt_da11</t>
  </si>
  <si>
    <t>loss_baddebt_da12</t>
  </si>
  <si>
    <t>loss_baddebt_da13</t>
  </si>
  <si>
    <t>loss_baddebt_da14</t>
  </si>
  <si>
    <t>loss_baddebt_da15</t>
  </si>
  <si>
    <t>loss_baddebt_da16</t>
  </si>
  <si>
    <t>loss_baddebt_da17</t>
  </si>
  <si>
    <t>loss_baddebt_da18</t>
  </si>
  <si>
    <t>loss_baddebt_da19</t>
  </si>
  <si>
    <t>loss_baddebt_da20</t>
  </si>
  <si>
    <t>loss_baddebt_da21</t>
  </si>
  <si>
    <t>loss_baddebt_da22</t>
  </si>
  <si>
    <t>loss_baddebt_da23</t>
  </si>
  <si>
    <t>loss_baddebt_da24</t>
  </si>
  <si>
    <t>loss_baddebt_da25</t>
  </si>
  <si>
    <t>loss_baddebt_da26</t>
  </si>
  <si>
    <t>loss_baddebt_da27</t>
  </si>
  <si>
    <t>loss_baddebt_da28</t>
  </si>
  <si>
    <t>loss_baddebt_da29</t>
  </si>
  <si>
    <t>loss_baddebt_da30</t>
  </si>
  <si>
    <t>loss_baddebt_da31</t>
  </si>
  <si>
    <t>loss_baddebt_da32</t>
  </si>
  <si>
    <t>loss_baddebt_da33</t>
  </si>
  <si>
    <t>loss_baddebt_da34</t>
  </si>
  <si>
    <t>loss_baddebt_da35</t>
  </si>
  <si>
    <t>loss_baddebt_da36</t>
  </si>
  <si>
    <t>loss_baddebt_da37</t>
  </si>
  <si>
    <t>loss_baddebt_da38</t>
  </si>
  <si>
    <t>loss_baddebt_da39</t>
  </si>
  <si>
    <t>loss_baddebt_da40</t>
  </si>
  <si>
    <t>loss_baddebt_da41</t>
  </si>
  <si>
    <t>loss_repay_da</t>
  </si>
  <si>
    <t>loss_repay_da1</t>
  </si>
  <si>
    <t>loss_repay_da2</t>
  </si>
  <si>
    <t>loss_repay_da3</t>
  </si>
  <si>
    <t>loss_repay_da4</t>
  </si>
  <si>
    <t>loss_repay_da5</t>
  </si>
  <si>
    <t>loss_repay_da6</t>
  </si>
  <si>
    <t>loss_repay_da7</t>
  </si>
  <si>
    <t>loss_repay_da8</t>
  </si>
  <si>
    <t>loss_repay_da9</t>
  </si>
  <si>
    <t>loss_repay_da10</t>
  </si>
  <si>
    <t>loss_repay_da11</t>
  </si>
  <si>
    <t>loss_repay_da12</t>
  </si>
  <si>
    <t>loss_repay_da13</t>
  </si>
  <si>
    <t>loss_repay_da14</t>
  </si>
  <si>
    <t>loss_repay_da15</t>
  </si>
  <si>
    <t>loss_repay_da16</t>
  </si>
  <si>
    <t>loss_repay_da17</t>
  </si>
  <si>
    <t>loss_repay_da18</t>
  </si>
  <si>
    <t>loss_repay_da19</t>
  </si>
  <si>
    <t>loss_repay_da20</t>
  </si>
  <si>
    <t>loss_repay_da21</t>
  </si>
  <si>
    <t>loss_repay_da22</t>
  </si>
  <si>
    <t>loss_repay_da23</t>
  </si>
  <si>
    <t>loss_repay_da24</t>
  </si>
  <si>
    <t>loss_repay_da25</t>
  </si>
  <si>
    <t>loss_repay_da26</t>
  </si>
  <si>
    <t>loss_repay_da27</t>
  </si>
  <si>
    <t>loss_repay_da28</t>
  </si>
  <si>
    <t>loss_repay_da29</t>
  </si>
  <si>
    <t>loss_repay_da30</t>
  </si>
  <si>
    <t>loss_repay_da31</t>
  </si>
  <si>
    <t>loss_repay_da32</t>
  </si>
  <si>
    <t>loss_repay_da33</t>
  </si>
  <si>
    <t>loss_repay_da34</t>
  </si>
  <si>
    <t>loss_repay_da35</t>
  </si>
  <si>
    <t>loss_repay_da36</t>
  </si>
  <si>
    <t>loss_repay_da37</t>
  </si>
  <si>
    <t>loss_repay_da38</t>
  </si>
  <si>
    <t>loss_repay_da39</t>
  </si>
  <si>
    <t>loss_repay_da40</t>
  </si>
  <si>
    <t>loss_repay_da41</t>
  </si>
  <si>
    <t>netcollect_da</t>
  </si>
  <si>
    <t>netcollect_da1</t>
  </si>
  <si>
    <t>netcollect_da2</t>
  </si>
  <si>
    <t>netcollect_da3</t>
  </si>
  <si>
    <t>netcollect_da4</t>
  </si>
  <si>
    <t>netcollect_da5</t>
  </si>
  <si>
    <t>netcollect_da6</t>
  </si>
  <si>
    <t>netcollect_da7</t>
  </si>
  <si>
    <t>netcollect_da8</t>
  </si>
  <si>
    <t>netcollect_da9</t>
  </si>
  <si>
    <t>netcollect_da10</t>
  </si>
  <si>
    <t>netcollect_da11</t>
  </si>
  <si>
    <t>netcollect_da12</t>
  </si>
  <si>
    <t>netcollect_da13</t>
  </si>
  <si>
    <t>netcollect_da14</t>
  </si>
  <si>
    <t>netcollect_da15</t>
  </si>
  <si>
    <t>netcollect_da16</t>
  </si>
  <si>
    <t>netcollect_da17</t>
  </si>
  <si>
    <t>netcollect_da18</t>
  </si>
  <si>
    <t>netcollect_da19</t>
  </si>
  <si>
    <t>netcollect_da20</t>
  </si>
  <si>
    <t>netcollect_da21</t>
  </si>
  <si>
    <t>netcollect_da22</t>
  </si>
  <si>
    <t>netcollect_da23</t>
  </si>
  <si>
    <t>netcollect_da24</t>
  </si>
  <si>
    <t>netcollect_da25</t>
  </si>
  <si>
    <t>netcollect_da26</t>
  </si>
  <si>
    <t>netcollect_da27</t>
  </si>
  <si>
    <t>netcollect_da28</t>
  </si>
  <si>
    <t>netcollect_da29</t>
  </si>
  <si>
    <t>netcollect_da30</t>
  </si>
  <si>
    <t>netcollect_da31</t>
  </si>
  <si>
    <t>netcollect_da32</t>
  </si>
  <si>
    <t>netcollect_da33</t>
  </si>
  <si>
    <t>netcollect_da34</t>
  </si>
  <si>
    <t>netcollect_da35</t>
  </si>
  <si>
    <t>netcollect_da36</t>
  </si>
  <si>
    <t>netcollect_da37</t>
  </si>
  <si>
    <t>netcollect_da38</t>
  </si>
  <si>
    <t>netcollect_da39</t>
  </si>
  <si>
    <t>netcollect_da40</t>
  </si>
  <si>
    <t>netcollect_da41</t>
  </si>
  <si>
    <t>disreg_renew_da</t>
  </si>
  <si>
    <t>disreg_renew_da1</t>
  </si>
  <si>
    <t>disreg_renew_da2</t>
  </si>
  <si>
    <t>disreg_renew_da3</t>
  </si>
  <si>
    <t>disreg_renew_da4</t>
  </si>
  <si>
    <t>disreg_renew_da5</t>
  </si>
  <si>
    <t>disreg_renew_da6</t>
  </si>
  <si>
    <t>disreg_renew_da7</t>
  </si>
  <si>
    <t>disreg_renew_da8</t>
  </si>
  <si>
    <t>disreg_renew_da9</t>
  </si>
  <si>
    <t>disreg_renew_da10</t>
  </si>
  <si>
    <t>disreg_renew_da11</t>
  </si>
  <si>
    <t>disreg_renew_da12</t>
  </si>
  <si>
    <t>disreg_renew_da13</t>
  </si>
  <si>
    <t>disreg_renew_da14</t>
  </si>
  <si>
    <t>disreg_renew_da15</t>
  </si>
  <si>
    <t>disreg_renew_da16</t>
  </si>
  <si>
    <t>disreg_renew_da17</t>
  </si>
  <si>
    <t>disreg_renew_da18</t>
  </si>
  <si>
    <t>disreg_renew_da19</t>
  </si>
  <si>
    <t>disreg_renew_da20</t>
  </si>
  <si>
    <t>disreg_renew_da21</t>
  </si>
  <si>
    <t>disreg_renew_da22</t>
  </si>
  <si>
    <t>disreg_renew_da23</t>
  </si>
  <si>
    <t>disreg_renew_da24</t>
  </si>
  <si>
    <t>disreg_renew_da25</t>
  </si>
  <si>
    <t>disreg_renew_da26</t>
  </si>
  <si>
    <t>disreg_renew_da27</t>
  </si>
  <si>
    <t>disreg_renew_da28</t>
  </si>
  <si>
    <t>disreg_renew_da29</t>
  </si>
  <si>
    <t>disreg_renew_da30</t>
  </si>
  <si>
    <t>disreg_renew_da31</t>
  </si>
  <si>
    <t>disreg_renew_da32</t>
  </si>
  <si>
    <t>disreg_renew_da33</t>
  </si>
  <si>
    <t>disreg_renew_da34</t>
  </si>
  <si>
    <t>disreg_renew_da35</t>
  </si>
  <si>
    <t>disreg_renew_da36</t>
  </si>
  <si>
    <t>disreg_renew_da37</t>
  </si>
  <si>
    <t>disreg_renew_da38</t>
  </si>
  <si>
    <t>disreg_renew_da39</t>
  </si>
  <si>
    <t>disreg_renew_da40</t>
  </si>
  <si>
    <t>disreg_renew_da41</t>
  </si>
  <si>
    <t>disreg_shale_da</t>
  </si>
  <si>
    <t>disreg_shale_da1</t>
  </si>
  <si>
    <t>disreg_shale_da2</t>
  </si>
  <si>
    <t>disreg_shale_da3</t>
  </si>
  <si>
    <t>disreg_shale_da4</t>
  </si>
  <si>
    <t>disreg_shale_da5</t>
  </si>
  <si>
    <t>disreg_shale_da6</t>
  </si>
  <si>
    <t>disreg_shale_da7</t>
  </si>
  <si>
    <t>disreg_shale_da8</t>
  </si>
  <si>
    <t>disreg_shale_da9</t>
  </si>
  <si>
    <t>disreg_shale_da10</t>
  </si>
  <si>
    <t>disreg_shale_da11</t>
  </si>
  <si>
    <t>disreg_shale_da12</t>
  </si>
  <si>
    <t>disreg_shale_da13</t>
  </si>
  <si>
    <t>disreg_shale_da14</t>
  </si>
  <si>
    <t>disreg_shale_da15</t>
  </si>
  <si>
    <t>disreg_shale_da16</t>
  </si>
  <si>
    <t>disreg_shale_da17</t>
  </si>
  <si>
    <t>disreg_shale_da18</t>
  </si>
  <si>
    <t>disreg_shale_da19</t>
  </si>
  <si>
    <t>disreg_shale_da20</t>
  </si>
  <si>
    <t>disreg_shale_da21</t>
  </si>
  <si>
    <t>disreg_shale_da22</t>
  </si>
  <si>
    <t>disreg_shale_da23</t>
  </si>
  <si>
    <t>disreg_shale_da24</t>
  </si>
  <si>
    <t>disreg_shale_da25</t>
  </si>
  <si>
    <t>disreg_shale_da26</t>
  </si>
  <si>
    <t>disreg_shale_da27</t>
  </si>
  <si>
    <t>disreg_shale_da28</t>
  </si>
  <si>
    <t>disreg_shale_da29</t>
  </si>
  <si>
    <t>disreg_shale_da30</t>
  </si>
  <si>
    <t>disreg_shale_da31</t>
  </si>
  <si>
    <t>disreg_shale_da32</t>
  </si>
  <si>
    <t>disreg_shale_da33</t>
  </si>
  <si>
    <t>disreg_shale_da34</t>
  </si>
  <si>
    <t>disreg_shale_da35</t>
  </si>
  <si>
    <t>disreg_shale_da36</t>
  </si>
  <si>
    <t>disreg_shale_da37</t>
  </si>
  <si>
    <t>disreg_shale_da38</t>
  </si>
  <si>
    <t>disreg_shale_da39</t>
  </si>
  <si>
    <t>disreg_shale_da40</t>
  </si>
  <si>
    <t>disreg_shale_da41</t>
  </si>
  <si>
    <t>tpp_tot_da_2</t>
  </si>
  <si>
    <t>tpp_tot_da1</t>
  </si>
  <si>
    <t>tpp_tot_da2</t>
  </si>
  <si>
    <t>tpp_tot_da3</t>
  </si>
  <si>
    <t>tpp_tot_da4</t>
  </si>
  <si>
    <t>tpp_tot_da5</t>
  </si>
  <si>
    <t>tpp_tot_da6</t>
  </si>
  <si>
    <t>tpp_tot_da7</t>
  </si>
  <si>
    <t>tpp_tot_da8</t>
  </si>
  <si>
    <t>tpp_tot_da9</t>
  </si>
  <si>
    <t>tpp_tot_da10</t>
  </si>
  <si>
    <t>tpp_tot_da11</t>
  </si>
  <si>
    <t>tpp_tot_da12</t>
  </si>
  <si>
    <t>tpp_tot_da13</t>
  </si>
  <si>
    <t>tpp_tot_da14</t>
  </si>
  <si>
    <t>tpp_tot_da15</t>
  </si>
  <si>
    <t>tpp_tot_da16</t>
  </si>
  <si>
    <t>tpp_tot_da17</t>
  </si>
  <si>
    <t>tpp_tot_da18</t>
  </si>
  <si>
    <t>tpp_tot_da19</t>
  </si>
  <si>
    <t>tpp_tot_da20</t>
  </si>
  <si>
    <t>tpp_tot_da21</t>
  </si>
  <si>
    <t>tpp_tot_da22</t>
  </si>
  <si>
    <t>tpp_tot_da23</t>
  </si>
  <si>
    <t>tpp_tot_da24</t>
  </si>
  <si>
    <t>tpp_tot_da25</t>
  </si>
  <si>
    <t>tpp_tot_da26</t>
  </si>
  <si>
    <t>tpp_tot_da27</t>
  </si>
  <si>
    <t>tpp_tot_da28</t>
  </si>
  <si>
    <t>tpp_tot_da29</t>
  </si>
  <si>
    <t>tpp_tot_da30</t>
  </si>
  <si>
    <t>tpp_tot_da31</t>
  </si>
  <si>
    <t>tpp_tot_da32</t>
  </si>
  <si>
    <t>tpp_tot_da33</t>
  </si>
  <si>
    <t>tpp_tot_da34</t>
  </si>
  <si>
    <t>tpp_tot_da35</t>
  </si>
  <si>
    <t>tpp_tot_da36</t>
  </si>
  <si>
    <t>tpp_tot_da37</t>
  </si>
  <si>
    <t>tpp_tot_da38</t>
  </si>
  <si>
    <t>tpp_tot_da39</t>
  </si>
  <si>
    <t>tpp_tot_da40</t>
  </si>
  <si>
    <t>tpp_tot_da41</t>
  </si>
  <si>
    <t>disreg_base_da</t>
  </si>
  <si>
    <t>disreg_base_da1</t>
  </si>
  <si>
    <t>disreg_base_da2</t>
  </si>
  <si>
    <t>disreg_base_da3</t>
  </si>
  <si>
    <t>disreg_base_da4</t>
  </si>
  <si>
    <t>disreg_base_da5</t>
  </si>
  <si>
    <t>disreg_base_da6</t>
  </si>
  <si>
    <t>disreg_base_da7</t>
  </si>
  <si>
    <t>disreg_base_da8</t>
  </si>
  <si>
    <t>disreg_base_da9</t>
  </si>
  <si>
    <t>disreg_base_da10</t>
  </si>
  <si>
    <t>disreg_base_da11</t>
  </si>
  <si>
    <t>disreg_base_da12</t>
  </si>
  <si>
    <t>disreg_base_da13</t>
  </si>
  <si>
    <t>disreg_base_da14</t>
  </si>
  <si>
    <t>disreg_base_da15</t>
  </si>
  <si>
    <t>disreg_base_da16</t>
  </si>
  <si>
    <t>disreg_base_da17</t>
  </si>
  <si>
    <t>disreg_base_da18</t>
  </si>
  <si>
    <t>disreg_base_da19</t>
  </si>
  <si>
    <t>disreg_base_da20</t>
  </si>
  <si>
    <t>disreg_base_da21</t>
  </si>
  <si>
    <t>disreg_base_da22</t>
  </si>
  <si>
    <t>disreg_base_da23</t>
  </si>
  <si>
    <t>disreg_base_da24</t>
  </si>
  <si>
    <t>disreg_base_da25</t>
  </si>
  <si>
    <t>disreg_base_da26</t>
  </si>
  <si>
    <t>disreg_base_da27</t>
  </si>
  <si>
    <t>disreg_base_da28</t>
  </si>
  <si>
    <t>disreg_base_da29</t>
  </si>
  <si>
    <t>disreg_base_da30</t>
  </si>
  <si>
    <t>disreg_base_da31</t>
  </si>
  <si>
    <t>disreg_base_da32</t>
  </si>
  <si>
    <t>disreg_base_da33</t>
  </si>
  <si>
    <t>disreg_base_da34</t>
  </si>
  <si>
    <t>disreg_base_da35</t>
  </si>
  <si>
    <t>disreg_base_da36</t>
  </si>
  <si>
    <t>disreg_base_da37</t>
  </si>
  <si>
    <t>disreg_base_da38</t>
  </si>
  <si>
    <t>disreg_base_da39</t>
  </si>
  <si>
    <t>disreg_base_da40</t>
  </si>
  <si>
    <t>disreg_base_da41</t>
  </si>
  <si>
    <t>disreg_da</t>
  </si>
  <si>
    <t>disreg_da1</t>
  </si>
  <si>
    <t>disreg_da2</t>
  </si>
  <si>
    <t>disreg_da3</t>
  </si>
  <si>
    <t>disreg_da4</t>
  </si>
  <si>
    <t>disreg_da5</t>
  </si>
  <si>
    <t>disreg_da6</t>
  </si>
  <si>
    <t>disreg_da7</t>
  </si>
  <si>
    <t>disreg_da8</t>
  </si>
  <si>
    <t>disreg_da9</t>
  </si>
  <si>
    <t>disreg_da10</t>
  </si>
  <si>
    <t>disreg_da11</t>
  </si>
  <si>
    <t>disreg_da12</t>
  </si>
  <si>
    <t>disreg_da13</t>
  </si>
  <si>
    <t>disreg_da14</t>
  </si>
  <si>
    <t>disreg_da15</t>
  </si>
  <si>
    <t>disreg_da16</t>
  </si>
  <si>
    <t>disreg_da17</t>
  </si>
  <si>
    <t>disreg_da18</t>
  </si>
  <si>
    <t>disreg_da19</t>
  </si>
  <si>
    <t>disreg_da20</t>
  </si>
  <si>
    <t>disreg_da21</t>
  </si>
  <si>
    <t>disreg_da22</t>
  </si>
  <si>
    <t>disreg_da23</t>
  </si>
  <si>
    <t>disreg_da24</t>
  </si>
  <si>
    <t>disreg_da25</t>
  </si>
  <si>
    <t>disreg_da26</t>
  </si>
  <si>
    <t>disreg_da27</t>
  </si>
  <si>
    <t>disreg_da28</t>
  </si>
  <si>
    <t>disreg_da29</t>
  </si>
  <si>
    <t>disreg_da30</t>
  </si>
  <si>
    <t>disreg_da31</t>
  </si>
  <si>
    <t>disreg_da32</t>
  </si>
  <si>
    <t>disreg_da33</t>
  </si>
  <si>
    <t>disreg_da34</t>
  </si>
  <si>
    <t>disreg_da35</t>
  </si>
  <si>
    <t>disreg_da36</t>
  </si>
  <si>
    <t>disreg_da37</t>
  </si>
  <si>
    <t>disreg_da38</t>
  </si>
  <si>
    <t>disreg_da39</t>
  </si>
  <si>
    <t>disreg_da40</t>
  </si>
  <si>
    <t>disreg_da41</t>
  </si>
  <si>
    <t>ezrelief_da</t>
  </si>
  <si>
    <t>ezrelief_da1</t>
  </si>
  <si>
    <t>ezrelief_da2</t>
  </si>
  <si>
    <t>ezrelief_da3</t>
  </si>
  <si>
    <t>ezrelief_da4</t>
  </si>
  <si>
    <t>ezrelief_da5</t>
  </si>
  <si>
    <t>ezrelief_da6</t>
  </si>
  <si>
    <t>ezrelief_da7</t>
  </si>
  <si>
    <t>ezrelief_da8</t>
  </si>
  <si>
    <t>ezrelief_da9</t>
  </si>
  <si>
    <t>ezrelief_da10</t>
  </si>
  <si>
    <t>ezrelief_da11</t>
  </si>
  <si>
    <t>ezrelief_da12</t>
  </si>
  <si>
    <t>ezrelief_da13</t>
  </si>
  <si>
    <t>ezrelief_da14</t>
  </si>
  <si>
    <t>ezrelief_da15</t>
  </si>
  <si>
    <t>ezrelief_da16</t>
  </si>
  <si>
    <t>ezrelief_da17</t>
  </si>
  <si>
    <t>ezrelief_da18</t>
  </si>
  <si>
    <t>ezrelief_da19</t>
  </si>
  <si>
    <t>ezrelief_da20</t>
  </si>
  <si>
    <t>ezrelief_da21</t>
  </si>
  <si>
    <t>ezrelief_da22</t>
  </si>
  <si>
    <t>ezrelief_da23</t>
  </si>
  <si>
    <t>ezrelief_da24</t>
  </si>
  <si>
    <t>ezrelief_da25</t>
  </si>
  <si>
    <t>ezrelief_da26</t>
  </si>
  <si>
    <t>ezrelief_da27</t>
  </si>
  <si>
    <t>ezrelief_da28</t>
  </si>
  <si>
    <t>ezrelief_da29</t>
  </si>
  <si>
    <t>ezrelief_da30</t>
  </si>
  <si>
    <t>ezrelief_da31</t>
  </si>
  <si>
    <t>ezrelief_da32</t>
  </si>
  <si>
    <t>ezrelief_da33</t>
  </si>
  <si>
    <t>ezrelief_da34</t>
  </si>
  <si>
    <t>ezrelief_da35</t>
  </si>
  <si>
    <t>ezrelief_da36</t>
  </si>
  <si>
    <t>ezrelief_da37</t>
  </si>
  <si>
    <t>ezrelief_da38</t>
  </si>
  <si>
    <t>ezrelief_da39</t>
  </si>
  <si>
    <t>ezrelief_da40</t>
  </si>
  <si>
    <t>ezrelief_da41</t>
  </si>
  <si>
    <t>ezrelief_comp_da</t>
  </si>
  <si>
    <t>ezrelief_comp_da1</t>
  </si>
  <si>
    <t>ezrelief_comp_da2</t>
  </si>
  <si>
    <t>ezrelief_comp_da3</t>
  </si>
  <si>
    <t>ezrelief_comp_da4</t>
  </si>
  <si>
    <t>ezrelief_comp_da5</t>
  </si>
  <si>
    <t>ezrelief_comp_da6</t>
  </si>
  <si>
    <t>ezrelief_comp_da7</t>
  </si>
  <si>
    <t>ezrelief_comp_da8</t>
  </si>
  <si>
    <t>ezrelief_comp_da9</t>
  </si>
  <si>
    <t>ezrelief_comp_da10</t>
  </si>
  <si>
    <t>ezrelief_comp_da11</t>
  </si>
  <si>
    <t>ezrelief_comp_da12</t>
  </si>
  <si>
    <t>ezrelief_comp_da13</t>
  </si>
  <si>
    <t>ezrelief_comp_da14</t>
  </si>
  <si>
    <t>ezrelief_comp_da15</t>
  </si>
  <si>
    <t>ezrelief_comp_da16</t>
  </si>
  <si>
    <t>ezrelief_comp_da17</t>
  </si>
  <si>
    <t>ezrelief_comp_da18</t>
  </si>
  <si>
    <t>ezrelief_comp_da19</t>
  </si>
  <si>
    <t>ezrelief_comp_da20</t>
  </si>
  <si>
    <t>ezrelief_comp_da21</t>
  </si>
  <si>
    <t>ezrelief_comp_da22</t>
  </si>
  <si>
    <t>ezrelief_comp_da23</t>
  </si>
  <si>
    <t>ezrelief_comp_da24</t>
  </si>
  <si>
    <t>ezrelief_comp_da25</t>
  </si>
  <si>
    <t>ezrelief_comp_da26</t>
  </si>
  <si>
    <t>ezrelief_comp_da27</t>
  </si>
  <si>
    <t>ezrelief_comp_da28</t>
  </si>
  <si>
    <t>ezrelief_comp_da29</t>
  </si>
  <si>
    <t>ezrelief_comp_da30</t>
  </si>
  <si>
    <t>ezrelief_comp_da31</t>
  </si>
  <si>
    <t>ezrelief_comp_da32</t>
  </si>
  <si>
    <t>ezrelief_comp_da33</t>
  </si>
  <si>
    <t>ezrelief_comp_da34</t>
  </si>
  <si>
    <t>ezrelief_comp_da35</t>
  </si>
  <si>
    <t>ezrelief_comp_da36</t>
  </si>
  <si>
    <t>ezrelief_comp_da37</t>
  </si>
  <si>
    <t>ezrelief_comp_da38</t>
  </si>
  <si>
    <t>ezrelief_comp_da39</t>
  </si>
  <si>
    <t>ezrelief_comp_da40</t>
  </si>
  <si>
    <t>ezrelief_comp_da41</t>
  </si>
  <si>
    <t>val_totrv_pydif</t>
  </si>
  <si>
    <t>val_sbrr_fcastpy_pydif</t>
  </si>
  <si>
    <t>val_mr_charity_pydif</t>
  </si>
  <si>
    <t>val_mr_casc_pydif</t>
  </si>
  <si>
    <t>val_mr_rural_pydif</t>
  </si>
  <si>
    <t>val_partocc_pydif</t>
  </si>
  <si>
    <t>val_empty_pydif</t>
  </si>
  <si>
    <t>val_dr_charity_pydif</t>
  </si>
  <si>
    <t>val_dr_nonprof_pydif</t>
  </si>
  <si>
    <t>val_dr_casc_pydif</t>
  </si>
  <si>
    <t>val_dr_rshop_pydif</t>
  </si>
  <si>
    <t>val_dr_smlrural_pydif</t>
  </si>
  <si>
    <t>val_dr_other_pydif</t>
  </si>
  <si>
    <t>val_ezcasea_pydif</t>
  </si>
  <si>
    <t>val_ezcaseb_pydif</t>
  </si>
  <si>
    <t>val_netrates_pydif</t>
  </si>
  <si>
    <t>val_lossrepay_pydif</t>
  </si>
  <si>
    <t>val_zerosurpdef</t>
  </si>
  <si>
    <t>val_openbal_pydif</t>
  </si>
  <si>
    <t>val_totrv_pypdif</t>
  </si>
  <si>
    <t>val_sbrr_fcastpy_pypdif</t>
  </si>
  <si>
    <t>val_mr_charity_pypdif</t>
  </si>
  <si>
    <t>val_mr_casc_pypdif</t>
  </si>
  <si>
    <t>val_mr_rural_pypdif</t>
  </si>
  <si>
    <t>val_partocc_pypdif</t>
  </si>
  <si>
    <t>val_empty_pypdif</t>
  </si>
  <si>
    <t>val_dr_charity_pypdif</t>
  </si>
  <si>
    <t>val_dr_nonprof_pypdif</t>
  </si>
  <si>
    <t>val_dr_casc_pypdif</t>
  </si>
  <si>
    <t>val_dr_rshop_pypdif</t>
  </si>
  <si>
    <t>val_dr_smlrural_pypdif</t>
  </si>
  <si>
    <t>val_dr_other_pypdif</t>
  </si>
  <si>
    <t>val_ezcasea_pypdif</t>
  </si>
  <si>
    <t>val_ezcaseb_pypdif</t>
  </si>
  <si>
    <t>val_netrates_pypdif</t>
  </si>
  <si>
    <t>val_lossrepay_pypdif</t>
  </si>
  <si>
    <t>val_main_missing</t>
  </si>
  <si>
    <t>val_totrv_com</t>
  </si>
  <si>
    <t>val_sbrr_fcastpy_com</t>
  </si>
  <si>
    <t>val_mr_charity_com</t>
  </si>
  <si>
    <t>val_mr_casc_com</t>
  </si>
  <si>
    <t>val_mr_rural_com</t>
  </si>
  <si>
    <t>val_partocc_com</t>
  </si>
  <si>
    <t>val_empty_com</t>
  </si>
  <si>
    <t>val_dr_charity_com</t>
  </si>
  <si>
    <t>val_dr_nonprof_com</t>
  </si>
  <si>
    <t>val_dr_casc_com</t>
  </si>
  <si>
    <t>val_dr_rshop_com</t>
  </si>
  <si>
    <t>val_dr_smlrural_com</t>
  </si>
  <si>
    <t>val_dr_other_com</t>
  </si>
  <si>
    <t>val_ezcasea_com</t>
  </si>
  <si>
    <t>val_ezcaseb_com</t>
  </si>
  <si>
    <t>val_netrates_com</t>
  </si>
  <si>
    <t>val_lossrepay_com</t>
  </si>
  <si>
    <t>val_surpdef_com</t>
  </si>
  <si>
    <t>val_openbal_com</t>
  </si>
  <si>
    <t>val_totrv_com_text</t>
  </si>
  <si>
    <t>val_sbrr_fcastpy_com_text</t>
  </si>
  <si>
    <t>val_mr_charity_com_text</t>
  </si>
  <si>
    <t>val_mr_casc_com_text</t>
  </si>
  <si>
    <t>val_mr_rural_com_text</t>
  </si>
  <si>
    <t>val_partocc_com_text</t>
  </si>
  <si>
    <t>val_empty_com_text</t>
  </si>
  <si>
    <t>val_dr_charity_com_text</t>
  </si>
  <si>
    <t>val_dr_nonprof_com_text</t>
  </si>
  <si>
    <t>val_dr_casc_com_text</t>
  </si>
  <si>
    <t>val_dr_rshop_com_text</t>
  </si>
  <si>
    <t>val_dr_smlrural_com_text</t>
  </si>
  <si>
    <t>val_dr_other_com_text</t>
  </si>
  <si>
    <t>val_ezcasea_com_text</t>
  </si>
  <si>
    <t>val_ezcaseb_com_text</t>
  </si>
  <si>
    <t>val_netrates_com_text</t>
  </si>
  <si>
    <t>val_lossrepay_com_text</t>
  </si>
  <si>
    <t>val_surpdef_com_text</t>
  </si>
  <si>
    <t>val_openbal_com_text</t>
  </si>
  <si>
    <t>mainval_notes</t>
  </si>
  <si>
    <t>val_hdit_mrcharity_pydif</t>
  </si>
  <si>
    <t>val_hdit_mrcasc_pydif</t>
  </si>
  <si>
    <t>val_hdit_mrrural_pydif</t>
  </si>
  <si>
    <t>val_hdit_partocc_pydif</t>
  </si>
  <si>
    <t>val_hdit_empty_pydif</t>
  </si>
  <si>
    <t>val_hdit_drcharity_pydif</t>
  </si>
  <si>
    <t>val_hdit_drnonprof_pydif</t>
  </si>
  <si>
    <t>val_hdit_drcasc_pydif</t>
  </si>
  <si>
    <t>val_hdit_drrshop_pydif</t>
  </si>
  <si>
    <t>val_hdit_drothrural_pydif</t>
  </si>
  <si>
    <t>val_hdit_drez_pydif</t>
  </si>
  <si>
    <t>val_hdit_drs47_pydif</t>
  </si>
  <si>
    <t>val_hdit_sbrrsupp_pydif</t>
  </si>
  <si>
    <t>val_hdit_sbrrdisc_pydif</t>
  </si>
  <si>
    <t>val_hdit_sbrrdiscmax_pydif</t>
  </si>
  <si>
    <t>val_hdit_sbrrdiscslide_pydif</t>
  </si>
  <si>
    <t>val_hdit_sbrrmultp_pydif</t>
  </si>
  <si>
    <t>val_sbrrshare_pydif</t>
  </si>
  <si>
    <t>val_hdit_mrcharity_pypdif</t>
  </si>
  <si>
    <t>val_hdit_mrcasc_pypdif</t>
  </si>
  <si>
    <t>val_hdit_mrrural_pypdif</t>
  </si>
  <si>
    <t>val_hdit_partocc_pypdif</t>
  </si>
  <si>
    <t>val_hdit_empty_pypdif</t>
  </si>
  <si>
    <t>val_hdit_drcharity_pypdif</t>
  </si>
  <si>
    <t>val_hdit_drnonprof_pypdif</t>
  </si>
  <si>
    <t>val_hdit_drcasc_pypdif</t>
  </si>
  <si>
    <t>val_hdit_drrshop_pypdif</t>
  </si>
  <si>
    <t>val_hdit_drothrural_pypdif</t>
  </si>
  <si>
    <t>val_hdit_drez_pypdif</t>
  </si>
  <si>
    <t>val_hdit_drs47_pypdif</t>
  </si>
  <si>
    <t>val_hdit_sbrrsupp_pypdif</t>
  </si>
  <si>
    <t>val_hdit_sbrrdisc_pypdif</t>
  </si>
  <si>
    <t>val_hdit_sbrrdiscmax_pypdif</t>
  </si>
  <si>
    <t>val_hdit_sbrrdiscslide_pypdif</t>
  </si>
  <si>
    <t>val_hdit_sbrrmultp_pypdif</t>
  </si>
  <si>
    <t>val_sbrrshare_pypdif</t>
  </si>
  <si>
    <t>val_supp_missing</t>
  </si>
  <si>
    <t>val_hdit_mrcharity_com</t>
  </si>
  <si>
    <t>val_hdit_mrcasc_com</t>
  </si>
  <si>
    <t>val_hdit_mrrural_com</t>
  </si>
  <si>
    <t>val_hdit_partocc_com</t>
  </si>
  <si>
    <t>val_hdit_empty_com</t>
  </si>
  <si>
    <t>val_hdit_drcharity_com</t>
  </si>
  <si>
    <t>val_hdit_drnonprof_com</t>
  </si>
  <si>
    <t>val_hdit_drcasc_com</t>
  </si>
  <si>
    <t>val_hdit_drrshop_com</t>
  </si>
  <si>
    <t>val_hdit_drothrural_com</t>
  </si>
  <si>
    <t>val_hdit_drez_com</t>
  </si>
  <si>
    <t>val_hdit_drs47_com</t>
  </si>
  <si>
    <t>val_hdit_sbrrsupp_com</t>
  </si>
  <si>
    <t>val_hdit_sbrrdisc_com</t>
  </si>
  <si>
    <t>val_hdit_sbrrdiscmax_com</t>
  </si>
  <si>
    <t>val_hdit_sbrrdiscslide_com</t>
  </si>
  <si>
    <t>val_hdit_sbrrmultp_com</t>
  </si>
  <si>
    <t>val_sbrrshare_com</t>
  </si>
  <si>
    <t>val_hdit_mrcharity_com_text</t>
  </si>
  <si>
    <t>val_hdit_mrcasc_com_text</t>
  </si>
  <si>
    <t>val_hdit_mrrural_com_text</t>
  </si>
  <si>
    <t>val_hdit_partocc_com_text</t>
  </si>
  <si>
    <t>val_hdit_empty_com_text</t>
  </si>
  <si>
    <t>val_hdit_drcharity_com_text</t>
  </si>
  <si>
    <t>val_hdit_drnonprof_com_text</t>
  </si>
  <si>
    <t>val_hdit_drcasc_com_text</t>
  </si>
  <si>
    <t>val_hdit_drrshop_com_text</t>
  </si>
  <si>
    <t>val_hdit_drothrural_com_text</t>
  </si>
  <si>
    <t>val_hdit_drez_com_text</t>
  </si>
  <si>
    <t>val_hdit_drs47_com_text</t>
  </si>
  <si>
    <t>val_hdit_sbrrsupp_com_text</t>
  </si>
  <si>
    <t>val_hdit_sbrrdisc_com_text</t>
  </si>
  <si>
    <t>val_hdit_sbrrdiscmax_com_text</t>
  </si>
  <si>
    <t>val_hdit_sbrrdiscslide_com_text</t>
  </si>
  <si>
    <t>val_hdit_sbrrmultp_com_text</t>
  </si>
  <si>
    <t>val_sbrrshare_com_text</t>
  </si>
  <si>
    <t>suppval_notes</t>
  </si>
  <si>
    <t>DA Count</t>
  </si>
  <si>
    <t>da_count</t>
  </si>
  <si>
    <t>South Tees Development Corporation</t>
  </si>
  <si>
    <t>disreg_da_mpa</t>
  </si>
  <si>
    <t xml:space="preserve">Error </t>
  </si>
  <si>
    <t>control for greying out non-shale gas areas</t>
  </si>
  <si>
    <t>13. Total Deductions</t>
  </si>
  <si>
    <t>22. add: in respect of Port of Bristol hereditament</t>
  </si>
  <si>
    <t>24.  Total amount due to authorities</t>
  </si>
  <si>
    <t>E6163</t>
  </si>
  <si>
    <t>Hampshire and Isle of Wight Fire and Rescue</t>
  </si>
  <si>
    <t>Submitting the Form</t>
  </si>
  <si>
    <t>7. The form should be sent by your Chief Financial / Section 151 Officer. The email should include the officer’s electronic signature and the following statement:
I confirm that the entries in this form are the best I can make on the information available to me and amounts are calculated in accordance with regulations made under Schedule 7B to the Local Government Act 1988. I also confirm that the authority has acted diligently in relation to the collection of non-domestic rates.</t>
  </si>
  <si>
    <t>SBRR</t>
  </si>
  <si>
    <t>NNDR1 2022-23</t>
  </si>
  <si>
    <t>2022-23</t>
  </si>
  <si>
    <t>Share Total</t>
  </si>
  <si>
    <t>Uprated Baseline for 2022-23</t>
  </si>
  <si>
    <t>16/17 UA Ecode</t>
  </si>
  <si>
    <t>2022-23 upper tier proportion</t>
  </si>
  <si>
    <t>2022-23 fire proportion</t>
  </si>
  <si>
    <t>2022-23 Sum</t>
  </si>
  <si>
    <t>mr_toilets_baa</t>
  </si>
  <si>
    <t>mr_toilets_da</t>
  </si>
  <si>
    <t>mr_toilets_tot</t>
  </si>
  <si>
    <t>hdit_mr_toilets</t>
  </si>
  <si>
    <t>Enterprise zone granted relief</t>
  </si>
  <si>
    <t>total_rv_2017</t>
  </si>
  <si>
    <t>total_hereds</t>
  </si>
  <si>
    <t>Addcomp_BA</t>
  </si>
  <si>
    <t>Addcomp_DA</t>
  </si>
  <si>
    <t>Retail, Hospitality and Leisure relief</t>
  </si>
  <si>
    <t>drs31_rhl_baa</t>
  </si>
  <si>
    <t>drs31_rhl_da</t>
  </si>
  <si>
    <t>drs31_rhl_tot</t>
  </si>
  <si>
    <t>11.  Line 1 plus line 2, minus lines 3, 6 to 9 and 10</t>
  </si>
  <si>
    <t>33. Cost to authorities of providing relief</t>
  </si>
  <si>
    <t>s31_rhl_ba</t>
  </si>
  <si>
    <t>s31_rhl_mpa</t>
  </si>
  <si>
    <t>s31_rhl_fra</t>
  </si>
  <si>
    <t>s31_rhl_tot</t>
  </si>
  <si>
    <t>As well as using these to check for errors in data entry, your comments also help us to inform policy colleagues about the causes of patterns in the data, and the extent of the effect of different factors. Therefore, even if the reason for a change in a line seems obvious it is still useful for you to provide comments.</t>
  </si>
  <si>
    <t>If you click on Column C you can see which line of the form the validation refers to.</t>
  </si>
  <si>
    <t>Estimated repayments (Appeals provision)</t>
  </si>
  <si>
    <t>Zero in surplus / deficit</t>
  </si>
  <si>
    <t>Collection fund opening balance</t>
  </si>
  <si>
    <t>DLUHC only</t>
  </si>
  <si>
    <t>Control for Freeports</t>
  </si>
  <si>
    <t>ezfreeports</t>
  </si>
  <si>
    <t>Freeports relief</t>
  </si>
  <si>
    <t>s31_freeports_ba</t>
  </si>
  <si>
    <t>s31_freeports_mpa</t>
  </si>
  <si>
    <t>s31_freeports_fra</t>
  </si>
  <si>
    <t>s31_freeports_tot</t>
  </si>
  <si>
    <t>E6128</t>
  </si>
  <si>
    <t xml:space="preserve"> * White background, blue border - actual data entered by the Department for Levelling Up, Housing and Communities into these cells. </t>
  </si>
  <si>
    <t>35. Cost to authorities of providing relief</t>
  </si>
  <si>
    <t>Public lavatories relief</t>
  </si>
  <si>
    <t>s31_publictoil_ba</t>
  </si>
  <si>
    <t>s31_publictoil_mpa</t>
  </si>
  <si>
    <t>s31_publictoil_fra</t>
  </si>
  <si>
    <t>s31_publictoil_tot</t>
  </si>
  <si>
    <t>Allocation as Negative</t>
  </si>
  <si>
    <t>s31_placeholder_ba</t>
  </si>
  <si>
    <t>s31_placeholder_fra</t>
  </si>
  <si>
    <t>s31_placeholder_tot</t>
  </si>
  <si>
    <t>drs31_placeholder_baa</t>
  </si>
  <si>
    <t>drs31_placeholder_da</t>
  </si>
  <si>
    <t>drs31_placeholder_tot</t>
  </si>
  <si>
    <t xml:space="preserve">Please remember that a copy of this form, certified by your Chief Financial Officer / Section 151 officer should also be sent to your relevant Precepting Authorities, and Pool Leads (if applicable). </t>
  </si>
  <si>
    <t>s31_placeholder_mpa</t>
  </si>
  <si>
    <t>Central Government</t>
  </si>
  <si>
    <t>3yr_priorshare_cg_p4</t>
  </si>
  <si>
    <t>3yr_priorshare_ba_p4</t>
  </si>
  <si>
    <t>3yr_priorshare_mpa_p4</t>
  </si>
  <si>
    <t>3yr_priorshare_fra_p4</t>
  </si>
  <si>
    <t>3yr_priorshare_tot_p4</t>
  </si>
  <si>
    <t>3yr_prioryear_cg_p4</t>
  </si>
  <si>
    <t>3yr_prioryear_ba_p4</t>
  </si>
  <si>
    <t>3yr_prioryear_mpa_p4</t>
  </si>
  <si>
    <t>3yr_prioryear_fra_p4</t>
  </si>
  <si>
    <t>3yr_prioryear_tot_p4</t>
  </si>
  <si>
    <t>3yr_currentshare_cg_p4</t>
  </si>
  <si>
    <t>3yr_currentshare_ba_p4</t>
  </si>
  <si>
    <t>3yr_currentshare_mpa_p4</t>
  </si>
  <si>
    <t>3yr_currentshare_fra_p4</t>
  </si>
  <si>
    <t>3yr_currentshare_tot_p4</t>
  </si>
  <si>
    <t>3yr_currentyear_cg_p4</t>
  </si>
  <si>
    <t>3yr_currentyear_ba_p4</t>
  </si>
  <si>
    <t>3yr_currentyear_mpa_p4</t>
  </si>
  <si>
    <t>3yr_currentyear_fra_p4</t>
  </si>
  <si>
    <t>3yr_currentyear_tot_p4</t>
  </si>
  <si>
    <t>3yr_tot_cg_p4</t>
  </si>
  <si>
    <t>3yr_tot_ba_p4</t>
  </si>
  <si>
    <t>3yr_tot_mpa_p4</t>
  </si>
  <si>
    <t>3yr_tot_fra_p4</t>
  </si>
  <si>
    <t>3yr_tot_tot_p4</t>
  </si>
  <si>
    <t>Has a Freeport?</t>
  </si>
  <si>
    <t>Designated Areas qualifying relief in 100% business rates retention areas</t>
  </si>
  <si>
    <t>2023-24</t>
  </si>
  <si>
    <t>Supporting Small Business Scheme</t>
  </si>
  <si>
    <t xml:space="preserve">Estimated repayments in respect of 2023-24 rates payable </t>
  </si>
  <si>
    <t>Mandatory Relief for charitable occupation
31-12-21</t>
  </si>
  <si>
    <t>Mandatory Relief for community amateur sports clubs 31-12-21</t>
  </si>
  <si>
    <t>Mandatory Relief for rural general stores etc 31-12-21</t>
  </si>
  <si>
    <t>Mandatory Relief for partly occupied premises 31-12-21</t>
  </si>
  <si>
    <t>Mandatory Relief for empty premises 31-12-21</t>
  </si>
  <si>
    <t>Discretionary Relief for charitable occupation 31-12-21</t>
  </si>
  <si>
    <t>Discretionary Relief for non profit making bodies 31-12-21</t>
  </si>
  <si>
    <t>Discretionary Relief for rural shops 31-12-21</t>
  </si>
  <si>
    <t>Discretionary Relief for other small rural businesses 31-12-21</t>
  </si>
  <si>
    <t>Discretionary Relief for community amateur sport clubs 31-12-21</t>
  </si>
  <si>
    <t>Discretionary Relief for Enterprise Zones granted discounts 31-12-21</t>
  </si>
  <si>
    <t>Discretionary Relief Subject to S47 local discount 31-12-21</t>
  </si>
  <si>
    <t>SBR  relief scheme by paying the additional supplement as at 31-12-21</t>
  </si>
  <si>
    <t>Discount from  SBR relief as at  31-12-21</t>
  </si>
  <si>
    <t>Paying SBR multiplier and not estimated to receive a discount
31-12-21</t>
  </si>
  <si>
    <t>2023-24 upper tier proportion</t>
  </si>
  <si>
    <t>2023-24 fire proportion</t>
  </si>
  <si>
    <t>2023-24 Sum</t>
  </si>
  <si>
    <t>Low-carbon heat networks relief</t>
  </si>
  <si>
    <t>36. Cost to authorities of providing relief</t>
  </si>
  <si>
    <t>Cumberland</t>
  </si>
  <si>
    <t>s31_lowcarbheat_ba</t>
  </si>
  <si>
    <t>s31_lowcarbheat_mpa</t>
  </si>
  <si>
    <t>s31_lowcarbheat_fra</t>
  </si>
  <si>
    <t>s31_lowcarbheat_tot</t>
  </si>
  <si>
    <t>drs31_lowcarbheat_baa</t>
  </si>
  <si>
    <t>drs31_lowcarbheat_da</t>
  </si>
  <si>
    <t>drs31_lowcarbheat_tot</t>
  </si>
  <si>
    <t>shale_uppershare</t>
  </si>
  <si>
    <t>shale_frashare</t>
  </si>
  <si>
    <t>localshare_total</t>
  </si>
  <si>
    <t>sbrr_threshold</t>
  </si>
  <si>
    <t>addcomp_ba</t>
  </si>
  <si>
    <t>addcomp_da</t>
  </si>
  <si>
    <t>ba_share</t>
  </si>
  <si>
    <t>fra_share</t>
  </si>
  <si>
    <t>cg_share</t>
  </si>
  <si>
    <t>costofcollection</t>
  </si>
  <si>
    <t>checkforua</t>
  </si>
  <si>
    <t>mpa_share</t>
  </si>
  <si>
    <t>nndr.statistics@levellingup.gov.uk</t>
  </si>
  <si>
    <t>Cost of Public lavatories relief</t>
  </si>
  <si>
    <t>val_mr_toilets_pydif</t>
  </si>
  <si>
    <t>val_mr_toilets_pypdif</t>
  </si>
  <si>
    <t>val_mr_toilets_com</t>
  </si>
  <si>
    <t>val_mr_toilets_com_text</t>
  </si>
  <si>
    <t>E0901</t>
  </si>
  <si>
    <t>E2702</t>
  </si>
  <si>
    <t>E3301</t>
  </si>
  <si>
    <t>E0902</t>
  </si>
  <si>
    <t>Liverpool City Region Freeport</t>
  </si>
  <si>
    <t>Solent Freeport</t>
  </si>
  <si>
    <t>East Midlands Freeport</t>
  </si>
  <si>
    <t>Freeport East</t>
  </si>
  <si>
    <t>Plymouth and South Devon Freeport</t>
  </si>
  <si>
    <t>Humber Freeport</t>
  </si>
  <si>
    <t>Teesside Freeport</t>
  </si>
  <si>
    <t>adj_ThreeYr</t>
  </si>
  <si>
    <t>Westmorland and Furness</t>
  </si>
  <si>
    <t>Mandatory Relief for public lavatories</t>
  </si>
  <si>
    <t>val_hdit_toilets_pydif</t>
  </si>
  <si>
    <t>val_hdit_toilets_pypdif</t>
  </si>
  <si>
    <t>val_hdit_toilets_com</t>
  </si>
  <si>
    <t>val_hdit_toilets_com_text</t>
  </si>
  <si>
    <t>OrgType</t>
  </si>
  <si>
    <t>OrgRegion</t>
  </si>
  <si>
    <t>ONSCode</t>
  </si>
  <si>
    <t>Fixed</t>
  </si>
  <si>
    <t>Authority Type</t>
  </si>
  <si>
    <t>Authority Region</t>
  </si>
  <si>
    <t>Authority ONS Code</t>
  </si>
  <si>
    <t>SD</t>
  </si>
  <si>
    <t>South East</t>
  </si>
  <si>
    <t>E07000223</t>
  </si>
  <si>
    <t>East Midlands</t>
  </si>
  <si>
    <t>E07000032</t>
  </si>
  <si>
    <t>E07000224</t>
  </si>
  <si>
    <t>E07000170</t>
  </si>
  <si>
    <t>E07000105</t>
  </si>
  <si>
    <t>East of England</t>
  </si>
  <si>
    <t>E07000200</t>
  </si>
  <si>
    <t>OLB</t>
  </si>
  <si>
    <t>London</t>
  </si>
  <si>
    <t>E09000002</t>
  </si>
  <si>
    <t>E09000003</t>
  </si>
  <si>
    <t>Met</t>
  </si>
  <si>
    <t>Yorkshire and The Humber</t>
  </si>
  <si>
    <t>E08000016</t>
  </si>
  <si>
    <t>E07000066</t>
  </si>
  <si>
    <t>E07000084</t>
  </si>
  <si>
    <t>E07000171</t>
  </si>
  <si>
    <t>South West</t>
  </si>
  <si>
    <t>E06000022</t>
  </si>
  <si>
    <t>E06000055</t>
  </si>
  <si>
    <t>E09000004</t>
  </si>
  <si>
    <t>West Midlands</t>
  </si>
  <si>
    <t>E08000025</t>
  </si>
  <si>
    <t>E07000129</t>
  </si>
  <si>
    <t>North West</t>
  </si>
  <si>
    <t>E06000008</t>
  </si>
  <si>
    <t>E06000009</t>
  </si>
  <si>
    <t>E07000033</t>
  </si>
  <si>
    <t>E08000001</t>
  </si>
  <si>
    <t>E07000136</t>
  </si>
  <si>
    <t>E06000058</t>
  </si>
  <si>
    <t>E06000036</t>
  </si>
  <si>
    <t>E08000032</t>
  </si>
  <si>
    <t>E07000067</t>
  </si>
  <si>
    <t>E07000143</t>
  </si>
  <si>
    <t>E09000005</t>
  </si>
  <si>
    <t>E07000068</t>
  </si>
  <si>
    <t>E06000043</t>
  </si>
  <si>
    <t>E06000023</t>
  </si>
  <si>
    <t>E07000144</t>
  </si>
  <si>
    <t>E09000006</t>
  </si>
  <si>
    <t>E07000234</t>
  </si>
  <si>
    <t>E07000095</t>
  </si>
  <si>
    <t>E07000172</t>
  </si>
  <si>
    <t>E06000060</t>
  </si>
  <si>
    <t>E07000117</t>
  </si>
  <si>
    <t>E08000002</t>
  </si>
  <si>
    <t>E08000033</t>
  </si>
  <si>
    <t>E07000008</t>
  </si>
  <si>
    <t>ILB</t>
  </si>
  <si>
    <t>E09000007</t>
  </si>
  <si>
    <t>E07000192</t>
  </si>
  <si>
    <t>E07000106</t>
  </si>
  <si>
    <t>E07000069</t>
  </si>
  <si>
    <t>E06000056</t>
  </si>
  <si>
    <t>E07000130</t>
  </si>
  <si>
    <t>E07000070</t>
  </si>
  <si>
    <t>E07000078</t>
  </si>
  <si>
    <t>E07000177</t>
  </si>
  <si>
    <t>E06000049</t>
  </si>
  <si>
    <t>E06000050</t>
  </si>
  <si>
    <t>E07000034</t>
  </si>
  <si>
    <t>E07000225</t>
  </si>
  <si>
    <t>E07000118</t>
  </si>
  <si>
    <t>E09000001</t>
  </si>
  <si>
    <t>E07000071</t>
  </si>
  <si>
    <t>E06000052</t>
  </si>
  <si>
    <t>E07000079</t>
  </si>
  <si>
    <t>E08000026</t>
  </si>
  <si>
    <t>E07000226</t>
  </si>
  <si>
    <t>E09000008</t>
  </si>
  <si>
    <t>E07000096</t>
  </si>
  <si>
    <t>E06000005</t>
  </si>
  <si>
    <t>E07000107</t>
  </si>
  <si>
    <t>E06000015</t>
  </si>
  <si>
    <t>E07000035</t>
  </si>
  <si>
    <t>E08000017</t>
  </si>
  <si>
    <t>E06000059</t>
  </si>
  <si>
    <t>E07000108</t>
  </si>
  <si>
    <t>E08000027</t>
  </si>
  <si>
    <t>E06000047</t>
  </si>
  <si>
    <t>E09000009</t>
  </si>
  <si>
    <t>E07000009</t>
  </si>
  <si>
    <t>E07000040</t>
  </si>
  <si>
    <t>E07000085</t>
  </si>
  <si>
    <t>E07000242</t>
  </si>
  <si>
    <t>E07000137</t>
  </si>
  <si>
    <t>E06000011</t>
  </si>
  <si>
    <t>E07000193</t>
  </si>
  <si>
    <t>E07000244</t>
  </si>
  <si>
    <t>E07000061</t>
  </si>
  <si>
    <t>E07000086</t>
  </si>
  <si>
    <t>E07000207</t>
  </si>
  <si>
    <t>E09000010</t>
  </si>
  <si>
    <t>E07000072</t>
  </si>
  <si>
    <t>E07000208</t>
  </si>
  <si>
    <t>E07000036</t>
  </si>
  <si>
    <t>E07000041</t>
  </si>
  <si>
    <t>E07000087</t>
  </si>
  <si>
    <t>E07000010</t>
  </si>
  <si>
    <t>E07000112</t>
  </si>
  <si>
    <t>E07000080</t>
  </si>
  <si>
    <t>E07000119</t>
  </si>
  <si>
    <t>E08000037</t>
  </si>
  <si>
    <t>E07000173</t>
  </si>
  <si>
    <t>E07000081</t>
  </si>
  <si>
    <t>E07000088</t>
  </si>
  <si>
    <t>E07000109</t>
  </si>
  <si>
    <t>E07000145</t>
  </si>
  <si>
    <t>E09000011</t>
  </si>
  <si>
    <t>E07000209</t>
  </si>
  <si>
    <t>E09000012</t>
  </si>
  <si>
    <t>E06000006</t>
  </si>
  <si>
    <t>E09000013</t>
  </si>
  <si>
    <t>E07000131</t>
  </si>
  <si>
    <t>E09000014</t>
  </si>
  <si>
    <t>E07000073</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</si>
  <si>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</si>
  <si>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</si>
  <si>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</si>
  <si>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</si>
  <si>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</si>
  <si>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</si>
  <si>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</si>
  <si>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</si>
  <si>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</si>
  <si>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</si>
  <si>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</si>
  <si>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</si>
  <si>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</si>
  <si>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</si>
  <si>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</si>
  <si>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</si>
  <si>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</si>
  <si>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</si>
  <si>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</si>
  <si>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</si>
  <si>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</si>
  <si>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</si>
  <si>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</si>
  <si>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</si>
  <si>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</si>
  <si>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</si>
  <si>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</si>
  <si>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</si>
  <si>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</si>
  <si>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</si>
  <si>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</si>
  <si>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</si>
  <si>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</si>
  <si>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</si>
  <si>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</si>
  <si>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</si>
  <si>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</si>
  <si>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</si>
  <si>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</si>
  <si>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</si>
  <si>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</si>
  <si>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</si>
  <si>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</si>
  <si>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</si>
  <si>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</si>
  <si>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</si>
  <si>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</si>
  <si>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</si>
  <si>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</si>
  <si>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</si>
  <si>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</si>
  <si>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</si>
  <si>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</si>
  <si>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</si>
  <si>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</si>
  <si>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</si>
  <si>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</si>
  <si>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</si>
  <si>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</si>
  <si>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</si>
  <si>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</si>
  <si>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E06000061</t>
  </si>
  <si>
    <t>E06000024</t>
  </si>
  <si>
    <t>E08000022</t>
  </si>
  <si>
    <t>E07000218</t>
  </si>
  <si>
    <t>E07000134</t>
  </si>
  <si>
    <t>E06000057</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</si>
  <si>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</si>
  <si>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</si>
  <si>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</si>
  <si>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</si>
  <si>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</si>
  <si>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</si>
  <si>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</si>
  <si>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</si>
  <si>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</si>
  <si>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</si>
  <si>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</si>
  <si>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</si>
  <si>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</si>
  <si>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</si>
  <si>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</si>
  <si>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</si>
  <si>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</si>
  <si>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</si>
  <si>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E08000005</t>
  </si>
  <si>
    <t>E07000075</t>
  </si>
  <si>
    <t>E07000125</t>
  </si>
  <si>
    <t>E07000064</t>
  </si>
  <si>
    <t>E08000018</t>
  </si>
  <si>
    <t>E07000220</t>
  </si>
  <si>
    <t>E07000212</t>
  </si>
  <si>
    <t>E07000176</t>
  </si>
  <si>
    <t>E07000092</t>
  </si>
  <si>
    <t>E06000017</t>
  </si>
  <si>
    <t>E08000006</t>
  </si>
  <si>
    <t>E08000028</t>
  </si>
  <si>
    <t>E08000014</t>
  </si>
  <si>
    <t>E07000111</t>
  </si>
  <si>
    <t>E08000019</t>
  </si>
  <si>
    <t>E06000051</t>
  </si>
  <si>
    <t>E06000039</t>
  </si>
  <si>
    <t>E08000029</t>
  </si>
  <si>
    <t>E07000012</t>
  </si>
  <si>
    <t>E07000039</t>
  </si>
  <si>
    <t>E06000025</t>
  </si>
  <si>
    <t>E07000044</t>
  </si>
  <si>
    <t>E07000140</t>
  </si>
  <si>
    <t>E07000141</t>
  </si>
  <si>
    <t>E07000149</t>
  </si>
  <si>
    <t>E07000179</t>
  </si>
  <si>
    <t>E07000126</t>
  </si>
  <si>
    <t>E07000196</t>
  </si>
  <si>
    <t>E08000023</t>
  </si>
  <si>
    <t>E06000045</t>
  </si>
  <si>
    <t>E06000033</t>
  </si>
  <si>
    <t>E09000028</t>
  </si>
  <si>
    <t>E07000213</t>
  </si>
  <si>
    <t>E07000240</t>
  </si>
  <si>
    <t>E08000013</t>
  </si>
  <si>
    <t>E07000197</t>
  </si>
  <si>
    <t>E07000198</t>
  </si>
  <si>
    <t>E07000243</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</si>
  <si>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</si>
  <si>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</si>
  <si>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</si>
  <si>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</si>
  <si>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</si>
  <si>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</si>
  <si>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</si>
  <si>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</si>
  <si>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</si>
  <si>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</si>
  <si>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</si>
  <si>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</si>
  <si>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</si>
  <si>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</si>
  <si>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</si>
  <si>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</si>
  <si>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</si>
  <si>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</si>
  <si>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</si>
  <si>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</si>
  <si>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</si>
  <si>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</si>
  <si>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</si>
  <si>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</si>
  <si>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</si>
  <si>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</si>
  <si>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</si>
  <si>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</si>
  <si>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</si>
  <si>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</si>
  <si>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</si>
  <si>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</si>
  <si>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</si>
  <si>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</si>
  <si>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</si>
  <si>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</si>
  <si>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</si>
  <si>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</si>
  <si>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E07000241</t>
  </si>
  <si>
    <t>E06000037</t>
  </si>
  <si>
    <t>E07000047</t>
  </si>
  <si>
    <t>E07000127</t>
  </si>
  <si>
    <t>E07000142</t>
  </si>
  <si>
    <t>E06000062</t>
  </si>
  <si>
    <t>E07000181</t>
  </si>
  <si>
    <t>E07000245</t>
  </si>
  <si>
    <t>E09000033</t>
  </si>
  <si>
    <t>E08000010</t>
  </si>
  <si>
    <t>E06000054</t>
  </si>
  <si>
    <t>E07000094</t>
  </si>
  <si>
    <t>E06000040</t>
  </si>
  <si>
    <t>E08000015</t>
  </si>
  <si>
    <t>E07000217</t>
  </si>
  <si>
    <t>E06000041</t>
  </si>
  <si>
    <t>E08000031</t>
  </si>
  <si>
    <t>E07000237</t>
  </si>
  <si>
    <t>E07000229</t>
  </si>
  <si>
    <t>E07000238</t>
  </si>
  <si>
    <t>E07000128</t>
  </si>
  <si>
    <t>E07000239</t>
  </si>
  <si>
    <t>E06000014</t>
  </si>
  <si>
    <t>E06000063</t>
  </si>
  <si>
    <t>E06000064</t>
  </si>
  <si>
    <t>E06000065</t>
  </si>
  <si>
    <t>E06000066</t>
  </si>
  <si>
    <t>22. Total prior year surplus (+)/deficit (-)</t>
  </si>
  <si>
    <t>24. In year surplus (+)/deficit (-)</t>
  </si>
  <si>
    <t>Total Hdits</t>
  </si>
  <si>
    <t>total_hdits</t>
  </si>
  <si>
    <t>ba_share_py</t>
  </si>
  <si>
    <t>mpa_share_py</t>
  </si>
  <si>
    <t>fra_share_py</t>
  </si>
  <si>
    <t>cg_share_py</t>
  </si>
  <si>
    <t>collfund_cb_tot</t>
  </si>
  <si>
    <t xml:space="preserve">6.  When the data have been checked and verified please email the complete file to nndr.statistics@levellingup.gov.uk </t>
  </si>
  <si>
    <t>Please e-mail to : nndr.statistics@levellingup.gov.uk</t>
  </si>
  <si>
    <t xml:space="preserve">This completed Excel form should be e-mailed to nndr.statistics@levellingup.gov.uk and any relevant precepting authorities by the Chief Financial / Section 151 Officer. The email should include the officer’s electronic signature and the following statement:
I confirm that the entries in this form are the best I can make on the information available to me and amounts are calculated in accordance with regulations made under Schedule 7B to the Local Government Act 1988. I also confirm that the authority has acted diligently in relation to the collection of non-domestic rates.
</t>
  </si>
  <si>
    <t>us with the subject heading 'NNDR1 query' by email to nndr.statistics@levellingup.gov.uk</t>
  </si>
  <si>
    <t>25. Total (total lines 22 and 24)</t>
  </si>
  <si>
    <t>Hereds included in lines
15, 16 &amp; 19 above</t>
  </si>
  <si>
    <t>(LESS) LOSSES (Data should be entered as -ve)</t>
  </si>
  <si>
    <t>DISREGARDED AMOUNTS (Data should be entered as +ve)</t>
  </si>
  <si>
    <t>SBRR multiplier</t>
  </si>
  <si>
    <t>SBRR Supplement</t>
  </si>
  <si>
    <t>sbrr_supplement</t>
  </si>
  <si>
    <t>7. Changes as a result of estimated growth / decline in cost of transitional arrangements 
(+ = decline, - = increase)</t>
  </si>
  <si>
    <t>Enter as either a +ve or -ve figure consistent with the calculation in Part 2 Line 9</t>
  </si>
  <si>
    <t>E6135</t>
  </si>
  <si>
    <t>Discretionary Relief Retail discount 31-12-21</t>
  </si>
  <si>
    <t>Retail, hospitality and leisure relief</t>
  </si>
  <si>
    <t>val_drs31_rhl_pydif</t>
  </si>
  <si>
    <t>val_drs31_rhl_pypdif</t>
  </si>
  <si>
    <t>val_drs31_rhl_com</t>
  </si>
  <si>
    <t>val_drs31_rhl_com_text</t>
  </si>
  <si>
    <t>val_hdit_rhl_pydif</t>
  </si>
  <si>
    <t>val_hdit_rhl_pypdif</t>
  </si>
  <si>
    <t>val_hdit_rhl_com</t>
  </si>
  <si>
    <t>val_hdit_rhl_com_text</t>
  </si>
  <si>
    <t>Cumbria Police, Fire and Crime Commissioner</t>
  </si>
  <si>
    <t>APPORTIONMENT OF ESTIMATED SURPLUS / DEFICIT (See Note N)</t>
  </si>
  <si>
    <t>3. Sums written off in excess of the allowance for non-collection (enter as -ve)</t>
  </si>
  <si>
    <t>5. Amounts charged against the provision for alteration of lists and appeals following RV list changes (enter as +ve)</t>
  </si>
  <si>
    <t>Number hereditaments in tests 15, 16 &amp; 19 above compared to total number of hereditaments</t>
  </si>
  <si>
    <t>Check totals against Data sheet</t>
  </si>
  <si>
    <t>Location</t>
  </si>
  <si>
    <t>Value</t>
  </si>
  <si>
    <t>Other Notes</t>
  </si>
  <si>
    <t>Explanation</t>
  </si>
  <si>
    <t>Adjustment factor is set in the provisional settlement and we need to enter it somewhere in the form. Various formulae look this up</t>
  </si>
  <si>
    <t>SBR multiplier is set in the provisional settlement and we need to enter it somewhere in the form. Various formulae look this up</t>
  </si>
  <si>
    <t>SBR supplementary mutliplier is set in the provisional settlement and we need to enter it somewhere in the form. Various formulae look this up</t>
  </si>
  <si>
    <t>Cost of Collection D173 and D280 (North and West Northamptonshire)</t>
  </si>
  <si>
    <t>These were hardcoded in a previous year when the sum of the predecessor authorities was calculated from the VOA data.</t>
  </si>
  <si>
    <t>Now changed to using the dragged-down formula, but this is an example where we should have noted the hard-coding</t>
  </si>
  <si>
    <t>2024-25 Allocation</t>
  </si>
  <si>
    <t>2024-25</t>
  </si>
  <si>
    <t>The note 'NNDR1 Validation Checks 2024-25'  provides further details on the validations we carry out.   Please consult this when completing this validation sheet</t>
  </si>
  <si>
    <t>2024-25 form</t>
  </si>
  <si>
    <t>Allowance for cost of
collection for 2024-25</t>
  </si>
  <si>
    <t>NATIONAL NON-DOMESTIC RATES (SUPPLEMENTARY) RETURN 2024-25</t>
  </si>
  <si>
    <t>PART 2 : ESTIMATED VALUE OF RELIEF TO BE GRANTED IN 2024-25
(enter values as -ve)</t>
  </si>
  <si>
    <t>Amount of relief to be granted in 2024-25
(£)</t>
  </si>
  <si>
    <t>a. Estimated value of empty property relief to be granted in 2024-25</t>
  </si>
  <si>
    <t>Estimated bad debts in respect of 2024-25 rates payable</t>
  </si>
  <si>
    <t xml:space="preserve">Estimated repayments in respect of 2024-25 rates payable </t>
  </si>
  <si>
    <t>2. Estimated bad debts in respect of 2024-25 rates payable</t>
  </si>
  <si>
    <t xml:space="preserve">3. Estimated repayments in respect of 2024-25 rates payable </t>
  </si>
  <si>
    <t>This section of the form is for you to enter the gross rates value and the amount of various business rates reliefs forecast for 2024-25. This will then calculate the forecast net rates payable. These values also populate the section 31 payment calculations in Part 1.</t>
  </si>
  <si>
    <t>3.  Gross rates 2024-25 (RV x multiplier)</t>
  </si>
  <si>
    <t>5. Forecast gross rates payable in 2024-25</t>
  </si>
  <si>
    <t>14. Forecast of relief to be provided in 2024-25</t>
  </si>
  <si>
    <t>26. Forecast of relief to be provided in 2024-25</t>
  </si>
  <si>
    <t>27. Forecast of relief to be provided in 2024-25</t>
  </si>
  <si>
    <t>28. Forecast of relief to be provided in 2024-25</t>
  </si>
  <si>
    <t>38. Forecast of relief to be provided in 2024-25</t>
  </si>
  <si>
    <t>This section of the form uses entries from other parts to calculate the forecast net business rates income for the authority in 2024-25. Note that you still need to enter data for line 5 and line 9a, but otherwise it is all calculated. Also please note that Parts 1B and 1C are below.</t>
  </si>
  <si>
    <t xml:space="preserve">The payments to be made, during the course of 2024-25 to: </t>
  </si>
  <si>
    <t>12. % of non-domestic rating income to be allocated to each authority in 2024-25</t>
  </si>
  <si>
    <t>Non-Domestic Rating Income for 2024-25</t>
  </si>
  <si>
    <t>Other Income for 2024-25</t>
  </si>
  <si>
    <t>NNDR1 2024-25</t>
  </si>
  <si>
    <t>For further details on the types of checks we do see Validation notes for NNDR1 2024-25.</t>
  </si>
  <si>
    <t>Data taken from NNDR1 2023-24</t>
  </si>
  <si>
    <t>Data taken from NNDR1(Supplementary) 2023-24</t>
  </si>
  <si>
    <t>2023-24 NNDR1</t>
  </si>
  <si>
    <t>Forecast gross rates payable in 2023-24</t>
  </si>
  <si>
    <t>Forecast of relief to be provided in 2023-24 (SBR)</t>
  </si>
  <si>
    <t>Forecast of relief to be provided in 2023-24
(Charitable occupation)</t>
  </si>
  <si>
    <t>Forecast of relief to be provided in 2023-24
(CASCs)</t>
  </si>
  <si>
    <t>Forecast of relief to be provided in 2023-24
(Rural rate)</t>
  </si>
  <si>
    <t>Forecast of relief to be provided in 2023-24
(Public lavatories)</t>
  </si>
  <si>
    <t>Forecast of relief to be provided in 2023-24
(Partially occupied)</t>
  </si>
  <si>
    <t>Forecast of relief to be provided in 2023-24
(Empty premises)</t>
  </si>
  <si>
    <t>Forecast of relief to be provided in  2023-24 
(Non-profit making bodies)</t>
  </si>
  <si>
    <t>Forecast of relief to be provided in  2023-24
(CASCs)</t>
  </si>
  <si>
    <t>Forecast of relief to be provided in 2023-24
(Rural shops)</t>
  </si>
  <si>
    <t>Forecast of relief to be provided in 2023-24
(Small rural businesses)</t>
  </si>
  <si>
    <t>Forecast of relief to be provided in 2023-24
(Other ratepayers)</t>
  </si>
  <si>
    <t>Forecast of relief to be provided in 2023-24
(Rural Rate Relief)</t>
  </si>
  <si>
    <t>Forecast of relief to be provided in 2023-24
(Retail, Hospitality and Leisure Relief)</t>
  </si>
  <si>
    <t>Supporting Small Business Relief (S31) in 23-24</t>
  </si>
  <si>
    <t>2. Business rates credited and charged to the Collection Fund in 2023-24 (enter as +ve)</t>
  </si>
  <si>
    <t>10. Transfers/payments into the Collection Fund in 2023-24 in respect of a previous year's deficit</t>
  </si>
  <si>
    <t xml:space="preserve">13. Payments made, or to be made, to the Secretary of State in respect of the central share
in 2023-24 </t>
  </si>
  <si>
    <t>15. Transfers made, or to be made, to the billing authority's General Fund in respect of business rates income in 2023-24</t>
  </si>
  <si>
    <t>18. Transfers/payments made from the Collection Fund in 2023-24 in respect of a previous year's surplus</t>
  </si>
  <si>
    <t xml:space="preserve">ESTIMATED SURPLUS/(DEFICIT) ON COLLECTION FUND IN RESPECT OF FINANCIAL YEAR 2023-24 - Surplus (positive), Deficit (Negative) </t>
  </si>
  <si>
    <t>23. % for distribution of in-year surplus/deficit (i.e. 2023-24)</t>
  </si>
  <si>
    <t>Please e-mail with certification to: nndr.statistics@levellingup.gov.uk by no later than 31 January 2024.</t>
  </si>
  <si>
    <t>The completed form must be returned to nndr.statistics@levellingup.gov.uk
no later than 31 JANUARY 2024</t>
  </si>
  <si>
    <t>Surplus/deficit on Collection Fund at 31 March 2023</t>
  </si>
  <si>
    <t>Amount to be added to surplus/deficit calculation as "adjustment for 3 year spread" in 2023-23</t>
  </si>
  <si>
    <t>Collection fund closing balance at 31 March 2023 with revisions</t>
  </si>
  <si>
    <t>PART 1 : NUMBERS OF HEREDITAMENTS THAT WERE BEING GRANTED RELIEF
AS AT 31 DECEMBER 2023 *</t>
  </si>
  <si>
    <t>Number of hereditaments that were being granted relief as at
31 December 2023*</t>
  </si>
  <si>
    <t>a. Number of hereditaments that were being granted charitable relief as at 31 December 2023*</t>
  </si>
  <si>
    <t>b. Number of hereditaments that were being granted Community Amateur Sports Clubs relief as at 31 December 2023*</t>
  </si>
  <si>
    <t>c. Number of hereditaments that were being granted rural general stores, post offices, public houses, petrol filling stations and food shops relief as at 31 December 2023*</t>
  </si>
  <si>
    <t>d.  Number of hereditaments that were due public lavatories relief as at 31 December 2023*</t>
  </si>
  <si>
    <t>e. Number of hereditaments that were being granted partly occupied premises relief as at 31 December 2023*</t>
  </si>
  <si>
    <t>f. Number of hereditaments that were being granted empty property relief as at 31 December 2023*</t>
  </si>
  <si>
    <t>g. Number of hereditaments that were being granted charitable relief as at 31 December 2023*</t>
  </si>
  <si>
    <t>h. Number of hereditaments that were being granted non-profit making bodies' relief as at 31 December 2023*</t>
  </si>
  <si>
    <t>i. Number of hereditaments that were being granted Community Amateur Sports Clubs relief as at 31 December 2023*</t>
  </si>
  <si>
    <t>j. Number of hereditaments that were being granted rural shops, post offices, public houses, petrol filling stations and food shops relief as at 31 December 2023*</t>
  </si>
  <si>
    <t>k. Number of hereditaments that were being granted other small rural businesses relief as at 31 December 2023*</t>
  </si>
  <si>
    <t>l. Number of hereditaments within Designated Areas being granted discounts as at 31 December 2023*</t>
  </si>
  <si>
    <t>m. Number of hereditaments subject to a S47 local discount as at 31 December 2023*</t>
  </si>
  <si>
    <t>n. Number of hereditaments receiving Rural Rate Relief as at 31 December 2023*</t>
  </si>
  <si>
    <t>o. Number of hereditaments receiving Local Newspaper Relief as at 31 December 2023*</t>
  </si>
  <si>
    <t>p. Number of hereditaments receiving Supporting Small Business Relief as at 31 December 2023*</t>
  </si>
  <si>
    <t>q. Number of hereditaments that were being granted expanded retail, hospitality and leisure relief as at 31 December 2023*</t>
  </si>
  <si>
    <t>* The data should be as at 31 December 2023 or as soon as possible after that date.</t>
  </si>
  <si>
    <t>21. % for distribution of prior year surplus/deficit (i.e. 2022-23)</t>
  </si>
  <si>
    <t>This is in pence because it's for gross rates only</t>
  </si>
  <si>
    <t>BA Area (exc. Designated areas).</t>
  </si>
  <si>
    <t>Hereditaments using the small business rating multiplier</t>
  </si>
  <si>
    <t>Column 7</t>
  </si>
  <si>
    <t>GRAND TOTAL</t>
  </si>
  <si>
    <t>Column 6</t>
  </si>
  <si>
    <t>2. Multiplier for 2024-25 (pence)</t>
  </si>
  <si>
    <t>Supplementary multiplier adjustment factor</t>
  </si>
  <si>
    <t>Empty property relief granted to hereditaments of which were industrial properties above the threshold</t>
  </si>
  <si>
    <t>Empty property relief granted to hereditaments of which were listed buildings</t>
  </si>
  <si>
    <t>Empty property relief granted to hereditaments of which were community amateur sports clubs</t>
  </si>
  <si>
    <t>Empty property relief granted to hereditaments of which were charities</t>
  </si>
  <si>
    <t>Empty property relief granted to hereditaments of which other</t>
  </si>
  <si>
    <t>Empty property relief granted to hereditaments of which were non-industrial above the exemption threshold</t>
  </si>
  <si>
    <r>
      <rPr>
        <b/>
        <sz val="14"/>
        <rFont val="Arial"/>
        <family val="2"/>
      </rPr>
      <t>PART 4: ESTIMATED COLLECTION FUND BALANCE</t>
    </r>
    <r>
      <rPr>
        <b/>
        <sz val="12"/>
        <rFont val="Arial"/>
        <family val="2"/>
      </rPr>
      <t xml:space="preserve">
</t>
    </r>
    <r>
      <rPr>
        <sz val="12"/>
        <rFont val="Arial"/>
        <family val="2"/>
      </rPr>
      <t>This section estimates the collection fund closing balance for the current year (</t>
    </r>
    <r>
      <rPr>
        <i/>
        <sz val="12"/>
        <rFont val="Arial"/>
        <family val="2"/>
      </rPr>
      <t>not</t>
    </r>
    <r>
      <rPr>
        <sz val="12"/>
        <rFont val="Arial"/>
        <family val="2"/>
      </rPr>
      <t xml:space="preserve"> the forecast year otherwise referred to in this form).</t>
    </r>
    <r>
      <rPr>
        <b/>
        <sz val="12"/>
        <rFont val="Arial"/>
        <family val="2"/>
      </rPr>
      <t xml:space="preserve"> </t>
    </r>
    <r>
      <rPr>
        <sz val="12"/>
        <rFont val="Arial"/>
        <family val="2"/>
      </rPr>
      <t>Please refer to guidance notes for details. Note that you can edit the blue-bordered cells, but you will be asked to provide a comment explaining why they are changed from the prepopulated figures.</t>
    </r>
  </si>
  <si>
    <t xml:space="preserve">8. Baseline </t>
  </si>
  <si>
    <t xml:space="preserve">7. Transitional Protection Payment </t>
  </si>
  <si>
    <t>6. Shale oil and gas sites scheme (see Note C)</t>
  </si>
  <si>
    <t>5. Renewable Energy (see Note B)</t>
  </si>
  <si>
    <t>4. Net Rates payable less losses</t>
  </si>
  <si>
    <t>1. Sum payable by rate payers after taking account of transitional adjustments, empty property rate, mandatory and discretionary reliefs</t>
  </si>
  <si>
    <t>Hereditaments using the standard multiplier</t>
  </si>
  <si>
    <t>Empty property relief</t>
  </si>
  <si>
    <t>Relief in industrial properties above exemption threshold</t>
  </si>
  <si>
    <t>Relief in listed buildings</t>
  </si>
  <si>
    <t>Relief in Community Amateur Sports Clubs</t>
  </si>
  <si>
    <t>Relief in charities</t>
  </si>
  <si>
    <t>Relief in other hereditaments</t>
  </si>
  <si>
    <t>Relief in non-industrial properties above the exemption threshold</t>
  </si>
  <si>
    <t>r. Number of hereditaments that were being granted low carbon heat networks relief as at 31 December 2023*</t>
  </si>
  <si>
    <t>s. Number of hereditaments contributing to the small business rate relief scheme by paying the additional supplement as at 31 December 2023*</t>
  </si>
  <si>
    <t>t. Number of hereditaments that receive a discount from the small business rate relief scheme as at 31 December 2023*</t>
  </si>
  <si>
    <t>u. Number of hereditaments that pay only the small business rate multiplier and are not granted a small business rates relief discount as at 31 December 2023*</t>
  </si>
  <si>
    <t>2024-25 upper tier proportion</t>
  </si>
  <si>
    <t>2024-25 fire proportion</t>
  </si>
  <si>
    <t>2024-25 Sum</t>
  </si>
  <si>
    <t>LA Provided Baseline for 2023-24</t>
  </si>
  <si>
    <t>Uprated Baseline for 2024-25</t>
  </si>
  <si>
    <t>Pre-filled entry</t>
  </si>
  <si>
    <t>totrv_baa_sml</t>
  </si>
  <si>
    <t>totrv_da_sml</t>
  </si>
  <si>
    <t>totrv_tot_sml</t>
  </si>
  <si>
    <t>sbrmultiple_sml</t>
  </si>
  <si>
    <t>grsrate_baa_sml</t>
  </si>
  <si>
    <t>grsrate_da_sml</t>
  </si>
  <si>
    <t>grsrate_estgrow_baa_sml</t>
  </si>
  <si>
    <t>grsrate_estgrow_da_sml</t>
  </si>
  <si>
    <t>grsrate_fcast_baa_sml</t>
  </si>
  <si>
    <t>grsrate_fcast_da_sml</t>
  </si>
  <si>
    <t>grsrate_fcast_tot_sml</t>
  </si>
  <si>
    <t>transarr_fgone_baa_sml</t>
  </si>
  <si>
    <t>transarr_fgone_da_sml</t>
  </si>
  <si>
    <t>transarr_fgone_tot_sml</t>
  </si>
  <si>
    <t>transarr_estgrow_baa_sml</t>
  </si>
  <si>
    <t>transarr_estgrow_da_sml</t>
  </si>
  <si>
    <t>tpp_tot_baa_sml</t>
  </si>
  <si>
    <t>tpp_tot_da_sml</t>
  </si>
  <si>
    <t>tpp_tot_tot_sml</t>
  </si>
  <si>
    <t>sbrr_fcastpy_baa_sml</t>
  </si>
  <si>
    <t>sbrr_fcastpy_da_sml</t>
  </si>
  <si>
    <t>sbrr_fcastpy_tot_sml</t>
  </si>
  <si>
    <t>sbrrsecprop_baa_sml</t>
  </si>
  <si>
    <t>sbrrsecprop_da_sml</t>
  </si>
  <si>
    <t>sbrrsecprop_tot_sml</t>
  </si>
  <si>
    <t>mr_charity_baa_sml</t>
  </si>
  <si>
    <t>mr_charity_da_sml</t>
  </si>
  <si>
    <t>mr_charity_tot_sml</t>
  </si>
  <si>
    <t>mr_casc_baa_sml</t>
  </si>
  <si>
    <t>mr_casc_da_sml</t>
  </si>
  <si>
    <t>mr_casc_tot_sml</t>
  </si>
  <si>
    <t>mr_rural_baa_sml</t>
  </si>
  <si>
    <t>mr_rural_da_sml</t>
  </si>
  <si>
    <t>mr_rural_tot_sml</t>
  </si>
  <si>
    <t>mr_toilets_baa_sml</t>
  </si>
  <si>
    <t>mr_toilets_da_sml</t>
  </si>
  <si>
    <t>mr_toilets_tot_sml</t>
  </si>
  <si>
    <t>mr_tot_baa_sml</t>
  </si>
  <si>
    <t>mr_tot_da_sml</t>
  </si>
  <si>
    <t>mr_estgrow_baa_sml</t>
  </si>
  <si>
    <t>mr_estgrow_da_sml</t>
  </si>
  <si>
    <t>mr_fcast_baa_sml</t>
  </si>
  <si>
    <t>mr_fcast_da_sml</t>
  </si>
  <si>
    <t>mr_fcast_tot_sml</t>
  </si>
  <si>
    <t>partocc_baa_sml</t>
  </si>
  <si>
    <t>partocc_da_sml</t>
  </si>
  <si>
    <t>partocc_tot_sml</t>
  </si>
  <si>
    <t>empty_baa_sml</t>
  </si>
  <si>
    <t>empty_da_sml</t>
  </si>
  <si>
    <t>empty_tot_sml</t>
  </si>
  <si>
    <t>emptytot_baa_sml</t>
  </si>
  <si>
    <t>emptytot_da_sml</t>
  </si>
  <si>
    <t>emptytot_estgrow_baa_sml</t>
  </si>
  <si>
    <t>emptytot_estgrow_da_sml</t>
  </si>
  <si>
    <t>emptytot_fcast_baa_sml</t>
  </si>
  <si>
    <t>emptytot_fcast_da_sml</t>
  </si>
  <si>
    <t>emptytot_fcast_tot_sml</t>
  </si>
  <si>
    <t>dr_charity_baa_sml</t>
  </si>
  <si>
    <t>dr_charity_da_sml</t>
  </si>
  <si>
    <t>dr_charity_tot_sml</t>
  </si>
  <si>
    <t>dr_nonprof_baa_sml</t>
  </si>
  <si>
    <t>dr_nonprof_da_sml</t>
  </si>
  <si>
    <t>dr_nonprof_tot_sml</t>
  </si>
  <si>
    <t>dr_casc_baa_sml</t>
  </si>
  <si>
    <t>dr_casc_da_sml</t>
  </si>
  <si>
    <t>dr_casc_tot_sml</t>
  </si>
  <si>
    <t>dr_rshop_baa_sml</t>
  </si>
  <si>
    <t>dr_rshop_da_sml</t>
  </si>
  <si>
    <t>dr_rshop_tot_sml</t>
  </si>
  <si>
    <t>dr_smlrural_baa_sml</t>
  </si>
  <si>
    <t>dr_smlrural_da_sml</t>
  </si>
  <si>
    <t>dr_smlrural_tot_sml</t>
  </si>
  <si>
    <t>dr_other_baa_sml</t>
  </si>
  <si>
    <t>dr_other_da_sml</t>
  </si>
  <si>
    <t>dr_other_tot_sml</t>
  </si>
  <si>
    <t>ezcasea_sml</t>
  </si>
  <si>
    <t>ezcaseb_sml</t>
  </si>
  <si>
    <t>ezfreeports_sml</t>
  </si>
  <si>
    <t>dr_tot_baa_sml</t>
  </si>
  <si>
    <t>dr_tot_da_sml</t>
  </si>
  <si>
    <t>dr_estgrow_baa_sml</t>
  </si>
  <si>
    <t>dr_estgrow_da_sml</t>
  </si>
  <si>
    <t>dr_fcast_baa_sml</t>
  </si>
  <si>
    <t>dr_fcast_da_sml</t>
  </si>
  <si>
    <t>dr_fcast_tot_sml</t>
  </si>
  <si>
    <t>ruralplus_baa_sml</t>
  </si>
  <si>
    <t>ruralplus_da_sml</t>
  </si>
  <si>
    <t>ruralplus_tot_sml</t>
  </si>
  <si>
    <t>smlsup_baa_sml</t>
  </si>
  <si>
    <t>smlsup_da_sml</t>
  </si>
  <si>
    <t>smlsup_tot_sml</t>
  </si>
  <si>
    <t>localnews_baa_sml</t>
  </si>
  <si>
    <t>localnews_da_sml</t>
  </si>
  <si>
    <t>localnews_tot_sml</t>
  </si>
  <si>
    <t>drs31_rhl_baa_sml</t>
  </si>
  <si>
    <t>drs31_rhl_da_sml</t>
  </si>
  <si>
    <t>drs31_rhl_tot_sml</t>
  </si>
  <si>
    <t>drs31_lowcarbheat_baa_sml</t>
  </si>
  <si>
    <t>drs31_lowcarbheat_da_sml</t>
  </si>
  <si>
    <t>drs31_lowcarbheat_tot_sml</t>
  </si>
  <si>
    <t>drs31_placeholder_baa_sml</t>
  </si>
  <si>
    <t>drs31_placeholder_da_sml</t>
  </si>
  <si>
    <t>drs31_placeholder_tot_sml</t>
  </si>
  <si>
    <t>drs31_tot_baa_sml</t>
  </si>
  <si>
    <t>drs31_tot_da_sml</t>
  </si>
  <si>
    <t>drs31_estgrow_baa_sml</t>
  </si>
  <si>
    <t>drs31_estgrow_da_sml</t>
  </si>
  <si>
    <t>drs31_fcast_baa_sml</t>
  </si>
  <si>
    <t>drs31_fcast_da_sml</t>
  </si>
  <si>
    <t>drs31_fcast_tot_sml</t>
  </si>
  <si>
    <t>netrates_baa_std</t>
  </si>
  <si>
    <t>netrates_da_std</t>
  </si>
  <si>
    <t>netrates_tot_std</t>
  </si>
  <si>
    <t>totrv_baa_std</t>
  </si>
  <si>
    <t>totrv_da_std</t>
  </si>
  <si>
    <t>totrv_tot_std</t>
  </si>
  <si>
    <t>sbrmultiple_std</t>
  </si>
  <si>
    <t>grsrate_baa_std</t>
  </si>
  <si>
    <t>grsrate_da_std</t>
  </si>
  <si>
    <t>grsrate_estgrow_baa_std</t>
  </si>
  <si>
    <t>grsrate_estgrow_da_std</t>
  </si>
  <si>
    <t>grsrate_fcast_baa_std</t>
  </si>
  <si>
    <t>grsrate_fcast_da_std</t>
  </si>
  <si>
    <t>grsrate_fcast_tot_std</t>
  </si>
  <si>
    <t>transarr_fgone_baa_std</t>
  </si>
  <si>
    <t>transarr_fgone_da_std</t>
  </si>
  <si>
    <t>transarr_fgone_tot_std</t>
  </si>
  <si>
    <t>transarr_estgrow_baa_std</t>
  </si>
  <si>
    <t>transarr_estgrow_da_std</t>
  </si>
  <si>
    <t>tpp_tot_baa_std</t>
  </si>
  <si>
    <t>tpp_tot_da_std</t>
  </si>
  <si>
    <t>tpp_tot_tot_std</t>
  </si>
  <si>
    <t>sbrr_fcastpy_baa_std</t>
  </si>
  <si>
    <t>sbrr_fcastpy_da_std</t>
  </si>
  <si>
    <t>sbrr_fcastpy_tot_std</t>
  </si>
  <si>
    <t>sbrrsecprop_baa_std</t>
  </si>
  <si>
    <t>sbrrsecprop_da_std</t>
  </si>
  <si>
    <t>sbrrsecprop_tot_std</t>
  </si>
  <si>
    <t>mr_charity_baa_std</t>
  </si>
  <si>
    <t>mr_charity_da_std</t>
  </si>
  <si>
    <t>mr_charity_tot_std</t>
  </si>
  <si>
    <t>mr_casc_baa_std</t>
  </si>
  <si>
    <t>mr_casc_da_std</t>
  </si>
  <si>
    <t>mr_casc_tot_std</t>
  </si>
  <si>
    <t>mr_rural_baa_std</t>
  </si>
  <si>
    <t>mr_rural_da_std</t>
  </si>
  <si>
    <t>mr_rural_tot_std</t>
  </si>
  <si>
    <t>mr_toilets_baa_std</t>
  </si>
  <si>
    <t>mr_toilets_da_std</t>
  </si>
  <si>
    <t>mr_toilets_tot_std</t>
  </si>
  <si>
    <t>mr_tot_baa_std</t>
  </si>
  <si>
    <t>mr_tot_da_std</t>
  </si>
  <si>
    <t>mr_estgrow_baa_std</t>
  </si>
  <si>
    <t>mr_estgrow_da_std</t>
  </si>
  <si>
    <t>mr_fcast_baa_std</t>
  </si>
  <si>
    <t>mr_fcast_da_std</t>
  </si>
  <si>
    <t>mr_fcast_tot_std</t>
  </si>
  <si>
    <t>partocc_baa_std</t>
  </si>
  <si>
    <t>partocc_da_std</t>
  </si>
  <si>
    <t>partocc_tot_std</t>
  </si>
  <si>
    <t>empty_baa_std</t>
  </si>
  <si>
    <t>empty_da_std</t>
  </si>
  <si>
    <t>empty_tot_std</t>
  </si>
  <si>
    <t>emptytot_baa_std</t>
  </si>
  <si>
    <t>emptytot_da_std</t>
  </si>
  <si>
    <t>emptytot_estgrow_baa_std</t>
  </si>
  <si>
    <t>emptytot_estgrow_da_std</t>
  </si>
  <si>
    <t>emptytot_fcast_baa_std</t>
  </si>
  <si>
    <t>emptytot_fcast_da_std</t>
  </si>
  <si>
    <t>emptytot_fcast_tot_std</t>
  </si>
  <si>
    <t>dr_charity_baa_std</t>
  </si>
  <si>
    <t>dr_charity_da_std</t>
  </si>
  <si>
    <t>dr_charity_tot_std</t>
  </si>
  <si>
    <t>dr_nonprof_baa_std</t>
  </si>
  <si>
    <t>dr_nonprof_da_std</t>
  </si>
  <si>
    <t>dr_nonprof_tot_std</t>
  </si>
  <si>
    <t>dr_casc_baa_std</t>
  </si>
  <si>
    <t>dr_casc_da_std</t>
  </si>
  <si>
    <t>dr_casc_tot_std</t>
  </si>
  <si>
    <t>dr_rshop_baa_std</t>
  </si>
  <si>
    <t>dr_rshop_da_std</t>
  </si>
  <si>
    <t>dr_rshop_tot_std</t>
  </si>
  <si>
    <t>dr_smlrural_baa_std</t>
  </si>
  <si>
    <t>dr_smlrural_da_std</t>
  </si>
  <si>
    <t>dr_smlrural_tot_std</t>
  </si>
  <si>
    <t>dr_other_baa_std</t>
  </si>
  <si>
    <t>dr_other_da_std</t>
  </si>
  <si>
    <t>dr_other_tot_std</t>
  </si>
  <si>
    <t>ezcasea_std</t>
  </si>
  <si>
    <t>ezcaseb_std</t>
  </si>
  <si>
    <t>ezfreeports_std</t>
  </si>
  <si>
    <t>dr_tot_baa_std</t>
  </si>
  <si>
    <t>dr_tot_da_std</t>
  </si>
  <si>
    <t>dr_estgrow_baa_std</t>
  </si>
  <si>
    <t>dr_estgrow_da_std</t>
  </si>
  <si>
    <t>dr_fcast_baa_std</t>
  </si>
  <si>
    <t>dr_fcast_da_std</t>
  </si>
  <si>
    <t>dr_fcast_tot_std</t>
  </si>
  <si>
    <t>ruralplus_baa_std</t>
  </si>
  <si>
    <t>ruralplus_da_std</t>
  </si>
  <si>
    <t>ruralplus_tot_std</t>
  </si>
  <si>
    <t>smlsup_baa_std</t>
  </si>
  <si>
    <t>smlsup_da_std</t>
  </si>
  <si>
    <t>smlsup_tot_std</t>
  </si>
  <si>
    <t>localnews_baa_std</t>
  </si>
  <si>
    <t>localnews_da_std</t>
  </si>
  <si>
    <t>localnews_tot_std</t>
  </si>
  <si>
    <t>drs31_rhl_baa_std</t>
  </si>
  <si>
    <t>drs31_rhl_da_std</t>
  </si>
  <si>
    <t>drs31_rhl_tot_std</t>
  </si>
  <si>
    <t>drs31_lowcarbheat_baa_std</t>
  </si>
  <si>
    <t>drs31_lowcarbheat_da_std</t>
  </si>
  <si>
    <t>drs31_lowcarbheat_tot_std</t>
  </si>
  <si>
    <t>drs31_placeholder_baa_std</t>
  </si>
  <si>
    <t>drs31_placeholder_da_std</t>
  </si>
  <si>
    <t>drs31_placeholder_tot_std</t>
  </si>
  <si>
    <t>drs31_tot_baa_std</t>
  </si>
  <si>
    <t>drs31_tot_da_std</t>
  </si>
  <si>
    <t>drs31_estgrow_baa_std</t>
  </si>
  <si>
    <t>drs31_estgrow_da_std</t>
  </si>
  <si>
    <t>drs31_fcast_baa_std</t>
  </si>
  <si>
    <t>drs31_fcast_da_std</t>
  </si>
  <si>
    <t>drs31_fcast_tot_std</t>
  </si>
  <si>
    <t>drs31_renewimp_baa_std</t>
  </si>
  <si>
    <t>drs31_renewimp_da_std</t>
  </si>
  <si>
    <t>drs31_renewimp_tot_std</t>
  </si>
  <si>
    <t>drs31_renewimp_baa_sml</t>
  </si>
  <si>
    <t>drs31_renewimp_da_sml</t>
  </si>
  <si>
    <t>drs31_renewimp_tot_sml</t>
  </si>
  <si>
    <t>drs31_renewimp_baa</t>
  </si>
  <si>
    <t>drs31_renewimp_da</t>
  </si>
  <si>
    <t>drs31_renewimp_tot</t>
  </si>
  <si>
    <t>netrates_baa_1_sml</t>
  </si>
  <si>
    <t>netrates_da_1_sml</t>
  </si>
  <si>
    <t>netrates_tot_1_sml</t>
  </si>
  <si>
    <t>loss_baddebt_baa_sml</t>
  </si>
  <si>
    <t>loss_baddebt_da_1_sml</t>
  </si>
  <si>
    <t>loss_baddebt_tot_sml</t>
  </si>
  <si>
    <t>loss_repay_baa_sml</t>
  </si>
  <si>
    <t>loss_repay_da_1_sml</t>
  </si>
  <si>
    <t>loss_repay_tot_sml</t>
  </si>
  <si>
    <t>netcollect_baa_sml</t>
  </si>
  <si>
    <t>netcollect_da_1_sml</t>
  </si>
  <si>
    <t>netcollect_tot_sml</t>
  </si>
  <si>
    <t>netrates_baa_1_std</t>
  </si>
  <si>
    <t>netrates_da_1_std</t>
  </si>
  <si>
    <t>netrates_tot_1_std</t>
  </si>
  <si>
    <t>loss_baddebt_baa_std</t>
  </si>
  <si>
    <t>loss_baddebt_da_1_std</t>
  </si>
  <si>
    <t>loss_baddebt_tot_std</t>
  </si>
  <si>
    <t>loss_repay_baa_std</t>
  </si>
  <si>
    <t>loss_repay_da_1_std</t>
  </si>
  <si>
    <t>loss_repay_tot_std</t>
  </si>
  <si>
    <t>netcollect_baa_std</t>
  </si>
  <si>
    <t>netcollect_da_1_std</t>
  </si>
  <si>
    <t>netcollect_tot_std</t>
  </si>
  <si>
    <t>adj_factor_sml</t>
  </si>
  <si>
    <t>adj_factor_std</t>
  </si>
  <si>
    <t>hdit_s31_lowcarbheat</t>
  </si>
  <si>
    <t>hdit_rates_empty</t>
  </si>
  <si>
    <t>hdit_mr_empty_prev</t>
  </si>
  <si>
    <t>hdit_mr_empty_multi</t>
  </si>
  <si>
    <t>netrates_occupied</t>
  </si>
  <si>
    <t>netrates_unoccupied</t>
  </si>
  <si>
    <t>val_emptyind_pydif</t>
  </si>
  <si>
    <t>val_emptylisted_pydif</t>
  </si>
  <si>
    <t>val_emptycasc_pydif</t>
  </si>
  <si>
    <t>val_emptycharity_pydif</t>
  </si>
  <si>
    <t>val_emptyother_pydif</t>
  </si>
  <si>
    <t>val_emptyabove_pydif</t>
  </si>
  <si>
    <t>val_emptyind_pypdif</t>
  </si>
  <si>
    <t>val_emptylisted_pypdif</t>
  </si>
  <si>
    <t>val_emptycasc_pypdif</t>
  </si>
  <si>
    <t>val_emptycharity_pypdif</t>
  </si>
  <si>
    <t>val_emptyother_pypdif</t>
  </si>
  <si>
    <t>val_emptyabove_pypdif</t>
  </si>
  <si>
    <t>val_emptyind_com</t>
  </si>
  <si>
    <t>val_emptylisted_com</t>
  </si>
  <si>
    <t>val_emptycasc_com</t>
  </si>
  <si>
    <t>val_emptycharity_com</t>
  </si>
  <si>
    <t>val_emptyother_com</t>
  </si>
  <si>
    <t>val_emptyabove_com</t>
  </si>
  <si>
    <t>val_emptyind_com_text</t>
  </si>
  <si>
    <t>val_emptylisted_com_text</t>
  </si>
  <si>
    <t>val_emptycasc_com_text</t>
  </si>
  <si>
    <t>val_emptycharity_com_text</t>
  </si>
  <si>
    <t>val_emptyother_com_text</t>
  </si>
  <si>
    <t>val_emptyabove_com_text</t>
  </si>
  <si>
    <t>Enter accounting adjustments in this section, which calculations will deduct from the net rates calculated from entries in Part 2. You must break down estimated bad debts and repayments by hereditaments receiving the small and standard mutliplier, but adjustments from line 5 onwards should reflect the total of both types of hereditament.</t>
  </si>
  <si>
    <t xml:space="preserve">12. Transitional protection payments made, or to be made, in 2023-24 </t>
  </si>
  <si>
    <t xml:space="preserve">9. Transfers/payments to the Collection Fund for end-year reconciliations </t>
  </si>
  <si>
    <r>
      <t xml:space="preserve">11. Total Other Credits </t>
    </r>
    <r>
      <rPr>
        <sz val="12"/>
        <rFont val="Arial"/>
        <family val="2"/>
      </rPr>
      <t>(Total lines 8 to 10)</t>
    </r>
  </si>
  <si>
    <t>8. Transitional protection payments received, or to be received in 2023-24</t>
  </si>
  <si>
    <r>
      <t xml:space="preserve">19. Total Other Charges </t>
    </r>
    <r>
      <rPr>
        <sz val="12"/>
        <rFont val="Arial"/>
        <family val="2"/>
      </rPr>
      <t>(Total lines 12 to 18)</t>
    </r>
  </si>
  <si>
    <t>20. Opening balance plus total credits, less total charges (Total lines 1, 7, 11,19)</t>
  </si>
  <si>
    <t>Gross rates payable in year</t>
  </si>
  <si>
    <t>Cost of discretionary relief</t>
  </si>
  <si>
    <t>Cost of accounting adjustments for losses on collection</t>
  </si>
  <si>
    <t>Cost of accounting adjustments for addition to appeals provision</t>
  </si>
  <si>
    <t>Collectable Rates</t>
  </si>
  <si>
    <t>Cost of transitional arrangements</t>
  </si>
  <si>
    <t>Part 2, Line 5</t>
  </si>
  <si>
    <t>Part 2, Line 8</t>
  </si>
  <si>
    <t>Part 3, Line 2</t>
  </si>
  <si>
    <t>Part 3, Line 3</t>
  </si>
  <si>
    <t>Part 1, Line 1</t>
  </si>
  <si>
    <t>28. Cost of doubling SBRR &amp; threshold changes for 2024-25</t>
  </si>
  <si>
    <t>28a. Additional compensation for loss of supplementary multipler income</t>
  </si>
  <si>
    <t>29. Cost to authorities of maintaining relief on "first" property</t>
  </si>
  <si>
    <t xml:space="preserve">30. Cost to authorities of providing 100% rural rate relief </t>
  </si>
  <si>
    <t>37. Cost to authorities of providing relief</t>
  </si>
  <si>
    <t>38. Cost to authorities of providing relief</t>
  </si>
  <si>
    <r>
      <t>NB</t>
    </r>
    <r>
      <rPr>
        <sz val="12"/>
        <color rgb="FFFF0000"/>
        <rFont val="Arial"/>
        <family val="2"/>
      </rPr>
      <t xml:space="preserve"> To determine the amount of S31 grant due to it, the authority will have to add / deduct from the amount shown in line 39, a sum to reflect the adjustment to tariffs / top-ups in respect of the multiplier cap (See notes for Line 39)</t>
    </r>
  </si>
  <si>
    <t>8. Sum due to/(from) authority</t>
  </si>
  <si>
    <t>9. Forecast of relief to be provided in 2024-25</t>
  </si>
  <si>
    <r>
      <t xml:space="preserve">10. </t>
    </r>
    <r>
      <rPr>
        <i/>
        <sz val="12"/>
        <rFont val="Arial"/>
        <family val="2"/>
      </rPr>
      <t>of which:</t>
    </r>
    <r>
      <rPr>
        <sz val="12"/>
        <rFont val="Arial"/>
        <family val="2"/>
      </rPr>
      <t xml:space="preserve"> relief on existing properties where a 2nd property is occupied</t>
    </r>
  </si>
  <si>
    <t>11. Forecast of relief to be provided in 2024-25</t>
  </si>
  <si>
    <t>12. Forecast of relief to be provided in 2024-25</t>
  </si>
  <si>
    <t>13. Forecast of relief to be provided in 2024-25</t>
  </si>
  <si>
    <t>25. Forecast of relief to be provided in 2024-25</t>
  </si>
  <si>
    <t>37. Forecast of relief to be provided in 2024-25</t>
  </si>
  <si>
    <t>Aggregate rateable value on draft rating list at 12th November (usually use closest to 30 September, but reval means we use draft reval list) 2023</t>
  </si>
  <si>
    <t>Number of hereditaments on draft rating list at 12th November (usually use closest to 30 September, but reval means we use draft reval list) 2023</t>
  </si>
  <si>
    <t>Proportions Small and Standard</t>
  </si>
  <si>
    <t>Small</t>
  </si>
  <si>
    <t>BA</t>
  </si>
  <si>
    <t>Standard</t>
  </si>
  <si>
    <t>s31_sbrrmcap_ndri_ba</t>
  </si>
  <si>
    <t>s31_sbrrmcap_ndri_mpa</t>
  </si>
  <si>
    <t>s31_sbrrmcap_ndri_fra</t>
  </si>
  <si>
    <t>s31_sbrrmcap_ndri_tot</t>
  </si>
  <si>
    <t>s31_sbrrmcap_relief_ba</t>
  </si>
  <si>
    <t>s31_sbrrmcap_relief_mpa</t>
  </si>
  <si>
    <t>s31_sbrrmcap_relief_fra</t>
  </si>
  <si>
    <t>s31_sbrrmcap_relief_tot</t>
  </si>
  <si>
    <t>s31_renewimp_ba</t>
  </si>
  <si>
    <t>s31_renewimp_mpa</t>
  </si>
  <si>
    <t>s31_renewimp_fra</t>
  </si>
  <si>
    <t>s31_renewimp_tot</t>
  </si>
  <si>
    <t>small_share_baa</t>
  </si>
  <si>
    <t>small_share_da</t>
  </si>
  <si>
    <t>small_share_tot</t>
  </si>
  <si>
    <t>standard_share_baa</t>
  </si>
  <si>
    <t>standard_share_da</t>
  </si>
  <si>
    <t>standard_share_tot</t>
  </si>
  <si>
    <t>netrates_baa_sml</t>
  </si>
  <si>
    <t>netrates_da_sml</t>
  </si>
  <si>
    <t>netrates_tot_sml</t>
  </si>
  <si>
    <t>Additional compensation for loss of supplementary multipler income - SBRR RV BA
Oct 2018 exercise - updated with Jan revisions to NNDR3</t>
  </si>
  <si>
    <t>Additional compensation for loss of supplementary multipler income - SBRR RV DA
Oct 2018 exercise</t>
  </si>
  <si>
    <t>From NNDR3 2022-23</t>
  </si>
  <si>
    <t>15. Forecast of relief to be provided in 2024-25</t>
  </si>
  <si>
    <t>20. Forecast of 'relief' to be provided in 2024-25</t>
  </si>
  <si>
    <t>Cost of mandatory relief</t>
  </si>
  <si>
    <t>Some authorities may be unable to provide data on reliefs disaggregated by the multiplier applied to hereditaments. Please indicate if you are able to provide this data.</t>
  </si>
  <si>
    <t>Forecast of relief to be provided in 2023-24
(Rural relief top-up)</t>
  </si>
  <si>
    <t>Forms should be returned to the Department for Levelling Up, Housing and Communities by Wednesday 31 January 2024</t>
  </si>
  <si>
    <t>5. Once the form has been completed go to the validation sheet and check if any of the data require any further explanation. The data are compared with the NNDR1 for 2023-24 and, if the change in number or percentage terms is higher or lower than we would normally expect, you are asked to provide an explanation for the change in the box provided.</t>
  </si>
  <si>
    <t>confirm_disagg</t>
  </si>
  <si>
    <t>To use for any relief which is based on a set amount allocated to the authority. Set as a ridiculously high number by default so that in an emergency the 'placeholder' relief can work like a normal relief</t>
  </si>
  <si>
    <t>Part 2, Line 35 + Part 2, Line 41</t>
  </si>
  <si>
    <t>OTHER DISCRETIONARY RELIEF</t>
  </si>
  <si>
    <t>c. Estimated value of other discretionary relief to be granted in 2024-25</t>
  </si>
  <si>
    <t>ii. Relief awarded by the billing authority</t>
  </si>
  <si>
    <t>i. Relief awarded under s.47 where a Mayoral Development Corporation has assumed functions under section 47(3) and 47(6) of the 1988 Act.</t>
  </si>
  <si>
    <t>Does the LA have an MDC who might grant s.47 relief?</t>
  </si>
  <si>
    <t>value_dr_other_s47</t>
  </si>
  <si>
    <t>value_dr_other_mdc</t>
  </si>
  <si>
    <t>value_dr_other_ba</t>
  </si>
  <si>
    <t>Investment Zones relief</t>
  </si>
  <si>
    <t>s31_investzone_ba</t>
  </si>
  <si>
    <t>s31_investzone_mpa</t>
  </si>
  <si>
    <t>s31_investzone_fra</t>
  </si>
  <si>
    <t>s31_investzone_tot</t>
  </si>
  <si>
    <t>ezinvestzone_baa</t>
  </si>
  <si>
    <t>ezinvestzone_da</t>
  </si>
  <si>
    <t>ezinvestzone_tot</t>
  </si>
  <si>
    <t>ezinvestzone_baa_sml</t>
  </si>
  <si>
    <t>ezinvestzone_da_sml</t>
  </si>
  <si>
    <t>ezinvestzone_tot_sml</t>
  </si>
  <si>
    <t>ezinvestzone_baa_std</t>
  </si>
  <si>
    <t>ezinvestzone_da_std</t>
  </si>
  <si>
    <t>ezinvestzone_tot_std</t>
  </si>
  <si>
    <t>Rateable Value for BA Areas</t>
  </si>
  <si>
    <t>Rateable Value for DA Areas</t>
  </si>
  <si>
    <t>Additional yield from the small business supplement for BA Areas</t>
  </si>
  <si>
    <t>Additional yield from the small business supplement for DA Areas</t>
  </si>
  <si>
    <r>
      <t xml:space="preserve">If you are unable to disaggregate the data, please enter the requested information into </t>
    </r>
    <r>
      <rPr>
        <b/>
        <u/>
        <sz val="10"/>
        <color rgb="FFFF0000"/>
        <rFont val="Arial"/>
        <family val="2"/>
      </rPr>
      <t>'Table A'</t>
    </r>
    <r>
      <rPr>
        <b/>
        <sz val="10"/>
        <color rgb="FFFF0000"/>
        <rFont val="Arial"/>
        <family val="2"/>
      </rPr>
      <t xml:space="preserve"> on the right. Then proceed to complete the form as usual.</t>
    </r>
  </si>
  <si>
    <t>Table A</t>
  </si>
  <si>
    <r>
      <rPr>
        <vertAlign val="superscript"/>
        <sz val="12"/>
        <rFont val="Arial"/>
        <family val="2"/>
      </rPr>
      <t>1</t>
    </r>
    <r>
      <rPr>
        <sz val="12"/>
        <rFont val="Arial"/>
        <family val="2"/>
      </rPr>
      <t xml:space="preserve"> The validation for Rural relief is comparing to the total of the mandatory and discretionary aspects of the relief in 2023-24</t>
    </r>
  </si>
  <si>
    <r>
      <t>Cost of Rural relief</t>
    </r>
    <r>
      <rPr>
        <vertAlign val="superscript"/>
        <sz val="12"/>
        <rFont val="Arial"/>
        <family val="2"/>
      </rPr>
      <t>1</t>
    </r>
  </si>
  <si>
    <t>THIS TAB IS NO LONGER USED, SEE THE R CODE IN THE Q:\LGF3\LGF3Data\NNDR 1 - 3\NNDR1\2024-25\Form Prep\Cost of Collection Calculation FOLDER</t>
  </si>
  <si>
    <t>Part 1 P248 (penultimate row)</t>
  </si>
  <si>
    <t>Part 1 S248 (penultimate row)</t>
  </si>
  <si>
    <t>Part 1 F261 (penultimate row)</t>
  </si>
  <si>
    <t>Part 1 F262 (last row)</t>
  </si>
  <si>
    <t>124/499</t>
  </si>
  <si>
    <t>91/546</t>
  </si>
  <si>
    <t>Supplementary adjustment factor is set in the provisional settlement and we need to enter it somewhere in the form. Various formulae look this up</t>
  </si>
  <si>
    <t>Control for Investment Zones</t>
  </si>
  <si>
    <t>Has an Investment Zone</t>
  </si>
  <si>
    <t>This is in pounds because it's part of a calculation in pounds, needs to be multiplied by 100 when used for gross rates</t>
  </si>
  <si>
    <t>23. Surplus/Deficit at end of 2023-24 (+ve = surplus, -ve = deficit)</t>
  </si>
  <si>
    <t>COLLECTABLE RATES</t>
  </si>
  <si>
    <t>FOR INFORMATION: Breakdown of Collectable Rates</t>
  </si>
  <si>
    <t>16. Forecast of mandatory reliefs to be provided in 2024-25 (Sum of lines 9 to 16)</t>
  </si>
  <si>
    <t>17. Changes as a result of estimated growth/decline in mandatory relief
(+ = decline, - = increase)</t>
  </si>
  <si>
    <t>18. Total forecast mandatory reliefs to be provided in 2024-25</t>
  </si>
  <si>
    <t>19. Forecast of 'relief' to be provided in 2024-25</t>
  </si>
  <si>
    <t>21.  Forecast of unoccupied property 'relief' to be provided in 2024-25 (Line 19 + line 20)</t>
  </si>
  <si>
    <t>22.  Changes as a result of estimated growth/decline in unoccupied property 'relief' (+ = decline, - = increase)</t>
  </si>
  <si>
    <t>23. Total forecast unoccupied property 'relief' to be provided in 2024-25</t>
  </si>
  <si>
    <t>24. Forecast of relief to be provided in 2024-25</t>
  </si>
  <si>
    <t>29. Relief given to Case A hereditaments</t>
  </si>
  <si>
    <t>30. Relief given to Case B hereditaments</t>
  </si>
  <si>
    <t>33. Forecast of discretionary relief to be provided in 2024-25 (Sum of lines 23 to 28)</t>
  </si>
  <si>
    <t>34. Changes as a result of estimated growth/decline in discretionary relief (+ = decline, - = increase)</t>
  </si>
  <si>
    <t>35. Total forecast discretionary relief to be provided in 2024-25</t>
  </si>
  <si>
    <t>36. Forecast of relief to be provided in 2024-25</t>
  </si>
  <si>
    <t>39.  Forecast of discretionary reliefs funded through S31 grant to be provided in 2024-25 (Sum of lines 37 to 39)</t>
  </si>
  <si>
    <t>40.  Changes as a result of estimated growth/decline in Section 31 discretionary relief (+ = decline, - = increase)</t>
  </si>
  <si>
    <t>41.  Total forecast of discretionary reliefs funded through S31 grant to be provided in 2024-25</t>
  </si>
  <si>
    <t>42.  Forecast of net rates payable by rate payers after taking account of transitional adjustments, unoccupied property relief, mandatory and discretionary reliefs</t>
  </si>
  <si>
    <t>Part 2, Line 18 + Part 2, Line 23</t>
  </si>
  <si>
    <t>39.  Amount of Section 31 grant due to authorities to compensate for reliefs</t>
  </si>
  <si>
    <t>4.  Estimated growth/decline in gross rates                               (+ = increase, - = decrease)</t>
  </si>
  <si>
    <t>14. Payments made, or to be made to, major precepting authorities in respect of business 
rates income 2023-24</t>
  </si>
  <si>
    <t>16. Transfers made, or to be made, to the billing authority's General Fund; and payments made, or to be made, to a precepting authority in respect of disregarded amounts in 2023-24</t>
  </si>
  <si>
    <t>Estimated sums due from Government via Section 31 grant, to compensate authorities for the cost of changes to the business rates system announced 
in the 2013 to 2016 and 2022 to 2023 Autumn Statements, 2020 and 2021 spending reviews, and 2017 (March and November), 2018 (October) and 2021 (October) Budgets</t>
  </si>
  <si>
    <t>Cost of retail, hospitality and leisure relief</t>
  </si>
  <si>
    <t>Please Select:</t>
  </si>
  <si>
    <t>25. Cost of cap on 2014-15, 2015-16 and post-2018-19 and freezing of 2021-22, 2022-23, 2023-24 small business rates and standard business rates multipliers and the 2024-25 small business rates multiplier - Loss of net rates income</t>
  </si>
  <si>
    <t>26. Cost of cap on 2014-15, 2015-16 and post-2018-19 and freezing of 2021-22, 2022-23, 2023-24 small business rates and standard business rates multipliers and the 2024-25 small business rates multiplier - Uprating to grants in respect of Section 31 funded reliefs</t>
  </si>
  <si>
    <t>27. Total compensation for cost of cap on 2014-15, 2015-16 and post-2018-19 and freezing of 2021-22, 2022-23, 2023-24 small business rates and standard business rates multipliers and the 2024-25 small business rates multiplier</t>
  </si>
  <si>
    <t>Birmingham Knowledge Quarter</t>
  </si>
  <si>
    <t>East Birmingham and North Solihull Growth Zone</t>
  </si>
  <si>
    <t>Northern Gateway: Atom Valley </t>
  </si>
  <si>
    <t>Coventry and Warwick Gigapark </t>
  </si>
  <si>
    <t xml:space="preserve">Gateway East </t>
  </si>
  <si>
    <t>Sandwell and Dudley Growth Zone</t>
  </si>
  <si>
    <t>Manchester Smile Investment Zone </t>
  </si>
  <si>
    <t>City Centre and North East</t>
  </si>
  <si>
    <t>Blyth (Northumberland Energy Park)</t>
  </si>
  <si>
    <t>Salford Quays and Trafford Wharfside</t>
  </si>
  <si>
    <t>Manchester-Salford Smile </t>
  </si>
  <si>
    <t>City Centre </t>
  </si>
  <si>
    <t>St Helens Manufacturing and Innovation Campus </t>
  </si>
  <si>
    <t>Trafford park</t>
  </si>
  <si>
    <t>Walsall Levelling Up Zone</t>
  </si>
  <si>
    <t>Goole Tax Site</t>
  </si>
  <si>
    <t>Hull East Tax Site</t>
  </si>
  <si>
    <t>Hull East (Humber Freeport)</t>
  </si>
  <si>
    <t>Dagenham</t>
  </si>
  <si>
    <t>London Gateway</t>
  </si>
  <si>
    <t>Tilbury</t>
  </si>
  <si>
    <t>Various cells in the EZ list column N</t>
  </si>
  <si>
    <t>See "2024 DA numbers for NNDR1"</t>
  </si>
  <si>
    <t>DA baselines set very late in the process so just hardcoded into the sheet. Next year we will need to update the calculation anyway so the hardcoding shouldn't ruin the calculation next year</t>
  </si>
  <si>
    <t>IAMSS (Northern Employment Area) </t>
  </si>
  <si>
    <t>COLLECTABLE RATES (See Note A)</t>
  </si>
  <si>
    <t>COST OF COLLECTION (See Note B)</t>
  </si>
  <si>
    <t>9.  Amounts retained in respect of Renewable Energy Schemes
(See Note C)</t>
  </si>
  <si>
    <t>10. Amounts retained in respect of Shale Oil and Gas Sites Schemes (See Note D)</t>
  </si>
  <si>
    <t>PART 1C: SECTION 31 GRANT (See Note E)</t>
  </si>
  <si>
    <t>PART 2: RELIEFS AND NET RATES PAYABLE (See Note F)</t>
  </si>
  <si>
    <t>GROSS RATES PAYABLE
(All data should be entered as +ve unless specified otherwise) - See Note G</t>
  </si>
  <si>
    <t xml:space="preserve">TRANSITIONAL ARRANGEMENTS (See Note H) </t>
  </si>
  <si>
    <t>MANDATORY RELIEFS (See Note I) (All data should be entered as -ve unless specified otherwise)</t>
  </si>
  <si>
    <t>TRANSITIONAL PROTECTION PAYMENTS</t>
  </si>
  <si>
    <t>UNOCCUPIED PROPERTY (See Note K) (All data should be entered as -ve unless specified otherwise)</t>
  </si>
  <si>
    <t>Public Lavatories relief (See note J)</t>
  </si>
  <si>
    <t>DISCRETIONARY RELIEFS (See Note L) (All data should be entered as -ve unless specified otherwise)</t>
  </si>
  <si>
    <t>31. Relief given to Freeports (See Note M)</t>
  </si>
  <si>
    <t>32. Relief given to Investment Zones (See Note M)</t>
  </si>
  <si>
    <t>DISCRETIONARY RELIEFS FUNDED THROUGH SECTION 31 GRANT
(See Note N) (All data should be entered as -ve unless specified otherwise)</t>
  </si>
  <si>
    <t>Yes - able to provide disaggregated data</t>
  </si>
  <si>
    <t>Historic SBRR supplement
 (Pt 1c Line 28a only)</t>
  </si>
  <si>
    <t>Part 1 F257</t>
  </si>
  <si>
    <t>SBRR supplement multiplier for use in the "Additional compensation for loss of supplementary multipler income" calculation. This is the historic multiplier that is then applied to fixed SBRR values.</t>
  </si>
  <si>
    <t>Added in 2024-25 v1.1 form</t>
  </si>
  <si>
    <t>sbrr_supp_historic</t>
  </si>
  <si>
    <r>
      <t xml:space="preserve">* White background, green border - These cells are information cells and have the appropriate formula in them. </t>
    </r>
    <r>
      <rPr>
        <b/>
        <i/>
        <sz val="14"/>
        <rFont val="Arial"/>
        <family val="2"/>
      </rPr>
      <t xml:space="preserve">Please do not overwrite the formula.
</t>
    </r>
    <r>
      <rPr>
        <i/>
        <sz val="11"/>
        <rFont val="Arial"/>
        <family val="2"/>
      </rPr>
      <t>Some 'named ranges' are used in the calculations, and are listed here for reference:
· adj_factor: The small business multiplier adjustment factor
· adj_factor_supp: The standard multiplier adjustment factor
· Import_LA_Code: The DLUHC 'Ecode' for your local authority, used to lookup data from 'background' sheets
· Ref_LA_Codes: The list of LA Codes in the data in 'background' sheets, used to get the appropriate reference data for e.g. validations
· Ref_LA_Codes2: Same as above
- sbrr_supp_historic: The historic supplement value of 0.013 used in the additional compensation for loss of supplementary multipler income calculations (Part 1 Line 28a)
· small_share_baa: The percentage of Net collectable rates (Part 2 Line 43) in the billing authority area that is in hereditaments using the small multiplier
· small_share_da: The percentage of Net collectable rates (Part 2 Line 43) in DAs that is in hereditaments using the small multiplier
· small_share_tot: The percentage of Net collectable rates (Part 2 Line 43) that is in hereditaments using the small multiplier
· standard_share_baa: The percentage of Net collectable rates (Part 2 Line 43) in the billing authority area that is in hereditaments using the standard multiplier
· standard_share_da: The percentage of Net collectable rates (Part 2 Line 43) in DAs that is in hereditaments using the standard multiplier
· standard_share_tot: The percentage of Net collectable rates (Part 2 Line 43) that is in hereditaments using the standard multiplier</t>
    </r>
  </si>
  <si>
    <r>
      <t xml:space="preserve">To reflect changes in the Non-Domestic Rating Act 2023 to how the business rates multipliers are calculated, the structure of NNDR1 form has changed. The form collects data on rateable value, reliefs and accounting adjustments split between amounts relating to hereditaments on the small business rates multiplier and hereditaments on the standard multiplier. This will allow the form to accurately calculate compensation for the multiplier cap (Part 1 Lines 25 and 26). There is an option to provide ‘aggregated’ data if your authority does not have his disaggregated data available for reliefs and accounting adjustments. This option will still require Rateable Value to be entered on a disaggregated basis, which can be calculated using the value which was used on previous forms for the additional yield from the supplementary multiplier.
The form also reflects changes in reliefs that will be in place for 2024-25, including the rural relief and low carbon heat network relief becoming entirely mandatory. The lines relating to the retail, hospitality and leisure relief is retained from previous years, but entries on that line should reflect the 2024-25 guidance.
</t>
    </r>
    <r>
      <rPr>
        <b/>
        <sz val="14"/>
        <rFont val="Arial"/>
        <family val="2"/>
      </rPr>
      <t>Revised 2024-25 form</t>
    </r>
    <r>
      <rPr>
        <sz val="14"/>
        <rFont val="Arial"/>
        <family val="2"/>
      </rPr>
      <t>: Version v1.1 of the form reflects a change to one of the factors in the calculation in Part 1 Line 28a. Form reissued on 20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</si>
</sst>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000"/>
    <numFmt numFmtId="167" formatCode="#,##0.000000000000"/>
    <numFmt numFmtId="168" formatCode="#,##0.000000000000000"/>
    <numFmt numFmtId="169" formatCode="0.0"/>
    <numFmt numFmtId="170" formatCode="#,##0.0"/>
    <numFmt numFmtId="171" formatCode="0000"/>
    <numFmt numFmtId="172" formatCode="0.00000"/>
    <numFmt numFmtId="173" formatCode="0.000000000000000"/>
    <numFmt numFmtId="174" formatCode="0.000"/>
    <numFmt numFmtId="175" formatCode="0.0%"/>
  </numFmts>
  <fonts count="144" x14ac:knownFonts="1">
    <font>
      <sz val="10"/>
      <name val="Arial"/>
    </font>
    <font>
      <sz val="11"/>
      <color theme="1"/>
      <name val="Calibri"/>
      <family val="2"/>
      <scheme val="minor"/>
    </font>
    <font>
      <sz val="11"/>
      <color theme="1"/>
      <name val="Calibri"/>
      <family val="2"/>
      <scheme val="minor"/>
    </font>
    <font>
      <sz val="12"/>
      <color theme="1"/>
      <name val="Arial"/>
      <family val="2"/>
    </font>
    <font>
      <sz val="10"/>
      <name val="Arial"/>
      <family val="2"/>
    </font>
    <font>
      <b/>
      <sz val="10"/>
      <name val="Arial"/>
      <family val="2"/>
    </font>
    <font>
      <sz val="10"/>
      <name val="Arial"/>
      <family val="2"/>
    </font>
    <font>
      <sz val="8"/>
      <name val="Arial"/>
      <family val="2"/>
    </font>
    <font>
      <sz val="12"/>
      <name val="Arial"/>
      <family val="2"/>
    </font>
    <font>
      <b/>
      <u/>
      <sz val="12"/>
      <name val="Arial"/>
      <family val="2"/>
    </font>
    <font>
      <b/>
      <sz val="12"/>
      <name val="Arial"/>
      <family val="2"/>
    </font>
    <font>
      <sz val="12"/>
      <color indexed="17"/>
      <name val="Arial"/>
      <family val="2"/>
    </font>
    <font>
      <b/>
      <sz val="12"/>
      <name val="Arial"/>
      <family val="2"/>
    </font>
    <font>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8"/>
      <name val="Arial"/>
      <family val="2"/>
    </font>
    <font>
      <b/>
      <sz val="14"/>
      <name val="Arial"/>
      <family val="2"/>
    </font>
    <font>
      <b/>
      <sz val="16"/>
      <name val="Arial"/>
      <family val="2"/>
    </font>
    <font>
      <sz val="14"/>
      <name val="Arial"/>
      <family val="2"/>
    </font>
    <font>
      <sz val="14"/>
      <name val="Arial"/>
      <family val="2"/>
    </font>
    <font>
      <b/>
      <u/>
      <sz val="14"/>
      <name val="Arial"/>
      <family val="2"/>
    </font>
    <font>
      <i/>
      <sz val="14"/>
      <name val="Arial"/>
      <family val="2"/>
    </font>
    <font>
      <b/>
      <i/>
      <sz val="14"/>
      <name val="Arial"/>
      <family val="2"/>
    </font>
    <font>
      <b/>
      <sz val="14"/>
      <name val="Arial"/>
      <family val="2"/>
    </font>
    <font>
      <sz val="14"/>
      <color indexed="10"/>
      <name val="Arial"/>
      <family val="2"/>
    </font>
    <font>
      <sz val="12"/>
      <color indexed="10"/>
      <name val="Arial"/>
      <family val="2"/>
    </font>
    <font>
      <sz val="10"/>
      <color indexed="10"/>
      <name val="Arial"/>
      <family val="2"/>
    </font>
    <font>
      <b/>
      <sz val="12"/>
      <color indexed="10"/>
      <name val="Arial"/>
      <family val="2"/>
    </font>
    <font>
      <b/>
      <sz val="8"/>
      <color indexed="10"/>
      <name val="Arial"/>
      <family val="2"/>
    </font>
    <font>
      <i/>
      <sz val="12"/>
      <name val="Arial"/>
      <family val="2"/>
    </font>
    <font>
      <sz val="12"/>
      <color indexed="10"/>
      <name val="Arial"/>
      <family val="2"/>
    </font>
    <font>
      <b/>
      <sz val="12"/>
      <color indexed="10"/>
      <name val="Arial"/>
      <family val="2"/>
    </font>
    <font>
      <sz val="10"/>
      <color indexed="10"/>
      <name val="Arial"/>
      <family val="2"/>
    </font>
    <font>
      <sz val="8"/>
      <color indexed="10"/>
      <name val="Arial"/>
      <family val="2"/>
    </font>
    <font>
      <sz val="11"/>
      <color indexed="10"/>
      <name val="Arial"/>
      <family val="2"/>
    </font>
    <font>
      <i/>
      <sz val="10"/>
      <name val="Arial"/>
      <family val="2"/>
    </font>
    <font>
      <sz val="12"/>
      <color indexed="44"/>
      <name val="Arial"/>
      <family val="2"/>
    </font>
    <font>
      <sz val="12"/>
      <color indexed="10"/>
      <name val="Arial"/>
      <family val="2"/>
    </font>
    <font>
      <b/>
      <sz val="12"/>
      <color indexed="10"/>
      <name val="Arial"/>
      <family val="2"/>
    </font>
    <font>
      <sz val="9"/>
      <name val="Arial"/>
      <family val="2"/>
    </font>
    <font>
      <b/>
      <i/>
      <sz val="12"/>
      <name val="Arial"/>
      <family val="2"/>
    </font>
    <font>
      <b/>
      <sz val="14"/>
      <color indexed="10"/>
      <name val="Arial"/>
      <family val="2"/>
    </font>
    <font>
      <b/>
      <sz val="11"/>
      <color indexed="10"/>
      <name val="Arial"/>
      <family val="2"/>
    </font>
    <font>
      <sz val="10"/>
      <color indexed="22"/>
      <name val="Arial"/>
      <family val="2"/>
    </font>
    <font>
      <b/>
      <u/>
      <sz val="10"/>
      <name val="Arial"/>
      <family val="2"/>
    </font>
    <font>
      <u/>
      <sz val="10"/>
      <color indexed="10"/>
      <name val="Arial"/>
      <family val="2"/>
    </font>
    <font>
      <u/>
      <sz val="8"/>
      <color indexed="9"/>
      <name val="Arial"/>
      <family val="2"/>
    </font>
    <font>
      <sz val="11"/>
      <color indexed="12"/>
      <name val="Arial"/>
      <family val="2"/>
    </font>
    <font>
      <b/>
      <sz val="18"/>
      <name val="Arial"/>
      <family val="2"/>
    </font>
    <font>
      <b/>
      <sz val="12"/>
      <name val="Wingdings"/>
      <charset val="2"/>
    </font>
    <font>
      <sz val="12"/>
      <name val="Wingdings 2"/>
      <family val="1"/>
      <charset val="2"/>
    </font>
    <font>
      <b/>
      <sz val="12"/>
      <color rgb="FFFF0000"/>
      <name val="Arial"/>
      <family val="2"/>
    </font>
    <font>
      <sz val="10"/>
      <color theme="1"/>
      <name val="Arial"/>
      <family val="2"/>
    </font>
    <font>
      <sz val="11"/>
      <color theme="1"/>
      <name val="Calibri"/>
      <family val="2"/>
    </font>
    <font>
      <i/>
      <sz val="11"/>
      <color rgb="FFFF0000"/>
      <name val="Calibri"/>
      <family val="2"/>
    </font>
    <font>
      <b/>
      <sz val="10"/>
      <color rgb="FFFF0000"/>
      <name val="Arial"/>
      <family val="2"/>
    </font>
    <font>
      <sz val="12"/>
      <color rgb="FFFF0000"/>
      <name val="Arial"/>
      <family val="2"/>
    </font>
    <font>
      <sz val="12"/>
      <color theme="0"/>
      <name val="Arial"/>
      <family val="2"/>
    </font>
    <font>
      <b/>
      <sz val="12"/>
      <color theme="0"/>
      <name val="Arial"/>
      <family val="2"/>
    </font>
    <font>
      <b/>
      <sz val="8"/>
      <color theme="0"/>
      <name val="Arial"/>
      <family val="2"/>
    </font>
    <font>
      <sz val="10"/>
      <color theme="0"/>
      <name val="Arial"/>
      <family val="2"/>
    </font>
    <font>
      <b/>
      <sz val="10"/>
      <color theme="0"/>
      <name val="Arial"/>
      <family val="2"/>
    </font>
    <font>
      <b/>
      <sz val="11"/>
      <color rgb="FFFF0000"/>
      <name val="Arial"/>
      <family val="2"/>
    </font>
    <font>
      <sz val="11"/>
      <color rgb="FFFF0000"/>
      <name val="Calibri"/>
      <family val="2"/>
    </font>
    <font>
      <b/>
      <sz val="8"/>
      <color theme="0" tint="-0.249977111117893"/>
      <name val="Arial"/>
      <family val="2"/>
    </font>
    <font>
      <sz val="14"/>
      <color rgb="FFFF0000"/>
      <name val="Arial"/>
      <family val="2"/>
    </font>
    <font>
      <sz val="10"/>
      <color rgb="FFFF0000"/>
      <name val="Arial"/>
      <family val="2"/>
    </font>
    <font>
      <strike/>
      <sz val="12"/>
      <color rgb="FFFF0000"/>
      <name val="Arial"/>
      <family val="2"/>
    </font>
    <font>
      <strike/>
      <sz val="10"/>
      <color rgb="FFFF0000"/>
      <name val="Arial"/>
      <family val="2"/>
    </font>
    <font>
      <b/>
      <sz val="16"/>
      <color rgb="FFFF0000"/>
      <name val="Arial"/>
      <family val="2"/>
    </font>
    <font>
      <b/>
      <sz val="12"/>
      <color rgb="FFFFFFCC"/>
      <name val="Arial"/>
      <family val="2"/>
    </font>
    <font>
      <b/>
      <sz val="11"/>
      <name val="Calibri"/>
      <family val="2"/>
    </font>
    <font>
      <i/>
      <u/>
      <sz val="14"/>
      <name val="Arial"/>
      <family val="2"/>
    </font>
    <font>
      <sz val="16"/>
      <color rgb="FFFF0000"/>
      <name val="Arial"/>
      <family val="2"/>
    </font>
    <font>
      <u/>
      <sz val="10"/>
      <color theme="10"/>
      <name val="Arial"/>
      <family val="2"/>
    </font>
    <font>
      <sz val="11"/>
      <color theme="1"/>
      <name val="Calibri"/>
      <family val="2"/>
      <scheme val="minor"/>
    </font>
    <font>
      <u/>
      <sz val="14"/>
      <name val="Arial"/>
      <family val="2"/>
    </font>
    <font>
      <sz val="10"/>
      <color rgb="FF141414"/>
      <name val="Arial"/>
      <family val="2"/>
    </font>
    <font>
      <sz val="11"/>
      <name val="Calibri"/>
      <family val="2"/>
    </font>
    <font>
      <sz val="11"/>
      <color rgb="FF7030A0"/>
      <name val="Calibri"/>
      <family val="2"/>
    </font>
    <font>
      <b/>
      <sz val="10"/>
      <color indexed="10"/>
      <name val="Arial"/>
      <family val="2"/>
    </font>
    <font>
      <sz val="10"/>
      <color theme="0" tint="-0.249977111117893"/>
      <name val="Arial"/>
      <family val="2"/>
    </font>
    <font>
      <b/>
      <sz val="14"/>
      <color rgb="FFFFFF99"/>
      <name val="Arial"/>
      <family val="2"/>
    </font>
    <font>
      <b/>
      <sz val="13"/>
      <name val="Arial"/>
      <family val="2"/>
    </font>
    <font>
      <sz val="10"/>
      <color indexed="9"/>
      <name val="Arial"/>
      <family val="2"/>
    </font>
    <font>
      <sz val="10"/>
      <color indexed="43"/>
      <name val="Arial"/>
      <family val="2"/>
    </font>
    <font>
      <sz val="18"/>
      <color indexed="9"/>
      <name val="Arial"/>
      <family val="2"/>
    </font>
    <font>
      <b/>
      <sz val="18"/>
      <color indexed="9"/>
      <name val="Arial"/>
      <family val="2"/>
    </font>
    <font>
      <u/>
      <sz val="12"/>
      <color indexed="12"/>
      <name val="Arial"/>
      <family val="2"/>
    </font>
    <font>
      <b/>
      <u/>
      <sz val="12"/>
      <color rgb="FFFF0000"/>
      <name val="Arial"/>
      <family val="2"/>
    </font>
    <font>
      <b/>
      <sz val="18"/>
      <color rgb="FFFF0000"/>
      <name val="Arial"/>
      <family val="2"/>
    </font>
    <font>
      <sz val="14"/>
      <color rgb="FFFFFF99"/>
      <name val="Arial"/>
      <family val="2"/>
    </font>
    <font>
      <sz val="10"/>
      <color theme="6" tint="0.39997558519241921"/>
      <name val="Arial"/>
      <family val="2"/>
    </font>
    <font>
      <sz val="9"/>
      <color theme="6" tint="0.39997558519241921"/>
      <name val="Arial"/>
      <family val="2"/>
    </font>
    <font>
      <sz val="9"/>
      <color indexed="81"/>
      <name val="Tahoma"/>
      <family val="2"/>
    </font>
    <font>
      <b/>
      <sz val="9"/>
      <color indexed="81"/>
      <name val="Tahoma"/>
      <family val="2"/>
    </font>
    <font>
      <u/>
      <sz val="14"/>
      <color theme="10"/>
      <name val="Arial"/>
      <family val="2"/>
    </font>
    <font>
      <sz val="11"/>
      <color rgb="FFFF0000"/>
      <name val="Calibri"/>
      <family val="2"/>
      <scheme val="minor"/>
    </font>
    <font>
      <sz val="12"/>
      <color theme="1" tint="0.499984740745262"/>
      <name val="Arial"/>
      <family val="2"/>
    </font>
    <font>
      <b/>
      <sz val="12"/>
      <color theme="1" tint="0.499984740745262"/>
      <name val="Arial"/>
      <family val="2"/>
    </font>
    <font>
      <sz val="11"/>
      <color theme="0"/>
      <name val="Calibri"/>
      <family val="2"/>
      <scheme val="minor"/>
    </font>
    <font>
      <b/>
      <sz val="11"/>
      <color theme="0"/>
      <name val="Calibri"/>
      <family val="2"/>
    </font>
    <font>
      <sz val="9"/>
      <color rgb="FFFF0000"/>
      <name val="Arial"/>
      <family val="2"/>
    </font>
    <font>
      <sz val="12"/>
      <color rgb="FFFFFFCC"/>
      <name val="Arial"/>
      <family val="2"/>
    </font>
    <font>
      <sz val="10"/>
      <name val="Tahoma"/>
      <family val="2"/>
    </font>
    <font>
      <sz val="10.5"/>
      <name val="Segoe UI"/>
      <family val="2"/>
    </font>
    <font>
      <sz val="10"/>
      <color rgb="FF0000FF"/>
      <name val="Arial"/>
      <family val="2"/>
    </font>
    <font>
      <sz val="8"/>
      <name val="Arial"/>
      <family val="2"/>
    </font>
    <font>
      <b/>
      <strike/>
      <sz val="12"/>
      <name val="Arial"/>
      <family val="2"/>
    </font>
    <font>
      <strike/>
      <sz val="12"/>
      <name val="Arial"/>
      <family val="2"/>
    </font>
    <font>
      <strike/>
      <sz val="10"/>
      <name val="Arial"/>
      <family val="2"/>
    </font>
    <font>
      <strike/>
      <sz val="12"/>
      <color theme="0"/>
      <name val="Arial"/>
      <family val="2"/>
    </font>
    <font>
      <sz val="8"/>
      <color theme="0" tint="-0.249977111117893"/>
      <name val="Arial"/>
      <family val="2"/>
    </font>
    <font>
      <sz val="10"/>
      <color rgb="FFFFFFCC"/>
      <name val="Arial"/>
      <family val="2"/>
    </font>
    <font>
      <strike/>
      <sz val="10"/>
      <color indexed="10"/>
      <name val="Arial"/>
      <family val="2"/>
    </font>
    <font>
      <vertAlign val="superscript"/>
      <sz val="12"/>
      <name val="Arial"/>
      <family val="2"/>
    </font>
    <font>
      <i/>
      <sz val="11"/>
      <name val="Arial"/>
      <family val="2"/>
    </font>
    <font>
      <b/>
      <sz val="12"/>
      <color rgb="FFC4D79B"/>
      <name val="Arial"/>
      <family val="2"/>
    </font>
    <font>
      <b/>
      <u/>
      <sz val="14"/>
      <color rgb="FFFF0000"/>
      <name val="Arial"/>
      <family val="2"/>
    </font>
    <font>
      <i/>
      <sz val="12"/>
      <color rgb="FFFF0000"/>
      <name val="Arial"/>
      <family val="2"/>
    </font>
    <font>
      <b/>
      <i/>
      <sz val="12"/>
      <color rgb="FFFF0000"/>
      <name val="Arial"/>
      <family val="2"/>
    </font>
    <font>
      <i/>
      <sz val="10"/>
      <color rgb="FFFF0000"/>
      <name val="Arial"/>
      <family val="2"/>
    </font>
    <font>
      <b/>
      <u/>
      <sz val="10"/>
      <color rgb="FFFF0000"/>
      <name val="Arial"/>
      <family val="2"/>
    </font>
    <font>
      <u/>
      <sz val="10"/>
      <color rgb="FF0000FF"/>
      <name val="Arial"/>
      <family val="2"/>
    </font>
    <font>
      <b/>
      <sz val="14"/>
      <color rgb="FFFF0000"/>
      <name val="Arial"/>
      <family val="2"/>
    </font>
    <font>
      <b/>
      <sz val="12"/>
      <color rgb="FFCC0000"/>
      <name val="Arial"/>
      <family val="2"/>
    </font>
  </fonts>
  <fills count="5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99CCFF"/>
        <bgColor indexed="64"/>
      </patternFill>
    </fill>
    <fill>
      <patternFill patternType="solid">
        <fgColor rgb="FFDDD9C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000080"/>
        <bgColor indexed="64"/>
      </patternFill>
    </fill>
    <fill>
      <patternFill patternType="solid">
        <fgColor indexed="18"/>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CCFFCC"/>
        <bgColor indexed="64"/>
      </patternFill>
    </fill>
    <fill>
      <patternFill patternType="solid">
        <fgColor rgb="FFC4D79B"/>
        <bgColor indexed="64"/>
      </patternFill>
    </fill>
    <fill>
      <patternFill patternType="solid">
        <fgColor theme="7" tint="0.39997558519241921"/>
        <bgColor indexed="64"/>
      </patternFill>
    </fill>
    <fill>
      <patternFill patternType="solid">
        <fgColor rgb="FFCCCCFF"/>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C000"/>
        <bgColor indexed="64"/>
      </patternFill>
    </fill>
  </fills>
  <borders count="15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57"/>
      </left>
      <right/>
      <top style="medium">
        <color indexed="57"/>
      </top>
      <bottom/>
      <diagonal/>
    </border>
    <border>
      <left style="medium">
        <color indexed="57"/>
      </left>
      <right/>
      <top/>
      <bottom/>
      <diagonal/>
    </border>
    <border>
      <left style="medium">
        <color indexed="57"/>
      </left>
      <right/>
      <top/>
      <bottom style="medium">
        <color indexed="57"/>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53"/>
      </left>
      <right/>
      <top style="medium">
        <color indexed="53"/>
      </top>
      <bottom/>
      <diagonal/>
    </border>
    <border>
      <left/>
      <right/>
      <top style="medium">
        <color indexed="53"/>
      </top>
      <bottom/>
      <diagonal/>
    </border>
    <border>
      <left style="medium">
        <color indexed="53"/>
      </left>
      <right/>
      <top/>
      <bottom/>
      <diagonal/>
    </border>
    <border>
      <left style="medium">
        <color indexed="53"/>
      </left>
      <right/>
      <top/>
      <bottom style="medium">
        <color indexed="53"/>
      </bottom>
      <diagonal/>
    </border>
    <border>
      <left/>
      <right/>
      <top/>
      <bottom style="medium">
        <color indexed="5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17"/>
      </left>
      <right style="thick">
        <color indexed="17"/>
      </right>
      <top style="thick">
        <color indexed="17"/>
      </top>
      <bottom style="thick">
        <color indexed="17"/>
      </bottom>
      <diagonal/>
    </border>
    <border>
      <left style="thick">
        <color indexed="39"/>
      </left>
      <right style="thick">
        <color indexed="39"/>
      </right>
      <top style="thick">
        <color indexed="39"/>
      </top>
      <bottom style="thick">
        <color indexed="39"/>
      </bottom>
      <diagonal/>
    </border>
    <border>
      <left/>
      <right/>
      <top style="medium">
        <color indexed="57"/>
      </top>
      <bottom/>
      <diagonal/>
    </border>
    <border>
      <left/>
      <right/>
      <top/>
      <bottom style="medium">
        <color indexed="57"/>
      </bottom>
      <diagonal/>
    </border>
    <border>
      <left/>
      <right style="medium">
        <color indexed="31"/>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17"/>
      </left>
      <right style="medium">
        <color indexed="17"/>
      </right>
      <top style="medium">
        <color indexed="17"/>
      </top>
      <bottom style="medium">
        <color indexed="17"/>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44"/>
      </left>
      <right/>
      <top style="medium">
        <color indexed="44"/>
      </top>
      <bottom/>
      <diagonal/>
    </border>
    <border>
      <left/>
      <right/>
      <top style="medium">
        <color indexed="44"/>
      </top>
      <bottom/>
      <diagonal/>
    </border>
    <border>
      <left style="medium">
        <color indexed="44"/>
      </left>
      <right/>
      <top/>
      <bottom/>
      <diagonal/>
    </border>
    <border>
      <left style="medium">
        <color indexed="44"/>
      </left>
      <right/>
      <top/>
      <bottom style="medium">
        <color indexed="44"/>
      </bottom>
      <diagonal/>
    </border>
    <border>
      <left/>
      <right/>
      <top/>
      <bottom style="medium">
        <color indexed="4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53"/>
      </right>
      <top style="medium">
        <color indexed="53"/>
      </top>
      <bottom/>
      <diagonal/>
    </border>
    <border>
      <left/>
      <right style="medium">
        <color indexed="53"/>
      </right>
      <top/>
      <bottom/>
      <diagonal/>
    </border>
    <border>
      <left/>
      <right style="medium">
        <color indexed="53"/>
      </right>
      <top/>
      <bottom style="medium">
        <color indexed="53"/>
      </bottom>
      <diagonal/>
    </border>
    <border>
      <left/>
      <right style="medium">
        <color indexed="57"/>
      </right>
      <top style="medium">
        <color indexed="57"/>
      </top>
      <bottom/>
      <diagonal/>
    </border>
    <border>
      <left/>
      <right style="medium">
        <color indexed="57"/>
      </right>
      <top/>
      <bottom/>
      <diagonal/>
    </border>
    <border>
      <left/>
      <right style="medium">
        <color indexed="57"/>
      </right>
      <top/>
      <bottom style="medium">
        <color indexed="57"/>
      </bottom>
      <diagonal/>
    </border>
    <border>
      <left style="medium">
        <color indexed="30"/>
      </left>
      <right style="medium">
        <color indexed="30"/>
      </right>
      <top style="medium">
        <color indexed="30"/>
      </top>
      <bottom style="medium">
        <color indexed="30"/>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17"/>
      </bottom>
      <diagonal/>
    </border>
    <border>
      <left/>
      <right/>
      <top style="medium">
        <color indexed="17"/>
      </top>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indexed="31"/>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indexed="31"/>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indexed="31"/>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indexed="31"/>
      </right>
      <top/>
      <bottom style="medium">
        <color theme="3" tint="-0.499984740745262"/>
      </bottom>
      <diagonal/>
    </border>
    <border>
      <left/>
      <right style="medium">
        <color theme="3" tint="-0.499984740745262"/>
      </right>
      <top/>
      <bottom style="medium">
        <color theme="3" tint="-0.499984740745262"/>
      </bottom>
      <diagonal/>
    </border>
    <border>
      <left style="medium">
        <color rgb="FFFF6600"/>
      </left>
      <right/>
      <top/>
      <bottom/>
      <diagonal/>
    </border>
    <border>
      <left style="medium">
        <color rgb="FFFF6600"/>
      </left>
      <right/>
      <top style="medium">
        <color indexed="53"/>
      </top>
      <bottom/>
      <diagonal/>
    </border>
    <border>
      <left style="medium">
        <color rgb="FFFF6600"/>
      </left>
      <right/>
      <top/>
      <bottom style="medium">
        <color indexed="53"/>
      </bottom>
      <diagonal/>
    </border>
    <border>
      <left style="medium">
        <color rgb="FFFF6600"/>
      </left>
      <right/>
      <top/>
      <bottom style="medium">
        <color rgb="FFFF6600"/>
      </bottom>
      <diagonal/>
    </border>
    <border>
      <left style="medium">
        <color rgb="FFFF6600"/>
      </left>
      <right/>
      <top style="medium">
        <color rgb="FFFF6600"/>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medium">
        <color indexed="53"/>
      </top>
      <bottom/>
      <diagonal/>
    </border>
    <border>
      <left style="medium">
        <color indexed="53"/>
      </left>
      <right/>
      <top style="medium">
        <color indexed="53"/>
      </top>
      <bottom/>
      <diagonal/>
    </border>
    <border>
      <left/>
      <right/>
      <top/>
      <bottom style="medium">
        <color rgb="FFFF6600"/>
      </bottom>
      <diagonal/>
    </border>
    <border>
      <left/>
      <right/>
      <top style="medium">
        <color rgb="FFFF6600"/>
      </top>
      <bottom/>
      <diagonal/>
    </border>
    <border>
      <left style="medium">
        <color rgb="FF008000"/>
      </left>
      <right style="medium">
        <color rgb="FF008000"/>
      </right>
      <top style="medium">
        <color rgb="FF008000"/>
      </top>
      <bottom style="medium">
        <color rgb="FF008000"/>
      </bottom>
      <diagonal/>
    </border>
    <border>
      <left/>
      <right/>
      <top/>
      <bottom style="medium">
        <color rgb="FF008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medium">
        <color rgb="FF008000"/>
      </right>
      <top style="medium">
        <color rgb="FF008000"/>
      </top>
      <bottom style="medium">
        <color rgb="FF008000"/>
      </bottom>
      <diagonal/>
    </border>
    <border>
      <left style="medium">
        <color rgb="FF008000"/>
      </left>
      <right style="thin">
        <color rgb="FFFF0000"/>
      </right>
      <top style="medium">
        <color rgb="FF008000"/>
      </top>
      <bottom style="medium">
        <color rgb="FF008000"/>
      </bottom>
      <diagonal/>
    </border>
    <border>
      <left style="thin">
        <color rgb="FFFF0000"/>
      </left>
      <right/>
      <top style="medium">
        <color rgb="FF008000"/>
      </top>
      <bottom/>
      <diagonal/>
    </border>
    <border>
      <left/>
      <right style="medium">
        <color auto="1"/>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rgb="FFFF0000"/>
      </right>
      <top style="medium">
        <color rgb="FF008000"/>
      </top>
      <bottom/>
      <diagonal/>
    </border>
    <border>
      <left style="medium">
        <color rgb="FFCCCCFF"/>
      </left>
      <right style="medium">
        <color indexed="64"/>
      </right>
      <top/>
      <bottom/>
      <diagonal/>
    </border>
    <border>
      <left style="medium">
        <color rgb="FFCCCCFF"/>
      </left>
      <right/>
      <top style="medium">
        <color indexed="57"/>
      </top>
      <bottom/>
      <diagonal/>
    </border>
    <border>
      <left style="medium">
        <color rgb="FFCCCCFF"/>
      </left>
      <right/>
      <top/>
      <bottom/>
      <diagonal/>
    </border>
    <border>
      <left style="medium">
        <color rgb="FFCCCCFF"/>
      </left>
      <right/>
      <top/>
      <bottom style="medium">
        <color indexed="57"/>
      </bottom>
      <diagonal/>
    </border>
    <border>
      <left/>
      <right/>
      <top style="double">
        <color auto="1"/>
      </top>
      <bottom style="thin">
        <color auto="1"/>
      </bottom>
      <diagonal/>
    </border>
    <border>
      <left/>
      <right/>
      <top style="medium">
        <color auto="1"/>
      </top>
      <bottom/>
      <diagonal/>
    </border>
    <border>
      <left style="medium">
        <color indexed="17"/>
      </left>
      <right style="medium">
        <color rgb="FF008000"/>
      </right>
      <top style="medium">
        <color indexed="17"/>
      </top>
      <bottom style="medium">
        <color indexed="17"/>
      </bottom>
      <diagonal/>
    </border>
    <border>
      <left style="medium">
        <color rgb="FF008000"/>
      </left>
      <right style="medium">
        <color rgb="FF008000"/>
      </right>
      <top style="medium">
        <color indexed="17"/>
      </top>
      <bottom style="medium">
        <color rgb="FF008000"/>
      </bottom>
      <diagonal/>
    </border>
    <border>
      <left style="medium">
        <color rgb="FF0066CC"/>
      </left>
      <right style="medium">
        <color rgb="FF0066CC"/>
      </right>
      <top style="medium">
        <color rgb="FF0066CC"/>
      </top>
      <bottom style="medium">
        <color rgb="FF0066CC"/>
      </bottom>
      <diagonal/>
    </border>
    <border>
      <left style="medium">
        <color rgb="FF0000FF"/>
      </left>
      <right style="medium">
        <color rgb="FF0000FF"/>
      </right>
      <top style="medium">
        <color rgb="FF0000FF"/>
      </top>
      <bottom style="medium">
        <color rgb="FF0000FF"/>
      </bottom>
      <diagonal/>
    </border>
    <border>
      <left style="medium">
        <color auto="1"/>
      </left>
      <right/>
      <top/>
      <bottom/>
      <diagonal/>
    </border>
    <border>
      <left/>
      <right style="medium">
        <color indexed="57"/>
      </right>
      <top/>
      <bottom/>
      <diagonal/>
    </border>
    <border>
      <left/>
      <right style="medium">
        <color indexed="53"/>
      </right>
      <top/>
      <bottom/>
      <diagonal/>
    </border>
    <border>
      <left/>
      <right style="medium">
        <color indexed="44"/>
      </right>
      <top style="medium">
        <color indexed="44"/>
      </top>
      <bottom/>
      <diagonal/>
    </border>
    <border>
      <left/>
      <right style="medium">
        <color indexed="44"/>
      </right>
      <top/>
      <bottom/>
      <diagonal/>
    </border>
    <border>
      <left style="medium">
        <color rgb="FF99CCFF"/>
      </left>
      <right style="medium">
        <color indexed="64"/>
      </right>
      <top/>
      <bottom/>
      <diagonal/>
    </border>
    <border>
      <left/>
      <right style="medium">
        <color indexed="64"/>
      </right>
      <top/>
      <bottom/>
      <diagonal/>
    </border>
    <border>
      <left/>
      <right style="medium">
        <color indexed="31"/>
      </right>
      <top/>
      <bottom/>
      <diagonal/>
    </border>
    <border>
      <left style="medium">
        <color auto="1"/>
      </left>
      <right/>
      <top style="medium">
        <color auto="1"/>
      </top>
      <bottom/>
      <diagonal/>
    </border>
    <border>
      <left style="thin">
        <color auto="1"/>
      </left>
      <right style="medium">
        <color indexed="64"/>
      </right>
      <top style="medium">
        <color auto="1"/>
      </top>
      <bottom/>
      <diagonal/>
    </border>
    <border>
      <left style="thin">
        <color auto="1"/>
      </left>
      <right style="medium">
        <color indexed="64"/>
      </right>
      <top style="thin">
        <color indexed="64"/>
      </top>
      <bottom/>
      <diagonal/>
    </border>
    <border>
      <left style="medium">
        <color auto="1"/>
      </left>
      <right style="thin">
        <color indexed="64"/>
      </right>
      <top/>
      <bottom/>
      <diagonal/>
    </border>
    <border>
      <left/>
      <right/>
      <top style="medium">
        <color theme="3" tint="-0.24994659260841701"/>
      </top>
      <bottom style="medium">
        <color indexed="64"/>
      </bottom>
      <diagonal/>
    </border>
    <border>
      <left/>
      <right style="medium">
        <color rgb="FF008000"/>
      </right>
      <top/>
      <bottom/>
      <diagonal/>
    </border>
  </borders>
  <cellStyleXfs count="11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3" fontId="6" fillId="17" borderId="2">
      <alignment horizontal="right"/>
    </xf>
    <xf numFmtId="3" fontId="4" fillId="17" borderId="2">
      <alignment horizontal="right"/>
    </xf>
    <xf numFmtId="3" fontId="5" fillId="17" borderId="3">
      <alignment horizontal="right"/>
    </xf>
    <xf numFmtId="3" fontId="6" fillId="17" borderId="3">
      <alignment horizontal="right"/>
    </xf>
    <xf numFmtId="3" fontId="4" fillId="17" borderId="3">
      <alignment horizontal="right"/>
    </xf>
    <xf numFmtId="0" fontId="20" fillId="18" borderId="4" applyNumberFormat="0" applyAlignment="0" applyProtection="0"/>
    <xf numFmtId="164" fontId="4" fillId="0" borderId="0" applyFont="0" applyFill="0" applyBorder="0" applyAlignment="0" applyProtection="0"/>
    <xf numFmtId="165" fontId="4"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1" applyNumberFormat="0" applyAlignment="0" applyProtection="0"/>
    <xf numFmtId="0" fontId="28" fillId="0" borderId="8" applyNumberFormat="0" applyFill="0" applyAlignment="0" applyProtection="0"/>
    <xf numFmtId="0" fontId="29" fillId="7" borderId="0" applyNumberFormat="0" applyBorder="0" applyAlignment="0" applyProtection="0"/>
    <xf numFmtId="0" fontId="4" fillId="0" borderId="0"/>
    <xf numFmtId="0" fontId="4" fillId="4" borderId="9" applyNumberFormat="0" applyFont="0" applyAlignment="0" applyProtection="0"/>
    <xf numFmtId="0" fontId="30" fillId="16" borderId="10" applyNumberFormat="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28" fillId="0" borderId="0" applyNumberForma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92" fillId="0" borderId="0" applyNumberFormat="0" applyFill="0" applyBorder="0" applyAlignment="0" applyProtection="0"/>
    <xf numFmtId="0" fontId="93" fillId="0" borderId="0"/>
    <xf numFmtId="0" fontId="29" fillId="7" borderId="0" applyNumberFormat="0" applyBorder="0" applyAlignment="0" applyProtection="0"/>
    <xf numFmtId="0" fontId="3" fillId="0" borderId="0"/>
    <xf numFmtId="9" fontId="4" fillId="0" borderId="0" applyFont="0" applyFill="0" applyBorder="0" applyAlignment="0" applyProtection="0"/>
    <xf numFmtId="0" fontId="93" fillId="0" borderId="0"/>
    <xf numFmtId="0" fontId="4" fillId="0" borderId="0"/>
    <xf numFmtId="164" fontId="4" fillId="0" borderId="0" applyFont="0" applyFill="0" applyBorder="0" applyAlignment="0" applyProtection="0"/>
    <xf numFmtId="0" fontId="4" fillId="0" borderId="0"/>
    <xf numFmtId="0" fontId="4" fillId="0" borderId="0"/>
    <xf numFmtId="0" fontId="8" fillId="0" borderId="0"/>
    <xf numFmtId="0" fontId="10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43" fontId="4" fillId="0" borderId="0" applyFont="0" applyFill="0" applyBorder="0" applyAlignment="0" applyProtection="0"/>
    <xf numFmtId="171" fontId="4" fillId="17" borderId="2">
      <alignment horizontal="right" vertical="top"/>
    </xf>
    <xf numFmtId="0" fontId="4" fillId="17" borderId="2">
      <alignment horizontal="left" indent="5"/>
    </xf>
    <xf numFmtId="171" fontId="4" fillId="17" borderId="3" applyNumberFormat="0">
      <alignment horizontal="right" vertical="top"/>
    </xf>
    <xf numFmtId="0" fontId="4" fillId="17" borderId="3">
      <alignment horizontal="left" indent="3"/>
    </xf>
    <xf numFmtId="171" fontId="5" fillId="17" borderId="3" applyNumberFormat="0">
      <alignment horizontal="right" vertical="top"/>
    </xf>
    <xf numFmtId="0" fontId="5" fillId="17" borderId="3">
      <alignment horizontal="left" indent="1"/>
    </xf>
    <xf numFmtId="0" fontId="5" fillId="17" borderId="3">
      <alignment horizontal="right" vertical="top"/>
    </xf>
    <xf numFmtId="0" fontId="5" fillId="17" borderId="3">
      <alignment horizontal="left" indent="2"/>
    </xf>
    <xf numFmtId="171" fontId="4" fillId="17" borderId="3" applyNumberFormat="0">
      <alignment horizontal="right" vertical="top"/>
    </xf>
    <xf numFmtId="0" fontId="4" fillId="17" borderId="3">
      <alignment horizontal="left" indent="3"/>
    </xf>
    <xf numFmtId="0" fontId="5" fillId="0" borderId="0"/>
    <xf numFmtId="0" fontId="5" fillId="0" borderId="0"/>
    <xf numFmtId="0" fontId="4" fillId="0" borderId="0">
      <alignment textRotation="90"/>
    </xf>
    <xf numFmtId="0" fontId="4" fillId="0" borderId="0"/>
    <xf numFmtId="0" fontId="122" fillId="17" borderId="0"/>
    <xf numFmtId="0" fontId="10" fillId="0" borderId="0"/>
    <xf numFmtId="0" fontId="5" fillId="0" borderId="0"/>
    <xf numFmtId="0" fontId="4" fillId="0" borderId="0"/>
    <xf numFmtId="171" fontId="4" fillId="17" borderId="2">
      <alignment horizontal="right" vertical="top"/>
    </xf>
    <xf numFmtId="0" fontId="4" fillId="17" borderId="2">
      <alignment horizontal="left" indent="5"/>
    </xf>
    <xf numFmtId="171" fontId="4" fillId="17" borderId="3" applyNumberFormat="0">
      <alignment horizontal="right" vertical="top"/>
    </xf>
    <xf numFmtId="0" fontId="4" fillId="17" borderId="3">
      <alignment horizontal="left" indent="3"/>
    </xf>
    <xf numFmtId="171" fontId="4" fillId="17" borderId="3" applyNumberFormat="0">
      <alignment horizontal="right" vertical="top"/>
    </xf>
    <xf numFmtId="0" fontId="4" fillId="17" borderId="3">
      <alignment horizontal="left" indent="3"/>
    </xf>
    <xf numFmtId="0" fontId="5" fillId="0" borderId="0"/>
    <xf numFmtId="0" fontId="5" fillId="0" borderId="0"/>
    <xf numFmtId="0" fontId="1" fillId="0" borderId="0"/>
    <xf numFmtId="0" fontId="1"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cellStyleXfs>
  <cellXfs count="1864">
    <xf numFmtId="0" fontId="0" fillId="0" borderId="0" xfId="0"/>
    <xf numFmtId="0" fontId="0" fillId="19" borderId="0" xfId="0" applyFill="1" applyAlignment="1">
      <alignment horizontal="center"/>
    </xf>
    <xf numFmtId="0" fontId="0" fillId="19" borderId="0" xfId="0" applyFill="1"/>
    <xf numFmtId="0" fontId="5" fillId="19" borderId="0" xfId="0" applyFont="1" applyFill="1" applyAlignment="1">
      <alignment horizontal="center"/>
    </xf>
    <xf numFmtId="0" fontId="0" fillId="19" borderId="12" xfId="0" applyFill="1" applyBorder="1"/>
    <xf numFmtId="0" fontId="0" fillId="19" borderId="13" xfId="0" applyFill="1" applyBorder="1"/>
    <xf numFmtId="0" fontId="5" fillId="19" borderId="0" xfId="0" applyFont="1" applyFill="1"/>
    <xf numFmtId="0" fontId="0" fillId="19" borderId="14" xfId="0" applyFill="1" applyBorder="1"/>
    <xf numFmtId="0" fontId="8" fillId="17" borderId="0" xfId="0" applyFont="1" applyFill="1"/>
    <xf numFmtId="0" fontId="8" fillId="0" borderId="0" xfId="0" applyFont="1"/>
    <xf numFmtId="0" fontId="8" fillId="19" borderId="0" xfId="0" applyFont="1" applyFill="1"/>
    <xf numFmtId="0" fontId="10" fillId="19" borderId="0" xfId="0" applyFont="1" applyFill="1" applyAlignment="1">
      <alignment horizontal="left"/>
    </xf>
    <xf numFmtId="0" fontId="10" fillId="19" borderId="0" xfId="0" applyFont="1" applyFill="1"/>
    <xf numFmtId="0" fontId="8" fillId="19" borderId="0" xfId="0" applyFont="1" applyFill="1" applyAlignment="1">
      <alignment horizontal="left"/>
    </xf>
    <xf numFmtId="0" fontId="10" fillId="17" borderId="0" xfId="0" applyFont="1" applyFill="1"/>
    <xf numFmtId="0" fontId="0" fillId="19" borderId="23" xfId="0" applyFill="1" applyBorder="1"/>
    <xf numFmtId="0" fontId="0" fillId="19" borderId="24" xfId="0" applyFill="1" applyBorder="1"/>
    <xf numFmtId="0" fontId="0" fillId="19" borderId="25" xfId="0" applyFill="1" applyBorder="1"/>
    <xf numFmtId="0" fontId="12" fillId="19" borderId="0" xfId="0" applyFont="1" applyFill="1"/>
    <xf numFmtId="0" fontId="13" fillId="19" borderId="0" xfId="0" applyFont="1" applyFill="1"/>
    <xf numFmtId="0" fontId="13" fillId="19" borderId="15" xfId="0" applyFont="1" applyFill="1" applyBorder="1"/>
    <xf numFmtId="0" fontId="13" fillId="17" borderId="0" xfId="0" applyFont="1" applyFill="1" applyAlignment="1">
      <alignment horizontal="center"/>
    </xf>
    <xf numFmtId="0" fontId="13" fillId="17" borderId="19" xfId="0" applyFont="1" applyFill="1" applyBorder="1"/>
    <xf numFmtId="0" fontId="12" fillId="17" borderId="0" xfId="0" applyFont="1" applyFill="1"/>
    <xf numFmtId="0" fontId="13" fillId="17" borderId="0" xfId="0" applyFont="1" applyFill="1"/>
    <xf numFmtId="0" fontId="13" fillId="17" borderId="22" xfId="0" applyFont="1" applyFill="1" applyBorder="1"/>
    <xf numFmtId="0" fontId="13" fillId="0" borderId="0" xfId="0" applyFont="1"/>
    <xf numFmtId="0" fontId="13" fillId="17" borderId="18" xfId="0" applyFont="1" applyFill="1" applyBorder="1"/>
    <xf numFmtId="0" fontId="13" fillId="17" borderId="20" xfId="0" applyFont="1" applyFill="1" applyBorder="1"/>
    <xf numFmtId="0" fontId="13" fillId="17" borderId="21" xfId="0" applyFont="1" applyFill="1" applyBorder="1"/>
    <xf numFmtId="0" fontId="12" fillId="19" borderId="23" xfId="0" applyFont="1" applyFill="1" applyBorder="1" applyAlignment="1">
      <alignment horizontal="left"/>
    </xf>
    <xf numFmtId="0" fontId="13" fillId="19" borderId="23" xfId="0" applyFont="1" applyFill="1" applyBorder="1"/>
    <xf numFmtId="0" fontId="12" fillId="20" borderId="0" xfId="0" applyFont="1" applyFill="1" applyAlignment="1">
      <alignment horizontal="center"/>
    </xf>
    <xf numFmtId="0" fontId="5" fillId="20" borderId="27" xfId="0" applyFont="1" applyFill="1" applyBorder="1" applyAlignment="1">
      <alignment horizontal="right" indent="1"/>
    </xf>
    <xf numFmtId="0" fontId="0" fillId="17" borderId="16" xfId="0" applyFill="1" applyBorder="1"/>
    <xf numFmtId="0" fontId="0" fillId="17" borderId="17" xfId="0" applyFill="1" applyBorder="1"/>
    <xf numFmtId="0" fontId="5" fillId="17" borderId="23" xfId="0" applyFont="1" applyFill="1" applyBorder="1" applyAlignment="1">
      <alignment horizontal="center"/>
    </xf>
    <xf numFmtId="0" fontId="0" fillId="17" borderId="15" xfId="0" applyFill="1" applyBorder="1"/>
    <xf numFmtId="0" fontId="0" fillId="17" borderId="25" xfId="0" applyFill="1" applyBorder="1"/>
    <xf numFmtId="0" fontId="0" fillId="17" borderId="27" xfId="0" applyFill="1" applyBorder="1"/>
    <xf numFmtId="0" fontId="39" fillId="0" borderId="28" xfId="0" applyFont="1" applyBorder="1"/>
    <xf numFmtId="0" fontId="8" fillId="17" borderId="29" xfId="0" applyFont="1" applyFill="1" applyBorder="1"/>
    <xf numFmtId="0" fontId="39" fillId="0" borderId="30" xfId="0" applyFont="1" applyBorder="1"/>
    <xf numFmtId="0" fontId="0" fillId="0" borderId="0" xfId="0" applyAlignment="1">
      <alignment wrapText="1"/>
    </xf>
    <xf numFmtId="0" fontId="42" fillId="0" borderId="0" xfId="0" applyFont="1"/>
    <xf numFmtId="0" fontId="36" fillId="0" borderId="0" xfId="0" applyFont="1"/>
    <xf numFmtId="0" fontId="42" fillId="0" borderId="0" xfId="0" applyFont="1" applyAlignment="1">
      <alignment horizontal="center"/>
    </xf>
    <xf numFmtId="0" fontId="36" fillId="0" borderId="0" xfId="0" applyFont="1" applyAlignment="1">
      <alignment horizontal="center"/>
    </xf>
    <xf numFmtId="0" fontId="12" fillId="20" borderId="0" xfId="0" applyFont="1" applyFill="1" applyAlignment="1">
      <alignment horizontal="center" vertical="center"/>
    </xf>
    <xf numFmtId="0" fontId="43" fillId="0" borderId="0" xfId="0" applyFont="1"/>
    <xf numFmtId="0" fontId="12" fillId="20" borderId="0" xfId="0" applyFont="1" applyFill="1"/>
    <xf numFmtId="0" fontId="13" fillId="20" borderId="0" xfId="0" applyFont="1" applyFill="1"/>
    <xf numFmtId="0" fontId="44" fillId="0" borderId="0" xfId="0" applyFont="1"/>
    <xf numFmtId="0" fontId="0" fillId="17" borderId="0" xfId="0" applyFill="1"/>
    <xf numFmtId="0" fontId="0" fillId="17" borderId="0" xfId="0" applyFill="1" applyAlignment="1">
      <alignment vertical="top" wrapText="1"/>
    </xf>
    <xf numFmtId="0" fontId="13" fillId="17" borderId="0" xfId="0" applyFont="1" applyFill="1" applyAlignment="1">
      <alignment vertical="center"/>
    </xf>
    <xf numFmtId="0" fontId="0" fillId="17" borderId="0" xfId="0" applyFill="1" applyAlignment="1">
      <alignment vertical="center"/>
    </xf>
    <xf numFmtId="0" fontId="13" fillId="17" borderId="0" xfId="0" applyFont="1" applyFill="1" applyAlignment="1">
      <alignment vertical="top" wrapText="1"/>
    </xf>
    <xf numFmtId="0" fontId="0" fillId="17" borderId="0" xfId="0" applyFill="1" applyAlignment="1">
      <alignment vertical="top"/>
    </xf>
    <xf numFmtId="3" fontId="44" fillId="17" borderId="0" xfId="0" applyNumberFormat="1" applyFont="1" applyFill="1" applyAlignment="1">
      <alignment horizontal="center" vertical="center" wrapText="1"/>
    </xf>
    <xf numFmtId="0" fontId="13" fillId="17" borderId="0" xfId="0" applyFont="1" applyFill="1" applyAlignment="1">
      <alignment vertical="top"/>
    </xf>
    <xf numFmtId="3" fontId="44" fillId="17" borderId="0" xfId="0" applyNumberFormat="1" applyFont="1" applyFill="1" applyAlignment="1">
      <alignment horizontal="center" vertical="center"/>
    </xf>
    <xf numFmtId="0" fontId="12" fillId="17" borderId="0" xfId="0" applyFont="1" applyFill="1" applyAlignment="1">
      <alignment vertical="center"/>
    </xf>
    <xf numFmtId="0" fontId="15" fillId="17" borderId="0" xfId="0" applyFont="1" applyFill="1" applyAlignment="1">
      <alignment wrapText="1"/>
    </xf>
    <xf numFmtId="0" fontId="12" fillId="17" borderId="0" xfId="0" applyFont="1" applyFill="1" applyAlignment="1">
      <alignment horizontal="center" vertical="center"/>
    </xf>
    <xf numFmtId="0" fontId="12" fillId="17" borderId="0" xfId="0" applyFont="1" applyFill="1" applyAlignment="1">
      <alignment horizontal="center" vertical="top" wrapText="1"/>
    </xf>
    <xf numFmtId="0" fontId="13" fillId="17" borderId="0" xfId="0" applyFont="1" applyFill="1" applyAlignment="1">
      <alignment horizontal="right" vertical="center" wrapText="1" indent="2"/>
    </xf>
    <xf numFmtId="3" fontId="13" fillId="17" borderId="0" xfId="0" applyNumberFormat="1" applyFont="1" applyFill="1" applyAlignment="1">
      <alignment horizontal="right" vertical="center" wrapText="1" indent="2"/>
    </xf>
    <xf numFmtId="0" fontId="0" fillId="19" borderId="26" xfId="0" applyFill="1" applyBorder="1"/>
    <xf numFmtId="0" fontId="0" fillId="19" borderId="16" xfId="0" applyFill="1" applyBorder="1"/>
    <xf numFmtId="0" fontId="0" fillId="19" borderId="17" xfId="0" applyFill="1" applyBorder="1"/>
    <xf numFmtId="0" fontId="0" fillId="19" borderId="15" xfId="0" applyFill="1" applyBorder="1"/>
    <xf numFmtId="0" fontId="0" fillId="19" borderId="27" xfId="0" applyFill="1" applyBorder="1"/>
    <xf numFmtId="0" fontId="13" fillId="19" borderId="31" xfId="0" applyFont="1" applyFill="1" applyBorder="1"/>
    <xf numFmtId="0" fontId="13" fillId="19" borderId="32" xfId="0" applyFont="1" applyFill="1" applyBorder="1"/>
    <xf numFmtId="0" fontId="13" fillId="19" borderId="0" xfId="0" applyFont="1" applyFill="1" applyAlignment="1">
      <alignment vertical="top" wrapText="1"/>
    </xf>
    <xf numFmtId="0" fontId="13" fillId="19" borderId="0" xfId="0" applyFont="1" applyFill="1" applyAlignment="1">
      <alignment horizontal="center"/>
    </xf>
    <xf numFmtId="3" fontId="13" fillId="19" borderId="0" xfId="0" applyNumberFormat="1" applyFont="1" applyFill="1" applyAlignment="1">
      <alignment horizontal="right" vertical="center" indent="1"/>
    </xf>
    <xf numFmtId="3" fontId="12" fillId="19" borderId="0" xfId="0" applyNumberFormat="1" applyFont="1" applyFill="1" applyAlignment="1">
      <alignment horizontal="right" vertical="center" indent="1"/>
    </xf>
    <xf numFmtId="3" fontId="13" fillId="19" borderId="33" xfId="0" applyNumberFormat="1" applyFont="1" applyFill="1" applyBorder="1" applyAlignment="1">
      <alignment horizontal="right" vertical="center" indent="1"/>
    </xf>
    <xf numFmtId="3" fontId="12" fillId="19" borderId="31" xfId="0" applyNumberFormat="1" applyFont="1" applyFill="1" applyBorder="1" applyAlignment="1">
      <alignment horizontal="right" vertical="center" indent="1"/>
    </xf>
    <xf numFmtId="3" fontId="13" fillId="19" borderId="31" xfId="0" applyNumberFormat="1" applyFont="1" applyFill="1" applyBorder="1" applyAlignment="1">
      <alignment horizontal="right" vertical="center" indent="1"/>
    </xf>
    <xf numFmtId="3" fontId="12" fillId="19" borderId="32" xfId="0" applyNumberFormat="1" applyFont="1" applyFill="1" applyBorder="1" applyAlignment="1">
      <alignment horizontal="right" vertical="center" indent="1"/>
    </xf>
    <xf numFmtId="3" fontId="13" fillId="19" borderId="32" xfId="0" applyNumberFormat="1" applyFont="1" applyFill="1" applyBorder="1" applyAlignment="1">
      <alignment horizontal="right" vertical="center" indent="1"/>
    </xf>
    <xf numFmtId="3" fontId="13" fillId="17" borderId="19" xfId="0" applyNumberFormat="1" applyFont="1" applyFill="1" applyBorder="1" applyAlignment="1">
      <alignment horizontal="right" vertical="center" indent="1"/>
    </xf>
    <xf numFmtId="3" fontId="13" fillId="17" borderId="0" xfId="0" applyNumberFormat="1" applyFont="1" applyFill="1" applyAlignment="1">
      <alignment horizontal="right" vertical="center" indent="1"/>
    </xf>
    <xf numFmtId="0" fontId="49" fillId="19" borderId="0" xfId="0" applyFont="1" applyFill="1" applyAlignment="1">
      <alignment horizontal="center"/>
    </xf>
    <xf numFmtId="0" fontId="34" fillId="19" borderId="0" xfId="0" applyFont="1" applyFill="1" applyAlignment="1">
      <alignment horizontal="left"/>
    </xf>
    <xf numFmtId="3" fontId="13" fillId="19" borderId="23" xfId="0" applyNumberFormat="1" applyFont="1" applyFill="1" applyBorder="1" applyAlignment="1">
      <alignment horizontal="right" vertical="center" indent="1"/>
    </xf>
    <xf numFmtId="0" fontId="8" fillId="0" borderId="0" xfId="0" applyFont="1" applyAlignment="1">
      <alignment horizontal="center"/>
    </xf>
    <xf numFmtId="0" fontId="13" fillId="19" borderId="25" xfId="0" applyFont="1" applyFill="1" applyBorder="1"/>
    <xf numFmtId="3" fontId="12" fillId="19" borderId="25" xfId="0" applyNumberFormat="1" applyFont="1" applyFill="1" applyBorder="1" applyAlignment="1">
      <alignment horizontal="right" vertical="center" indent="1"/>
    </xf>
    <xf numFmtId="3" fontId="13" fillId="19" borderId="25" xfId="0" applyNumberFormat="1" applyFont="1" applyFill="1" applyBorder="1" applyAlignment="1">
      <alignment horizontal="right" vertical="center" indent="1"/>
    </xf>
    <xf numFmtId="0" fontId="5" fillId="17" borderId="0" xfId="0" applyFont="1" applyFill="1" applyAlignment="1">
      <alignment horizontal="right" vertical="top" wrapText="1"/>
    </xf>
    <xf numFmtId="0" fontId="8" fillId="17" borderId="0" xfId="0" applyFont="1" applyFill="1" applyAlignment="1">
      <alignment horizontal="center"/>
    </xf>
    <xf numFmtId="0" fontId="49" fillId="19" borderId="0" xfId="0" applyFont="1" applyFill="1" applyAlignment="1">
      <alignment horizontal="left"/>
    </xf>
    <xf numFmtId="3" fontId="8" fillId="0" borderId="0" xfId="0" applyNumberFormat="1" applyFont="1"/>
    <xf numFmtId="0" fontId="10" fillId="19" borderId="0" xfId="0" applyFont="1" applyFill="1" applyAlignment="1">
      <alignment vertical="top"/>
    </xf>
    <xf numFmtId="3" fontId="10" fillId="19" borderId="0" xfId="0" applyNumberFormat="1" applyFont="1" applyFill="1" applyAlignment="1">
      <alignment horizontal="right" vertical="center" indent="1"/>
    </xf>
    <xf numFmtId="0" fontId="47" fillId="17" borderId="0" xfId="0" applyFont="1" applyFill="1" applyAlignment="1">
      <alignment horizontal="left" vertical="top" wrapText="1" indent="1"/>
    </xf>
    <xf numFmtId="0" fontId="13" fillId="20" borderId="16" xfId="0" applyFont="1" applyFill="1" applyBorder="1"/>
    <xf numFmtId="0" fontId="13" fillId="20" borderId="17" xfId="0" applyFont="1" applyFill="1" applyBorder="1"/>
    <xf numFmtId="0" fontId="13" fillId="20" borderId="23" xfId="0" applyFont="1" applyFill="1" applyBorder="1" applyAlignment="1">
      <alignment horizontal="center" vertical="center"/>
    </xf>
    <xf numFmtId="0" fontId="13" fillId="20" borderId="15" xfId="0" applyFont="1" applyFill="1" applyBorder="1" applyAlignment="1">
      <alignment horizontal="center" vertical="center"/>
    </xf>
    <xf numFmtId="0" fontId="12" fillId="20" borderId="15" xfId="0" applyFont="1" applyFill="1" applyBorder="1" applyAlignment="1">
      <alignment horizontal="center" vertical="center"/>
    </xf>
    <xf numFmtId="0" fontId="12" fillId="20" borderId="23" xfId="0" applyFont="1" applyFill="1" applyBorder="1" applyAlignment="1">
      <alignment horizontal="center" vertical="center"/>
    </xf>
    <xf numFmtId="0" fontId="13" fillId="20" borderId="23" xfId="0" applyFont="1" applyFill="1" applyBorder="1"/>
    <xf numFmtId="0" fontId="13" fillId="20" borderId="15" xfId="0" applyFont="1" applyFill="1" applyBorder="1"/>
    <xf numFmtId="0" fontId="13" fillId="20" borderId="24" xfId="0" applyFont="1" applyFill="1" applyBorder="1"/>
    <xf numFmtId="0" fontId="13" fillId="20" borderId="25" xfId="0" applyFont="1" applyFill="1" applyBorder="1"/>
    <xf numFmtId="0" fontId="5" fillId="20" borderId="25" xfId="0" applyFont="1" applyFill="1" applyBorder="1" applyAlignment="1">
      <alignment horizontal="right"/>
    </xf>
    <xf numFmtId="0" fontId="12" fillId="21" borderId="26" xfId="0" applyFont="1" applyFill="1" applyBorder="1" applyAlignment="1">
      <alignment horizontal="left" vertical="center"/>
    </xf>
    <xf numFmtId="0" fontId="12" fillId="21" borderId="17" xfId="0" applyFont="1" applyFill="1" applyBorder="1" applyAlignment="1">
      <alignment horizontal="left" vertical="center" indent="2"/>
    </xf>
    <xf numFmtId="0" fontId="12" fillId="21" borderId="24" xfId="0" applyFont="1" applyFill="1" applyBorder="1" applyAlignment="1">
      <alignment horizontal="left" vertical="center"/>
    </xf>
    <xf numFmtId="0" fontId="12" fillId="21" borderId="27" xfId="0" applyFont="1" applyFill="1" applyBorder="1" applyAlignment="1">
      <alignment horizontal="left" vertical="center" indent="2"/>
    </xf>
    <xf numFmtId="0" fontId="0" fillId="17" borderId="23" xfId="0" applyFill="1" applyBorder="1"/>
    <xf numFmtId="0" fontId="13" fillId="17" borderId="23" xfId="0" applyFont="1" applyFill="1" applyBorder="1"/>
    <xf numFmtId="0" fontId="13" fillId="17" borderId="15" xfId="0" applyFont="1" applyFill="1" applyBorder="1"/>
    <xf numFmtId="0" fontId="36" fillId="17" borderId="23" xfId="0" applyFont="1" applyFill="1" applyBorder="1"/>
    <xf numFmtId="3" fontId="13" fillId="17" borderId="38" xfId="0" applyNumberFormat="1" applyFont="1" applyFill="1" applyBorder="1" applyAlignment="1" applyProtection="1">
      <alignment horizontal="right" vertical="center" indent="2"/>
      <protection locked="0"/>
    </xf>
    <xf numFmtId="0" fontId="0" fillId="17" borderId="15" xfId="0" applyFill="1" applyBorder="1" applyAlignment="1">
      <alignment wrapText="1"/>
    </xf>
    <xf numFmtId="3" fontId="13" fillId="17" borderId="39" xfId="0" applyNumberFormat="1" applyFont="1" applyFill="1" applyBorder="1" applyAlignment="1">
      <alignment horizontal="right" vertical="center" indent="2"/>
    </xf>
    <xf numFmtId="0" fontId="44" fillId="17" borderId="0" xfId="0" applyFont="1" applyFill="1" applyAlignment="1">
      <alignment vertical="top"/>
    </xf>
    <xf numFmtId="0" fontId="47" fillId="17" borderId="0" xfId="0" applyFont="1" applyFill="1" applyAlignment="1">
      <alignment horizontal="left" indent="1"/>
    </xf>
    <xf numFmtId="0" fontId="58" fillId="17" borderId="0" xfId="0" applyFont="1" applyFill="1" applyAlignment="1">
      <alignment horizontal="left" indent="1"/>
    </xf>
    <xf numFmtId="0" fontId="42" fillId="17" borderId="23" xfId="0" applyFont="1" applyFill="1" applyBorder="1"/>
    <xf numFmtId="0" fontId="44" fillId="17" borderId="15" xfId="0" applyFont="1" applyFill="1" applyBorder="1"/>
    <xf numFmtId="0" fontId="15" fillId="17" borderId="15" xfId="0" applyFont="1" applyFill="1" applyBorder="1"/>
    <xf numFmtId="0" fontId="12" fillId="17" borderId="15" xfId="0" applyFont="1" applyFill="1" applyBorder="1" applyAlignment="1">
      <alignment horizontal="center" vertical="center"/>
    </xf>
    <xf numFmtId="0" fontId="12" fillId="17" borderId="23" xfId="0" applyFont="1" applyFill="1" applyBorder="1" applyAlignment="1">
      <alignment horizontal="center" vertical="center"/>
    </xf>
    <xf numFmtId="0" fontId="0" fillId="20" borderId="26" xfId="0" applyFill="1" applyBorder="1"/>
    <xf numFmtId="0" fontId="0" fillId="20" borderId="16" xfId="0" applyFill="1" applyBorder="1"/>
    <xf numFmtId="0" fontId="0" fillId="20" borderId="17" xfId="0" applyFill="1" applyBorder="1"/>
    <xf numFmtId="0" fontId="0" fillId="20" borderId="24" xfId="0" applyFill="1" applyBorder="1"/>
    <xf numFmtId="0" fontId="0" fillId="20" borderId="25" xfId="0" applyFill="1" applyBorder="1"/>
    <xf numFmtId="4" fontId="13" fillId="17" borderId="0" xfId="0" applyNumberFormat="1" applyFont="1" applyFill="1" applyAlignment="1">
      <alignment horizontal="right" vertical="center" indent="2"/>
    </xf>
    <xf numFmtId="4" fontId="44" fillId="17" borderId="0" xfId="0" applyNumberFormat="1" applyFont="1" applyFill="1" applyAlignment="1">
      <alignment horizontal="center" vertical="center"/>
    </xf>
    <xf numFmtId="0" fontId="44" fillId="17" borderId="25" xfId="0" applyFont="1" applyFill="1" applyBorder="1" applyAlignment="1">
      <alignment horizontal="center" vertical="top" wrapText="1"/>
    </xf>
    <xf numFmtId="3" fontId="13" fillId="17" borderId="0" xfId="0" applyNumberFormat="1" applyFont="1" applyFill="1" applyAlignment="1">
      <alignment horizontal="right" vertical="center" indent="2"/>
    </xf>
    <xf numFmtId="1" fontId="12" fillId="17" borderId="0" xfId="0" quotePrefix="1" applyNumberFormat="1" applyFont="1" applyFill="1" applyAlignment="1">
      <alignment horizontal="center" vertical="top" wrapText="1"/>
    </xf>
    <xf numFmtId="4" fontId="13" fillId="17" borderId="0" xfId="0" applyNumberFormat="1" applyFont="1" applyFill="1" applyAlignment="1">
      <alignment horizontal="right" vertical="center" wrapText="1" indent="2"/>
    </xf>
    <xf numFmtId="0" fontId="36" fillId="17" borderId="24" xfId="0" applyFont="1" applyFill="1" applyBorder="1"/>
    <xf numFmtId="0" fontId="4" fillId="0" borderId="0" xfId="0" applyFont="1"/>
    <xf numFmtId="0" fontId="0" fillId="17" borderId="48" xfId="0" applyFill="1" applyBorder="1"/>
    <xf numFmtId="0" fontId="12" fillId="17" borderId="49" xfId="0" applyFont="1" applyFill="1" applyBorder="1"/>
    <xf numFmtId="0" fontId="13" fillId="17" borderId="49" xfId="0" applyFont="1" applyFill="1" applyBorder="1"/>
    <xf numFmtId="3" fontId="13" fillId="17" borderId="49" xfId="0" applyNumberFormat="1" applyFont="1" applyFill="1" applyBorder="1" applyAlignment="1">
      <alignment horizontal="right" vertical="center" indent="1"/>
    </xf>
    <xf numFmtId="0" fontId="0" fillId="17" borderId="50" xfId="0" applyFill="1" applyBorder="1"/>
    <xf numFmtId="0" fontId="0" fillId="17" borderId="51" xfId="0" applyFill="1" applyBorder="1"/>
    <xf numFmtId="0" fontId="12" fillId="17" borderId="52" xfId="0" applyFont="1" applyFill="1" applyBorder="1"/>
    <xf numFmtId="0" fontId="13" fillId="17" borderId="52" xfId="0" applyFont="1" applyFill="1" applyBorder="1"/>
    <xf numFmtId="0" fontId="45" fillId="19" borderId="15" xfId="0" applyFont="1" applyFill="1" applyBorder="1" applyAlignment="1">
      <alignment horizontal="center"/>
    </xf>
    <xf numFmtId="0" fontId="45" fillId="17" borderId="53" xfId="0" applyFont="1" applyFill="1" applyBorder="1" applyAlignment="1">
      <alignment horizontal="center"/>
    </xf>
    <xf numFmtId="0" fontId="45" fillId="17" borderId="54" xfId="0" applyFont="1" applyFill="1" applyBorder="1" applyAlignment="1">
      <alignment horizontal="center"/>
    </xf>
    <xf numFmtId="0" fontId="13" fillId="19" borderId="24" xfId="0" applyFont="1" applyFill="1" applyBorder="1"/>
    <xf numFmtId="0" fontId="13" fillId="19" borderId="27" xfId="0" applyFont="1" applyFill="1" applyBorder="1"/>
    <xf numFmtId="3" fontId="15" fillId="17" borderId="0" xfId="33" applyNumberFormat="1" applyFont="1" applyFill="1" applyBorder="1" applyAlignment="1">
      <alignment horizontal="right" vertical="center"/>
    </xf>
    <xf numFmtId="3" fontId="44" fillId="17" borderId="0" xfId="0" applyNumberFormat="1" applyFont="1" applyFill="1" applyAlignment="1">
      <alignment horizontal="center" vertical="top" wrapText="1"/>
    </xf>
    <xf numFmtId="0" fontId="59" fillId="0" borderId="0" xfId="0" applyFont="1" applyAlignment="1">
      <alignment horizontal="center"/>
    </xf>
    <xf numFmtId="3" fontId="44" fillId="0" borderId="0" xfId="0" applyNumberFormat="1" applyFont="1" applyAlignment="1">
      <alignment horizontal="center" vertical="center"/>
    </xf>
    <xf numFmtId="0" fontId="26" fillId="17" borderId="0" xfId="41" applyFill="1" applyBorder="1" applyAlignment="1" applyProtection="1">
      <alignment horizontal="center" vertical="center" wrapText="1"/>
    </xf>
    <xf numFmtId="0" fontId="63" fillId="0" borderId="0" xfId="41" quotePrefix="1" applyNumberFormat="1" applyFont="1" applyFill="1" applyBorder="1" applyAlignment="1" applyProtection="1">
      <alignment horizontal="left" vertical="top" wrapText="1"/>
    </xf>
    <xf numFmtId="0" fontId="26" fillId="17" borderId="0" xfId="41" applyFill="1" applyBorder="1" applyAlignment="1" applyProtection="1">
      <alignment vertical="center" wrapText="1"/>
    </xf>
    <xf numFmtId="0" fontId="37" fillId="20" borderId="23" xfId="0" applyFont="1" applyFill="1" applyBorder="1"/>
    <xf numFmtId="0" fontId="37" fillId="20" borderId="0" xfId="0" applyFont="1" applyFill="1"/>
    <xf numFmtId="0" fontId="37" fillId="20" borderId="15" xfId="0" applyFont="1" applyFill="1" applyBorder="1"/>
    <xf numFmtId="3" fontId="0" fillId="0" borderId="0" xfId="0" applyNumberFormat="1"/>
    <xf numFmtId="0" fontId="8" fillId="20" borderId="0" xfId="0" applyFont="1" applyFill="1" applyAlignment="1">
      <alignment horizontal="center"/>
    </xf>
    <xf numFmtId="0" fontId="13" fillId="0" borderId="0" xfId="0" applyFont="1" applyAlignment="1">
      <alignment horizontal="center"/>
    </xf>
    <xf numFmtId="0" fontId="44" fillId="17" borderId="0" xfId="0" applyFont="1" applyFill="1" applyAlignment="1">
      <alignment horizontal="center" vertical="top" wrapText="1"/>
    </xf>
    <xf numFmtId="0" fontId="6" fillId="17" borderId="0" xfId="0" applyFont="1" applyFill="1" applyAlignment="1">
      <alignment vertical="top"/>
    </xf>
    <xf numFmtId="3" fontId="64" fillId="17" borderId="0" xfId="41" applyNumberFormat="1" applyFont="1" applyFill="1" applyBorder="1" applyAlignment="1" applyProtection="1">
      <alignment vertical="top"/>
    </xf>
    <xf numFmtId="3" fontId="13" fillId="0" borderId="38" xfId="0" applyNumberFormat="1" applyFont="1" applyBorder="1" applyAlignment="1" applyProtection="1">
      <alignment horizontal="right" vertical="center" indent="2"/>
      <protection locked="0"/>
    </xf>
    <xf numFmtId="3" fontId="44" fillId="17" borderId="0" xfId="0" applyNumberFormat="1" applyFont="1" applyFill="1" applyAlignment="1">
      <alignment horizontal="right" vertical="center" wrapText="1"/>
    </xf>
    <xf numFmtId="0" fontId="13" fillId="19" borderId="18" xfId="0" applyFont="1" applyFill="1" applyBorder="1"/>
    <xf numFmtId="0" fontId="13" fillId="19" borderId="19" xfId="0" applyFont="1" applyFill="1" applyBorder="1" applyAlignment="1">
      <alignment wrapText="1"/>
    </xf>
    <xf numFmtId="3" fontId="12" fillId="19" borderId="19" xfId="0" applyNumberFormat="1" applyFont="1" applyFill="1" applyBorder="1" applyAlignment="1">
      <alignment horizontal="right" vertical="center" indent="1"/>
    </xf>
    <xf numFmtId="0" fontId="13" fillId="19" borderId="20" xfId="0" applyFont="1" applyFill="1" applyBorder="1"/>
    <xf numFmtId="0" fontId="12" fillId="19" borderId="20" xfId="0" applyFont="1" applyFill="1" applyBorder="1"/>
    <xf numFmtId="0" fontId="13" fillId="19" borderId="22" xfId="0" applyFont="1" applyFill="1" applyBorder="1"/>
    <xf numFmtId="3" fontId="13" fillId="19" borderId="22" xfId="0" applyNumberFormat="1" applyFont="1" applyFill="1" applyBorder="1" applyAlignment="1">
      <alignment horizontal="right" vertical="center" indent="1"/>
    </xf>
    <xf numFmtId="3" fontId="13" fillId="24" borderId="0" xfId="0" applyNumberFormat="1" applyFont="1" applyFill="1" applyAlignment="1">
      <alignment horizontal="right" vertical="center" indent="1"/>
    </xf>
    <xf numFmtId="3" fontId="12" fillId="24" borderId="0" xfId="0" applyNumberFormat="1" applyFont="1" applyFill="1" applyAlignment="1">
      <alignment horizontal="right" vertical="center" indent="1"/>
    </xf>
    <xf numFmtId="3" fontId="12" fillId="24" borderId="19" xfId="0" applyNumberFormat="1" applyFont="1" applyFill="1" applyBorder="1" applyAlignment="1">
      <alignment horizontal="right" vertical="center" indent="1"/>
    </xf>
    <xf numFmtId="3" fontId="13" fillId="24" borderId="19" xfId="0" applyNumberFormat="1" applyFont="1" applyFill="1" applyBorder="1" applyAlignment="1">
      <alignment horizontal="right" vertical="center" indent="1"/>
    </xf>
    <xf numFmtId="3" fontId="13" fillId="24" borderId="22" xfId="0" applyNumberFormat="1" applyFont="1" applyFill="1" applyBorder="1" applyAlignment="1">
      <alignment horizontal="right" vertical="center" indent="1"/>
    </xf>
    <xf numFmtId="0" fontId="0" fillId="24" borderId="0" xfId="0" applyFill="1"/>
    <xf numFmtId="3" fontId="12" fillId="24" borderId="31" xfId="0" applyNumberFormat="1" applyFont="1" applyFill="1" applyBorder="1" applyAlignment="1">
      <alignment horizontal="right" vertical="center" indent="1"/>
    </xf>
    <xf numFmtId="3" fontId="13" fillId="24" borderId="31" xfId="0" applyNumberFormat="1" applyFont="1" applyFill="1" applyBorder="1" applyAlignment="1">
      <alignment horizontal="right" vertical="center" indent="1"/>
    </xf>
    <xf numFmtId="3" fontId="12" fillId="24" borderId="32" xfId="0" applyNumberFormat="1" applyFont="1" applyFill="1" applyBorder="1" applyAlignment="1">
      <alignment horizontal="right" vertical="center" indent="1"/>
    </xf>
    <xf numFmtId="3" fontId="13" fillId="24" borderId="32" xfId="0" applyNumberFormat="1" applyFont="1" applyFill="1" applyBorder="1" applyAlignment="1">
      <alignment horizontal="right" vertical="center" indent="1"/>
    </xf>
    <xf numFmtId="3" fontId="12" fillId="24" borderId="25" xfId="0" applyNumberFormat="1" applyFont="1" applyFill="1" applyBorder="1" applyAlignment="1">
      <alignment horizontal="right" vertical="center" indent="1"/>
    </xf>
    <xf numFmtId="3" fontId="13" fillId="24" borderId="25" xfId="0" applyNumberFormat="1" applyFont="1" applyFill="1" applyBorder="1" applyAlignment="1">
      <alignment horizontal="right" vertical="center" indent="1"/>
    </xf>
    <xf numFmtId="0" fontId="13" fillId="24" borderId="0" xfId="0" applyFont="1" applyFill="1"/>
    <xf numFmtId="0" fontId="69" fillId="19" borderId="0" xfId="0" applyFont="1" applyFill="1"/>
    <xf numFmtId="0" fontId="13" fillId="24" borderId="0" xfId="0" applyFont="1" applyFill="1" applyAlignment="1">
      <alignment horizontal="center"/>
    </xf>
    <xf numFmtId="0" fontId="13" fillId="24" borderId="59" xfId="0" applyFont="1" applyFill="1" applyBorder="1" applyAlignment="1">
      <alignment horizontal="center"/>
    </xf>
    <xf numFmtId="0" fontId="13" fillId="24" borderId="60" xfId="0" applyFont="1" applyFill="1" applyBorder="1"/>
    <xf numFmtId="0" fontId="13" fillId="24" borderId="61" xfId="0" applyFont="1" applyFill="1" applyBorder="1"/>
    <xf numFmtId="0" fontId="13" fillId="24" borderId="59" xfId="0" applyFont="1" applyFill="1" applyBorder="1"/>
    <xf numFmtId="0" fontId="0" fillId="24" borderId="59" xfId="0" applyFill="1" applyBorder="1"/>
    <xf numFmtId="0" fontId="0" fillId="24" borderId="60" xfId="0" applyFill="1" applyBorder="1"/>
    <xf numFmtId="0" fontId="0" fillId="24" borderId="61" xfId="0" applyFill="1" applyBorder="1"/>
    <xf numFmtId="0" fontId="0" fillId="24" borderId="62" xfId="0" applyFill="1" applyBorder="1"/>
    <xf numFmtId="0" fontId="0" fillId="24" borderId="63" xfId="0" applyFill="1" applyBorder="1"/>
    <xf numFmtId="0" fontId="0" fillId="24" borderId="64" xfId="0" applyFill="1" applyBorder="1"/>
    <xf numFmtId="0" fontId="0" fillId="24" borderId="25" xfId="0" applyFill="1" applyBorder="1"/>
    <xf numFmtId="0" fontId="0" fillId="24" borderId="16" xfId="0" applyFill="1" applyBorder="1"/>
    <xf numFmtId="0" fontId="13" fillId="24" borderId="22" xfId="0" applyFont="1" applyFill="1" applyBorder="1"/>
    <xf numFmtId="0" fontId="13" fillId="0" borderId="0" xfId="0" applyFont="1" applyAlignment="1">
      <alignment vertical="center"/>
    </xf>
    <xf numFmtId="0" fontId="13" fillId="19" borderId="74" xfId="0" applyFont="1" applyFill="1" applyBorder="1"/>
    <xf numFmtId="3" fontId="13" fillId="19" borderId="75" xfId="0" applyNumberFormat="1" applyFont="1" applyFill="1" applyBorder="1" applyAlignment="1">
      <alignment horizontal="right" vertical="center" indent="1"/>
    </xf>
    <xf numFmtId="3" fontId="13" fillId="19" borderId="76" xfId="0" applyNumberFormat="1" applyFont="1" applyFill="1" applyBorder="1" applyAlignment="1">
      <alignment horizontal="right" vertical="center" indent="1"/>
    </xf>
    <xf numFmtId="3" fontId="13" fillId="24" borderId="75" xfId="0" applyNumberFormat="1" applyFont="1" applyFill="1" applyBorder="1" applyAlignment="1">
      <alignment horizontal="right" vertical="center" indent="1"/>
    </xf>
    <xf numFmtId="0" fontId="0" fillId="24" borderId="77" xfId="0" applyFill="1" applyBorder="1"/>
    <xf numFmtId="0" fontId="13" fillId="19" borderId="78" xfId="0" applyFont="1" applyFill="1" applyBorder="1"/>
    <xf numFmtId="0" fontId="0" fillId="24" borderId="79" xfId="0" applyFill="1" applyBorder="1"/>
    <xf numFmtId="0" fontId="13" fillId="19" borderId="80" xfId="0" applyFont="1" applyFill="1" applyBorder="1"/>
    <xf numFmtId="3" fontId="12" fillId="19" borderId="81" xfId="0" applyNumberFormat="1" applyFont="1" applyFill="1" applyBorder="1" applyAlignment="1">
      <alignment horizontal="right" vertical="center" indent="1"/>
    </xf>
    <xf numFmtId="3" fontId="13" fillId="19" borderId="82" xfId="0" applyNumberFormat="1" applyFont="1" applyFill="1" applyBorder="1" applyAlignment="1">
      <alignment horizontal="right" vertical="center" indent="1"/>
    </xf>
    <xf numFmtId="3" fontId="13" fillId="24" borderId="81" xfId="0" applyNumberFormat="1" applyFont="1" applyFill="1" applyBorder="1" applyAlignment="1">
      <alignment horizontal="right" vertical="center" indent="1"/>
    </xf>
    <xf numFmtId="3" fontId="12" fillId="24" borderId="81" xfId="0" applyNumberFormat="1" applyFont="1" applyFill="1" applyBorder="1" applyAlignment="1">
      <alignment horizontal="right" vertical="center" indent="1"/>
    </xf>
    <xf numFmtId="0" fontId="0" fillId="24" borderId="83" xfId="0" applyFill="1" applyBorder="1"/>
    <xf numFmtId="0" fontId="13" fillId="19" borderId="84" xfId="0" applyFont="1" applyFill="1" applyBorder="1"/>
    <xf numFmtId="3" fontId="13" fillId="19" borderId="85" xfId="0" applyNumberFormat="1" applyFont="1" applyFill="1" applyBorder="1" applyAlignment="1">
      <alignment horizontal="right" vertical="center" indent="1"/>
    </xf>
    <xf numFmtId="3" fontId="13" fillId="19" borderId="86" xfId="0" applyNumberFormat="1" applyFont="1" applyFill="1" applyBorder="1" applyAlignment="1">
      <alignment horizontal="right" vertical="center" indent="1"/>
    </xf>
    <xf numFmtId="3" fontId="13" fillId="24" borderId="85" xfId="0" applyNumberFormat="1" applyFont="1" applyFill="1" applyBorder="1" applyAlignment="1">
      <alignment horizontal="right" vertical="center" indent="1"/>
    </xf>
    <xf numFmtId="0" fontId="0" fillId="24" borderId="87" xfId="0" applyFill="1" applyBorder="1"/>
    <xf numFmtId="0" fontId="13" fillId="19" borderId="88" xfId="0" applyFont="1" applyFill="1" applyBorder="1"/>
    <xf numFmtId="0" fontId="0" fillId="24" borderId="89" xfId="0" applyFill="1" applyBorder="1"/>
    <xf numFmtId="0" fontId="13" fillId="19" borderId="90" xfId="0" applyFont="1" applyFill="1" applyBorder="1"/>
    <xf numFmtId="3" fontId="12" fillId="19" borderId="91" xfId="0" applyNumberFormat="1" applyFont="1" applyFill="1" applyBorder="1" applyAlignment="1">
      <alignment horizontal="right" vertical="center" indent="1"/>
    </xf>
    <xf numFmtId="3" fontId="13" fillId="19" borderId="92" xfId="0" applyNumberFormat="1" applyFont="1" applyFill="1" applyBorder="1" applyAlignment="1">
      <alignment horizontal="right" vertical="center" indent="1"/>
    </xf>
    <xf numFmtId="3" fontId="13" fillId="24" borderId="91" xfId="0" applyNumberFormat="1" applyFont="1" applyFill="1" applyBorder="1" applyAlignment="1">
      <alignment horizontal="right" vertical="center" indent="1"/>
    </xf>
    <xf numFmtId="3" fontId="12" fillId="24" borderId="91" xfId="0" applyNumberFormat="1" applyFont="1" applyFill="1" applyBorder="1" applyAlignment="1">
      <alignment horizontal="right" vertical="center" indent="1"/>
    </xf>
    <xf numFmtId="0" fontId="0" fillId="24" borderId="93" xfId="0" applyFill="1" applyBorder="1"/>
    <xf numFmtId="3" fontId="12" fillId="19" borderId="85" xfId="0" applyNumberFormat="1" applyFont="1" applyFill="1" applyBorder="1" applyAlignment="1">
      <alignment horizontal="right" vertical="center" indent="1"/>
    </xf>
    <xf numFmtId="3" fontId="12" fillId="24" borderId="85" xfId="0" applyNumberFormat="1" applyFont="1" applyFill="1" applyBorder="1" applyAlignment="1">
      <alignment horizontal="right" vertical="center" indent="1"/>
    </xf>
    <xf numFmtId="0" fontId="12" fillId="19" borderId="0" xfId="0" applyFont="1" applyFill="1" applyAlignment="1">
      <alignment horizontal="center" vertical="center"/>
    </xf>
    <xf numFmtId="0" fontId="14" fillId="17" borderId="0" xfId="0" applyFont="1" applyFill="1" applyAlignment="1">
      <alignment horizontal="left" vertical="center"/>
    </xf>
    <xf numFmtId="3" fontId="69" fillId="19" borderId="0" xfId="0" applyNumberFormat="1" applyFont="1" applyFill="1" applyAlignment="1">
      <alignment horizontal="left" vertical="center" indent="1"/>
    </xf>
    <xf numFmtId="0" fontId="73" fillId="0" borderId="0" xfId="0" applyFont="1"/>
    <xf numFmtId="0" fontId="13" fillId="25" borderId="0" xfId="0" applyFont="1" applyFill="1"/>
    <xf numFmtId="0" fontId="13" fillId="25" borderId="0" xfId="0" applyFont="1" applyFill="1" applyAlignment="1">
      <alignment horizontal="center"/>
    </xf>
    <xf numFmtId="0" fontId="13" fillId="25" borderId="0" xfId="0" applyFont="1" applyFill="1" applyAlignment="1">
      <alignment vertical="center"/>
    </xf>
    <xf numFmtId="0" fontId="13" fillId="25" borderId="23" xfId="0" applyFont="1" applyFill="1" applyBorder="1"/>
    <xf numFmtId="0" fontId="5" fillId="25" borderId="0" xfId="0" applyFont="1" applyFill="1" applyAlignment="1">
      <alignment horizontal="center" vertical="center" wrapText="1"/>
    </xf>
    <xf numFmtId="0" fontId="5" fillId="25" borderId="0" xfId="0" quotePrefix="1" applyFont="1" applyFill="1" applyAlignment="1">
      <alignment horizontal="center" vertical="center" wrapText="1"/>
    </xf>
    <xf numFmtId="0" fontId="61" fillId="25" borderId="0" xfId="0" applyFont="1" applyFill="1" applyAlignment="1">
      <alignment horizontal="center" vertical="center"/>
    </xf>
    <xf numFmtId="0" fontId="0" fillId="25" borderId="0" xfId="0" applyFill="1" applyAlignment="1">
      <alignment horizontal="center" vertical="center"/>
    </xf>
    <xf numFmtId="3" fontId="0" fillId="25" borderId="0" xfId="0" applyNumberFormat="1" applyFill="1" applyAlignment="1">
      <alignment vertical="center"/>
    </xf>
    <xf numFmtId="0" fontId="74" fillId="0" borderId="0" xfId="0" applyFont="1"/>
    <xf numFmtId="0" fontId="4" fillId="19" borderId="0" xfId="0" applyFont="1" applyFill="1"/>
    <xf numFmtId="0" fontId="74" fillId="0" borderId="0" xfId="0" applyFont="1" applyAlignment="1">
      <alignment horizontal="center"/>
    </xf>
    <xf numFmtId="0" fontId="75" fillId="0" borderId="0" xfId="0" applyFont="1"/>
    <xf numFmtId="3" fontId="74" fillId="23" borderId="57" xfId="0" applyNumberFormat="1" applyFont="1" applyFill="1" applyBorder="1" applyAlignment="1">
      <alignment horizontal="center"/>
    </xf>
    <xf numFmtId="0" fontId="8" fillId="23" borderId="57" xfId="0" applyFont="1" applyFill="1" applyBorder="1"/>
    <xf numFmtId="3" fontId="8" fillId="23" borderId="57" xfId="0" applyNumberFormat="1" applyFont="1" applyFill="1" applyBorder="1"/>
    <xf numFmtId="0" fontId="8" fillId="23" borderId="58" xfId="0" applyFont="1" applyFill="1" applyBorder="1"/>
    <xf numFmtId="0" fontId="74" fillId="23" borderId="3" xfId="0" applyFont="1" applyFill="1" applyBorder="1" applyAlignment="1">
      <alignment horizontal="center"/>
    </xf>
    <xf numFmtId="3" fontId="74" fillId="23" borderId="58" xfId="0" applyNumberFormat="1" applyFont="1" applyFill="1" applyBorder="1" applyAlignment="1">
      <alignment horizontal="center"/>
    </xf>
    <xf numFmtId="0" fontId="74" fillId="0" borderId="0" xfId="0" applyFont="1" applyAlignment="1">
      <alignment horizontal="center" vertical="center"/>
    </xf>
    <xf numFmtId="0" fontId="74" fillId="23" borderId="56" xfId="0" applyFont="1" applyFill="1" applyBorder="1" applyAlignment="1">
      <alignment horizontal="center" vertical="center"/>
    </xf>
    <xf numFmtId="0" fontId="74" fillId="23" borderId="57" xfId="0" applyFont="1" applyFill="1" applyBorder="1" applyAlignment="1">
      <alignment horizontal="center" vertical="center"/>
    </xf>
    <xf numFmtId="3" fontId="74" fillId="23" borderId="57" xfId="0" applyNumberFormat="1" applyFont="1" applyFill="1" applyBorder="1" applyAlignment="1">
      <alignment horizontal="center" vertical="center"/>
    </xf>
    <xf numFmtId="3" fontId="74" fillId="23" borderId="3" xfId="0" applyNumberFormat="1" applyFont="1" applyFill="1" applyBorder="1" applyAlignment="1">
      <alignment horizontal="center" vertical="center"/>
    </xf>
    <xf numFmtId="0" fontId="78" fillId="25" borderId="0" xfId="0" applyFont="1" applyFill="1"/>
    <xf numFmtId="0" fontId="67" fillId="25" borderId="15" xfId="0" applyFont="1" applyFill="1" applyBorder="1" applyAlignment="1">
      <alignment horizontal="center" vertical="top"/>
    </xf>
    <xf numFmtId="0" fontId="76" fillId="25" borderId="0" xfId="0" applyFont="1" applyFill="1" applyAlignment="1">
      <alignment horizontal="center" vertical="top"/>
    </xf>
    <xf numFmtId="0" fontId="8" fillId="25" borderId="0" xfId="0" applyFont="1" applyFill="1" applyAlignment="1">
      <alignment horizontal="left" vertical="top"/>
    </xf>
    <xf numFmtId="0" fontId="10" fillId="25" borderId="0" xfId="0" applyFont="1" applyFill="1" applyAlignment="1">
      <alignment horizontal="left" vertical="top"/>
    </xf>
    <xf numFmtId="0" fontId="76" fillId="25" borderId="0" xfId="0" applyFont="1" applyFill="1" applyAlignment="1">
      <alignment horizontal="left" vertical="top"/>
    </xf>
    <xf numFmtId="0" fontId="5" fillId="20" borderId="0" xfId="0" applyFont="1" applyFill="1" applyAlignment="1">
      <alignment horizontal="center" vertical="top" wrapText="1"/>
    </xf>
    <xf numFmtId="0" fontId="0" fillId="25" borderId="0" xfId="0" applyFill="1"/>
    <xf numFmtId="0" fontId="13" fillId="25" borderId="26" xfId="0" applyFont="1" applyFill="1" applyBorder="1"/>
    <xf numFmtId="0" fontId="13" fillId="25" borderId="16" xfId="0" applyFont="1" applyFill="1" applyBorder="1"/>
    <xf numFmtId="0" fontId="13" fillId="25" borderId="16" xfId="0" applyFont="1" applyFill="1" applyBorder="1" applyAlignment="1">
      <alignment horizontal="center"/>
    </xf>
    <xf numFmtId="0" fontId="13" fillId="25" borderId="17" xfId="0" applyFont="1" applyFill="1" applyBorder="1"/>
    <xf numFmtId="0" fontId="78" fillId="0" borderId="0" xfId="0" applyFont="1"/>
    <xf numFmtId="0" fontId="8" fillId="25" borderId="0" xfId="45" applyFont="1" applyFill="1"/>
    <xf numFmtId="0" fontId="8" fillId="25" borderId="23" xfId="45" applyFont="1" applyFill="1" applyBorder="1"/>
    <xf numFmtId="0" fontId="8" fillId="25" borderId="0" xfId="45" applyFont="1" applyFill="1" applyAlignment="1">
      <alignment horizontal="center"/>
    </xf>
    <xf numFmtId="0" fontId="8" fillId="25" borderId="15" xfId="45" applyFont="1" applyFill="1" applyBorder="1"/>
    <xf numFmtId="0" fontId="5" fillId="25" borderId="0" xfId="45" applyFont="1" applyFill="1" applyAlignment="1">
      <alignment horizontal="center" vertical="center" wrapText="1"/>
    </xf>
    <xf numFmtId="0" fontId="5" fillId="25" borderId="0" xfId="45" quotePrefix="1" applyFont="1" applyFill="1" applyAlignment="1">
      <alignment horizontal="center" vertical="center" wrapText="1"/>
    </xf>
    <xf numFmtId="0" fontId="10" fillId="25" borderId="0" xfId="45" applyFont="1" applyFill="1" applyAlignment="1">
      <alignment horizontal="left"/>
    </xf>
    <xf numFmtId="0" fontId="61" fillId="25" borderId="0" xfId="45" applyFont="1" applyFill="1" applyAlignment="1">
      <alignment horizontal="center" vertical="center"/>
    </xf>
    <xf numFmtId="0" fontId="4" fillId="25" borderId="0" xfId="45" applyFill="1" applyAlignment="1">
      <alignment horizontal="center" vertical="center"/>
    </xf>
    <xf numFmtId="3" fontId="4" fillId="25" borderId="0" xfId="45" applyNumberFormat="1" applyFill="1" applyAlignment="1">
      <alignment vertical="center"/>
    </xf>
    <xf numFmtId="0" fontId="8" fillId="25" borderId="0" xfId="45" applyFont="1" applyFill="1" applyAlignment="1">
      <alignment horizontal="left"/>
    </xf>
    <xf numFmtId="0" fontId="10" fillId="0" borderId="0" xfId="45" applyFont="1" applyAlignment="1">
      <alignment horizontal="center"/>
    </xf>
    <xf numFmtId="0" fontId="10" fillId="25" borderId="0" xfId="45" applyFont="1" applyFill="1" applyAlignment="1">
      <alignment horizontal="right"/>
    </xf>
    <xf numFmtId="0" fontId="8" fillId="0" borderId="0" xfId="45" applyFont="1" applyAlignment="1">
      <alignment horizontal="center"/>
    </xf>
    <xf numFmtId="0" fontId="8" fillId="25" borderId="0" xfId="45" applyFont="1" applyFill="1" applyAlignment="1">
      <alignment horizontal="center" vertical="top"/>
    </xf>
    <xf numFmtId="0" fontId="8" fillId="25" borderId="0" xfId="45" applyFont="1" applyFill="1" applyAlignment="1">
      <alignment horizontal="left" vertical="top"/>
    </xf>
    <xf numFmtId="3" fontId="8" fillId="25" borderId="0" xfId="45" applyNumberFormat="1" applyFont="1" applyFill="1" applyAlignment="1">
      <alignment vertical="top"/>
    </xf>
    <xf numFmtId="9" fontId="8" fillId="25" borderId="0" xfId="48" applyFont="1" applyFill="1" applyBorder="1" applyAlignment="1">
      <alignment horizontal="right" vertical="top"/>
    </xf>
    <xf numFmtId="9" fontId="8" fillId="25" borderId="0" xfId="48" applyFont="1" applyFill="1" applyBorder="1" applyAlignment="1">
      <alignment vertical="top"/>
    </xf>
    <xf numFmtId="3" fontId="8" fillId="25" borderId="0" xfId="45" applyNumberFormat="1" applyFont="1" applyFill="1" applyAlignment="1">
      <alignment horizontal="right" vertical="top"/>
    </xf>
    <xf numFmtId="0" fontId="76" fillId="25" borderId="0" xfId="45" applyFont="1" applyFill="1" applyAlignment="1">
      <alignment horizontal="center" vertical="top"/>
    </xf>
    <xf numFmtId="0" fontId="76" fillId="25" borderId="0" xfId="45" applyFont="1" applyFill="1" applyAlignment="1">
      <alignment horizontal="left" vertical="top"/>
    </xf>
    <xf numFmtId="0" fontId="10" fillId="25" borderId="0" xfId="45" applyFont="1" applyFill="1" applyAlignment="1">
      <alignment horizontal="left" vertical="top"/>
    </xf>
    <xf numFmtId="0" fontId="8" fillId="25" borderId="15" xfId="45" applyFont="1" applyFill="1" applyBorder="1" applyAlignment="1">
      <alignment vertical="top"/>
    </xf>
    <xf numFmtId="0" fontId="68" fillId="25" borderId="0" xfId="45" applyFont="1" applyFill="1"/>
    <xf numFmtId="0" fontId="8" fillId="25" borderId="0" xfId="45" applyFont="1" applyFill="1" applyAlignment="1">
      <alignment vertical="top"/>
    </xf>
    <xf numFmtId="0" fontId="8" fillId="25" borderId="0" xfId="45" applyFont="1" applyFill="1" applyAlignment="1">
      <alignment horizontal="right" vertical="top"/>
    </xf>
    <xf numFmtId="3" fontId="8" fillId="25" borderId="0" xfId="45" applyNumberFormat="1" applyFont="1" applyFill="1"/>
    <xf numFmtId="0" fontId="8" fillId="25" borderId="25" xfId="45" applyFont="1" applyFill="1" applyBorder="1"/>
    <xf numFmtId="0" fontId="8" fillId="25" borderId="25" xfId="45" applyFont="1" applyFill="1" applyBorder="1" applyAlignment="1">
      <alignment horizontal="center"/>
    </xf>
    <xf numFmtId="0" fontId="8" fillId="25" borderId="24" xfId="45" applyFont="1" applyFill="1" applyBorder="1"/>
    <xf numFmtId="0" fontId="8" fillId="25" borderId="27" xfId="45" applyFont="1" applyFill="1" applyBorder="1"/>
    <xf numFmtId="0" fontId="8" fillId="0" borderId="0" xfId="45" applyFont="1"/>
    <xf numFmtId="0" fontId="10" fillId="17" borderId="0" xfId="0" applyFont="1" applyFill="1" applyAlignment="1">
      <alignment vertical="center"/>
    </xf>
    <xf numFmtId="0" fontId="8" fillId="17" borderId="0" xfId="0" applyFont="1" applyFill="1" applyAlignment="1">
      <alignment vertical="top"/>
    </xf>
    <xf numFmtId="0" fontId="4" fillId="17" borderId="23" xfId="0" applyFont="1" applyFill="1" applyBorder="1"/>
    <xf numFmtId="0" fontId="53" fillId="17" borderId="0" xfId="0" applyFont="1" applyFill="1" applyAlignment="1">
      <alignment horizontal="left" indent="1"/>
    </xf>
    <xf numFmtId="0" fontId="4" fillId="17" borderId="0" xfId="0" applyFont="1" applyFill="1" applyAlignment="1">
      <alignment vertical="top"/>
    </xf>
    <xf numFmtId="0" fontId="4" fillId="17" borderId="15" xfId="0" applyFont="1" applyFill="1" applyBorder="1"/>
    <xf numFmtId="0" fontId="8" fillId="25" borderId="0" xfId="45" applyFont="1" applyFill="1" applyAlignment="1">
      <alignment vertical="top" wrapText="1"/>
    </xf>
    <xf numFmtId="0" fontId="8" fillId="25" borderId="23" xfId="45" applyFont="1" applyFill="1" applyBorder="1" applyAlignment="1">
      <alignment horizontal="center" vertical="top"/>
    </xf>
    <xf numFmtId="0" fontId="12" fillId="19" borderId="0" xfId="0" applyFont="1" applyFill="1" applyAlignment="1">
      <alignment horizontal="left"/>
    </xf>
    <xf numFmtId="0" fontId="12" fillId="19" borderId="0" xfId="0" applyFont="1" applyFill="1" applyAlignment="1">
      <alignment horizontal="center"/>
    </xf>
    <xf numFmtId="3" fontId="14" fillId="17" borderId="0" xfId="33" applyNumberFormat="1" applyFont="1" applyFill="1" applyBorder="1" applyAlignment="1">
      <alignment horizontal="right" vertical="center" wrapText="1"/>
    </xf>
    <xf numFmtId="0" fontId="8" fillId="25" borderId="0" xfId="45" applyFont="1" applyFill="1" applyAlignment="1">
      <alignment horizontal="left" vertical="center"/>
    </xf>
    <xf numFmtId="3" fontId="8" fillId="25" borderId="0" xfId="45" applyNumberFormat="1" applyFont="1" applyFill="1" applyAlignment="1">
      <alignment vertical="center"/>
    </xf>
    <xf numFmtId="9" fontId="8" fillId="25" borderId="0" xfId="48" applyFont="1" applyFill="1" applyBorder="1" applyAlignment="1">
      <alignment horizontal="right" vertical="center"/>
    </xf>
    <xf numFmtId="9" fontId="8" fillId="25" borderId="0" xfId="48" applyFont="1" applyFill="1" applyBorder="1" applyAlignment="1">
      <alignment vertical="center"/>
    </xf>
    <xf numFmtId="0" fontId="8" fillId="25" borderId="41" xfId="45" applyFont="1" applyFill="1" applyBorder="1" applyAlignment="1">
      <alignment horizontal="center" vertical="center"/>
    </xf>
    <xf numFmtId="3" fontId="8" fillId="25" borderId="0" xfId="45" applyNumberFormat="1" applyFont="1" applyFill="1" applyAlignment="1">
      <alignment horizontal="right" vertical="center"/>
    </xf>
    <xf numFmtId="0" fontId="9" fillId="20" borderId="23" xfId="0" applyFont="1" applyFill="1" applyBorder="1" applyAlignment="1">
      <alignment horizontal="center"/>
    </xf>
    <xf numFmtId="3" fontId="13" fillId="24" borderId="0" xfId="0" applyNumberFormat="1" applyFont="1" applyFill="1" applyAlignment="1">
      <alignment horizontal="center" vertical="center"/>
    </xf>
    <xf numFmtId="0" fontId="8" fillId="25" borderId="0" xfId="0" applyFont="1" applyFill="1" applyAlignment="1">
      <alignment horizontal="right"/>
    </xf>
    <xf numFmtId="0" fontId="10" fillId="25" borderId="0" xfId="0" applyFont="1" applyFill="1"/>
    <xf numFmtId="3" fontId="13" fillId="17" borderId="18" xfId="0" applyNumberFormat="1" applyFont="1" applyFill="1" applyBorder="1" applyAlignment="1">
      <alignment horizontal="right" vertical="center" indent="1"/>
    </xf>
    <xf numFmtId="3" fontId="13" fillId="17" borderId="20" xfId="0" applyNumberFormat="1" applyFont="1" applyFill="1" applyBorder="1" applyAlignment="1">
      <alignment horizontal="right" vertical="center" indent="1"/>
    </xf>
    <xf numFmtId="0" fontId="13" fillId="0" borderId="20" xfId="0" applyFont="1" applyBorder="1"/>
    <xf numFmtId="3" fontId="13" fillId="24" borderId="95" xfId="0" applyNumberFormat="1" applyFont="1" applyFill="1" applyBorder="1" applyAlignment="1">
      <alignment horizontal="right" vertical="center" indent="1"/>
    </xf>
    <xf numFmtId="3" fontId="13" fillId="24" borderId="94" xfId="0" applyNumberFormat="1" applyFont="1" applyFill="1" applyBorder="1" applyAlignment="1">
      <alignment horizontal="center" vertical="top"/>
    </xf>
    <xf numFmtId="3" fontId="13" fillId="24" borderId="96" xfId="0" applyNumberFormat="1" applyFont="1" applyFill="1" applyBorder="1" applyAlignment="1">
      <alignment horizontal="right" vertical="center" indent="1"/>
    </xf>
    <xf numFmtId="3" fontId="12" fillId="19" borderId="97" xfId="0" applyNumberFormat="1" applyFont="1" applyFill="1" applyBorder="1" applyAlignment="1">
      <alignment horizontal="right" vertical="center" indent="1"/>
    </xf>
    <xf numFmtId="3" fontId="12" fillId="19" borderId="98" xfId="0" applyNumberFormat="1" applyFont="1" applyFill="1" applyBorder="1" applyAlignment="1">
      <alignment horizontal="right" vertical="center" indent="1"/>
    </xf>
    <xf numFmtId="0" fontId="12" fillId="24" borderId="0" xfId="0" applyFont="1" applyFill="1" applyAlignment="1">
      <alignment horizontal="center"/>
    </xf>
    <xf numFmtId="0" fontId="5" fillId="19" borderId="0" xfId="0" applyFont="1" applyFill="1" applyAlignment="1">
      <alignment horizontal="left"/>
    </xf>
    <xf numFmtId="0" fontId="10" fillId="19" borderId="0" xfId="0" applyFont="1" applyFill="1" applyAlignment="1">
      <alignment wrapText="1"/>
    </xf>
    <xf numFmtId="0" fontId="10" fillId="19" borderId="16" xfId="0" applyFont="1" applyFill="1" applyBorder="1" applyAlignment="1">
      <alignment wrapText="1"/>
    </xf>
    <xf numFmtId="0" fontId="10" fillId="24" borderId="16" xfId="0" applyFont="1" applyFill="1" applyBorder="1" applyAlignment="1">
      <alignment wrapText="1"/>
    </xf>
    <xf numFmtId="0" fontId="10" fillId="24" borderId="0" xfId="0" applyFont="1" applyFill="1" applyAlignment="1">
      <alignment wrapText="1"/>
    </xf>
    <xf numFmtId="0" fontId="8" fillId="19" borderId="0" xfId="0" applyFont="1" applyFill="1" applyAlignment="1">
      <alignment horizontal="right"/>
    </xf>
    <xf numFmtId="3" fontId="8" fillId="17" borderId="38" xfId="0" applyNumberFormat="1" applyFont="1" applyFill="1" applyBorder="1" applyAlignment="1" applyProtection="1">
      <alignment horizontal="right" vertical="center" indent="2"/>
      <protection locked="0"/>
    </xf>
    <xf numFmtId="0" fontId="0" fillId="0" borderId="15" xfId="0" applyBorder="1" applyAlignment="1">
      <alignment wrapText="1"/>
    </xf>
    <xf numFmtId="3" fontId="8" fillId="17" borderId="15" xfId="0" applyNumberFormat="1" applyFont="1" applyFill="1" applyBorder="1" applyAlignment="1">
      <alignment vertical="center"/>
    </xf>
    <xf numFmtId="0" fontId="8" fillId="25" borderId="23" xfId="45" applyFont="1" applyFill="1" applyBorder="1" applyAlignment="1">
      <alignment wrapText="1"/>
    </xf>
    <xf numFmtId="0" fontId="8" fillId="25" borderId="15" xfId="45" applyFont="1" applyFill="1" applyBorder="1" applyAlignment="1">
      <alignment wrapText="1"/>
    </xf>
    <xf numFmtId="0" fontId="74" fillId="23" borderId="3" xfId="0" applyFont="1" applyFill="1" applyBorder="1" applyAlignment="1">
      <alignment horizontal="center" vertical="center" wrapText="1"/>
    </xf>
    <xf numFmtId="0" fontId="0" fillId="31" borderId="0" xfId="0" applyFill="1"/>
    <xf numFmtId="0" fontId="8" fillId="17" borderId="52" xfId="0" applyFont="1" applyFill="1" applyBorder="1"/>
    <xf numFmtId="0" fontId="8" fillId="19" borderId="0" xfId="0" applyFont="1" applyFill="1" applyAlignment="1">
      <alignment wrapText="1"/>
    </xf>
    <xf numFmtId="0" fontId="8" fillId="17" borderId="0" xfId="0" applyFont="1" applyFill="1" applyAlignment="1">
      <alignment vertical="center"/>
    </xf>
    <xf numFmtId="0" fontId="8" fillId="19" borderId="31" xfId="0" applyFont="1" applyFill="1" applyBorder="1"/>
    <xf numFmtId="0" fontId="34" fillId="20" borderId="0" xfId="0" applyFont="1" applyFill="1" applyAlignment="1">
      <alignment vertical="top"/>
    </xf>
    <xf numFmtId="0" fontId="8" fillId="25" borderId="0" xfId="0" applyFont="1" applyFill="1" applyAlignment="1">
      <alignment horizontal="left"/>
    </xf>
    <xf numFmtId="3" fontId="69" fillId="19" borderId="0" xfId="0" applyNumberFormat="1" applyFont="1" applyFill="1" applyAlignment="1">
      <alignment horizontal="right" vertical="center" indent="1"/>
    </xf>
    <xf numFmtId="3" fontId="69" fillId="24" borderId="0" xfId="0" applyNumberFormat="1" applyFont="1" applyFill="1" applyAlignment="1">
      <alignment horizontal="right" vertical="center" indent="1"/>
    </xf>
    <xf numFmtId="0" fontId="8" fillId="25" borderId="26" xfId="45" applyFont="1" applyFill="1" applyBorder="1" applyAlignment="1">
      <alignment horizontal="center" vertical="center"/>
    </xf>
    <xf numFmtId="0" fontId="8" fillId="25" borderId="16" xfId="45" applyFont="1" applyFill="1" applyBorder="1" applyAlignment="1">
      <alignment horizontal="left" vertical="center"/>
    </xf>
    <xf numFmtId="3" fontId="8" fillId="25" borderId="16" xfId="45" applyNumberFormat="1" applyFont="1" applyFill="1" applyBorder="1" applyAlignment="1">
      <alignment vertical="center"/>
    </xf>
    <xf numFmtId="9" fontId="8" fillId="25" borderId="16" xfId="48" applyFont="1" applyFill="1" applyBorder="1" applyAlignment="1">
      <alignment horizontal="right" vertical="center"/>
    </xf>
    <xf numFmtId="9" fontId="8" fillId="25" borderId="16" xfId="48" applyFont="1" applyFill="1" applyBorder="1" applyAlignment="1">
      <alignment vertical="center"/>
    </xf>
    <xf numFmtId="3" fontId="8" fillId="25" borderId="16" xfId="45" applyNumberFormat="1" applyFont="1" applyFill="1" applyBorder="1" applyAlignment="1">
      <alignment horizontal="right" vertical="center"/>
    </xf>
    <xf numFmtId="0" fontId="8" fillId="25" borderId="99" xfId="45" applyFont="1" applyFill="1" applyBorder="1" applyAlignment="1">
      <alignment horizontal="center" vertical="center"/>
    </xf>
    <xf numFmtId="0" fontId="8" fillId="25" borderId="23" xfId="45" applyFont="1" applyFill="1" applyBorder="1" applyAlignment="1">
      <alignment horizontal="center" vertical="center"/>
    </xf>
    <xf numFmtId="0" fontId="8" fillId="25" borderId="24" xfId="45" applyFont="1" applyFill="1" applyBorder="1" applyAlignment="1">
      <alignment horizontal="center" vertical="center"/>
    </xf>
    <xf numFmtId="0" fontId="8" fillId="25" borderId="25" xfId="45" applyFont="1" applyFill="1" applyBorder="1" applyAlignment="1">
      <alignment horizontal="left" vertical="center"/>
    </xf>
    <xf numFmtId="3" fontId="8" fillId="25" borderId="25" xfId="45" applyNumberFormat="1" applyFont="1" applyFill="1" applyBorder="1" applyAlignment="1">
      <alignment vertical="center"/>
    </xf>
    <xf numFmtId="9" fontId="8" fillId="25" borderId="25" xfId="48" applyFont="1" applyFill="1" applyBorder="1" applyAlignment="1">
      <alignment horizontal="right" vertical="center"/>
    </xf>
    <xf numFmtId="9" fontId="8" fillId="25" borderId="25" xfId="48" applyFont="1" applyFill="1" applyBorder="1" applyAlignment="1">
      <alignment vertical="center"/>
    </xf>
    <xf numFmtId="3" fontId="8" fillId="25" borderId="25" xfId="45" applyNumberFormat="1" applyFont="1" applyFill="1" applyBorder="1" applyAlignment="1">
      <alignment horizontal="right" vertical="center"/>
    </xf>
    <xf numFmtId="0" fontId="8" fillId="25" borderId="102" xfId="45" applyFont="1" applyFill="1" applyBorder="1" applyAlignment="1">
      <alignment horizontal="center" vertical="center"/>
    </xf>
    <xf numFmtId="0" fontId="8" fillId="25" borderId="53" xfId="45" applyFont="1" applyFill="1" applyBorder="1" applyAlignment="1">
      <alignment horizontal="center" vertical="center" wrapText="1"/>
    </xf>
    <xf numFmtId="0" fontId="8" fillId="25" borderId="54" xfId="45" applyFont="1" applyFill="1" applyBorder="1" applyAlignment="1">
      <alignment vertical="center" wrapText="1"/>
    </xf>
    <xf numFmtId="3" fontId="8" fillId="25" borderId="54" xfId="45" applyNumberFormat="1" applyFont="1" applyFill="1" applyBorder="1" applyAlignment="1">
      <alignment vertical="center" wrapText="1"/>
    </xf>
    <xf numFmtId="9" fontId="8" fillId="25" borderId="54" xfId="48" applyFont="1" applyFill="1" applyBorder="1" applyAlignment="1">
      <alignment horizontal="right" vertical="center" wrapText="1"/>
    </xf>
    <xf numFmtId="9" fontId="8" fillId="25" borderId="54" xfId="48" applyFont="1" applyFill="1" applyBorder="1" applyAlignment="1">
      <alignment vertical="center" wrapText="1"/>
    </xf>
    <xf numFmtId="3" fontId="8" fillId="25" borderId="54" xfId="45" applyNumberFormat="1" applyFont="1" applyFill="1" applyBorder="1" applyAlignment="1">
      <alignment horizontal="right" vertical="center" wrapText="1"/>
    </xf>
    <xf numFmtId="0" fontId="8" fillId="25" borderId="107" xfId="45" applyFont="1" applyFill="1" applyBorder="1" applyAlignment="1">
      <alignment horizontal="center" vertical="center" wrapText="1"/>
    </xf>
    <xf numFmtId="0" fontId="8" fillId="25" borderId="16" xfId="0" applyFont="1" applyFill="1" applyBorder="1" applyAlignment="1">
      <alignment horizontal="left" vertical="top"/>
    </xf>
    <xf numFmtId="0" fontId="8" fillId="25" borderId="54" xfId="0" applyFont="1" applyFill="1" applyBorder="1" applyAlignment="1">
      <alignment horizontal="left" vertical="top"/>
    </xf>
    <xf numFmtId="0" fontId="8" fillId="25" borderId="25" xfId="0" applyFont="1" applyFill="1" applyBorder="1" applyAlignment="1">
      <alignment horizontal="left" vertical="center"/>
    </xf>
    <xf numFmtId="3" fontId="8" fillId="25" borderId="25" xfId="0" applyNumberFormat="1" applyFont="1" applyFill="1" applyBorder="1" applyAlignment="1">
      <alignment horizontal="right" vertical="center"/>
    </xf>
    <xf numFmtId="0" fontId="10" fillId="25" borderId="38" xfId="45" applyFont="1" applyFill="1" applyBorder="1" applyAlignment="1">
      <alignment horizontal="left"/>
    </xf>
    <xf numFmtId="0" fontId="4" fillId="0" borderId="0" xfId="0" applyFont="1" applyAlignment="1">
      <alignment wrapText="1"/>
    </xf>
    <xf numFmtId="3" fontId="69" fillId="19" borderId="0" xfId="0" applyNumberFormat="1" applyFont="1" applyFill="1" applyAlignment="1">
      <alignment vertical="center"/>
    </xf>
    <xf numFmtId="3" fontId="88" fillId="19" borderId="0" xfId="0" applyNumberFormat="1" applyFont="1" applyFill="1" applyAlignment="1">
      <alignment horizontal="right" vertical="center" indent="1"/>
    </xf>
    <xf numFmtId="3" fontId="12" fillId="19" borderId="0" xfId="0" applyNumberFormat="1" applyFont="1" applyFill="1" applyAlignment="1">
      <alignment wrapText="1"/>
    </xf>
    <xf numFmtId="3" fontId="69" fillId="19" borderId="0" xfId="0" applyNumberFormat="1" applyFont="1" applyFill="1" applyAlignment="1">
      <alignment vertical="center" wrapText="1"/>
    </xf>
    <xf numFmtId="3" fontId="74" fillId="23" borderId="56" xfId="0" applyNumberFormat="1" applyFont="1" applyFill="1" applyBorder="1" applyAlignment="1">
      <alignment horizontal="center"/>
    </xf>
    <xf numFmtId="3" fontId="84" fillId="0" borderId="0" xfId="0" applyNumberFormat="1" applyFont="1"/>
    <xf numFmtId="0" fontId="84" fillId="0" borderId="0" xfId="0" applyFont="1"/>
    <xf numFmtId="0" fontId="8" fillId="25" borderId="0" xfId="0" applyFont="1" applyFill="1" applyAlignment="1">
      <alignment horizontal="center"/>
    </xf>
    <xf numFmtId="0" fontId="69" fillId="25" borderId="0" xfId="0" applyFont="1" applyFill="1"/>
    <xf numFmtId="0" fontId="8" fillId="25" borderId="0" xfId="0" applyFont="1" applyFill="1"/>
    <xf numFmtId="0" fontId="36" fillId="0" borderId="0" xfId="0" applyFont="1" applyAlignment="1">
      <alignment vertical="top"/>
    </xf>
    <xf numFmtId="0" fontId="36" fillId="0" borderId="23" xfId="0" applyFont="1" applyBorder="1" applyAlignment="1">
      <alignment vertical="top"/>
    </xf>
    <xf numFmtId="0" fontId="4" fillId="0" borderId="0" xfId="0" applyFont="1" applyAlignment="1">
      <alignment horizontal="left" wrapText="1" indent="2"/>
    </xf>
    <xf numFmtId="0" fontId="0" fillId="20" borderId="23" xfId="0" applyFill="1" applyBorder="1" applyAlignment="1">
      <alignment horizontal="center"/>
    </xf>
    <xf numFmtId="0" fontId="10" fillId="20" borderId="23" xfId="0" applyFont="1" applyFill="1" applyBorder="1" applyAlignment="1">
      <alignment horizontal="center"/>
    </xf>
    <xf numFmtId="0" fontId="10" fillId="20" borderId="23" xfId="0" applyFont="1" applyFill="1" applyBorder="1" applyAlignment="1">
      <alignment horizontal="center" vertical="top"/>
    </xf>
    <xf numFmtId="0" fontId="35" fillId="20" borderId="23" xfId="0" applyFont="1" applyFill="1" applyBorder="1" applyAlignment="1">
      <alignment horizontal="center" shrinkToFit="1"/>
    </xf>
    <xf numFmtId="0" fontId="13" fillId="19" borderId="0" xfId="0" applyFont="1" applyFill="1" applyAlignment="1">
      <alignment wrapText="1"/>
    </xf>
    <xf numFmtId="0" fontId="69" fillId="19" borderId="0" xfId="0" applyFont="1" applyFill="1" applyAlignment="1">
      <alignment horizontal="left" vertical="center" wrapText="1"/>
    </xf>
    <xf numFmtId="0" fontId="75" fillId="25" borderId="53" xfId="0" applyFont="1" applyFill="1" applyBorder="1" applyAlignment="1">
      <alignment horizontal="center"/>
    </xf>
    <xf numFmtId="0" fontId="75" fillId="25" borderId="54" xfId="0" applyFont="1" applyFill="1" applyBorder="1" applyAlignment="1">
      <alignment horizontal="center"/>
    </xf>
    <xf numFmtId="0" fontId="45" fillId="19" borderId="0" xfId="0" applyFont="1" applyFill="1" applyAlignment="1">
      <alignment horizontal="center"/>
    </xf>
    <xf numFmtId="0" fontId="12" fillId="19" borderId="0" xfId="0" applyFont="1" applyFill="1" applyAlignment="1">
      <alignment horizontal="center" wrapText="1"/>
    </xf>
    <xf numFmtId="3" fontId="12" fillId="17" borderId="0" xfId="0" applyNumberFormat="1" applyFont="1" applyFill="1" applyAlignment="1">
      <alignment horizontal="center" vertical="center"/>
    </xf>
    <xf numFmtId="3" fontId="12" fillId="19" borderId="0" xfId="0" applyNumberFormat="1" applyFont="1" applyFill="1" applyAlignment="1">
      <alignment horizontal="center" wrapText="1"/>
    </xf>
    <xf numFmtId="0" fontId="10" fillId="25" borderId="38" xfId="0" applyFont="1" applyFill="1" applyBorder="1" applyAlignment="1">
      <alignment horizontal="center"/>
    </xf>
    <xf numFmtId="0" fontId="10" fillId="34" borderId="70" xfId="0" applyFont="1" applyFill="1" applyBorder="1" applyAlignment="1">
      <alignment horizontal="center"/>
    </xf>
    <xf numFmtId="0" fontId="12" fillId="19" borderId="16" xfId="0" applyFont="1" applyFill="1" applyBorder="1"/>
    <xf numFmtId="0" fontId="13" fillId="19" borderId="16" xfId="0" applyFont="1" applyFill="1" applyBorder="1"/>
    <xf numFmtId="0" fontId="13" fillId="19" borderId="17" xfId="0" applyFont="1" applyFill="1" applyBorder="1"/>
    <xf numFmtId="0" fontId="5" fillId="17" borderId="23" xfId="0" applyFont="1" applyFill="1" applyBorder="1" applyAlignment="1">
      <alignment vertical="top" wrapText="1"/>
    </xf>
    <xf numFmtId="0" fontId="5" fillId="17" borderId="0" xfId="0" applyFont="1" applyFill="1" applyAlignment="1">
      <alignment vertical="top" wrapText="1"/>
    </xf>
    <xf numFmtId="0" fontId="5" fillId="25" borderId="0" xfId="0" applyFont="1" applyFill="1" applyAlignment="1">
      <alignment vertical="top" wrapText="1"/>
    </xf>
    <xf numFmtId="0" fontId="0" fillId="0" borderId="0" xfId="0" applyAlignment="1">
      <alignment vertical="top"/>
    </xf>
    <xf numFmtId="0" fontId="4" fillId="17" borderId="25" xfId="0" applyFont="1" applyFill="1" applyBorder="1" applyAlignment="1">
      <alignment vertical="top"/>
    </xf>
    <xf numFmtId="0" fontId="5" fillId="20" borderId="66" xfId="0" applyFont="1" applyFill="1" applyBorder="1" applyAlignment="1">
      <alignment vertical="center" wrapText="1"/>
    </xf>
    <xf numFmtId="0" fontId="5" fillId="20" borderId="34" xfId="0" applyFont="1" applyFill="1" applyBorder="1" applyAlignment="1">
      <alignment vertical="center" wrapText="1"/>
    </xf>
    <xf numFmtId="0" fontId="5" fillId="17" borderId="0" xfId="0" applyFont="1" applyFill="1" applyAlignment="1">
      <alignment horizontal="right" vertical="center" wrapText="1"/>
    </xf>
    <xf numFmtId="0" fontId="14" fillId="20" borderId="24" xfId="0" applyFont="1" applyFill="1" applyBorder="1" applyAlignment="1">
      <alignment horizontal="center" vertical="center"/>
    </xf>
    <xf numFmtId="0" fontId="14" fillId="20" borderId="25" xfId="0" applyFont="1" applyFill="1" applyBorder="1" applyAlignment="1">
      <alignment horizontal="center" vertical="center"/>
    </xf>
    <xf numFmtId="0" fontId="89" fillId="26" borderId="34" xfId="44" applyFont="1" applyFill="1" applyBorder="1" applyAlignment="1">
      <alignment horizontal="center" vertical="center" wrapText="1"/>
    </xf>
    <xf numFmtId="0" fontId="5" fillId="30" borderId="109" xfId="0" applyFont="1" applyFill="1" applyBorder="1" applyAlignment="1">
      <alignment horizontal="center" vertical="center" wrapText="1"/>
    </xf>
    <xf numFmtId="0" fontId="5" fillId="30" borderId="46" xfId="0" applyFont="1" applyFill="1" applyBorder="1" applyAlignment="1">
      <alignment horizontal="center" vertical="top" wrapText="1"/>
    </xf>
    <xf numFmtId="3" fontId="0" fillId="30" borderId="46" xfId="0" applyNumberFormat="1" applyFill="1" applyBorder="1" applyAlignment="1">
      <alignment horizontal="center" vertical="top"/>
    </xf>
    <xf numFmtId="3" fontId="0" fillId="36" borderId="46" xfId="0" applyNumberFormat="1" applyFill="1" applyBorder="1" applyAlignment="1">
      <alignment horizontal="center" vertical="top"/>
    </xf>
    <xf numFmtId="3" fontId="4" fillId="30" borderId="46" xfId="0" applyNumberFormat="1" applyFont="1" applyFill="1" applyBorder="1" applyAlignment="1">
      <alignment horizontal="center" vertical="top"/>
    </xf>
    <xf numFmtId="0" fontId="0" fillId="36" borderId="46" xfId="0" applyFill="1" applyBorder="1" applyAlignment="1">
      <alignment horizontal="center" vertical="top"/>
    </xf>
    <xf numFmtId="3" fontId="4" fillId="30" borderId="47" xfId="0" applyNumberFormat="1" applyFont="1" applyFill="1" applyBorder="1" applyAlignment="1">
      <alignment horizontal="center" vertical="top"/>
    </xf>
    <xf numFmtId="0" fontId="5" fillId="20" borderId="34" xfId="0" applyFont="1" applyFill="1" applyBorder="1" applyAlignment="1">
      <alignment horizontal="center" vertical="center" wrapText="1"/>
    </xf>
    <xf numFmtId="0" fontId="5" fillId="17" borderId="0" xfId="0" applyFont="1" applyFill="1" applyAlignment="1">
      <alignment horizontal="center" vertical="top" wrapText="1"/>
    </xf>
    <xf numFmtId="0" fontId="0" fillId="0" borderId="0" xfId="0" applyAlignment="1">
      <alignment horizontal="center" vertical="top"/>
    </xf>
    <xf numFmtId="2" fontId="0" fillId="0" borderId="0" xfId="0" applyNumberFormat="1" applyAlignment="1">
      <alignment horizontal="center" vertical="top"/>
    </xf>
    <xf numFmtId="0" fontId="71" fillId="26" borderId="16" xfId="44" applyFont="1" applyFill="1" applyBorder="1" applyAlignment="1">
      <alignment horizontal="center" vertical="top"/>
    </xf>
    <xf numFmtId="0" fontId="71" fillId="26" borderId="0" xfId="44" applyFont="1" applyFill="1" applyBorder="1" applyAlignment="1">
      <alignment horizontal="center" vertical="top"/>
    </xf>
    <xf numFmtId="0" fontId="71" fillId="26" borderId="0" xfId="44" applyFont="1" applyFill="1" applyBorder="1" applyAlignment="1">
      <alignment horizontal="center" vertical="top" wrapText="1"/>
    </xf>
    <xf numFmtId="0" fontId="70" fillId="26" borderId="0" xfId="0" applyFont="1" applyFill="1" applyAlignment="1">
      <alignment horizontal="center" vertical="top"/>
    </xf>
    <xf numFmtId="0" fontId="0" fillId="26" borderId="0" xfId="0" applyFill="1" applyAlignment="1">
      <alignment horizontal="center" vertical="top"/>
    </xf>
    <xf numFmtId="0" fontId="72" fillId="26" borderId="25" xfId="44" applyFont="1" applyFill="1" applyBorder="1" applyAlignment="1">
      <alignment horizontal="center" vertical="top"/>
    </xf>
    <xf numFmtId="0" fontId="70" fillId="25" borderId="0" xfId="0" applyFont="1" applyFill="1" applyAlignment="1">
      <alignment horizontal="center" vertical="top"/>
    </xf>
    <xf numFmtId="0" fontId="96" fillId="25" borderId="0" xfId="25" applyFont="1" applyFill="1"/>
    <xf numFmtId="0" fontId="84" fillId="25" borderId="0" xfId="0" applyFont="1" applyFill="1"/>
    <xf numFmtId="0" fontId="13" fillId="31" borderId="0" xfId="0" applyFont="1" applyFill="1"/>
    <xf numFmtId="0" fontId="74" fillId="25" borderId="0" xfId="0" applyFont="1" applyFill="1" applyAlignment="1">
      <alignment vertical="center"/>
    </xf>
    <xf numFmtId="0" fontId="54" fillId="20" borderId="16" xfId="0" applyFont="1" applyFill="1" applyBorder="1" applyProtection="1">
      <protection locked="0"/>
    </xf>
    <xf numFmtId="14" fontId="8" fillId="0" borderId="38" xfId="0" applyNumberFormat="1" applyFont="1" applyBorder="1" applyAlignment="1" applyProtection="1">
      <alignment horizontal="right" vertical="center" indent="2"/>
      <protection locked="0"/>
    </xf>
    <xf numFmtId="0" fontId="4" fillId="30" borderId="45" xfId="0" applyFont="1" applyFill="1" applyBorder="1" applyAlignment="1">
      <alignment horizontal="center" vertical="top"/>
    </xf>
    <xf numFmtId="0" fontId="4" fillId="17" borderId="0" xfId="0" applyFont="1" applyFill="1"/>
    <xf numFmtId="0" fontId="4" fillId="20" borderId="23" xfId="0" applyFont="1" applyFill="1" applyBorder="1" applyAlignment="1">
      <alignment vertical="top"/>
    </xf>
    <xf numFmtId="0" fontId="4" fillId="20" borderId="0" xfId="0" applyFont="1" applyFill="1" applyAlignment="1">
      <alignment vertical="top"/>
    </xf>
    <xf numFmtId="0" fontId="4" fillId="20" borderId="0" xfId="0" applyFont="1" applyFill="1" applyAlignment="1">
      <alignment horizontal="center" vertical="top"/>
    </xf>
    <xf numFmtId="0" fontId="4" fillId="30" borderId="46" xfId="0" applyFont="1" applyFill="1" applyBorder="1" applyAlignment="1">
      <alignment horizontal="center" vertical="top"/>
    </xf>
    <xf numFmtId="0" fontId="4" fillId="17" borderId="23" xfId="0" applyFont="1" applyFill="1" applyBorder="1" applyAlignment="1">
      <alignment vertical="top"/>
    </xf>
    <xf numFmtId="4" fontId="4" fillId="17" borderId="0" xfId="0" applyNumberFormat="1" applyFont="1" applyFill="1" applyAlignment="1">
      <alignment horizontal="center" vertical="top"/>
    </xf>
    <xf numFmtId="0" fontId="4" fillId="17" borderId="0" xfId="0" quotePrefix="1" applyFont="1" applyFill="1" applyAlignment="1">
      <alignment vertical="top"/>
    </xf>
    <xf numFmtId="4" fontId="4" fillId="17" borderId="25" xfId="0" applyNumberFormat="1" applyFont="1" applyFill="1" applyBorder="1" applyAlignment="1">
      <alignment horizontal="center" vertical="top"/>
    </xf>
    <xf numFmtId="0" fontId="4" fillId="25" borderId="25" xfId="0" applyFont="1" applyFill="1" applyBorder="1" applyAlignment="1">
      <alignment vertical="top"/>
    </xf>
    <xf numFmtId="0" fontId="4" fillId="17" borderId="0" xfId="0" applyFont="1" applyFill="1" applyAlignment="1">
      <alignment horizontal="center" vertical="top"/>
    </xf>
    <xf numFmtId="0" fontId="4" fillId="25" borderId="0" xfId="0" applyFont="1" applyFill="1" applyAlignment="1">
      <alignment horizontal="center" vertical="top"/>
    </xf>
    <xf numFmtId="0" fontId="4" fillId="25" borderId="0" xfId="0" applyFont="1" applyFill="1" applyAlignment="1">
      <alignment vertical="top"/>
    </xf>
    <xf numFmtId="0" fontId="8" fillId="27" borderId="55" xfId="0" applyFont="1" applyFill="1" applyBorder="1" applyAlignment="1" applyProtection="1">
      <alignment horizontal="left" vertical="top" wrapText="1"/>
      <protection locked="0"/>
    </xf>
    <xf numFmtId="0" fontId="8" fillId="27" borderId="100" xfId="0" applyFont="1" applyFill="1" applyBorder="1" applyAlignment="1" applyProtection="1">
      <alignment horizontal="left" vertical="top" wrapText="1"/>
      <protection locked="0"/>
    </xf>
    <xf numFmtId="0" fontId="8" fillId="27" borderId="101" xfId="0" applyFont="1" applyFill="1" applyBorder="1" applyAlignment="1" applyProtection="1">
      <alignment horizontal="left" vertical="top" wrapText="1"/>
      <protection locked="0"/>
    </xf>
    <xf numFmtId="0" fontId="8" fillId="27" borderId="103" xfId="0" applyFont="1" applyFill="1" applyBorder="1" applyAlignment="1" applyProtection="1">
      <alignment horizontal="left" vertical="top" wrapText="1"/>
      <protection locked="0"/>
    </xf>
    <xf numFmtId="0" fontId="8" fillId="27" borderId="108" xfId="0" applyFont="1" applyFill="1" applyBorder="1" applyAlignment="1" applyProtection="1">
      <alignment horizontal="left" vertical="top" wrapText="1"/>
      <protection locked="0"/>
    </xf>
    <xf numFmtId="0" fontId="8" fillId="27" borderId="103" xfId="0" applyFont="1" applyFill="1" applyBorder="1" applyAlignment="1" applyProtection="1">
      <alignment horizontal="left" vertical="center" wrapText="1"/>
      <protection locked="0"/>
    </xf>
    <xf numFmtId="0" fontId="8" fillId="27" borderId="100" xfId="45" applyFont="1" applyFill="1" applyBorder="1" applyAlignment="1" applyProtection="1">
      <alignment horizontal="left" vertical="center" wrapText="1"/>
      <protection locked="0"/>
    </xf>
    <xf numFmtId="0" fontId="8" fillId="27" borderId="101" xfId="45" applyFont="1" applyFill="1" applyBorder="1" applyAlignment="1" applyProtection="1">
      <alignment horizontal="left" vertical="center" wrapText="1"/>
      <protection locked="0"/>
    </xf>
    <xf numFmtId="0" fontId="8" fillId="27" borderId="104" xfId="45" applyFont="1" applyFill="1" applyBorder="1" applyAlignment="1" applyProtection="1">
      <alignment horizontal="left" vertical="center" wrapText="1"/>
      <protection locked="0"/>
    </xf>
    <xf numFmtId="0" fontId="8" fillId="27" borderId="105" xfId="45" applyFont="1" applyFill="1" applyBorder="1" applyAlignment="1" applyProtection="1">
      <alignment horizontal="left" vertical="center" wrapText="1"/>
      <protection locked="0"/>
    </xf>
    <xf numFmtId="0" fontId="8" fillId="27" borderId="106" xfId="45" applyFont="1" applyFill="1" applyBorder="1" applyAlignment="1" applyProtection="1">
      <alignment horizontal="left" vertical="center" wrapText="1"/>
      <protection locked="0"/>
    </xf>
    <xf numFmtId="0" fontId="8" fillId="27" borderId="108" xfId="45" applyFont="1" applyFill="1" applyBorder="1" applyAlignment="1" applyProtection="1">
      <alignment horizontal="left" vertical="center" wrapText="1"/>
      <protection locked="0"/>
    </xf>
    <xf numFmtId="0" fontId="10" fillId="31" borderId="0" xfId="0" applyFont="1" applyFill="1"/>
    <xf numFmtId="3" fontId="12" fillId="31" borderId="0" xfId="0" applyNumberFormat="1" applyFont="1" applyFill="1" applyAlignment="1">
      <alignment horizontal="right" vertical="center" indent="1"/>
    </xf>
    <xf numFmtId="0" fontId="5" fillId="35" borderId="16" xfId="0" applyFont="1" applyFill="1" applyBorder="1" applyAlignment="1">
      <alignment vertical="top"/>
    </xf>
    <xf numFmtId="0" fontId="4" fillId="35" borderId="16" xfId="0" applyFont="1" applyFill="1" applyBorder="1" applyAlignment="1">
      <alignment vertical="top"/>
    </xf>
    <xf numFmtId="0" fontId="4" fillId="35" borderId="0" xfId="0" applyFont="1" applyFill="1" applyAlignment="1">
      <alignment horizontal="center" vertical="top"/>
    </xf>
    <xf numFmtId="0" fontId="4" fillId="35" borderId="0" xfId="0" applyFont="1" applyFill="1" applyAlignment="1">
      <alignment vertical="top"/>
    </xf>
    <xf numFmtId="0" fontId="97" fillId="26" borderId="0" xfId="44" applyFont="1" applyFill="1" applyBorder="1" applyAlignment="1">
      <alignment horizontal="center" vertical="top"/>
    </xf>
    <xf numFmtId="0" fontId="81" fillId="26" borderId="0" xfId="44" applyFont="1" applyFill="1" applyBorder="1" applyAlignment="1">
      <alignment horizontal="center" vertical="top"/>
    </xf>
    <xf numFmtId="0" fontId="84" fillId="26" borderId="0" xfId="0" applyFont="1" applyFill="1" applyAlignment="1">
      <alignment horizontal="center" vertical="top"/>
    </xf>
    <xf numFmtId="0" fontId="8" fillId="31" borderId="0" xfId="0" applyFont="1" applyFill="1"/>
    <xf numFmtId="0" fontId="44" fillId="17" borderId="0" xfId="0" applyFont="1" applyFill="1" applyAlignment="1">
      <alignment horizontal="center" vertical="top"/>
    </xf>
    <xf numFmtId="0" fontId="0" fillId="19" borderId="23" xfId="60" applyFont="1" applyFill="1" applyBorder="1"/>
    <xf numFmtId="0" fontId="0" fillId="0" borderId="0" xfId="60" applyFont="1"/>
    <xf numFmtId="0" fontId="8" fillId="0" borderId="0" xfId="60" applyFont="1"/>
    <xf numFmtId="0" fontId="43" fillId="0" borderId="0" xfId="60" applyFont="1"/>
    <xf numFmtId="170" fontId="43" fillId="0" borderId="0" xfId="60" applyNumberFormat="1" applyFont="1"/>
    <xf numFmtId="0" fontId="44" fillId="17" borderId="0" xfId="60" applyFont="1" applyFill="1"/>
    <xf numFmtId="0" fontId="98" fillId="19" borderId="0" xfId="60" applyFont="1" applyFill="1" applyAlignment="1">
      <alignment horizontal="left" vertical="center"/>
    </xf>
    <xf numFmtId="0" fontId="36" fillId="0" borderId="0" xfId="60" applyFont="1" applyAlignment="1">
      <alignment vertical="center"/>
    </xf>
    <xf numFmtId="0" fontId="99" fillId="0" borderId="0" xfId="0" applyFont="1"/>
    <xf numFmtId="0" fontId="42" fillId="17" borderId="0" xfId="60" applyFont="1" applyFill="1" applyAlignment="1">
      <alignment vertical="center"/>
    </xf>
    <xf numFmtId="0" fontId="34" fillId="19" borderId="15" xfId="60" applyFont="1" applyFill="1" applyBorder="1" applyAlignment="1">
      <alignment horizontal="left" vertical="center" wrapText="1"/>
    </xf>
    <xf numFmtId="0" fontId="34" fillId="19" borderId="0" xfId="60" applyFont="1" applyFill="1" applyAlignment="1">
      <alignment horizontal="right" vertical="center" indent="1"/>
    </xf>
    <xf numFmtId="0" fontId="100" fillId="19" borderId="0" xfId="60" applyFont="1" applyFill="1" applyAlignment="1">
      <alignment horizontal="left" vertical="center"/>
    </xf>
    <xf numFmtId="0" fontId="36" fillId="19" borderId="0" xfId="60" applyFont="1" applyFill="1" applyAlignment="1">
      <alignment horizontal="right" vertical="center" indent="1"/>
    </xf>
    <xf numFmtId="0" fontId="34" fillId="19" borderId="0" xfId="60" applyFont="1" applyFill="1" applyAlignment="1">
      <alignment horizontal="left" vertical="center"/>
    </xf>
    <xf numFmtId="0" fontId="36" fillId="17" borderId="0" xfId="60" applyFont="1" applyFill="1" applyAlignment="1">
      <alignment vertical="center"/>
    </xf>
    <xf numFmtId="0" fontId="0" fillId="17" borderId="0" xfId="60" applyFont="1" applyFill="1"/>
    <xf numFmtId="0" fontId="43" fillId="17" borderId="0" xfId="60" applyFont="1" applyFill="1"/>
    <xf numFmtId="170" fontId="43" fillId="17" borderId="0" xfId="60" applyNumberFormat="1" applyFont="1" applyFill="1"/>
    <xf numFmtId="0" fontId="0" fillId="19" borderId="15" xfId="60" applyFont="1" applyFill="1" applyBorder="1"/>
    <xf numFmtId="0" fontId="5" fillId="19" borderId="0" xfId="60" applyFont="1" applyFill="1" applyAlignment="1">
      <alignment horizontal="center"/>
    </xf>
    <xf numFmtId="0" fontId="5" fillId="19" borderId="0" xfId="60" applyFont="1" applyFill="1" applyAlignment="1">
      <alignment horizontal="center" vertical="center"/>
    </xf>
    <xf numFmtId="0" fontId="5" fillId="19" borderId="0" xfId="60" applyFont="1" applyFill="1" applyAlignment="1">
      <alignment horizontal="left" vertical="center"/>
    </xf>
    <xf numFmtId="0" fontId="0" fillId="19" borderId="0" xfId="60" applyFont="1" applyFill="1"/>
    <xf numFmtId="0" fontId="0" fillId="19" borderId="0" xfId="60" applyFont="1" applyFill="1" applyAlignment="1">
      <alignment horizontal="left" vertical="center"/>
    </xf>
    <xf numFmtId="0" fontId="43" fillId="19" borderId="0" xfId="60" applyFont="1" applyFill="1" applyAlignment="1">
      <alignment vertical="center"/>
    </xf>
    <xf numFmtId="0" fontId="101" fillId="19" borderId="0" xfId="60" applyFont="1" applyFill="1" applyAlignment="1">
      <alignment horizontal="left" vertical="top" wrapText="1"/>
    </xf>
    <xf numFmtId="0" fontId="0" fillId="19" borderId="0" xfId="60" applyFont="1" applyFill="1" applyAlignment="1">
      <alignment vertical="center"/>
    </xf>
    <xf numFmtId="3" fontId="102" fillId="19" borderId="0" xfId="60" applyNumberFormat="1" applyFont="1" applyFill="1" applyAlignment="1">
      <alignment horizontal="right" vertical="center"/>
    </xf>
    <xf numFmtId="0" fontId="102" fillId="19" borderId="0" xfId="60" applyFont="1" applyFill="1" applyAlignment="1">
      <alignment horizontal="right" vertical="center"/>
    </xf>
    <xf numFmtId="0" fontId="34" fillId="19" borderId="0" xfId="60" applyFont="1" applyFill="1" applyAlignment="1">
      <alignment vertical="center"/>
    </xf>
    <xf numFmtId="0" fontId="44" fillId="0" borderId="0" xfId="60" applyFont="1" applyAlignment="1">
      <alignment vertical="center"/>
    </xf>
    <xf numFmtId="3" fontId="103" fillId="19" borderId="0" xfId="60" applyNumberFormat="1" applyFont="1" applyFill="1" applyAlignment="1">
      <alignment horizontal="right" vertical="center"/>
    </xf>
    <xf numFmtId="0" fontId="10" fillId="19" borderId="0" xfId="60" applyFont="1" applyFill="1" applyAlignment="1">
      <alignment horizontal="left" vertical="center"/>
    </xf>
    <xf numFmtId="0" fontId="75" fillId="25" borderId="0" xfId="0" applyFont="1" applyFill="1"/>
    <xf numFmtId="0" fontId="73" fillId="25" borderId="0" xfId="0" applyFont="1" applyFill="1"/>
    <xf numFmtId="0" fontId="4" fillId="25" borderId="0" xfId="60" applyFill="1"/>
    <xf numFmtId="0" fontId="0" fillId="41" borderId="110" xfId="60" applyFont="1" applyFill="1" applyBorder="1"/>
    <xf numFmtId="3" fontId="12" fillId="19" borderId="113" xfId="0" applyNumberFormat="1" applyFont="1" applyFill="1" applyBorder="1" applyAlignment="1">
      <alignment horizontal="right" vertical="center" indent="1"/>
    </xf>
    <xf numFmtId="3" fontId="12" fillId="19" borderId="114" xfId="0" applyNumberFormat="1" applyFont="1" applyFill="1" applyBorder="1" applyAlignment="1">
      <alignment horizontal="right" vertical="center" indent="1"/>
    </xf>
    <xf numFmtId="3" fontId="13" fillId="17" borderId="111" xfId="0" applyNumberFormat="1" applyFont="1" applyFill="1" applyBorder="1" applyAlignment="1">
      <alignment horizontal="right" vertical="center" indent="1"/>
    </xf>
    <xf numFmtId="0" fontId="13" fillId="31" borderId="111" xfId="0" applyFont="1" applyFill="1" applyBorder="1"/>
    <xf numFmtId="0" fontId="13" fillId="31" borderId="0" xfId="0" applyFont="1" applyFill="1" applyAlignment="1">
      <alignment horizontal="right"/>
    </xf>
    <xf numFmtId="0" fontId="13" fillId="31" borderId="22" xfId="0" applyFont="1" applyFill="1" applyBorder="1"/>
    <xf numFmtId="3" fontId="13" fillId="17" borderId="112" xfId="0" applyNumberFormat="1" applyFont="1" applyFill="1" applyBorder="1" applyAlignment="1">
      <alignment horizontal="right" vertical="center" indent="1"/>
    </xf>
    <xf numFmtId="3" fontId="13" fillId="19" borderId="94" xfId="0" applyNumberFormat="1" applyFont="1" applyFill="1" applyBorder="1" applyAlignment="1">
      <alignment horizontal="right" vertical="center" indent="1"/>
    </xf>
    <xf numFmtId="0" fontId="13" fillId="24" borderId="111" xfId="0" applyFont="1" applyFill="1" applyBorder="1"/>
    <xf numFmtId="0" fontId="35" fillId="19" borderId="0" xfId="60" applyFont="1" applyFill="1" applyAlignment="1">
      <alignment horizontal="left" vertical="center"/>
    </xf>
    <xf numFmtId="0" fontId="66" fillId="19" borderId="0" xfId="60" applyFont="1" applyFill="1" applyAlignment="1">
      <alignment vertical="center"/>
    </xf>
    <xf numFmtId="0" fontId="4" fillId="38" borderId="0" xfId="0" applyFont="1" applyFill="1"/>
    <xf numFmtId="0" fontId="5" fillId="25" borderId="0" xfId="0" applyFont="1" applyFill="1"/>
    <xf numFmtId="0" fontId="4" fillId="25" borderId="0" xfId="0" applyFont="1" applyFill="1"/>
    <xf numFmtId="0" fontId="74" fillId="38" borderId="0" xfId="45" applyFont="1" applyFill="1"/>
    <xf numFmtId="0" fontId="107" fillId="25" borderId="0" xfId="0" applyFont="1" applyFill="1" applyAlignment="1">
      <alignment horizontal="left"/>
    </xf>
    <xf numFmtId="0" fontId="108" fillId="19" borderId="0" xfId="60" applyFont="1" applyFill="1" applyAlignment="1">
      <alignment vertical="center"/>
    </xf>
    <xf numFmtId="0" fontId="10" fillId="19" borderId="0" xfId="60" applyFont="1" applyFill="1" applyAlignment="1">
      <alignment horizontal="center" vertical="center"/>
    </xf>
    <xf numFmtId="0" fontId="35" fillId="19" borderId="0" xfId="60" quotePrefix="1" applyFont="1" applyFill="1" applyAlignment="1">
      <alignment horizontal="center" vertical="center"/>
    </xf>
    <xf numFmtId="3" fontId="10" fillId="17" borderId="115" xfId="0" applyNumberFormat="1" applyFont="1" applyFill="1" applyBorder="1" applyAlignment="1">
      <alignment horizontal="right" vertical="center" indent="2"/>
    </xf>
    <xf numFmtId="0" fontId="8" fillId="25" borderId="15" xfId="0" applyFont="1" applyFill="1" applyBorder="1"/>
    <xf numFmtId="0" fontId="8" fillId="25" borderId="25" xfId="0" applyFont="1" applyFill="1" applyBorder="1"/>
    <xf numFmtId="0" fontId="8" fillId="25" borderId="27" xfId="0" applyFont="1" applyFill="1" applyBorder="1"/>
    <xf numFmtId="0" fontId="0" fillId="42" borderId="0" xfId="0" applyFill="1"/>
    <xf numFmtId="0" fontId="10" fillId="19" borderId="0" xfId="60" quotePrefix="1" applyFont="1" applyFill="1" applyAlignment="1">
      <alignment horizontal="center" vertical="center" wrapText="1"/>
    </xf>
    <xf numFmtId="0" fontId="10" fillId="19" borderId="0" xfId="60" quotePrefix="1" applyFont="1" applyFill="1" applyAlignment="1">
      <alignment horizontal="center" vertical="center"/>
    </xf>
    <xf numFmtId="0" fontId="109" fillId="19" borderId="23" xfId="60" applyFont="1" applyFill="1" applyBorder="1" applyAlignment="1">
      <alignment vertical="center"/>
    </xf>
    <xf numFmtId="3" fontId="34" fillId="17" borderId="115" xfId="60" applyNumberFormat="1" applyFont="1" applyFill="1" applyBorder="1" applyAlignment="1">
      <alignment horizontal="right" vertical="center" indent="1"/>
    </xf>
    <xf numFmtId="170" fontId="42" fillId="17" borderId="0" xfId="64" applyNumberFormat="1" applyFont="1" applyFill="1" applyAlignment="1">
      <alignment horizontal="right" vertical="center"/>
    </xf>
    <xf numFmtId="0" fontId="53" fillId="17" borderId="0" xfId="60" applyFont="1" applyFill="1"/>
    <xf numFmtId="0" fontId="8" fillId="17" borderId="0" xfId="60" applyFont="1" applyFill="1"/>
    <xf numFmtId="4" fontId="4" fillId="17" borderId="0" xfId="63" applyNumberFormat="1" applyFill="1" applyAlignment="1">
      <alignment wrapText="1"/>
    </xf>
    <xf numFmtId="0" fontId="35" fillId="19" borderId="0" xfId="60" applyFont="1" applyFill="1" applyAlignment="1">
      <alignment horizontal="left" vertical="center" wrapText="1"/>
    </xf>
    <xf numFmtId="0" fontId="10" fillId="19" borderId="120" xfId="60" quotePrefix="1" applyFont="1" applyFill="1" applyBorder="1" applyAlignment="1">
      <alignment horizontal="center" vertical="center"/>
    </xf>
    <xf numFmtId="0" fontId="10" fillId="19" borderId="121" xfId="60" quotePrefix="1" applyFont="1" applyFill="1" applyBorder="1" applyAlignment="1">
      <alignment horizontal="center" vertical="center"/>
    </xf>
    <xf numFmtId="0" fontId="10" fillId="19" borderId="122" xfId="60" applyFont="1" applyFill="1" applyBorder="1" applyAlignment="1">
      <alignment horizontal="left" vertical="center" wrapText="1"/>
    </xf>
    <xf numFmtId="0" fontId="5" fillId="19" borderId="123" xfId="60" applyFont="1" applyFill="1" applyBorder="1" applyAlignment="1">
      <alignment horizontal="left" vertical="center"/>
    </xf>
    <xf numFmtId="0" fontId="10" fillId="19" borderId="124" xfId="60" applyFont="1" applyFill="1" applyBorder="1" applyAlignment="1">
      <alignment horizontal="left" vertical="center" wrapText="1"/>
    </xf>
    <xf numFmtId="0" fontId="101" fillId="19" borderId="120" xfId="60" applyFont="1" applyFill="1" applyBorder="1" applyAlignment="1">
      <alignment horizontal="left" vertical="top" wrapText="1"/>
    </xf>
    <xf numFmtId="0" fontId="43" fillId="19" borderId="121" xfId="60" applyFont="1" applyFill="1" applyBorder="1" applyAlignment="1">
      <alignment vertical="center"/>
    </xf>
    <xf numFmtId="3" fontId="34" fillId="17" borderId="125" xfId="60" applyNumberFormat="1" applyFont="1" applyFill="1" applyBorder="1" applyAlignment="1">
      <alignment horizontal="right" vertical="center" indent="1"/>
    </xf>
    <xf numFmtId="3" fontId="34" fillId="17" borderId="126" xfId="60" applyNumberFormat="1" applyFont="1" applyFill="1" applyBorder="1" applyAlignment="1">
      <alignment horizontal="right" vertical="center" indent="1"/>
    </xf>
    <xf numFmtId="0" fontId="5" fillId="19" borderId="120" xfId="60" applyFont="1" applyFill="1" applyBorder="1" applyAlignment="1">
      <alignment horizontal="left" vertical="center"/>
    </xf>
    <xf numFmtId="0" fontId="35" fillId="19" borderId="121" xfId="60" quotePrefix="1" applyFont="1" applyFill="1" applyBorder="1" applyAlignment="1">
      <alignment horizontal="center"/>
    </xf>
    <xf numFmtId="0" fontId="10" fillId="19" borderId="120" xfId="60" applyFont="1" applyFill="1" applyBorder="1" applyAlignment="1">
      <alignment horizontal="center" vertical="center"/>
    </xf>
    <xf numFmtId="0" fontId="0" fillId="19" borderId="123" xfId="60" applyFont="1" applyFill="1" applyBorder="1" applyAlignment="1">
      <alignment horizontal="left" vertical="center"/>
    </xf>
    <xf numFmtId="0" fontId="10" fillId="19" borderId="123" xfId="60" applyFont="1" applyFill="1" applyBorder="1" applyAlignment="1">
      <alignment horizontal="left" vertical="center" wrapText="1"/>
    </xf>
    <xf numFmtId="0" fontId="5" fillId="19" borderId="119" xfId="60" applyFont="1" applyFill="1" applyBorder="1" applyAlignment="1">
      <alignment horizontal="center"/>
    </xf>
    <xf numFmtId="0" fontId="0" fillId="19" borderId="121" xfId="60" applyFont="1" applyFill="1" applyBorder="1" applyAlignment="1">
      <alignment horizontal="left" vertical="center"/>
    </xf>
    <xf numFmtId="0" fontId="34" fillId="19" borderId="121" xfId="60" applyFont="1" applyFill="1" applyBorder="1" applyAlignment="1">
      <alignment horizontal="right" vertical="center" indent="1"/>
    </xf>
    <xf numFmtId="0" fontId="0" fillId="19" borderId="124" xfId="60" applyFont="1" applyFill="1" applyBorder="1" applyAlignment="1">
      <alignment horizontal="left" vertical="center"/>
    </xf>
    <xf numFmtId="0" fontId="14" fillId="19" borderId="0" xfId="60" applyFont="1" applyFill="1" applyAlignment="1">
      <alignment horizontal="center" vertical="center" wrapText="1"/>
    </xf>
    <xf numFmtId="0" fontId="14" fillId="19" borderId="0" xfId="60" applyFont="1" applyFill="1" applyAlignment="1">
      <alignment horizontal="left" vertical="center"/>
    </xf>
    <xf numFmtId="0" fontId="14" fillId="19" borderId="0" xfId="60" applyFont="1" applyFill="1" applyAlignment="1">
      <alignment horizontal="center"/>
    </xf>
    <xf numFmtId="0" fontId="15" fillId="19" borderId="0" xfId="60" applyFont="1" applyFill="1"/>
    <xf numFmtId="0" fontId="14" fillId="19" borderId="0" xfId="60" applyFont="1" applyFill="1" applyAlignment="1">
      <alignment horizontal="center" vertical="center"/>
    </xf>
    <xf numFmtId="0" fontId="73" fillId="19" borderId="120" xfId="60" applyFont="1" applyFill="1" applyBorder="1" applyAlignment="1">
      <alignment horizontal="left" vertical="center"/>
    </xf>
    <xf numFmtId="0" fontId="34" fillId="19" borderId="0" xfId="60" applyFont="1" applyFill="1" applyAlignment="1">
      <alignment horizontal="left" vertical="center" wrapText="1"/>
    </xf>
    <xf numFmtId="0" fontId="98" fillId="19" borderId="25" xfId="60" applyFont="1" applyFill="1" applyBorder="1" applyAlignment="1">
      <alignment horizontal="left" vertical="center"/>
    </xf>
    <xf numFmtId="0" fontId="34" fillId="19" borderId="27" xfId="60" applyFont="1" applyFill="1" applyBorder="1" applyAlignment="1">
      <alignment horizontal="left" vertical="center" wrapText="1"/>
    </xf>
    <xf numFmtId="0" fontId="98" fillId="19" borderId="24" xfId="60" applyFont="1" applyFill="1" applyBorder="1" applyAlignment="1">
      <alignment horizontal="left" vertical="center"/>
    </xf>
    <xf numFmtId="3" fontId="103" fillId="27" borderId="0" xfId="60" applyNumberFormat="1" applyFont="1" applyFill="1" applyAlignment="1">
      <alignment horizontal="right" vertical="center"/>
    </xf>
    <xf numFmtId="0" fontId="102" fillId="27" borderId="0" xfId="60" applyFont="1" applyFill="1" applyAlignment="1">
      <alignment horizontal="right" vertical="center"/>
    </xf>
    <xf numFmtId="3" fontId="102" fillId="27" borderId="0" xfId="60" applyNumberFormat="1" applyFont="1" applyFill="1" applyAlignment="1">
      <alignment horizontal="right" vertical="center"/>
    </xf>
    <xf numFmtId="0" fontId="5" fillId="27" borderId="0" xfId="60" applyFont="1" applyFill="1" applyAlignment="1">
      <alignment horizontal="center"/>
    </xf>
    <xf numFmtId="0" fontId="0" fillId="27" borderId="0" xfId="60" applyFont="1" applyFill="1" applyAlignment="1">
      <alignment horizontal="left" vertical="center"/>
    </xf>
    <xf numFmtId="3" fontId="34" fillId="27" borderId="115" xfId="60" applyNumberFormat="1" applyFont="1" applyFill="1" applyBorder="1" applyAlignment="1">
      <alignment horizontal="right" vertical="center" indent="1"/>
    </xf>
    <xf numFmtId="0" fontId="34" fillId="27" borderId="0" xfId="60" applyFont="1" applyFill="1" applyAlignment="1">
      <alignment horizontal="right" vertical="center" indent="1"/>
    </xf>
    <xf numFmtId="0" fontId="35" fillId="27" borderId="0" xfId="60" quotePrefix="1" applyFont="1" applyFill="1" applyAlignment="1">
      <alignment horizontal="center" vertical="center"/>
    </xf>
    <xf numFmtId="0" fontId="10" fillId="27" borderId="0" xfId="60" quotePrefix="1" applyFont="1" applyFill="1" applyAlignment="1">
      <alignment horizontal="center" vertical="center"/>
    </xf>
    <xf numFmtId="0" fontId="10" fillId="27" borderId="123" xfId="60" applyFont="1" applyFill="1" applyBorder="1" applyAlignment="1">
      <alignment horizontal="left" vertical="center" wrapText="1"/>
    </xf>
    <xf numFmtId="0" fontId="5" fillId="27" borderId="123" xfId="60" applyFont="1" applyFill="1" applyBorder="1" applyAlignment="1">
      <alignment horizontal="left" vertical="center"/>
    </xf>
    <xf numFmtId="0" fontId="14" fillId="27" borderId="0" xfId="60" applyFont="1" applyFill="1" applyAlignment="1">
      <alignment horizontal="center" vertical="center" wrapText="1"/>
    </xf>
    <xf numFmtId="0" fontId="14" fillId="27" borderId="0" xfId="60" applyFont="1" applyFill="1" applyAlignment="1">
      <alignment horizontal="center" vertical="center"/>
    </xf>
    <xf numFmtId="0" fontId="98" fillId="27" borderId="25" xfId="60" applyFont="1" applyFill="1" applyBorder="1" applyAlignment="1">
      <alignment horizontal="left" vertical="center"/>
    </xf>
    <xf numFmtId="0" fontId="98" fillId="27" borderId="0" xfId="60" applyFont="1" applyFill="1" applyAlignment="1">
      <alignment horizontal="left" vertical="center"/>
    </xf>
    <xf numFmtId="0" fontId="8" fillId="27" borderId="0" xfId="60" applyFont="1" applyFill="1"/>
    <xf numFmtId="0" fontId="0" fillId="27" borderId="0" xfId="60" applyFont="1" applyFill="1"/>
    <xf numFmtId="0" fontId="5" fillId="19" borderId="0" xfId="60" quotePrefix="1" applyFont="1" applyFill="1" applyAlignment="1">
      <alignment horizontal="center"/>
    </xf>
    <xf numFmtId="0" fontId="5" fillId="19" borderId="121" xfId="60" quotePrefix="1" applyFont="1" applyFill="1" applyBorder="1" applyAlignment="1">
      <alignment horizontal="center"/>
    </xf>
    <xf numFmtId="0" fontId="5" fillId="27" borderId="0" xfId="60" quotePrefix="1" applyFont="1" applyFill="1" applyAlignment="1">
      <alignment horizontal="center"/>
    </xf>
    <xf numFmtId="0" fontId="4" fillId="19" borderId="23" xfId="60" applyFill="1" applyBorder="1"/>
    <xf numFmtId="0" fontId="4" fillId="19" borderId="15" xfId="60" applyFill="1" applyBorder="1"/>
    <xf numFmtId="170" fontId="44" fillId="0" borderId="0" xfId="60" applyNumberFormat="1" applyFont="1"/>
    <xf numFmtId="0" fontId="44" fillId="0" borderId="0" xfId="60" applyFont="1"/>
    <xf numFmtId="0" fontId="4" fillId="0" borderId="0" xfId="60"/>
    <xf numFmtId="1" fontId="4" fillId="20" borderId="26" xfId="0" applyNumberFormat="1" applyFont="1" applyFill="1" applyBorder="1"/>
    <xf numFmtId="0" fontId="4" fillId="20" borderId="16" xfId="0" applyFont="1" applyFill="1" applyBorder="1"/>
    <xf numFmtId="0" fontId="4" fillId="20" borderId="17" xfId="0" applyFont="1" applyFill="1" applyBorder="1" applyAlignment="1">
      <alignment horizontal="center"/>
    </xf>
    <xf numFmtId="0" fontId="0" fillId="20" borderId="45" xfId="0" applyFill="1" applyBorder="1" applyAlignment="1">
      <alignment vertical="top" wrapText="1"/>
    </xf>
    <xf numFmtId="1" fontId="4" fillId="20" borderId="23" xfId="0" applyNumberFormat="1" applyFont="1" applyFill="1" applyBorder="1" applyAlignment="1">
      <alignment horizontal="center"/>
    </xf>
    <xf numFmtId="1" fontId="4" fillId="20" borderId="0" xfId="0" applyNumberFormat="1" applyFont="1" applyFill="1" applyAlignment="1">
      <alignment horizontal="center"/>
    </xf>
    <xf numFmtId="1" fontId="4" fillId="20" borderId="15" xfId="0" applyNumberFormat="1" applyFont="1" applyFill="1" applyBorder="1" applyAlignment="1">
      <alignment horizontal="center"/>
    </xf>
    <xf numFmtId="1" fontId="4" fillId="20" borderId="23" xfId="0" applyNumberFormat="1" applyFont="1" applyFill="1" applyBorder="1"/>
    <xf numFmtId="0" fontId="4" fillId="20" borderId="0" xfId="0" applyFont="1" applyFill="1"/>
    <xf numFmtId="0" fontId="4" fillId="20" borderId="15" xfId="0" applyFont="1" applyFill="1" applyBorder="1" applyAlignment="1">
      <alignment horizontal="center"/>
    </xf>
    <xf numFmtId="1" fontId="62" fillId="20" borderId="23" xfId="0" applyNumberFormat="1" applyFont="1" applyFill="1" applyBorder="1" applyAlignment="1">
      <alignment horizontal="center" vertical="top"/>
    </xf>
    <xf numFmtId="0" fontId="62" fillId="20" borderId="0" xfId="0" applyFont="1" applyFill="1" applyAlignment="1">
      <alignment vertical="top"/>
    </xf>
    <xf numFmtId="0" fontId="62" fillId="20" borderId="15" xfId="0" applyFont="1" applyFill="1" applyBorder="1" applyAlignment="1">
      <alignment horizontal="center" vertical="top"/>
    </xf>
    <xf numFmtId="0" fontId="5" fillId="35" borderId="45" xfId="0" applyFont="1" applyFill="1" applyBorder="1" applyAlignment="1">
      <alignment horizontal="center" vertical="top" wrapText="1"/>
    </xf>
    <xf numFmtId="0" fontId="5" fillId="35" borderId="46" xfId="0" applyFont="1" applyFill="1" applyBorder="1" applyAlignment="1">
      <alignment horizontal="center" vertical="top" wrapText="1"/>
    </xf>
    <xf numFmtId="0" fontId="4" fillId="35" borderId="46" xfId="0" applyFont="1" applyFill="1" applyBorder="1" applyAlignment="1">
      <alignment horizontal="center" vertical="top" wrapText="1"/>
    </xf>
    <xf numFmtId="0" fontId="5" fillId="20" borderId="45" xfId="0" applyFont="1" applyFill="1" applyBorder="1" applyAlignment="1">
      <alignment vertical="top" wrapText="1"/>
    </xf>
    <xf numFmtId="0" fontId="5" fillId="20" borderId="17" xfId="0" applyFont="1" applyFill="1" applyBorder="1" applyAlignment="1">
      <alignment vertical="top" wrapText="1"/>
    </xf>
    <xf numFmtId="3" fontId="0" fillId="25" borderId="0" xfId="0" applyNumberFormat="1" applyFill="1"/>
    <xf numFmtId="0" fontId="36" fillId="25" borderId="23" xfId="0" applyFont="1" applyFill="1" applyBorder="1"/>
    <xf numFmtId="0" fontId="8" fillId="25" borderId="0" xfId="0" applyFont="1" applyFill="1" applyAlignment="1">
      <alignment vertical="top"/>
    </xf>
    <xf numFmtId="0" fontId="75" fillId="25" borderId="0" xfId="0" applyFont="1" applyFill="1" applyAlignment="1">
      <alignment vertical="top"/>
    </xf>
    <xf numFmtId="0" fontId="78" fillId="25" borderId="0" xfId="0" applyFont="1" applyFill="1" applyAlignment="1">
      <alignment vertical="top"/>
    </xf>
    <xf numFmtId="0" fontId="0" fillId="25" borderId="15" xfId="0" applyFill="1" applyBorder="1"/>
    <xf numFmtId="3" fontId="44" fillId="25" borderId="0" xfId="0" applyNumberFormat="1" applyFont="1" applyFill="1" applyAlignment="1">
      <alignment horizontal="center" vertical="center"/>
    </xf>
    <xf numFmtId="3" fontId="13" fillId="25" borderId="38" xfId="0" applyNumberFormat="1" applyFont="1" applyFill="1" applyBorder="1" applyAlignment="1" applyProtection="1">
      <alignment horizontal="right" vertical="center" indent="2"/>
      <protection locked="0"/>
    </xf>
    <xf numFmtId="0" fontId="70" fillId="25" borderId="0" xfId="0" applyFont="1" applyFill="1"/>
    <xf numFmtId="0" fontId="0" fillId="31" borderId="23" xfId="0" applyFill="1" applyBorder="1"/>
    <xf numFmtId="3" fontId="13" fillId="31" borderId="0" xfId="0" applyNumberFormat="1" applyFont="1" applyFill="1" applyAlignment="1">
      <alignment horizontal="right" vertical="center" indent="1"/>
    </xf>
    <xf numFmtId="0" fontId="8" fillId="31" borderId="0" xfId="0" applyFont="1" applyFill="1" applyAlignment="1">
      <alignment horizontal="left" vertical="top" wrapText="1"/>
    </xf>
    <xf numFmtId="0" fontId="0" fillId="31" borderId="15" xfId="0" applyFill="1" applyBorder="1"/>
    <xf numFmtId="0" fontId="26" fillId="17" borderId="25" xfId="41" applyFill="1" applyBorder="1" applyAlignment="1" applyProtection="1">
      <alignment horizontal="center" vertical="center" wrapText="1"/>
    </xf>
    <xf numFmtId="3" fontId="4" fillId="25" borderId="0" xfId="0" applyNumberFormat="1" applyFont="1" applyFill="1"/>
    <xf numFmtId="3" fontId="4" fillId="0" borderId="0" xfId="0" applyNumberFormat="1" applyFont="1"/>
    <xf numFmtId="0" fontId="0" fillId="19" borderId="128" xfId="0" applyFill="1" applyBorder="1"/>
    <xf numFmtId="0" fontId="0" fillId="31" borderId="128" xfId="0" applyFill="1" applyBorder="1"/>
    <xf numFmtId="169" fontId="5" fillId="20" borderId="27" xfId="0" applyNumberFormat="1" applyFont="1" applyFill="1" applyBorder="1" applyAlignment="1">
      <alignment horizontal="left"/>
    </xf>
    <xf numFmtId="0" fontId="8" fillId="25" borderId="0" xfId="0" applyFont="1" applyFill="1" applyAlignment="1">
      <alignment horizontal="left" vertical="center"/>
    </xf>
    <xf numFmtId="3" fontId="8" fillId="25" borderId="0" xfId="0" applyNumberFormat="1" applyFont="1" applyFill="1" applyAlignment="1">
      <alignment horizontal="right" vertical="center"/>
    </xf>
    <xf numFmtId="0" fontId="8" fillId="25" borderId="110" xfId="0" applyFont="1" applyFill="1" applyBorder="1" applyAlignment="1">
      <alignment horizontal="left" vertical="center"/>
    </xf>
    <xf numFmtId="3" fontId="10" fillId="25" borderId="0" xfId="0" applyNumberFormat="1" applyFont="1" applyFill="1" applyAlignment="1">
      <alignment horizontal="right" vertical="center"/>
    </xf>
    <xf numFmtId="0" fontId="10" fillId="0" borderId="0" xfId="45" applyFont="1" applyAlignment="1">
      <alignment horizontal="right"/>
    </xf>
    <xf numFmtId="0" fontId="5" fillId="20" borderId="71" xfId="0" applyFont="1" applyFill="1" applyBorder="1" applyAlignment="1">
      <alignment horizontal="center" vertical="center" wrapText="1"/>
    </xf>
    <xf numFmtId="0" fontId="5" fillId="17" borderId="43" xfId="0" applyFont="1" applyFill="1" applyBorder="1" applyAlignment="1">
      <alignment vertical="top" wrapText="1"/>
    </xf>
    <xf numFmtId="4" fontId="4" fillId="17" borderId="43" xfId="0" applyNumberFormat="1" applyFont="1" applyFill="1" applyBorder="1" applyAlignment="1">
      <alignment horizontal="center" vertical="top"/>
    </xf>
    <xf numFmtId="0" fontId="0" fillId="0" borderId="43" xfId="0" applyBorder="1" applyAlignment="1">
      <alignment horizontal="center" vertical="top"/>
    </xf>
    <xf numFmtId="0" fontId="4" fillId="37" borderId="38" xfId="0" applyFont="1" applyFill="1" applyBorder="1"/>
    <xf numFmtId="0" fontId="8" fillId="27" borderId="108" xfId="0" applyFont="1" applyFill="1" applyBorder="1" applyAlignment="1" applyProtection="1">
      <alignment horizontal="left" vertical="center" wrapText="1"/>
      <protection locked="0"/>
    </xf>
    <xf numFmtId="0" fontId="13" fillId="19" borderId="128" xfId="0" applyFont="1" applyFill="1" applyBorder="1"/>
    <xf numFmtId="0" fontId="75" fillId="25" borderId="110" xfId="0" applyFont="1" applyFill="1" applyBorder="1" applyAlignment="1">
      <alignment horizontal="center"/>
    </xf>
    <xf numFmtId="0" fontId="5" fillId="17" borderId="43" xfId="0" applyFont="1" applyFill="1" applyBorder="1" applyAlignment="1">
      <alignment horizontal="right" vertical="top" wrapText="1"/>
    </xf>
    <xf numFmtId="0" fontId="4" fillId="17" borderId="43" xfId="0" applyFont="1" applyFill="1" applyBorder="1"/>
    <xf numFmtId="0" fontId="5" fillId="44" borderId="129" xfId="0" applyFont="1" applyFill="1" applyBorder="1" applyAlignment="1">
      <alignment horizontal="right" vertical="center" wrapText="1"/>
    </xf>
    <xf numFmtId="0" fontId="5" fillId="44" borderId="0" xfId="0" applyFont="1" applyFill="1" applyAlignment="1">
      <alignment horizontal="right" vertical="center" wrapText="1"/>
    </xf>
    <xf numFmtId="0" fontId="5" fillId="45" borderId="0" xfId="0" applyFont="1" applyFill="1" applyAlignment="1">
      <alignment wrapText="1"/>
    </xf>
    <xf numFmtId="0" fontId="73" fillId="45" borderId="0" xfId="0" applyFont="1" applyFill="1" applyAlignment="1">
      <alignment wrapText="1"/>
    </xf>
    <xf numFmtId="0" fontId="5" fillId="45" borderId="0" xfId="60" applyFont="1" applyFill="1" applyAlignment="1">
      <alignment wrapText="1"/>
    </xf>
    <xf numFmtId="3" fontId="8" fillId="46" borderId="57" xfId="0" applyNumberFormat="1" applyFont="1" applyFill="1" applyBorder="1"/>
    <xf numFmtId="3" fontId="74" fillId="46" borderId="57" xfId="0" applyNumberFormat="1" applyFont="1" applyFill="1" applyBorder="1" applyAlignment="1">
      <alignment horizontal="center"/>
    </xf>
    <xf numFmtId="0" fontId="84" fillId="46" borderId="0" xfId="60" applyFont="1" applyFill="1"/>
    <xf numFmtId="3" fontId="83" fillId="17" borderId="0" xfId="60" applyNumberFormat="1" applyFont="1" applyFill="1" applyAlignment="1">
      <alignment horizontal="left" vertical="center" indent="1"/>
    </xf>
    <xf numFmtId="3" fontId="43" fillId="0" borderId="0" xfId="60" applyNumberFormat="1" applyFont="1"/>
    <xf numFmtId="3" fontId="34" fillId="17" borderId="38" xfId="60" applyNumberFormat="1" applyFont="1" applyFill="1" applyBorder="1" applyAlignment="1">
      <alignment horizontal="left" vertical="center" indent="1"/>
    </xf>
    <xf numFmtId="3" fontId="69" fillId="19" borderId="0" xfId="0" applyNumberFormat="1" applyFont="1" applyFill="1" applyAlignment="1">
      <alignment horizontal="left" vertical="center"/>
    </xf>
    <xf numFmtId="0" fontId="13" fillId="46" borderId="0" xfId="0" applyFont="1" applyFill="1"/>
    <xf numFmtId="0" fontId="4" fillId="26" borderId="0" xfId="0" applyFont="1" applyFill="1" applyAlignment="1">
      <alignment vertical="center"/>
    </xf>
    <xf numFmtId="3" fontId="69" fillId="19" borderId="128" xfId="0" applyNumberFormat="1" applyFont="1" applyFill="1" applyBorder="1" applyAlignment="1">
      <alignment vertical="center"/>
    </xf>
    <xf numFmtId="0" fontId="74" fillId="46" borderId="57" xfId="0" applyFont="1" applyFill="1" applyBorder="1" applyAlignment="1">
      <alignment horizontal="center" vertical="center"/>
    </xf>
    <xf numFmtId="0" fontId="74" fillId="0" borderId="57" xfId="0" applyFont="1" applyBorder="1" applyAlignment="1">
      <alignment horizontal="center" vertical="center"/>
    </xf>
    <xf numFmtId="4" fontId="44" fillId="17" borderId="0" xfId="0" applyNumberFormat="1" applyFont="1" applyFill="1" applyAlignment="1">
      <alignment horizontal="right" vertical="center"/>
    </xf>
    <xf numFmtId="0" fontId="84" fillId="17" borderId="0" xfId="0" applyFont="1" applyFill="1"/>
    <xf numFmtId="0" fontId="0" fillId="0" borderId="0" xfId="0" applyAlignment="1">
      <alignment vertical="center" wrapText="1"/>
    </xf>
    <xf numFmtId="0" fontId="84" fillId="17" borderId="0" xfId="0" applyFont="1" applyFill="1" applyAlignment="1">
      <alignment horizontal="right"/>
    </xf>
    <xf numFmtId="0" fontId="83" fillId="0" borderId="0" xfId="0" applyFont="1" applyAlignment="1">
      <alignment horizontal="center"/>
    </xf>
    <xf numFmtId="3" fontId="84" fillId="17" borderId="0" xfId="0" applyNumberFormat="1" applyFont="1" applyFill="1" applyAlignment="1">
      <alignment horizontal="center" vertical="center" wrapText="1"/>
    </xf>
    <xf numFmtId="0" fontId="84" fillId="0" borderId="0" xfId="0" applyFont="1" applyAlignment="1">
      <alignment horizontal="center"/>
    </xf>
    <xf numFmtId="0" fontId="84" fillId="0" borderId="0" xfId="0" applyFont="1" applyAlignment="1">
      <alignment horizontal="center" wrapText="1"/>
    </xf>
    <xf numFmtId="0" fontId="84" fillId="25" borderId="0" xfId="0" applyFont="1" applyFill="1" applyAlignment="1">
      <alignment horizontal="center"/>
    </xf>
    <xf numFmtId="0" fontId="84" fillId="17" borderId="0" xfId="0" applyFont="1" applyFill="1" applyAlignment="1">
      <alignment horizontal="center" vertical="center" wrapText="1"/>
    </xf>
    <xf numFmtId="3" fontId="84" fillId="0" borderId="0" xfId="0" applyNumberFormat="1" applyFont="1" applyAlignment="1">
      <alignment horizontal="center"/>
    </xf>
    <xf numFmtId="0" fontId="13" fillId="31" borderId="15" xfId="0" applyFont="1" applyFill="1" applyBorder="1"/>
    <xf numFmtId="4" fontId="41" fillId="20" borderId="0" xfId="0" applyNumberFormat="1" applyFont="1" applyFill="1" applyAlignment="1">
      <alignment horizontal="right" wrapText="1"/>
    </xf>
    <xf numFmtId="0" fontId="13" fillId="19" borderId="132" xfId="0" applyFont="1" applyFill="1" applyBorder="1"/>
    <xf numFmtId="3" fontId="12" fillId="19" borderId="133" xfId="0" applyNumberFormat="1" applyFont="1" applyFill="1" applyBorder="1" applyAlignment="1">
      <alignment horizontal="right" vertical="center" indent="1"/>
    </xf>
    <xf numFmtId="0" fontId="13" fillId="19" borderId="134" xfId="0" applyFont="1" applyFill="1" applyBorder="1"/>
    <xf numFmtId="3" fontId="13" fillId="19" borderId="134" xfId="0" applyNumberFormat="1" applyFont="1" applyFill="1" applyBorder="1" applyAlignment="1">
      <alignment horizontal="right" vertical="center" indent="1"/>
    </xf>
    <xf numFmtId="3" fontId="13" fillId="19" borderId="135" xfId="0" applyNumberFormat="1" applyFont="1" applyFill="1" applyBorder="1" applyAlignment="1">
      <alignment horizontal="right" vertical="center" indent="1"/>
    </xf>
    <xf numFmtId="0" fontId="84" fillId="19" borderId="23" xfId="60" applyFont="1" applyFill="1" applyBorder="1" applyAlignment="1">
      <alignment wrapText="1"/>
    </xf>
    <xf numFmtId="0" fontId="73" fillId="19" borderId="0" xfId="60" applyFont="1" applyFill="1" applyAlignment="1">
      <alignment horizontal="left" vertical="center" wrapText="1"/>
    </xf>
    <xf numFmtId="0" fontId="73" fillId="19" borderId="120" xfId="60" applyFont="1" applyFill="1" applyBorder="1" applyAlignment="1">
      <alignment horizontal="left" vertical="center" wrapText="1"/>
    </xf>
    <xf numFmtId="0" fontId="73" fillId="19" borderId="0" xfId="60" quotePrefix="1" applyFont="1" applyFill="1" applyAlignment="1">
      <alignment horizontal="left" wrapText="1"/>
    </xf>
    <xf numFmtId="0" fontId="73" fillId="19" borderId="0" xfId="60" quotePrefix="1" applyFont="1" applyFill="1" applyAlignment="1">
      <alignment horizontal="center" wrapText="1"/>
    </xf>
    <xf numFmtId="0" fontId="73" fillId="19" borderId="131" xfId="60" quotePrefix="1" applyFont="1" applyFill="1" applyBorder="1" applyAlignment="1">
      <alignment horizontal="left" wrapText="1"/>
    </xf>
    <xf numFmtId="0" fontId="84" fillId="19" borderId="0" xfId="60" applyFont="1" applyFill="1" applyAlignment="1">
      <alignment wrapText="1"/>
    </xf>
    <xf numFmtId="0" fontId="73" fillId="19" borderId="127" xfId="60" quotePrefix="1" applyFont="1" applyFill="1" applyBorder="1" applyAlignment="1">
      <alignment horizontal="left" wrapText="1"/>
    </xf>
    <xf numFmtId="0" fontId="84" fillId="19" borderId="0" xfId="60" applyFont="1" applyFill="1" applyAlignment="1">
      <alignment vertical="center" wrapText="1"/>
    </xf>
    <xf numFmtId="0" fontId="84" fillId="19" borderId="15" xfId="60" applyFont="1" applyFill="1" applyBorder="1" applyAlignment="1">
      <alignment wrapText="1"/>
    </xf>
    <xf numFmtId="0" fontId="84" fillId="17" borderId="0" xfId="60" applyFont="1" applyFill="1" applyAlignment="1">
      <alignment wrapText="1"/>
    </xf>
    <xf numFmtId="170" fontId="84" fillId="0" borderId="0" xfId="60" applyNumberFormat="1" applyFont="1" applyAlignment="1">
      <alignment wrapText="1"/>
    </xf>
    <xf numFmtId="0" fontId="84" fillId="0" borderId="0" xfId="60" applyFont="1" applyAlignment="1">
      <alignment wrapText="1"/>
    </xf>
    <xf numFmtId="0" fontId="84" fillId="0" borderId="0" xfId="0" applyFont="1" applyAlignment="1">
      <alignment wrapText="1"/>
    </xf>
    <xf numFmtId="4" fontId="4" fillId="25" borderId="0" xfId="0" applyNumberFormat="1" applyFont="1" applyFill="1" applyAlignment="1">
      <alignment horizontal="center" vertical="top"/>
    </xf>
    <xf numFmtId="2" fontId="4" fillId="25" borderId="0" xfId="0" applyNumberFormat="1" applyFont="1" applyFill="1" applyAlignment="1">
      <alignment horizontal="center" vertical="top"/>
    </xf>
    <xf numFmtId="0" fontId="0" fillId="25" borderId="0" xfId="0" applyFill="1" applyAlignment="1">
      <alignment horizontal="center" vertical="top"/>
    </xf>
    <xf numFmtId="2" fontId="0" fillId="25" borderId="0" xfId="0" applyNumberFormat="1" applyFill="1" applyAlignment="1">
      <alignment horizontal="center" vertical="top"/>
    </xf>
    <xf numFmtId="0" fontId="5" fillId="17" borderId="57" xfId="0" applyFont="1" applyFill="1" applyBorder="1" applyAlignment="1">
      <alignment horizontal="right" vertical="top" wrapText="1"/>
    </xf>
    <xf numFmtId="0" fontId="4" fillId="17" borderId="57" xfId="0" applyFont="1" applyFill="1" applyBorder="1"/>
    <xf numFmtId="2" fontId="4" fillId="25" borderId="0" xfId="0" applyNumberFormat="1" applyFont="1" applyFill="1"/>
    <xf numFmtId="0" fontId="78" fillId="25" borderId="0" xfId="0" applyFont="1" applyFill="1" applyProtection="1">
      <protection locked="0"/>
    </xf>
    <xf numFmtId="0" fontId="5" fillId="20" borderId="42" xfId="0" applyFont="1" applyFill="1" applyBorder="1" applyAlignment="1">
      <alignment horizontal="center" vertical="center" wrapText="1"/>
    </xf>
    <xf numFmtId="0" fontId="5" fillId="17" borderId="41" xfId="0" applyFont="1" applyFill="1" applyBorder="1" applyAlignment="1">
      <alignment vertical="top" wrapText="1"/>
    </xf>
    <xf numFmtId="4" fontId="4" fillId="17" borderId="41" xfId="0" applyNumberFormat="1" applyFont="1" applyFill="1" applyBorder="1" applyAlignment="1">
      <alignment horizontal="center" vertical="top"/>
    </xf>
    <xf numFmtId="2" fontId="0" fillId="0" borderId="41" xfId="0" applyNumberFormat="1" applyBorder="1" applyAlignment="1">
      <alignment horizontal="center" vertical="top"/>
    </xf>
    <xf numFmtId="0" fontId="5" fillId="17" borderId="41" xfId="0" applyFont="1" applyFill="1" applyBorder="1" applyAlignment="1">
      <alignment horizontal="center" vertical="top" wrapText="1"/>
    </xf>
    <xf numFmtId="4" fontId="4" fillId="0" borderId="0" xfId="0" applyNumberFormat="1" applyFont="1" applyAlignment="1">
      <alignment horizontal="center" vertical="top"/>
    </xf>
    <xf numFmtId="4" fontId="4" fillId="31" borderId="46" xfId="0" applyNumberFormat="1" applyFont="1" applyFill="1" applyBorder="1"/>
    <xf numFmtId="4" fontId="4" fillId="31" borderId="47" xfId="0" applyNumberFormat="1" applyFont="1" applyFill="1" applyBorder="1"/>
    <xf numFmtId="3" fontId="84" fillId="31" borderId="38" xfId="0" applyNumberFormat="1" applyFont="1" applyFill="1" applyBorder="1" applyAlignment="1">
      <alignment horizontal="right"/>
    </xf>
    <xf numFmtId="1" fontId="4" fillId="31" borderId="23" xfId="0" applyNumberFormat="1" applyFont="1" applyFill="1" applyBorder="1" applyAlignment="1">
      <alignment horizontal="center"/>
    </xf>
    <xf numFmtId="4" fontId="4" fillId="31" borderId="45" xfId="0" applyNumberFormat="1" applyFont="1" applyFill="1" applyBorder="1"/>
    <xf numFmtId="4" fontId="4" fillId="31" borderId="26" xfId="0" applyNumberFormat="1" applyFont="1" applyFill="1" applyBorder="1" applyAlignment="1">
      <alignment horizontal="center"/>
    </xf>
    <xf numFmtId="4" fontId="4" fillId="31" borderId="23" xfId="0" applyNumberFormat="1" applyFont="1" applyFill="1" applyBorder="1" applyAlignment="1">
      <alignment horizontal="center"/>
    </xf>
    <xf numFmtId="0" fontId="4" fillId="31" borderId="46" xfId="0" applyFont="1" applyFill="1" applyBorder="1"/>
    <xf numFmtId="0" fontId="4" fillId="31" borderId="23" xfId="0" applyFont="1" applyFill="1" applyBorder="1" applyAlignment="1">
      <alignment horizontal="center"/>
    </xf>
    <xf numFmtId="0" fontId="4" fillId="43" borderId="0" xfId="0" applyFont="1" applyFill="1"/>
    <xf numFmtId="4" fontId="4" fillId="31" borderId="24" xfId="0" applyNumberFormat="1" applyFont="1" applyFill="1" applyBorder="1" applyAlignment="1">
      <alignment horizontal="center"/>
    </xf>
    <xf numFmtId="1" fontId="4" fillId="31" borderId="38" xfId="0" applyNumberFormat="1" applyFont="1" applyFill="1" applyBorder="1" applyAlignment="1">
      <alignment horizontal="center"/>
    </xf>
    <xf numFmtId="0" fontId="4" fillId="31" borderId="38" xfId="0" applyFont="1" applyFill="1" applyBorder="1"/>
    <xf numFmtId="0" fontId="4" fillId="31" borderId="53" xfId="0" applyFont="1" applyFill="1" applyBorder="1" applyAlignment="1">
      <alignment horizontal="center"/>
    </xf>
    <xf numFmtId="0" fontId="4" fillId="25" borderId="57" xfId="45" applyFill="1" applyBorder="1"/>
    <xf numFmtId="0" fontId="4" fillId="25" borderId="23" xfId="0" applyFont="1" applyFill="1" applyBorder="1" applyAlignment="1">
      <alignment vertical="top"/>
    </xf>
    <xf numFmtId="4" fontId="4" fillId="25" borderId="41" xfId="0" applyNumberFormat="1" applyFont="1" applyFill="1" applyBorder="1" applyAlignment="1">
      <alignment horizontal="center" vertical="top"/>
    </xf>
    <xf numFmtId="4" fontId="4" fillId="25" borderId="43" xfId="0" applyNumberFormat="1" applyFont="1" applyFill="1" applyBorder="1" applyAlignment="1">
      <alignment horizontal="center" vertical="top"/>
    </xf>
    <xf numFmtId="3" fontId="4" fillId="25" borderId="46" xfId="0" applyNumberFormat="1" applyFont="1" applyFill="1" applyBorder="1" applyAlignment="1">
      <alignment horizontal="center" vertical="top"/>
    </xf>
    <xf numFmtId="0" fontId="4" fillId="25" borderId="43" xfId="0" applyFont="1" applyFill="1" applyBorder="1"/>
    <xf numFmtId="0" fontId="71" fillId="25" borderId="0" xfId="44" applyFont="1" applyFill="1" applyBorder="1" applyAlignment="1">
      <alignment horizontal="center" vertical="top"/>
    </xf>
    <xf numFmtId="3" fontId="0" fillId="25" borderId="46" xfId="0" applyNumberFormat="1" applyFill="1" applyBorder="1" applyAlignment="1">
      <alignment horizontal="center" vertical="top"/>
    </xf>
    <xf numFmtId="0" fontId="0" fillId="25" borderId="23" xfId="0" applyFill="1" applyBorder="1" applyAlignment="1">
      <alignment vertical="top"/>
    </xf>
    <xf numFmtId="0" fontId="0" fillId="25" borderId="0" xfId="0" applyFill="1" applyAlignment="1">
      <alignment vertical="top"/>
    </xf>
    <xf numFmtId="2" fontId="0" fillId="25" borderId="41" xfId="0" applyNumberFormat="1" applyFill="1" applyBorder="1" applyAlignment="1">
      <alignment horizontal="center" vertical="top"/>
    </xf>
    <xf numFmtId="0" fontId="0" fillId="25" borderId="43" xfId="0" applyFill="1" applyBorder="1" applyAlignment="1">
      <alignment horizontal="center" vertical="top"/>
    </xf>
    <xf numFmtId="0" fontId="0" fillId="25" borderId="46" xfId="0" applyFill="1" applyBorder="1" applyAlignment="1">
      <alignment horizontal="center" vertical="top"/>
    </xf>
    <xf numFmtId="0" fontId="5" fillId="0" borderId="0" xfId="0" applyFont="1"/>
    <xf numFmtId="3" fontId="4" fillId="42" borderId="128" xfId="0" applyNumberFormat="1" applyFont="1" applyFill="1" applyBorder="1" applyAlignment="1">
      <alignment wrapText="1"/>
    </xf>
    <xf numFmtId="3" fontId="4" fillId="42" borderId="38" xfId="0" applyNumberFormat="1" applyFont="1" applyFill="1" applyBorder="1" applyAlignment="1">
      <alignment horizontal="right"/>
    </xf>
    <xf numFmtId="0" fontId="12" fillId="19" borderId="0" xfId="0" applyFont="1" applyFill="1" applyAlignment="1">
      <alignment vertical="center"/>
    </xf>
    <xf numFmtId="3" fontId="12" fillId="19" borderId="0" xfId="0" applyNumberFormat="1" applyFont="1" applyFill="1" applyAlignment="1">
      <alignment horizontal="center" vertical="center" wrapText="1"/>
    </xf>
    <xf numFmtId="0" fontId="5" fillId="0" borderId="0" xfId="0" applyFont="1" applyAlignment="1">
      <alignment horizontal="left"/>
    </xf>
    <xf numFmtId="0" fontId="123" fillId="0" borderId="0" xfId="0" applyFont="1" applyAlignment="1">
      <alignment horizontal="left" vertical="center" wrapText="1"/>
    </xf>
    <xf numFmtId="0" fontId="95" fillId="0" borderId="0" xfId="0" applyFont="1" applyAlignment="1">
      <alignment horizontal="left" vertical="top"/>
    </xf>
    <xf numFmtId="3" fontId="4" fillId="17" borderId="0" xfId="0" applyNumberFormat="1" applyFont="1" applyFill="1" applyAlignment="1">
      <alignment horizontal="right"/>
    </xf>
    <xf numFmtId="3" fontId="124" fillId="31" borderId="0" xfId="0" applyNumberFormat="1" applyFont="1" applyFill="1" applyAlignment="1">
      <alignment horizontal="left"/>
    </xf>
    <xf numFmtId="1" fontId="4" fillId="31" borderId="0" xfId="0" applyNumberFormat="1" applyFont="1" applyFill="1"/>
    <xf numFmtId="0" fontId="4" fillId="31" borderId="0" xfId="0" applyFont="1" applyFill="1"/>
    <xf numFmtId="3" fontId="124" fillId="31" borderId="0" xfId="0" applyNumberFormat="1" applyFont="1" applyFill="1" applyAlignment="1">
      <alignment horizontal="left" vertical="center"/>
    </xf>
    <xf numFmtId="2" fontId="4" fillId="31" borderId="0" xfId="0" applyNumberFormat="1" applyFont="1" applyFill="1"/>
    <xf numFmtId="0" fontId="124" fillId="31" borderId="0" xfId="0" applyFont="1" applyFill="1" applyAlignment="1">
      <alignment horizontal="left"/>
    </xf>
    <xf numFmtId="3" fontId="4" fillId="39" borderId="0" xfId="0" applyNumberFormat="1" applyFont="1" applyFill="1" applyAlignment="1">
      <alignment horizontal="left"/>
    </xf>
    <xf numFmtId="14" fontId="4" fillId="39" borderId="0" xfId="0" applyNumberFormat="1" applyFont="1" applyFill="1"/>
    <xf numFmtId="0" fontId="0" fillId="39" borderId="0" xfId="0" applyFill="1"/>
    <xf numFmtId="3" fontId="4" fillId="39" borderId="0" xfId="0" applyNumberFormat="1" applyFont="1" applyFill="1" applyAlignment="1">
      <alignment horizontal="left" vertical="center"/>
    </xf>
    <xf numFmtId="1" fontId="4" fillId="39" borderId="0" xfId="0" applyNumberFormat="1" applyFont="1" applyFill="1"/>
    <xf numFmtId="0" fontId="4" fillId="39" borderId="0" xfId="0" applyFont="1" applyFill="1" applyAlignment="1">
      <alignment horizontal="left"/>
    </xf>
    <xf numFmtId="169" fontId="4" fillId="39" borderId="0" xfId="0" applyNumberFormat="1" applyFont="1" applyFill="1"/>
    <xf numFmtId="49" fontId="4" fillId="39" borderId="0" xfId="0" applyNumberFormat="1" applyFont="1" applyFill="1"/>
    <xf numFmtId="3" fontId="4" fillId="19" borderId="0" xfId="0" applyNumberFormat="1" applyFont="1" applyFill="1" applyAlignment="1">
      <alignment horizontal="left" vertical="center"/>
    </xf>
    <xf numFmtId="1" fontId="4" fillId="0" borderId="0" xfId="0" applyNumberFormat="1" applyFont="1"/>
    <xf numFmtId="0" fontId="4" fillId="19" borderId="0" xfId="0" applyFont="1" applyFill="1" applyAlignment="1">
      <alignment horizontal="left"/>
    </xf>
    <xf numFmtId="0" fontId="4" fillId="31" borderId="0" xfId="0" applyFont="1" applyFill="1" applyAlignment="1">
      <alignment horizontal="left"/>
    </xf>
    <xf numFmtId="0" fontId="4" fillId="42" borderId="0" xfId="0" applyFont="1" applyFill="1" applyAlignment="1">
      <alignment horizontal="left"/>
    </xf>
    <xf numFmtId="1" fontId="4" fillId="42" borderId="0" xfId="0" applyNumberFormat="1" applyFont="1" applyFill="1"/>
    <xf numFmtId="3" fontId="4" fillId="42" borderId="0" xfId="0" applyNumberFormat="1" applyFont="1" applyFill="1" applyAlignment="1">
      <alignment horizontal="left" vertical="center"/>
    </xf>
    <xf numFmtId="0" fontId="70" fillId="28" borderId="0" xfId="0" applyFont="1" applyFill="1" applyAlignment="1">
      <alignment horizontal="left"/>
    </xf>
    <xf numFmtId="1" fontId="4" fillId="28" borderId="0" xfId="0" applyNumberFormat="1" applyFont="1" applyFill="1"/>
    <xf numFmtId="0" fontId="0" fillId="28" borderId="0" xfId="0" applyFill="1"/>
    <xf numFmtId="0" fontId="4" fillId="28" borderId="0" xfId="0" applyFont="1" applyFill="1"/>
    <xf numFmtId="14" fontId="4" fillId="28" borderId="0" xfId="0" applyNumberFormat="1" applyFont="1" applyFill="1"/>
    <xf numFmtId="49" fontId="84" fillId="0" borderId="0" xfId="0" applyNumberFormat="1" applyFont="1"/>
    <xf numFmtId="1" fontId="0" fillId="0" borderId="0" xfId="0" applyNumberFormat="1"/>
    <xf numFmtId="0" fontId="4" fillId="49" borderId="0" xfId="0" applyFont="1" applyFill="1"/>
    <xf numFmtId="0" fontId="70" fillId="49" borderId="0" xfId="0" applyFont="1" applyFill="1" applyAlignment="1">
      <alignment horizontal="left"/>
    </xf>
    <xf numFmtId="0" fontId="4" fillId="49" borderId="0" xfId="0" applyFont="1" applyFill="1" applyAlignment="1">
      <alignment horizontal="left"/>
    </xf>
    <xf numFmtId="0" fontId="0" fillId="50" borderId="0" xfId="0" applyFill="1"/>
    <xf numFmtId="1" fontId="4" fillId="50" borderId="0" xfId="0" applyNumberFormat="1" applyFont="1" applyFill="1"/>
    <xf numFmtId="169" fontId="8" fillId="17" borderId="65" xfId="0" applyNumberFormat="1" applyFont="1" applyFill="1" applyBorder="1" applyAlignment="1">
      <alignment horizontal="center"/>
    </xf>
    <xf numFmtId="3" fontId="10" fillId="31" borderId="0" xfId="0" applyNumberFormat="1" applyFont="1" applyFill="1" applyAlignment="1">
      <alignment horizontal="right" vertical="center" indent="1"/>
    </xf>
    <xf numFmtId="3" fontId="84" fillId="31" borderId="53" xfId="0" applyNumberFormat="1" applyFont="1" applyFill="1" applyBorder="1" applyAlignment="1">
      <alignment horizontal="right"/>
    </xf>
    <xf numFmtId="3" fontId="84" fillId="31" borderId="55" xfId="0" applyNumberFormat="1" applyFont="1" applyFill="1" applyBorder="1" applyAlignment="1">
      <alignment horizontal="right"/>
    </xf>
    <xf numFmtId="0" fontId="5" fillId="35" borderId="17" xfId="0" applyFont="1" applyFill="1" applyBorder="1" applyAlignment="1">
      <alignment vertical="top" wrapText="1"/>
    </xf>
    <xf numFmtId="3" fontId="34" fillId="17" borderId="38" xfId="60" applyNumberFormat="1" applyFont="1" applyFill="1" applyBorder="1" applyAlignment="1" applyProtection="1">
      <alignment vertical="center"/>
      <protection locked="0"/>
    </xf>
    <xf numFmtId="3" fontId="100" fillId="19" borderId="0" xfId="60" applyNumberFormat="1" applyFont="1" applyFill="1" applyAlignment="1">
      <alignment horizontal="left" vertical="center"/>
    </xf>
    <xf numFmtId="3" fontId="34" fillId="19" borderId="0" xfId="60" applyNumberFormat="1" applyFont="1" applyFill="1" applyAlignment="1">
      <alignment horizontal="right" vertical="center" indent="1"/>
    </xf>
    <xf numFmtId="3" fontId="34" fillId="17" borderId="115" xfId="60" applyNumberFormat="1" applyFont="1" applyFill="1" applyBorder="1" applyAlignment="1">
      <alignment vertical="center"/>
    </xf>
    <xf numFmtId="3" fontId="36" fillId="19" borderId="0" xfId="60" applyNumberFormat="1" applyFont="1" applyFill="1" applyAlignment="1">
      <alignment horizontal="right" vertical="center" indent="1"/>
    </xf>
    <xf numFmtId="3" fontId="34" fillId="27" borderId="115" xfId="60" applyNumberFormat="1" applyFont="1" applyFill="1" applyBorder="1" applyAlignment="1">
      <alignment vertical="center"/>
    </xf>
    <xf numFmtId="3" fontId="34" fillId="27" borderId="0" xfId="60" applyNumberFormat="1" applyFont="1" applyFill="1" applyAlignment="1">
      <alignment horizontal="right" vertical="center" indent="1"/>
    </xf>
    <xf numFmtId="0" fontId="14" fillId="46" borderId="38" xfId="0" applyFont="1" applyFill="1" applyBorder="1" applyAlignment="1">
      <alignment horizontal="center" vertical="center" wrapText="1"/>
    </xf>
    <xf numFmtId="0" fontId="14" fillId="26" borderId="38" xfId="0" applyFont="1" applyFill="1" applyBorder="1" applyAlignment="1">
      <alignment horizontal="center" vertical="top" wrapText="1"/>
    </xf>
    <xf numFmtId="3" fontId="4" fillId="31" borderId="128" xfId="0" applyNumberFormat="1" applyFont="1" applyFill="1" applyBorder="1"/>
    <xf numFmtId="3" fontId="12" fillId="31" borderId="16" xfId="0" applyNumberFormat="1" applyFont="1" applyFill="1" applyBorder="1" applyAlignment="1">
      <alignment horizontal="right" vertical="center" indent="1"/>
    </xf>
    <xf numFmtId="0" fontId="13" fillId="17" borderId="0" xfId="0" applyFont="1" applyFill="1" applyAlignment="1">
      <alignment horizontal="right" vertical="center" indent="2"/>
    </xf>
    <xf numFmtId="3" fontId="46" fillId="17" borderId="0" xfId="0" applyNumberFormat="1" applyFont="1" applyFill="1" applyAlignment="1">
      <alignment horizontal="center" vertical="center" wrapText="1"/>
    </xf>
    <xf numFmtId="165" fontId="13" fillId="17" borderId="0" xfId="34" applyFont="1" applyFill="1" applyBorder="1" applyAlignment="1" applyProtection="1">
      <alignment horizontal="center" vertical="center"/>
    </xf>
    <xf numFmtId="3" fontId="13" fillId="17" borderId="0" xfId="0" applyNumberFormat="1" applyFont="1" applyFill="1" applyAlignment="1">
      <alignment vertical="top"/>
    </xf>
    <xf numFmtId="0" fontId="44" fillId="17" borderId="0" xfId="0" applyFont="1" applyFill="1" applyAlignment="1">
      <alignment horizontal="center" wrapText="1"/>
    </xf>
    <xf numFmtId="0" fontId="13" fillId="17" borderId="0" xfId="0" applyFont="1" applyFill="1" applyAlignment="1">
      <alignment vertical="center" wrapText="1"/>
    </xf>
    <xf numFmtId="0" fontId="43" fillId="17" borderId="0" xfId="0" applyFont="1" applyFill="1" applyAlignment="1">
      <alignment horizontal="right" vertical="center" indent="2"/>
    </xf>
    <xf numFmtId="3" fontId="78" fillId="25" borderId="0" xfId="0" applyNumberFormat="1" applyFont="1" applyFill="1" applyAlignment="1">
      <alignment horizontal="center" vertical="center"/>
    </xf>
    <xf numFmtId="0" fontId="75" fillId="25" borderId="0" xfId="0" applyFont="1" applyFill="1" applyAlignment="1">
      <alignment horizontal="right" vertical="center" indent="2"/>
    </xf>
    <xf numFmtId="0" fontId="13" fillId="17" borderId="0" xfId="0" applyFont="1" applyFill="1" applyAlignment="1">
      <alignment wrapText="1"/>
    </xf>
    <xf numFmtId="3" fontId="4" fillId="17" borderId="0" xfId="0" applyNumberFormat="1" applyFont="1" applyFill="1" applyAlignment="1">
      <alignment horizontal="right" vertical="center" indent="2"/>
    </xf>
    <xf numFmtId="3" fontId="44" fillId="17" borderId="0" xfId="0" applyNumberFormat="1" applyFont="1" applyFill="1" applyAlignment="1">
      <alignment vertical="center" wrapText="1"/>
    </xf>
    <xf numFmtId="3" fontId="76" fillId="25" borderId="0" xfId="0" applyNumberFormat="1" applyFont="1" applyFill="1" applyAlignment="1">
      <alignment horizontal="right" vertical="center" indent="2"/>
    </xf>
    <xf numFmtId="3" fontId="13" fillId="25" borderId="0" xfId="0" applyNumberFormat="1" applyFont="1" applyFill="1" applyAlignment="1">
      <alignment horizontal="right" vertical="center" indent="2"/>
    </xf>
    <xf numFmtId="0" fontId="13" fillId="17" borderId="23" xfId="0" applyFont="1" applyFill="1" applyBorder="1" applyAlignment="1">
      <alignment vertical="top"/>
    </xf>
    <xf numFmtId="0" fontId="13" fillId="17" borderId="24" xfId="0" applyFont="1" applyFill="1" applyBorder="1" applyAlignment="1">
      <alignment vertical="top"/>
    </xf>
    <xf numFmtId="0" fontId="0" fillId="20" borderId="0" xfId="0" applyFill="1" applyAlignment="1">
      <alignment horizontal="center"/>
    </xf>
    <xf numFmtId="0" fontId="0" fillId="20" borderId="0" xfId="0" applyFill="1"/>
    <xf numFmtId="0" fontId="0" fillId="20" borderId="23" xfId="0" applyFill="1" applyBorder="1"/>
    <xf numFmtId="0" fontId="19" fillId="25" borderId="1" xfId="26" applyFill="1" applyProtection="1"/>
    <xf numFmtId="0" fontId="0" fillId="31" borderId="0" xfId="0" applyFill="1" applyAlignment="1">
      <alignment horizontal="left" vertical="top" wrapText="1"/>
    </xf>
    <xf numFmtId="0" fontId="4" fillId="0" borderId="0" xfId="0" applyFont="1" applyAlignment="1">
      <alignment vertical="top"/>
    </xf>
    <xf numFmtId="4" fontId="4" fillId="0" borderId="41" xfId="0" applyNumberFormat="1" applyFont="1" applyBorder="1" applyAlignment="1">
      <alignment horizontal="center" vertical="top"/>
    </xf>
    <xf numFmtId="4" fontId="4" fillId="0" borderId="43" xfId="0" applyNumberFormat="1" applyFont="1" applyBorder="1" applyAlignment="1">
      <alignment horizontal="center" vertical="top"/>
    </xf>
    <xf numFmtId="0" fontId="4" fillId="0" borderId="43" xfId="0" applyFont="1" applyBorder="1"/>
    <xf numFmtId="4" fontId="4" fillId="31" borderId="0" xfId="0" applyNumberFormat="1" applyFont="1" applyFill="1" applyAlignment="1">
      <alignment horizontal="center" vertical="top"/>
    </xf>
    <xf numFmtId="0" fontId="4" fillId="31" borderId="0" xfId="0" applyFont="1" applyFill="1" applyAlignment="1">
      <alignment vertical="top"/>
    </xf>
    <xf numFmtId="4" fontId="4" fillId="31" borderId="41" xfId="0" applyNumberFormat="1" applyFont="1" applyFill="1" applyBorder="1" applyAlignment="1">
      <alignment horizontal="center" vertical="top"/>
    </xf>
    <xf numFmtId="0" fontId="71" fillId="31" borderId="0" xfId="44" applyFont="1" applyFill="1" applyBorder="1" applyAlignment="1">
      <alignment horizontal="center" vertical="top"/>
    </xf>
    <xf numFmtId="0" fontId="4" fillId="0" borderId="57" xfId="45" applyBorder="1"/>
    <xf numFmtId="3" fontId="8" fillId="25" borderId="0" xfId="0" applyNumberFormat="1" applyFont="1" applyFill="1" applyAlignment="1">
      <alignment vertical="top"/>
    </xf>
    <xf numFmtId="0" fontId="8" fillId="25" borderId="128" xfId="45" applyFont="1" applyFill="1" applyBorder="1" applyAlignment="1">
      <alignment vertical="top"/>
    </xf>
    <xf numFmtId="169" fontId="0" fillId="0" borderId="0" xfId="0" applyNumberFormat="1"/>
    <xf numFmtId="1" fontId="5" fillId="20" borderId="47" xfId="0" applyNumberFormat="1" applyFont="1" applyFill="1" applyBorder="1" applyAlignment="1">
      <alignment horizontal="center" vertical="top" wrapText="1"/>
    </xf>
    <xf numFmtId="0" fontId="5" fillId="20" borderId="27" xfId="0" applyFont="1" applyFill="1" applyBorder="1" applyAlignment="1">
      <alignment vertical="top" wrapText="1"/>
    </xf>
    <xf numFmtId="0" fontId="5" fillId="20" borderId="15" xfId="0" applyFont="1" applyFill="1" applyBorder="1" applyAlignment="1">
      <alignment horizontal="center" vertical="top" wrapText="1"/>
    </xf>
    <xf numFmtId="4" fontId="4" fillId="51" borderId="56" xfId="0" applyNumberFormat="1" applyFont="1" applyFill="1" applyBorder="1"/>
    <xf numFmtId="4" fontId="4" fillId="51" borderId="56" xfId="0" applyNumberFormat="1" applyFont="1" applyFill="1" applyBorder="1" applyAlignment="1">
      <alignment horizontal="center"/>
    </xf>
    <xf numFmtId="0" fontId="0" fillId="51" borderId="56" xfId="0" applyFill="1" applyBorder="1"/>
    <xf numFmtId="4" fontId="4" fillId="51" borderId="57" xfId="0" applyNumberFormat="1" applyFont="1" applyFill="1" applyBorder="1"/>
    <xf numFmtId="4" fontId="4" fillId="51" borderId="57" xfId="0" applyNumberFormat="1" applyFont="1" applyFill="1" applyBorder="1" applyAlignment="1">
      <alignment horizontal="center"/>
    </xf>
    <xf numFmtId="0" fontId="0" fillId="51" borderId="57" xfId="0" applyFill="1" applyBorder="1"/>
    <xf numFmtId="0" fontId="4" fillId="51" borderId="57" xfId="0" applyFont="1" applyFill="1" applyBorder="1"/>
    <xf numFmtId="0" fontId="4" fillId="51" borderId="57" xfId="0" applyFont="1" applyFill="1" applyBorder="1" applyAlignment="1">
      <alignment horizontal="center"/>
    </xf>
    <xf numFmtId="4" fontId="4" fillId="51" borderId="58" xfId="0" applyNumberFormat="1" applyFont="1" applyFill="1" applyBorder="1"/>
    <xf numFmtId="4" fontId="4" fillId="51" borderId="58" xfId="0" applyNumberFormat="1" applyFont="1" applyFill="1" applyBorder="1" applyAlignment="1">
      <alignment horizontal="center"/>
    </xf>
    <xf numFmtId="0" fontId="0" fillId="51" borderId="58" xfId="0" applyFill="1" applyBorder="1"/>
    <xf numFmtId="169" fontId="0" fillId="32" borderId="56" xfId="0" applyNumberFormat="1" applyFill="1" applyBorder="1"/>
    <xf numFmtId="3" fontId="4" fillId="51" borderId="56" xfId="0" applyNumberFormat="1" applyFont="1" applyFill="1" applyBorder="1"/>
    <xf numFmtId="3" fontId="4" fillId="51" borderId="57" xfId="0" applyNumberFormat="1" applyFont="1" applyFill="1" applyBorder="1"/>
    <xf numFmtId="3" fontId="4" fillId="51" borderId="58" xfId="0" applyNumberFormat="1" applyFont="1" applyFill="1" applyBorder="1"/>
    <xf numFmtId="169" fontId="0" fillId="26" borderId="56" xfId="0" applyNumberFormat="1" applyFill="1" applyBorder="1"/>
    <xf numFmtId="169" fontId="0" fillId="26" borderId="57" xfId="0" applyNumberFormat="1" applyFill="1" applyBorder="1"/>
    <xf numFmtId="169" fontId="0" fillId="26" borderId="58" xfId="0" applyNumberFormat="1" applyFill="1" applyBorder="1"/>
    <xf numFmtId="1" fontId="0" fillId="38" borderId="56" xfId="0" applyNumberFormat="1" applyFill="1" applyBorder="1"/>
    <xf numFmtId="1" fontId="0" fillId="38" borderId="57" xfId="0" applyNumberFormat="1" applyFill="1" applyBorder="1"/>
    <xf numFmtId="1" fontId="0" fillId="38" borderId="58" xfId="0" applyNumberFormat="1" applyFill="1" applyBorder="1"/>
    <xf numFmtId="1" fontId="0" fillId="39" borderId="56" xfId="0" applyNumberFormat="1" applyFill="1" applyBorder="1"/>
    <xf numFmtId="9" fontId="0" fillId="39" borderId="56" xfId="48" applyFont="1" applyFill="1" applyBorder="1"/>
    <xf numFmtId="1" fontId="0" fillId="39" borderId="57" xfId="0" applyNumberFormat="1" applyFill="1" applyBorder="1"/>
    <xf numFmtId="9" fontId="0" fillId="39" borderId="57" xfId="48" applyFont="1" applyFill="1" applyBorder="1"/>
    <xf numFmtId="1" fontId="0" fillId="39" borderId="58" xfId="0" applyNumberFormat="1" applyFill="1" applyBorder="1"/>
    <xf numFmtId="9" fontId="0" fillId="39" borderId="58" xfId="48" applyFont="1" applyFill="1" applyBorder="1"/>
    <xf numFmtId="4" fontId="5" fillId="31" borderId="136" xfId="0" applyNumberFormat="1" applyFont="1" applyFill="1" applyBorder="1"/>
    <xf numFmtId="0" fontId="5" fillId="31" borderId="136" xfId="0" applyFont="1" applyFill="1" applyBorder="1"/>
    <xf numFmtId="170" fontId="5" fillId="31" borderId="136" xfId="0" applyNumberFormat="1" applyFont="1" applyFill="1" applyBorder="1"/>
    <xf numFmtId="0" fontId="0" fillId="52" borderId="56" xfId="0" applyFill="1" applyBorder="1"/>
    <xf numFmtId="0" fontId="0" fillId="52" borderId="57" xfId="0" applyFill="1" applyBorder="1"/>
    <xf numFmtId="0" fontId="0" fillId="52" borderId="58" xfId="0" applyFill="1" applyBorder="1"/>
    <xf numFmtId="0" fontId="45" fillId="19" borderId="0" xfId="0" applyFont="1" applyFill="1" applyAlignment="1">
      <alignment horizontal="center" wrapText="1"/>
    </xf>
    <xf numFmtId="0" fontId="84" fillId="31" borderId="0" xfId="0" applyFont="1" applyFill="1"/>
    <xf numFmtId="3" fontId="4" fillId="31" borderId="0" xfId="0" applyNumberFormat="1" applyFont="1" applyFill="1"/>
    <xf numFmtId="0" fontId="4" fillId="52" borderId="57" xfId="0" applyFont="1" applyFill="1" applyBorder="1"/>
    <xf numFmtId="0" fontId="13" fillId="31" borderId="0" xfId="0" applyFont="1" applyFill="1" applyAlignment="1">
      <alignment horizontal="center"/>
    </xf>
    <xf numFmtId="3" fontId="13" fillId="31" borderId="19" xfId="0" applyNumberFormat="1" applyFont="1" applyFill="1" applyBorder="1" applyAlignment="1">
      <alignment horizontal="right" vertical="center" indent="1"/>
    </xf>
    <xf numFmtId="0" fontId="13" fillId="31" borderId="19" xfId="0" applyFont="1" applyFill="1" applyBorder="1"/>
    <xf numFmtId="0" fontId="12" fillId="31" borderId="0" xfId="0" applyFont="1" applyFill="1"/>
    <xf numFmtId="0" fontId="0" fillId="31" borderId="22" xfId="0" applyFill="1" applyBorder="1"/>
    <xf numFmtId="0" fontId="0" fillId="31" borderId="18" xfId="0" applyFill="1" applyBorder="1"/>
    <xf numFmtId="0" fontId="0" fillId="31" borderId="20" xfId="0" applyFill="1" applyBorder="1"/>
    <xf numFmtId="0" fontId="0" fillId="31" borderId="21" xfId="0" applyFill="1" applyBorder="1"/>
    <xf numFmtId="0" fontId="12" fillId="31" borderId="0" xfId="0" applyFont="1" applyFill="1" applyAlignment="1">
      <alignment horizontal="center"/>
    </xf>
    <xf numFmtId="0" fontId="8" fillId="0" borderId="0" xfId="0" applyFont="1" applyAlignment="1">
      <alignment vertical="top"/>
    </xf>
    <xf numFmtId="0" fontId="13" fillId="0" borderId="0" xfId="0" applyFont="1" applyAlignment="1">
      <alignment vertical="top" wrapText="1"/>
    </xf>
    <xf numFmtId="3" fontId="8" fillId="31" borderId="0" xfId="0" applyNumberFormat="1" applyFont="1" applyFill="1" applyAlignment="1">
      <alignment horizontal="right" vertical="center" indent="1"/>
    </xf>
    <xf numFmtId="0" fontId="8" fillId="20" borderId="128" xfId="0" applyFont="1" applyFill="1" applyBorder="1" applyAlignment="1">
      <alignment horizontal="center"/>
    </xf>
    <xf numFmtId="0" fontId="0" fillId="20" borderId="26" xfId="0" applyFill="1" applyBorder="1" applyAlignment="1">
      <alignment vertical="top" wrapText="1"/>
    </xf>
    <xf numFmtId="0" fontId="5" fillId="35" borderId="23" xfId="0" applyFont="1" applyFill="1" applyBorder="1" applyAlignment="1">
      <alignment horizontal="center" vertical="top" wrapText="1"/>
    </xf>
    <xf numFmtId="3" fontId="4" fillId="0" borderId="46" xfId="0" applyNumberFormat="1" applyFont="1" applyBorder="1" applyAlignment="1">
      <alignment horizontal="right"/>
    </xf>
    <xf numFmtId="4" fontId="4" fillId="26" borderId="46" xfId="0" applyNumberFormat="1" applyFont="1" applyFill="1" applyBorder="1"/>
    <xf numFmtId="4" fontId="4" fillId="26" borderId="23" xfId="0" applyNumberFormat="1" applyFont="1" applyFill="1" applyBorder="1" applyAlignment="1">
      <alignment horizontal="center"/>
    </xf>
    <xf numFmtId="3" fontId="0" fillId="52" borderId="0" xfId="0" applyNumberFormat="1" applyFill="1"/>
    <xf numFmtId="0" fontId="4" fillId="52" borderId="0" xfId="0" applyFont="1" applyFill="1"/>
    <xf numFmtId="0" fontId="0" fillId="52" borderId="0" xfId="0" applyFill="1"/>
    <xf numFmtId="9" fontId="0" fillId="52" borderId="0" xfId="0" applyNumberFormat="1" applyFill="1"/>
    <xf numFmtId="1" fontId="4" fillId="52" borderId="0" xfId="0" applyNumberFormat="1" applyFont="1" applyFill="1"/>
    <xf numFmtId="9" fontId="4" fillId="52" borderId="0" xfId="48" applyFont="1" applyFill="1" applyBorder="1"/>
    <xf numFmtId="0" fontId="4" fillId="32" borderId="0" xfId="0" applyFont="1" applyFill="1"/>
    <xf numFmtId="3" fontId="0" fillId="32" borderId="0" xfId="0" applyNumberFormat="1" applyFill="1"/>
    <xf numFmtId="0" fontId="0" fillId="32" borderId="0" xfId="0" applyFill="1"/>
    <xf numFmtId="9" fontId="0" fillId="32" borderId="0" xfId="0" applyNumberFormat="1" applyFill="1"/>
    <xf numFmtId="1" fontId="4" fillId="32" borderId="0" xfId="0" applyNumberFormat="1" applyFont="1" applyFill="1"/>
    <xf numFmtId="9" fontId="4" fillId="32" borderId="0" xfId="48" applyFont="1" applyFill="1" applyBorder="1"/>
    <xf numFmtId="0" fontId="69" fillId="17" borderId="52" xfId="0" applyFont="1" applyFill="1" applyBorder="1"/>
    <xf numFmtId="0" fontId="8" fillId="0" borderId="23" xfId="45" applyFont="1" applyBorder="1"/>
    <xf numFmtId="0" fontId="8" fillId="0" borderId="128" xfId="45" applyFont="1" applyBorder="1" applyAlignment="1">
      <alignment vertical="top"/>
    </xf>
    <xf numFmtId="0" fontId="8" fillId="0" borderId="16" xfId="45" applyFont="1" applyBorder="1" applyAlignment="1">
      <alignment horizontal="center" vertical="center"/>
    </xf>
    <xf numFmtId="0" fontId="8" fillId="0" borderId="16" xfId="45" applyFont="1" applyBorder="1" applyAlignment="1">
      <alignment horizontal="left" vertical="center"/>
    </xf>
    <xf numFmtId="3" fontId="15" fillId="0" borderId="16" xfId="33" applyNumberFormat="1" applyFont="1" applyFill="1" applyBorder="1" applyAlignment="1">
      <alignment horizontal="right" vertical="center"/>
    </xf>
    <xf numFmtId="3" fontId="8" fillId="0" borderId="16" xfId="45" applyNumberFormat="1" applyFont="1" applyBorder="1" applyAlignment="1">
      <alignment vertical="center"/>
    </xf>
    <xf numFmtId="9" fontId="8" fillId="0" borderId="16" xfId="48" applyFont="1" applyFill="1" applyBorder="1" applyAlignment="1">
      <alignment horizontal="right" vertical="center"/>
    </xf>
    <xf numFmtId="9" fontId="8" fillId="0" borderId="16" xfId="48" applyFont="1" applyFill="1" applyBorder="1" applyAlignment="1">
      <alignment vertical="center"/>
    </xf>
    <xf numFmtId="3" fontId="8" fillId="0" borderId="16" xfId="45" applyNumberFormat="1" applyFont="1" applyBorder="1" applyAlignment="1">
      <alignment horizontal="right" vertical="center"/>
    </xf>
    <xf numFmtId="0" fontId="12" fillId="0" borderId="16" xfId="0" applyFont="1" applyBorder="1" applyAlignment="1">
      <alignment horizontal="center" vertical="top"/>
    </xf>
    <xf numFmtId="0" fontId="8" fillId="0" borderId="25" xfId="45" applyFont="1" applyBorder="1" applyAlignment="1">
      <alignment horizontal="center" vertical="center"/>
    </xf>
    <xf numFmtId="3" fontId="8" fillId="0" borderId="25" xfId="45" applyNumberFormat="1" applyFont="1" applyBorder="1" applyAlignment="1">
      <alignment vertical="center"/>
    </xf>
    <xf numFmtId="9" fontId="8" fillId="0" borderId="25" xfId="48" applyFont="1" applyFill="1" applyBorder="1" applyAlignment="1">
      <alignment horizontal="right" vertical="center"/>
    </xf>
    <xf numFmtId="9" fontId="8" fillId="0" borderId="25" xfId="48" applyFont="1" applyFill="1" applyBorder="1" applyAlignment="1">
      <alignment vertical="center"/>
    </xf>
    <xf numFmtId="3" fontId="8" fillId="0" borderId="25" xfId="45" applyNumberFormat="1" applyFont="1" applyBorder="1" applyAlignment="1">
      <alignment horizontal="right" vertical="center"/>
    </xf>
    <xf numFmtId="0" fontId="12" fillId="0" borderId="25" xfId="0" applyFont="1" applyBorder="1" applyAlignment="1">
      <alignment horizontal="center" vertical="top"/>
    </xf>
    <xf numFmtId="0" fontId="8" fillId="27" borderId="103" xfId="45" applyFont="1" applyFill="1" applyBorder="1" applyAlignment="1" applyProtection="1">
      <alignment horizontal="left" vertical="center" wrapText="1"/>
      <protection locked="0"/>
    </xf>
    <xf numFmtId="0" fontId="8" fillId="27" borderId="37" xfId="45" applyFont="1" applyFill="1" applyBorder="1" applyAlignment="1" applyProtection="1">
      <alignment horizontal="left" vertical="center" wrapText="1"/>
      <protection locked="0"/>
    </xf>
    <xf numFmtId="0" fontId="8" fillId="27" borderId="35" xfId="45" applyFont="1" applyFill="1" applyBorder="1" applyAlignment="1" applyProtection="1">
      <alignment horizontal="left" vertical="center" wrapText="1"/>
      <protection locked="0"/>
    </xf>
    <xf numFmtId="3" fontId="15" fillId="0" borderId="25" xfId="33" applyNumberFormat="1" applyFont="1" applyFill="1" applyBorder="1" applyAlignment="1">
      <alignment horizontal="right" vertical="center"/>
    </xf>
    <xf numFmtId="0" fontId="10" fillId="0" borderId="25" xfId="45" applyFont="1" applyBorder="1" applyAlignment="1">
      <alignment horizontal="left" vertical="center"/>
    </xf>
    <xf numFmtId="0" fontId="5" fillId="46" borderId="45" xfId="0" applyFont="1" applyFill="1" applyBorder="1" applyAlignment="1">
      <alignment vertical="top" wrapText="1"/>
    </xf>
    <xf numFmtId="0" fontId="5" fillId="46" borderId="38" xfId="0" applyFont="1" applyFill="1" applyBorder="1" applyAlignment="1">
      <alignment vertical="top" wrapText="1"/>
    </xf>
    <xf numFmtId="0" fontId="5" fillId="46" borderId="45" xfId="0" applyFont="1" applyFill="1" applyBorder="1"/>
    <xf numFmtId="0" fontId="0" fillId="46" borderId="45" xfId="0" applyFill="1" applyBorder="1"/>
    <xf numFmtId="0" fontId="4" fillId="46" borderId="53" xfId="0" applyFont="1" applyFill="1" applyBorder="1" applyAlignment="1">
      <alignment vertical="top" wrapText="1"/>
    </xf>
    <xf numFmtId="0" fontId="0" fillId="17" borderId="128" xfId="0" applyFill="1" applyBorder="1"/>
    <xf numFmtId="3" fontId="69" fillId="53" borderId="0" xfId="0" applyNumberFormat="1" applyFont="1" applyFill="1" applyAlignment="1">
      <alignment vertical="center"/>
    </xf>
    <xf numFmtId="0" fontId="8" fillId="53" borderId="0" xfId="0" applyFont="1" applyFill="1"/>
    <xf numFmtId="0" fontId="13" fillId="53" borderId="0" xfId="0" applyFont="1" applyFill="1"/>
    <xf numFmtId="3" fontId="12" fillId="53" borderId="0" xfId="0" applyNumberFormat="1" applyFont="1" applyFill="1" applyAlignment="1">
      <alignment vertical="center"/>
    </xf>
    <xf numFmtId="3" fontId="13" fillId="53" borderId="0" xfId="0" applyNumberFormat="1" applyFont="1" applyFill="1" applyAlignment="1">
      <alignment horizontal="right" vertical="center" indent="1"/>
    </xf>
    <xf numFmtId="3" fontId="12" fillId="53" borderId="0" xfId="0" applyNumberFormat="1" applyFont="1" applyFill="1" applyAlignment="1">
      <alignment horizontal="right" vertical="center" indent="1"/>
    </xf>
    <xf numFmtId="0" fontId="0" fillId="53" borderId="0" xfId="0" applyFill="1"/>
    <xf numFmtId="0" fontId="8" fillId="0" borderId="0" xfId="0" applyFont="1" applyAlignment="1">
      <alignment horizontal="center" wrapText="1"/>
    </xf>
    <xf numFmtId="0" fontId="5" fillId="46" borderId="17" xfId="0" applyFont="1" applyFill="1" applyBorder="1" applyAlignment="1">
      <alignment vertical="top" wrapText="1"/>
    </xf>
    <xf numFmtId="0" fontId="13" fillId="25" borderId="128" xfId="0" applyFont="1" applyFill="1" applyBorder="1"/>
    <xf numFmtId="0" fontId="10" fillId="25" borderId="0" xfId="0" applyFont="1" applyFill="1" applyAlignment="1">
      <alignment horizontal="left"/>
    </xf>
    <xf numFmtId="0" fontId="8" fillId="53" borderId="0" xfId="0" applyFont="1" applyFill="1" applyAlignment="1">
      <alignment horizontal="left"/>
    </xf>
    <xf numFmtId="3" fontId="74" fillId="53" borderId="0" xfId="0" applyNumberFormat="1" applyFont="1" applyFill="1" applyAlignment="1">
      <alignment horizontal="right" vertical="center" indent="1"/>
    </xf>
    <xf numFmtId="3" fontId="47" fillId="53" borderId="0" xfId="0" applyNumberFormat="1" applyFont="1" applyFill="1" applyAlignment="1">
      <alignment horizontal="right" vertical="center" indent="1"/>
    </xf>
    <xf numFmtId="3" fontId="74" fillId="53" borderId="0" xfId="0" applyNumberFormat="1" applyFont="1" applyFill="1" applyAlignment="1">
      <alignment horizontal="left" vertical="center"/>
    </xf>
    <xf numFmtId="2" fontId="0" fillId="0" borderId="0" xfId="0" applyNumberFormat="1"/>
    <xf numFmtId="0" fontId="5" fillId="46" borderId="0" xfId="0" applyFont="1" applyFill="1"/>
    <xf numFmtId="0" fontId="4" fillId="46" borderId="0" xfId="0" applyFont="1" applyFill="1"/>
    <xf numFmtId="0" fontId="5" fillId="46" borderId="0" xfId="0" applyFont="1" applyFill="1" applyAlignment="1">
      <alignment wrapText="1"/>
    </xf>
    <xf numFmtId="0" fontId="4" fillId="46" borderId="0" xfId="0" applyFont="1" applyFill="1" applyAlignment="1">
      <alignment wrapText="1"/>
    </xf>
    <xf numFmtId="3" fontId="74" fillId="53" borderId="0" xfId="0" applyNumberFormat="1" applyFont="1" applyFill="1" applyAlignment="1">
      <alignment horizontal="left" vertical="center" indent="1"/>
    </xf>
    <xf numFmtId="0" fontId="74" fillId="23" borderId="58" xfId="0" applyFont="1" applyFill="1" applyBorder="1" applyAlignment="1">
      <alignment horizontal="center" vertical="center"/>
    </xf>
    <xf numFmtId="3" fontId="47" fillId="53" borderId="0" xfId="0" applyNumberFormat="1" applyFont="1" applyFill="1" applyAlignment="1">
      <alignment vertical="center"/>
    </xf>
    <xf numFmtId="0" fontId="12" fillId="19" borderId="0" xfId="0" applyFont="1" applyFill="1" applyAlignment="1">
      <alignment wrapText="1"/>
    </xf>
    <xf numFmtId="0" fontId="8" fillId="31" borderId="0" xfId="0" applyFont="1" applyFill="1" applyAlignment="1">
      <alignment vertical="top"/>
    </xf>
    <xf numFmtId="0" fontId="13" fillId="31" borderId="0" xfId="0" applyFont="1" applyFill="1" applyAlignment="1">
      <alignment vertical="top"/>
    </xf>
    <xf numFmtId="0" fontId="13" fillId="31" borderId="0" xfId="0" applyFont="1" applyFill="1" applyAlignment="1">
      <alignment vertical="top" wrapText="1"/>
    </xf>
    <xf numFmtId="3" fontId="12" fillId="31" borderId="19" xfId="0" applyNumberFormat="1" applyFont="1" applyFill="1" applyBorder="1" applyAlignment="1">
      <alignment horizontal="right" vertical="center" indent="1"/>
    </xf>
    <xf numFmtId="0" fontId="48" fillId="31" borderId="0" xfId="0" applyFont="1" applyFill="1"/>
    <xf numFmtId="3" fontId="12" fillId="31" borderId="22" xfId="0" applyNumberFormat="1" applyFont="1" applyFill="1" applyBorder="1" applyAlignment="1">
      <alignment horizontal="right" vertical="center" indent="1"/>
    </xf>
    <xf numFmtId="3" fontId="13" fillId="31" borderId="22" xfId="0" applyNumberFormat="1" applyFont="1" applyFill="1" applyBorder="1" applyAlignment="1">
      <alignment horizontal="right" vertical="center" indent="1"/>
    </xf>
    <xf numFmtId="3" fontId="13" fillId="47" borderId="0" xfId="0" applyNumberFormat="1" applyFont="1" applyFill="1" applyAlignment="1">
      <alignment horizontal="right" vertical="center" indent="1"/>
    </xf>
    <xf numFmtId="3" fontId="12" fillId="47" borderId="0" xfId="0" applyNumberFormat="1" applyFont="1" applyFill="1" applyAlignment="1">
      <alignment horizontal="right" vertical="center" indent="1"/>
    </xf>
    <xf numFmtId="0" fontId="0" fillId="47" borderId="0" xfId="0" applyFill="1"/>
    <xf numFmtId="3" fontId="13" fillId="47" borderId="19" xfId="0" applyNumberFormat="1" applyFont="1" applyFill="1" applyBorder="1" applyAlignment="1">
      <alignment horizontal="right" vertical="center" indent="1"/>
    </xf>
    <xf numFmtId="3" fontId="12" fillId="47" borderId="19" xfId="0" applyNumberFormat="1" applyFont="1" applyFill="1" applyBorder="1" applyAlignment="1">
      <alignment horizontal="right" vertical="center" indent="1"/>
    </xf>
    <xf numFmtId="0" fontId="0" fillId="47" borderId="59" xfId="0" applyFill="1" applyBorder="1"/>
    <xf numFmtId="0" fontId="0" fillId="47" borderId="60" xfId="0" applyFill="1" applyBorder="1"/>
    <xf numFmtId="3" fontId="13" fillId="47" borderId="22" xfId="0" applyNumberFormat="1" applyFont="1" applyFill="1" applyBorder="1" applyAlignment="1">
      <alignment horizontal="right" vertical="center" indent="1"/>
    </xf>
    <xf numFmtId="3" fontId="12" fillId="47" borderId="22" xfId="0" applyNumberFormat="1" applyFont="1" applyFill="1" applyBorder="1" applyAlignment="1">
      <alignment horizontal="right" vertical="center" indent="1"/>
    </xf>
    <xf numFmtId="0" fontId="0" fillId="47" borderId="61" xfId="0" applyFill="1" applyBorder="1"/>
    <xf numFmtId="0" fontId="0" fillId="35" borderId="45" xfId="0" applyFill="1" applyBorder="1"/>
    <xf numFmtId="0" fontId="0" fillId="35" borderId="45" xfId="0" applyFill="1" applyBorder="1" applyAlignment="1">
      <alignment vertical="top" wrapText="1"/>
    </xf>
    <xf numFmtId="1" fontId="4" fillId="35" borderId="0" xfId="0" applyNumberFormat="1" applyFont="1" applyFill="1" applyAlignment="1">
      <alignment horizontal="center"/>
    </xf>
    <xf numFmtId="0" fontId="0" fillId="35" borderId="47" xfId="0" applyFill="1" applyBorder="1"/>
    <xf numFmtId="0" fontId="0" fillId="35" borderId="47" xfId="0" applyFill="1" applyBorder="1" applyAlignment="1">
      <alignment vertical="top" wrapText="1"/>
    </xf>
    <xf numFmtId="0" fontId="4" fillId="26" borderId="46" xfId="0" applyFont="1" applyFill="1" applyBorder="1"/>
    <xf numFmtId="0" fontId="4" fillId="26" borderId="23" xfId="0" applyFont="1" applyFill="1" applyBorder="1" applyAlignment="1">
      <alignment horizontal="center"/>
    </xf>
    <xf numFmtId="3" fontId="4" fillId="31" borderId="46" xfId="0" applyNumberFormat="1" applyFont="1" applyFill="1" applyBorder="1" applyAlignment="1">
      <alignment horizontal="center" vertical="top"/>
    </xf>
    <xf numFmtId="0" fontId="4" fillId="31" borderId="43" xfId="0" applyFont="1" applyFill="1" applyBorder="1"/>
    <xf numFmtId="0" fontId="4" fillId="25" borderId="0" xfId="0" quotePrefix="1" applyFont="1" applyFill="1" applyAlignment="1">
      <alignment vertical="top"/>
    </xf>
    <xf numFmtId="3" fontId="34" fillId="25" borderId="38" xfId="60" applyNumberFormat="1" applyFont="1" applyFill="1" applyBorder="1" applyAlignment="1" applyProtection="1">
      <alignment vertical="center"/>
      <protection locked="0"/>
    </xf>
    <xf numFmtId="0" fontId="4" fillId="25" borderId="0" xfId="0" applyFont="1" applyFill="1" applyAlignment="1">
      <alignment horizontal="left"/>
    </xf>
    <xf numFmtId="1" fontId="4" fillId="25" borderId="0" xfId="0" applyNumberFormat="1" applyFont="1" applyFill="1"/>
    <xf numFmtId="172" fontId="4" fillId="25" borderId="0" xfId="0" applyNumberFormat="1" applyFont="1" applyFill="1"/>
    <xf numFmtId="173" fontId="4" fillId="25" borderId="0" xfId="0" applyNumberFormat="1" applyFont="1" applyFill="1"/>
    <xf numFmtId="0" fontId="4" fillId="25" borderId="0" xfId="0" applyFont="1" applyFill="1" applyAlignment="1">
      <alignment horizontal="left" vertical="top" wrapText="1" indent="1"/>
    </xf>
    <xf numFmtId="0" fontId="34" fillId="20" borderId="23" xfId="0" applyFont="1" applyFill="1" applyBorder="1" applyAlignment="1">
      <alignment horizontal="center"/>
    </xf>
    <xf numFmtId="0" fontId="4" fillId="20" borderId="26" xfId="0" applyFont="1" applyFill="1" applyBorder="1"/>
    <xf numFmtId="0" fontId="0" fillId="20" borderId="128" xfId="0" applyFill="1" applyBorder="1"/>
    <xf numFmtId="0" fontId="9" fillId="20" borderId="0" xfId="0" applyFont="1" applyFill="1" applyAlignment="1">
      <alignment horizontal="center"/>
    </xf>
    <xf numFmtId="0" fontId="9" fillId="20" borderId="128" xfId="0" applyFont="1" applyFill="1" applyBorder="1" applyAlignment="1">
      <alignment horizontal="center"/>
    </xf>
    <xf numFmtId="0" fontId="10" fillId="20" borderId="0" xfId="0" applyFont="1" applyFill="1" applyAlignment="1">
      <alignment horizontal="center"/>
    </xf>
    <xf numFmtId="0" fontId="34" fillId="20" borderId="0" xfId="0" applyFont="1" applyFill="1" applyAlignment="1">
      <alignment horizontal="center"/>
    </xf>
    <xf numFmtId="0" fontId="34" fillId="20" borderId="128" xfId="0" applyFont="1" applyFill="1" applyBorder="1" applyAlignment="1">
      <alignment horizontal="center"/>
    </xf>
    <xf numFmtId="0" fontId="35" fillId="20" borderId="0" xfId="0" applyFont="1" applyFill="1" applyAlignment="1">
      <alignment horizontal="center" shrinkToFit="1"/>
    </xf>
    <xf numFmtId="0" fontId="35" fillId="20" borderId="128" xfId="0" applyFont="1" applyFill="1" applyBorder="1" applyAlignment="1">
      <alignment horizontal="center" shrinkToFit="1"/>
    </xf>
    <xf numFmtId="0" fontId="10" fillId="20" borderId="128" xfId="0" applyFont="1" applyFill="1" applyBorder="1" applyAlignment="1">
      <alignment horizontal="center" vertical="top"/>
    </xf>
    <xf numFmtId="0" fontId="10" fillId="20" borderId="128" xfId="0" applyFont="1" applyFill="1" applyBorder="1" applyAlignment="1">
      <alignment horizontal="center"/>
    </xf>
    <xf numFmtId="0" fontId="0" fillId="20" borderId="128" xfId="0" applyFill="1" applyBorder="1" applyAlignment="1">
      <alignment horizontal="center"/>
    </xf>
    <xf numFmtId="0" fontId="0" fillId="17" borderId="26" xfId="0" applyFill="1" applyBorder="1"/>
    <xf numFmtId="0" fontId="0" fillId="17" borderId="24" xfId="0" applyFill="1" applyBorder="1"/>
    <xf numFmtId="0" fontId="0" fillId="0" borderId="23" xfId="0" applyBorder="1"/>
    <xf numFmtId="0" fontId="0" fillId="0" borderId="128" xfId="0" applyBorder="1"/>
    <xf numFmtId="0" fontId="36" fillId="0" borderId="23" xfId="0" applyFont="1" applyBorder="1"/>
    <xf numFmtId="0" fontId="38" fillId="17" borderId="0" xfId="0" applyFont="1" applyFill="1"/>
    <xf numFmtId="0" fontId="36" fillId="0" borderId="128" xfId="0" applyFont="1" applyBorder="1"/>
    <xf numFmtId="0" fontId="36" fillId="17" borderId="0" xfId="0" applyFont="1" applyFill="1"/>
    <xf numFmtId="0" fontId="40" fillId="17" borderId="0" xfId="0" applyFont="1" applyFill="1"/>
    <xf numFmtId="0" fontId="40" fillId="17" borderId="0" xfId="0" applyFont="1" applyFill="1" applyAlignment="1">
      <alignment wrapText="1"/>
    </xf>
    <xf numFmtId="0" fontId="36" fillId="17" borderId="0" xfId="0" applyFont="1" applyFill="1" applyAlignment="1">
      <alignment horizontal="left"/>
    </xf>
    <xf numFmtId="0" fontId="36" fillId="17" borderId="0" xfId="0" applyFont="1" applyFill="1" applyAlignment="1">
      <alignment wrapText="1"/>
    </xf>
    <xf numFmtId="0" fontId="36" fillId="0" borderId="128" xfId="0" applyFont="1" applyBorder="1" applyAlignment="1">
      <alignment vertical="top"/>
    </xf>
    <xf numFmtId="0" fontId="36" fillId="17" borderId="0" xfId="0" applyFont="1" applyFill="1" applyAlignment="1">
      <alignment horizontal="left" vertical="top" wrapText="1"/>
    </xf>
    <xf numFmtId="0" fontId="38" fillId="17" borderId="0" xfId="0" applyFont="1" applyFill="1" applyAlignment="1">
      <alignment horizontal="center"/>
    </xf>
    <xf numFmtId="0" fontId="36" fillId="17" borderId="0" xfId="0" applyFont="1" applyFill="1" applyAlignment="1">
      <alignment horizontal="left" wrapText="1"/>
    </xf>
    <xf numFmtId="0" fontId="36" fillId="17" borderId="0" xfId="0" applyFont="1" applyFill="1" applyAlignment="1">
      <alignment vertical="top"/>
    </xf>
    <xf numFmtId="0" fontId="38" fillId="17" borderId="0" xfId="0" applyFont="1" applyFill="1" applyAlignment="1">
      <alignment horizontal="left" vertical="top" wrapText="1"/>
    </xf>
    <xf numFmtId="0" fontId="34" fillId="17" borderId="0" xfId="0" applyFont="1" applyFill="1"/>
    <xf numFmtId="0" fontId="114" fillId="17" borderId="0" xfId="54" applyFont="1" applyFill="1" applyBorder="1" applyAlignment="1" applyProtection="1"/>
    <xf numFmtId="0" fontId="36" fillId="0" borderId="24" xfId="0" applyFont="1" applyBorder="1"/>
    <xf numFmtId="0" fontId="36" fillId="0" borderId="25" xfId="0" applyFont="1" applyBorder="1"/>
    <xf numFmtId="0" fontId="36" fillId="0" borderId="27" xfId="0" applyFont="1" applyBorder="1"/>
    <xf numFmtId="4" fontId="4" fillId="36" borderId="57" xfId="0" applyNumberFormat="1" applyFont="1" applyFill="1" applyBorder="1"/>
    <xf numFmtId="4" fontId="4" fillId="36" borderId="57" xfId="0" applyNumberFormat="1" applyFont="1" applyFill="1" applyBorder="1" applyAlignment="1">
      <alignment horizontal="center"/>
    </xf>
    <xf numFmtId="0" fontId="0" fillId="36" borderId="57" xfId="0" applyFill="1" applyBorder="1"/>
    <xf numFmtId="3" fontId="4" fillId="25" borderId="0" xfId="94" applyNumberFormat="1" applyFill="1"/>
    <xf numFmtId="3" fontId="84" fillId="31" borderId="0" xfId="0" applyNumberFormat="1" applyFont="1" applyFill="1" applyAlignment="1">
      <alignment horizontal="right"/>
    </xf>
    <xf numFmtId="0" fontId="4" fillId="0" borderId="0" xfId="0" applyFont="1" applyAlignment="1">
      <alignment horizontal="right"/>
    </xf>
    <xf numFmtId="0" fontId="13" fillId="31" borderId="128" xfId="0" applyFont="1" applyFill="1" applyBorder="1"/>
    <xf numFmtId="0" fontId="127" fillId="0" borderId="0" xfId="0" applyFont="1" applyAlignment="1">
      <alignment vertical="top" wrapText="1"/>
    </xf>
    <xf numFmtId="0" fontId="128" fillId="0" borderId="0" xfId="0" applyFont="1" applyAlignment="1">
      <alignment vertical="top"/>
    </xf>
    <xf numFmtId="3" fontId="132" fillId="17" borderId="0" xfId="0" applyNumberFormat="1" applyFont="1" applyFill="1" applyAlignment="1">
      <alignment horizontal="center" vertical="center" wrapText="1"/>
    </xf>
    <xf numFmtId="165" fontId="127" fillId="17" borderId="0" xfId="34" applyFont="1" applyFill="1" applyBorder="1" applyAlignment="1" applyProtection="1">
      <alignment horizontal="center" vertical="center"/>
    </xf>
    <xf numFmtId="0" fontId="0" fillId="35" borderId="24" xfId="0" applyFill="1" applyBorder="1" applyAlignment="1">
      <alignment vertical="top" wrapText="1"/>
    </xf>
    <xf numFmtId="3" fontId="5" fillId="31" borderId="0" xfId="0" applyNumberFormat="1" applyFont="1" applyFill="1" applyAlignment="1">
      <alignment horizontal="right" vertical="center"/>
    </xf>
    <xf numFmtId="0" fontId="5" fillId="26" borderId="130" xfId="0" applyFont="1" applyFill="1" applyBorder="1" applyAlignment="1">
      <alignment horizontal="right" vertical="center" wrapText="1"/>
    </xf>
    <xf numFmtId="0" fontId="14" fillId="48" borderId="25" xfId="0" applyFont="1" applyFill="1" applyBorder="1" applyAlignment="1">
      <alignment horizontal="center"/>
    </xf>
    <xf numFmtId="0" fontId="8" fillId="25" borderId="0" xfId="45" applyFont="1" applyFill="1" applyAlignment="1">
      <alignment horizontal="center" vertical="center"/>
    </xf>
    <xf numFmtId="0" fontId="8" fillId="25" borderId="25" xfId="0" applyFont="1" applyFill="1" applyBorder="1" applyAlignment="1">
      <alignment horizontal="left"/>
    </xf>
    <xf numFmtId="3" fontId="13" fillId="0" borderId="0" xfId="0" applyNumberFormat="1" applyFont="1"/>
    <xf numFmtId="170" fontId="0" fillId="0" borderId="0" xfId="0" applyNumberFormat="1"/>
    <xf numFmtId="169" fontId="0" fillId="32" borderId="57" xfId="0" applyNumberFormat="1" applyFill="1" applyBorder="1"/>
    <xf numFmtId="169" fontId="0" fillId="32" borderId="58" xfId="0" applyNumberFormat="1" applyFill="1" applyBorder="1"/>
    <xf numFmtId="1" fontId="84" fillId="0" borderId="0" xfId="0" applyNumberFormat="1" applyFont="1"/>
    <xf numFmtId="0" fontId="80" fillId="19" borderId="0" xfId="0" applyFont="1" applyFill="1" applyAlignment="1">
      <alignment horizontal="center" vertical="center"/>
    </xf>
    <xf numFmtId="0" fontId="80" fillId="19" borderId="0" xfId="0" applyFont="1" applyFill="1" applyAlignment="1">
      <alignment horizontal="center" vertical="center" wrapText="1"/>
    </xf>
    <xf numFmtId="3" fontId="12" fillId="31" borderId="0" xfId="0" applyNumberFormat="1" applyFont="1" applyFill="1" applyAlignment="1">
      <alignment horizontal="center"/>
    </xf>
    <xf numFmtId="0" fontId="12" fillId="19" borderId="25" xfId="0" applyFont="1" applyFill="1" applyBorder="1" applyAlignment="1">
      <alignment horizontal="center"/>
    </xf>
    <xf numFmtId="0" fontId="74" fillId="25" borderId="0" xfId="0" applyFont="1" applyFill="1" applyAlignment="1">
      <alignment horizontal="center" vertical="center"/>
    </xf>
    <xf numFmtId="0" fontId="8" fillId="19" borderId="0" xfId="0" applyFont="1" applyFill="1" applyAlignment="1">
      <alignment horizontal="center"/>
    </xf>
    <xf numFmtId="0" fontId="12" fillId="24" borderId="0" xfId="0" applyFont="1" applyFill="1" applyAlignment="1">
      <alignment horizontal="center" vertical="center"/>
    </xf>
    <xf numFmtId="0" fontId="12" fillId="19" borderId="116" xfId="0" applyFont="1" applyFill="1" applyBorder="1" applyAlignment="1">
      <alignment horizontal="center"/>
    </xf>
    <xf numFmtId="1" fontId="4" fillId="38" borderId="23" xfId="0" applyNumberFormat="1" applyFont="1" applyFill="1" applyBorder="1" applyAlignment="1">
      <alignment horizontal="center"/>
    </xf>
    <xf numFmtId="3" fontId="8" fillId="19" borderId="0" xfId="0" applyNumberFormat="1" applyFont="1" applyFill="1" applyAlignment="1">
      <alignment vertical="center"/>
    </xf>
    <xf numFmtId="3" fontId="10" fillId="17" borderId="115" xfId="0" applyNumberFormat="1" applyFont="1" applyFill="1" applyBorder="1" applyAlignment="1">
      <alignment vertical="center"/>
    </xf>
    <xf numFmtId="3" fontId="10" fillId="25" borderId="115" xfId="0" applyNumberFormat="1" applyFont="1" applyFill="1" applyBorder="1" applyAlignment="1">
      <alignment vertical="center"/>
    </xf>
    <xf numFmtId="3" fontId="12" fillId="17" borderId="115" xfId="0" applyNumberFormat="1" applyFont="1" applyFill="1" applyBorder="1" applyAlignment="1">
      <alignment vertical="center"/>
    </xf>
    <xf numFmtId="9" fontId="10" fillId="24" borderId="138" xfId="48" applyFont="1" applyFill="1" applyBorder="1" applyAlignment="1" applyProtection="1">
      <alignment vertical="center"/>
    </xf>
    <xf numFmtId="3" fontId="12" fillId="17" borderId="38" xfId="0" applyNumberFormat="1" applyFont="1" applyFill="1" applyBorder="1" applyAlignment="1" applyProtection="1">
      <alignment vertical="center"/>
      <protection locked="0"/>
    </xf>
    <xf numFmtId="3" fontId="12" fillId="17" borderId="138" xfId="0" applyNumberFormat="1" applyFont="1" applyFill="1" applyBorder="1" applyAlignment="1">
      <alignment vertical="center"/>
    </xf>
    <xf numFmtId="3" fontId="12" fillId="24" borderId="138" xfId="0" applyNumberFormat="1" applyFont="1" applyFill="1" applyBorder="1" applyAlignment="1">
      <alignment vertical="center"/>
    </xf>
    <xf numFmtId="3" fontId="12" fillId="47" borderId="138" xfId="0" applyNumberFormat="1" applyFont="1" applyFill="1" applyBorder="1" applyAlignment="1">
      <alignment vertical="center"/>
    </xf>
    <xf numFmtId="3" fontId="12" fillId="25" borderId="138" xfId="0" applyNumberFormat="1" applyFont="1" applyFill="1" applyBorder="1" applyAlignment="1">
      <alignment vertical="center"/>
    </xf>
    <xf numFmtId="3" fontId="12" fillId="25" borderId="38" xfId="0" applyNumberFormat="1" applyFont="1" applyFill="1" applyBorder="1" applyAlignment="1" applyProtection="1">
      <alignment vertical="center"/>
      <protection locked="0"/>
    </xf>
    <xf numFmtId="3" fontId="10" fillId="25" borderId="38" xfId="0" applyNumberFormat="1" applyFont="1" applyFill="1" applyBorder="1" applyAlignment="1" applyProtection="1">
      <alignment vertical="center"/>
      <protection locked="0"/>
    </xf>
    <xf numFmtId="3" fontId="12" fillId="0" borderId="38" xfId="0" applyNumberFormat="1" applyFont="1" applyBorder="1" applyAlignment="1" applyProtection="1">
      <alignment vertical="center"/>
      <protection locked="0"/>
    </xf>
    <xf numFmtId="3" fontId="12" fillId="0" borderId="115" xfId="0" applyNumberFormat="1" applyFont="1" applyBorder="1" applyAlignment="1">
      <alignment vertical="center"/>
    </xf>
    <xf numFmtId="3" fontId="12" fillId="24" borderId="115" xfId="0" applyNumberFormat="1" applyFont="1" applyFill="1" applyBorder="1" applyAlignment="1">
      <alignment vertical="center"/>
    </xf>
    <xf numFmtId="3" fontId="12" fillId="25" borderId="115" xfId="0" applyNumberFormat="1" applyFont="1" applyFill="1" applyBorder="1" applyAlignment="1">
      <alignment vertical="center"/>
    </xf>
    <xf numFmtId="3" fontId="12" fillId="24" borderId="139" xfId="0" applyNumberFormat="1" applyFont="1" applyFill="1" applyBorder="1" applyAlignment="1">
      <alignment vertical="center"/>
    </xf>
    <xf numFmtId="3" fontId="12" fillId="17" borderId="140" xfId="0" applyNumberFormat="1" applyFont="1" applyFill="1" applyBorder="1" applyAlignment="1">
      <alignment vertical="center"/>
    </xf>
    <xf numFmtId="3" fontId="10" fillId="0" borderId="141" xfId="0" applyNumberFormat="1" applyFont="1" applyBorder="1" applyAlignment="1" applyProtection="1">
      <alignment vertical="center"/>
      <protection locked="0"/>
    </xf>
    <xf numFmtId="0" fontId="8" fillId="31" borderId="0" xfId="0" applyFont="1" applyFill="1" applyAlignment="1">
      <alignment wrapText="1"/>
    </xf>
    <xf numFmtId="0" fontId="13" fillId="31" borderId="31" xfId="0" applyFont="1" applyFill="1" applyBorder="1"/>
    <xf numFmtId="0" fontId="13" fillId="31" borderId="32" xfId="0" applyFont="1" applyFill="1" applyBorder="1"/>
    <xf numFmtId="0" fontId="13" fillId="31" borderId="25" xfId="0" applyFont="1" applyFill="1" applyBorder="1"/>
    <xf numFmtId="0" fontId="8" fillId="31" borderId="31" xfId="0" applyFont="1" applyFill="1" applyBorder="1"/>
    <xf numFmtId="0" fontId="0" fillId="31" borderId="16" xfId="0" applyFill="1" applyBorder="1"/>
    <xf numFmtId="0" fontId="0" fillId="19" borderId="142" xfId="0" applyFill="1" applyBorder="1"/>
    <xf numFmtId="3" fontId="12" fillId="37" borderId="38" xfId="0" applyNumberFormat="1" applyFont="1" applyFill="1" applyBorder="1" applyAlignment="1" applyProtection="1">
      <alignment vertical="center"/>
      <protection locked="0"/>
    </xf>
    <xf numFmtId="3" fontId="12" fillId="37" borderId="138" xfId="0" applyNumberFormat="1" applyFont="1" applyFill="1" applyBorder="1" applyAlignment="1">
      <alignment vertical="center"/>
    </xf>
    <xf numFmtId="3" fontId="10" fillId="37" borderId="38" xfId="0" applyNumberFormat="1" applyFont="1" applyFill="1" applyBorder="1" applyAlignment="1" applyProtection="1">
      <alignment vertical="center"/>
      <protection locked="0"/>
    </xf>
    <xf numFmtId="0" fontId="0" fillId="24" borderId="31" xfId="0" applyFill="1" applyBorder="1"/>
    <xf numFmtId="0" fontId="0" fillId="24" borderId="32" xfId="0" applyFill="1" applyBorder="1"/>
    <xf numFmtId="0" fontId="0" fillId="24" borderId="143" xfId="0" applyFill="1" applyBorder="1"/>
    <xf numFmtId="0" fontId="0" fillId="24" borderId="111" xfId="0" applyFill="1" applyBorder="1"/>
    <xf numFmtId="0" fontId="0" fillId="24" borderId="22" xfId="0" applyFill="1" applyBorder="1"/>
    <xf numFmtId="0" fontId="0" fillId="24" borderId="144" xfId="0" applyFill="1" applyBorder="1"/>
    <xf numFmtId="0" fontId="0" fillId="24" borderId="12" xfId="0" applyFill="1" applyBorder="1"/>
    <xf numFmtId="0" fontId="0" fillId="24" borderId="13" xfId="0" applyFill="1" applyBorder="1"/>
    <xf numFmtId="0" fontId="0" fillId="24" borderId="14" xfId="0" applyFill="1" applyBorder="1"/>
    <xf numFmtId="0" fontId="0" fillId="24" borderId="112" xfId="0" applyFill="1" applyBorder="1"/>
    <xf numFmtId="0" fontId="0" fillId="24" borderId="20" xfId="0" applyFill="1" applyBorder="1"/>
    <xf numFmtId="0" fontId="0" fillId="24" borderId="21" xfId="0" applyFill="1" applyBorder="1"/>
    <xf numFmtId="0" fontId="0" fillId="24" borderId="85" xfId="0" applyFill="1" applyBorder="1"/>
    <xf numFmtId="0" fontId="0" fillId="24" borderId="91" xfId="0" applyFill="1" applyBorder="1"/>
    <xf numFmtId="0" fontId="0" fillId="24" borderId="84" xfId="0" applyFill="1" applyBorder="1"/>
    <xf numFmtId="0" fontId="0" fillId="24" borderId="88" xfId="0" applyFill="1" applyBorder="1"/>
    <xf numFmtId="0" fontId="0" fillId="24" borderId="90" xfId="0" applyFill="1" applyBorder="1"/>
    <xf numFmtId="3" fontId="13" fillId="17" borderId="145" xfId="0" applyNumberFormat="1" applyFont="1" applyFill="1" applyBorder="1" applyAlignment="1">
      <alignment horizontal="right" vertical="center" indent="1"/>
    </xf>
    <xf numFmtId="3" fontId="13" fillId="17" borderId="146" xfId="0" applyNumberFormat="1" applyFont="1" applyFill="1" applyBorder="1" applyAlignment="1">
      <alignment horizontal="right" vertical="center" indent="1"/>
    </xf>
    <xf numFmtId="3" fontId="12" fillId="17" borderId="0" xfId="0" applyNumberFormat="1" applyFont="1" applyFill="1" applyAlignment="1">
      <alignment horizontal="right" vertical="center" indent="1"/>
    </xf>
    <xf numFmtId="0" fontId="13" fillId="19" borderId="147" xfId="0" applyFont="1" applyFill="1" applyBorder="1"/>
    <xf numFmtId="0" fontId="14" fillId="27" borderId="25" xfId="0" applyFont="1" applyFill="1" applyBorder="1" applyAlignment="1">
      <alignment horizontal="center"/>
    </xf>
    <xf numFmtId="1" fontId="4" fillId="35" borderId="23" xfId="0" applyNumberFormat="1" applyFont="1" applyFill="1" applyBorder="1" applyAlignment="1">
      <alignment horizontal="center"/>
    </xf>
    <xf numFmtId="3" fontId="84" fillId="31" borderId="110" xfId="0" applyNumberFormat="1" applyFont="1" applyFill="1" applyBorder="1" applyAlignment="1">
      <alignment horizontal="right"/>
    </xf>
    <xf numFmtId="0" fontId="8" fillId="19" borderId="0" xfId="0" applyFont="1" applyFill="1" applyAlignment="1">
      <alignment vertical="top" wrapText="1"/>
    </xf>
    <xf numFmtId="0" fontId="4" fillId="31" borderId="0" xfId="0" applyFont="1" applyFill="1" applyAlignment="1">
      <alignment vertical="top" wrapText="1"/>
    </xf>
    <xf numFmtId="0" fontId="0" fillId="31" borderId="0" xfId="0" applyFill="1" applyAlignment="1">
      <alignment vertical="top" wrapText="1"/>
    </xf>
    <xf numFmtId="0" fontId="5" fillId="20" borderId="26" xfId="0" applyFont="1" applyFill="1" applyBorder="1" applyAlignment="1">
      <alignment vertical="top"/>
    </xf>
    <xf numFmtId="0" fontId="5" fillId="20" borderId="16" xfId="0" applyFont="1" applyFill="1" applyBorder="1" applyAlignment="1">
      <alignment vertical="top"/>
    </xf>
    <xf numFmtId="0" fontId="13" fillId="25" borderId="142" xfId="0" applyFont="1" applyFill="1" applyBorder="1"/>
    <xf numFmtId="0" fontId="35" fillId="25" borderId="0" xfId="0" applyFont="1" applyFill="1"/>
    <xf numFmtId="0" fontId="8" fillId="25" borderId="142" xfId="45" applyFont="1" applyFill="1" applyBorder="1"/>
    <xf numFmtId="0" fontId="8" fillId="25" borderId="128" xfId="45" applyFont="1" applyFill="1" applyBorder="1"/>
    <xf numFmtId="0" fontId="35" fillId="25" borderId="0" xfId="45" applyFont="1" applyFill="1"/>
    <xf numFmtId="0" fontId="34" fillId="19" borderId="0" xfId="0" applyFont="1" applyFill="1"/>
    <xf numFmtId="0" fontId="69" fillId="19" borderId="0" xfId="0" applyFont="1" applyFill="1" applyAlignment="1">
      <alignment vertical="center" wrapText="1"/>
    </xf>
    <xf numFmtId="0" fontId="10" fillId="19" borderId="0" xfId="0" applyFont="1" applyFill="1" applyAlignment="1">
      <alignment horizontal="center" wrapText="1"/>
    </xf>
    <xf numFmtId="0" fontId="80" fillId="19" borderId="0" xfId="0" applyFont="1" applyFill="1" applyAlignment="1">
      <alignment horizontal="center" vertical="top" wrapText="1"/>
    </xf>
    <xf numFmtId="0" fontId="10" fillId="19" borderId="0" xfId="0" applyFont="1" applyFill="1" applyAlignment="1">
      <alignment horizontal="center" vertical="top"/>
    </xf>
    <xf numFmtId="0" fontId="0" fillId="19" borderId="148" xfId="0" applyFill="1" applyBorder="1"/>
    <xf numFmtId="3" fontId="13" fillId="19" borderId="149" xfId="0" applyNumberFormat="1" applyFont="1" applyFill="1" applyBorder="1" applyAlignment="1">
      <alignment horizontal="right" vertical="center" indent="1"/>
    </xf>
    <xf numFmtId="0" fontId="8" fillId="23" borderId="0" xfId="0" applyFont="1" applyFill="1"/>
    <xf numFmtId="0" fontId="13" fillId="19" borderId="148" xfId="0" applyFont="1" applyFill="1" applyBorder="1"/>
    <xf numFmtId="0" fontId="80" fillId="31" borderId="0" xfId="0" applyFont="1" applyFill="1" applyAlignment="1">
      <alignment horizontal="center" vertical="center" wrapText="1"/>
    </xf>
    <xf numFmtId="0" fontId="74" fillId="19" borderId="0" xfId="0" applyFont="1" applyFill="1"/>
    <xf numFmtId="0" fontId="74" fillId="31" borderId="0" xfId="0" applyFont="1" applyFill="1"/>
    <xf numFmtId="0" fontId="8" fillId="25" borderId="148" xfId="45" applyFont="1" applyFill="1" applyBorder="1" applyAlignment="1">
      <alignment vertical="top"/>
    </xf>
    <xf numFmtId="0" fontId="8" fillId="25" borderId="148" xfId="45" applyFont="1" applyFill="1" applyBorder="1"/>
    <xf numFmtId="3" fontId="8" fillId="25" borderId="137" xfId="45" applyNumberFormat="1" applyFont="1" applyFill="1" applyBorder="1" applyAlignment="1">
      <alignment vertical="top"/>
    </xf>
    <xf numFmtId="0" fontId="10" fillId="25" borderId="0" xfId="45" applyFont="1" applyFill="1" applyAlignment="1">
      <alignment vertical="top" wrapText="1"/>
    </xf>
    <xf numFmtId="0" fontId="8" fillId="25" borderId="150" xfId="45" applyFont="1" applyFill="1" applyBorder="1" applyAlignment="1">
      <alignment horizontal="center" vertical="center"/>
    </xf>
    <xf numFmtId="0" fontId="8" fillId="25" borderId="137" xfId="45" applyFont="1" applyFill="1" applyBorder="1" applyAlignment="1">
      <alignment vertical="center" wrapText="1"/>
    </xf>
    <xf numFmtId="0" fontId="8" fillId="25" borderId="0" xfId="45" applyFont="1" applyFill="1" applyAlignment="1">
      <alignment vertical="center" wrapText="1"/>
    </xf>
    <xf numFmtId="0" fontId="8" fillId="25" borderId="25" xfId="45" applyFont="1" applyFill="1" applyBorder="1" applyAlignment="1">
      <alignment horizontal="left" vertical="center" wrapText="1"/>
    </xf>
    <xf numFmtId="3" fontId="8" fillId="25" borderId="137" xfId="45" applyNumberFormat="1" applyFont="1" applyFill="1" applyBorder="1" applyAlignment="1">
      <alignment vertical="center"/>
    </xf>
    <xf numFmtId="0" fontId="8" fillId="25" borderId="25" xfId="45" applyFont="1" applyFill="1" applyBorder="1" applyAlignment="1">
      <alignment vertical="center"/>
    </xf>
    <xf numFmtId="0" fontId="8" fillId="25" borderId="25" xfId="45" applyFont="1" applyFill="1" applyBorder="1" applyAlignment="1">
      <alignment horizontal="center" vertical="center"/>
    </xf>
    <xf numFmtId="9" fontId="8" fillId="25" borderId="137" xfId="48" applyFont="1" applyFill="1" applyBorder="1" applyAlignment="1">
      <alignment horizontal="right" vertical="center"/>
    </xf>
    <xf numFmtId="0" fontId="8" fillId="27" borderId="151" xfId="45" applyFont="1" applyFill="1" applyBorder="1" applyAlignment="1" applyProtection="1">
      <alignment horizontal="left" vertical="center" wrapText="1"/>
      <protection locked="0"/>
    </xf>
    <xf numFmtId="0" fontId="8" fillId="27" borderId="152" xfId="45" applyFont="1" applyFill="1" applyBorder="1" applyAlignment="1" applyProtection="1">
      <alignment horizontal="left" vertical="center" wrapText="1"/>
      <protection locked="0"/>
    </xf>
    <xf numFmtId="3" fontId="8" fillId="25" borderId="137" xfId="45" applyNumberFormat="1" applyFont="1" applyFill="1" applyBorder="1" applyAlignment="1">
      <alignment horizontal="right" vertical="center"/>
    </xf>
    <xf numFmtId="0" fontId="5" fillId="35" borderId="34" xfId="0" applyFont="1" applyFill="1" applyBorder="1" applyAlignment="1">
      <alignment horizontal="center" vertical="center" wrapText="1"/>
    </xf>
    <xf numFmtId="0" fontId="5" fillId="20" borderId="34" xfId="0" applyFont="1" applyFill="1" applyBorder="1" applyAlignment="1">
      <alignment vertical="center"/>
    </xf>
    <xf numFmtId="0" fontId="4" fillId="25" borderId="24" xfId="0" applyFont="1" applyFill="1" applyBorder="1" applyAlignment="1">
      <alignment vertical="top"/>
    </xf>
    <xf numFmtId="0" fontId="5" fillId="54" borderId="0" xfId="0" applyFont="1" applyFill="1" applyAlignment="1">
      <alignment wrapText="1"/>
    </xf>
    <xf numFmtId="3" fontId="8" fillId="25" borderId="38" xfId="0" applyNumberFormat="1" applyFont="1" applyFill="1" applyBorder="1" applyAlignment="1" applyProtection="1">
      <alignment horizontal="right" vertical="center" indent="2"/>
      <protection locked="0"/>
    </xf>
    <xf numFmtId="3" fontId="10" fillId="25" borderId="115" xfId="0" applyNumberFormat="1" applyFont="1" applyFill="1" applyBorder="1"/>
    <xf numFmtId="3" fontId="10" fillId="47" borderId="115" xfId="0" applyNumberFormat="1" applyFont="1" applyFill="1" applyBorder="1" applyAlignment="1">
      <alignment vertical="justify"/>
    </xf>
    <xf numFmtId="3" fontId="74" fillId="24" borderId="0" xfId="0" applyNumberFormat="1" applyFont="1" applyFill="1" applyAlignment="1">
      <alignment vertical="center" wrapText="1"/>
    </xf>
    <xf numFmtId="0" fontId="10" fillId="31" borderId="0" xfId="0" applyFont="1" applyFill="1" applyAlignment="1">
      <alignment vertical="top"/>
    </xf>
    <xf numFmtId="0" fontId="12" fillId="19" borderId="142" xfId="0" applyFont="1" applyFill="1" applyBorder="1" applyAlignment="1">
      <alignment horizontal="left"/>
    </xf>
    <xf numFmtId="0" fontId="69" fillId="19" borderId="0" xfId="0" applyFont="1" applyFill="1" applyAlignment="1">
      <alignment vertical="center"/>
    </xf>
    <xf numFmtId="3" fontId="10" fillId="19" borderId="0" xfId="0" applyNumberFormat="1" applyFont="1" applyFill="1" applyAlignment="1">
      <alignment vertical="top"/>
    </xf>
    <xf numFmtId="0" fontId="10" fillId="19" borderId="0" xfId="0" applyFont="1" applyFill="1" applyAlignment="1">
      <alignment vertical="top" wrapText="1"/>
    </xf>
    <xf numFmtId="9" fontId="10" fillId="25" borderId="138" xfId="48" applyFont="1" applyFill="1" applyBorder="1" applyAlignment="1" applyProtection="1">
      <alignment vertical="center"/>
    </xf>
    <xf numFmtId="0" fontId="10" fillId="31" borderId="0" xfId="0" applyFont="1" applyFill="1" applyAlignment="1">
      <alignment vertical="top" wrapText="1"/>
    </xf>
    <xf numFmtId="0" fontId="128" fillId="31" borderId="0" xfId="0" applyFont="1" applyFill="1"/>
    <xf numFmtId="1" fontId="4" fillId="38" borderId="0" xfId="0" applyNumberFormat="1" applyFont="1" applyFill="1"/>
    <xf numFmtId="3" fontId="131" fillId="19" borderId="0" xfId="60" applyNumberFormat="1" applyFont="1" applyFill="1" applyAlignment="1">
      <alignment horizontal="right" vertical="center"/>
    </xf>
    <xf numFmtId="0" fontId="10" fillId="0" borderId="0" xfId="0" applyFont="1"/>
    <xf numFmtId="3" fontId="12" fillId="47" borderId="115" xfId="0" applyNumberFormat="1" applyFont="1" applyFill="1" applyBorder="1" applyAlignment="1">
      <alignment vertical="center"/>
    </xf>
    <xf numFmtId="2" fontId="13" fillId="25" borderId="0" xfId="0" applyNumberFormat="1" applyFont="1" applyFill="1"/>
    <xf numFmtId="0" fontId="5" fillId="24" borderId="0" xfId="0" applyFont="1" applyFill="1" applyAlignment="1">
      <alignment horizontal="right"/>
    </xf>
    <xf numFmtId="0" fontId="10" fillId="31" borderId="22" xfId="0" applyFont="1" applyFill="1" applyBorder="1"/>
    <xf numFmtId="3" fontId="4" fillId="38" borderId="0" xfId="0" applyNumberFormat="1" applyFont="1" applyFill="1" applyAlignment="1">
      <alignment horizontal="left" vertical="center"/>
    </xf>
    <xf numFmtId="0" fontId="4" fillId="38" borderId="0" xfId="0" applyFont="1" applyFill="1" applyAlignment="1">
      <alignment horizontal="left" vertical="top"/>
    </xf>
    <xf numFmtId="2" fontId="4" fillId="42" borderId="0" xfId="0" applyNumberFormat="1" applyFont="1" applyFill="1"/>
    <xf numFmtId="0" fontId="13" fillId="19" borderId="81" xfId="0" applyFont="1" applyFill="1" applyBorder="1"/>
    <xf numFmtId="0" fontId="10" fillId="19" borderId="0" xfId="0" applyFont="1" applyFill="1" applyAlignment="1">
      <alignment horizontal="centerContinuous" vertical="top"/>
    </xf>
    <xf numFmtId="0" fontId="8" fillId="47" borderId="0" xfId="0" applyFont="1" applyFill="1" applyAlignment="1">
      <alignment horizontal="center"/>
    </xf>
    <xf numFmtId="0" fontId="5" fillId="47" borderId="0" xfId="0" applyFont="1" applyFill="1" applyAlignment="1">
      <alignment horizontal="center"/>
    </xf>
    <xf numFmtId="0" fontId="10" fillId="47" borderId="0" xfId="0" applyFont="1" applyFill="1" applyAlignment="1">
      <alignment horizontal="centerContinuous" vertical="top"/>
    </xf>
    <xf numFmtId="0" fontId="13" fillId="47" borderId="0" xfId="0" applyFont="1" applyFill="1" applyAlignment="1">
      <alignment horizontal="center"/>
    </xf>
    <xf numFmtId="0" fontId="12" fillId="47" borderId="0" xfId="0" applyFont="1" applyFill="1" applyAlignment="1">
      <alignment horizontal="center" wrapText="1"/>
    </xf>
    <xf numFmtId="0" fontId="12" fillId="19" borderId="0" xfId="0" applyFont="1" applyFill="1" applyAlignment="1">
      <alignment horizontal="center" vertical="top"/>
    </xf>
    <xf numFmtId="0" fontId="13" fillId="19" borderId="0" xfId="0" applyFont="1" applyFill="1" applyAlignment="1">
      <alignment vertical="top"/>
    </xf>
    <xf numFmtId="3" fontId="13" fillId="24" borderId="0" xfId="0" applyNumberFormat="1" applyFont="1" applyFill="1" applyAlignment="1">
      <alignment horizontal="right" vertical="top"/>
    </xf>
    <xf numFmtId="0" fontId="80" fillId="47" borderId="0" xfId="0" applyFont="1" applyFill="1" applyAlignment="1">
      <alignment horizontal="center" vertical="top" wrapText="1"/>
    </xf>
    <xf numFmtId="0" fontId="13" fillId="47" borderId="0" xfId="0" applyFont="1" applyFill="1" applyAlignment="1">
      <alignment vertical="top"/>
    </xf>
    <xf numFmtId="0" fontId="13" fillId="19" borderId="0" xfId="0" applyFont="1" applyFill="1" applyAlignment="1">
      <alignment horizontal="centerContinuous"/>
    </xf>
    <xf numFmtId="0" fontId="10" fillId="19" borderId="0" xfId="0" applyFont="1" applyFill="1" applyAlignment="1">
      <alignment horizontal="centerContinuous"/>
    </xf>
    <xf numFmtId="3" fontId="13" fillId="24" borderId="0" xfId="0" applyNumberFormat="1" applyFont="1" applyFill="1" applyAlignment="1">
      <alignment horizontal="centerContinuous" vertical="center"/>
    </xf>
    <xf numFmtId="0" fontId="12" fillId="19" borderId="0" xfId="0" applyFont="1" applyFill="1" applyAlignment="1">
      <alignment vertical="top"/>
    </xf>
    <xf numFmtId="0" fontId="80" fillId="31" borderId="0" xfId="0" applyFont="1" applyFill="1" applyAlignment="1">
      <alignment horizontal="center" vertical="top" wrapText="1"/>
    </xf>
    <xf numFmtId="3" fontId="12" fillId="19" borderId="0" xfId="0" applyNumberFormat="1" applyFont="1" applyFill="1" applyAlignment="1">
      <alignment horizontal="center" vertical="top" wrapText="1"/>
    </xf>
    <xf numFmtId="0" fontId="12" fillId="19" borderId="0" xfId="0" applyFont="1" applyFill="1" applyAlignment="1">
      <alignment horizontal="centerContinuous"/>
    </xf>
    <xf numFmtId="0" fontId="8" fillId="19" borderId="0" xfId="0" applyFont="1" applyFill="1" applyAlignment="1">
      <alignment horizontal="centerContinuous"/>
    </xf>
    <xf numFmtId="0" fontId="36" fillId="0" borderId="142" xfId="0" applyFont="1" applyBorder="1"/>
    <xf numFmtId="3" fontId="74" fillId="19" borderId="22" xfId="0" applyNumberFormat="1" applyFont="1" applyFill="1" applyBorder="1" applyAlignment="1">
      <alignment horizontal="left" vertical="center" indent="1"/>
    </xf>
    <xf numFmtId="0" fontId="69" fillId="19" borderId="21" xfId="0" applyFont="1" applyFill="1" applyBorder="1"/>
    <xf numFmtId="3" fontId="10" fillId="19" borderId="19" xfId="0" applyNumberFormat="1" applyFont="1" applyFill="1" applyBorder="1" applyAlignment="1">
      <alignment horizontal="right" vertical="center" indent="1"/>
    </xf>
    <xf numFmtId="0" fontId="8" fillId="17" borderId="0" xfId="0" applyFont="1" applyFill="1" applyAlignment="1">
      <alignment vertical="top" wrapText="1"/>
    </xf>
    <xf numFmtId="0" fontId="47" fillId="17" borderId="0" xfId="0" applyFont="1" applyFill="1" applyAlignment="1">
      <alignment vertical="top" wrapText="1"/>
    </xf>
    <xf numFmtId="4" fontId="84" fillId="17" borderId="0" xfId="0" applyNumberFormat="1" applyFont="1" applyFill="1" applyAlignment="1">
      <alignment horizontal="right" vertical="center"/>
    </xf>
    <xf numFmtId="3" fontId="34" fillId="17" borderId="141" xfId="60" applyNumberFormat="1" applyFont="1" applyFill="1" applyBorder="1" applyAlignment="1">
      <alignment vertical="center"/>
    </xf>
    <xf numFmtId="0" fontId="36" fillId="17" borderId="142" xfId="0" applyFont="1" applyFill="1" applyBorder="1"/>
    <xf numFmtId="0" fontId="15" fillId="17" borderId="148" xfId="0" applyFont="1" applyFill="1" applyBorder="1"/>
    <xf numFmtId="0" fontId="10" fillId="17" borderId="0" xfId="0" applyFont="1" applyFill="1" applyAlignment="1">
      <alignment vertical="top"/>
    </xf>
    <xf numFmtId="0" fontId="47" fillId="17" borderId="0" xfId="0" applyFont="1" applyFill="1" applyAlignment="1">
      <alignment vertical="top"/>
    </xf>
    <xf numFmtId="0" fontId="84" fillId="0" borderId="0" xfId="0" applyFont="1" applyAlignment="1">
      <alignment horizontal="left"/>
    </xf>
    <xf numFmtId="3" fontId="10" fillId="17" borderId="0" xfId="0" applyNumberFormat="1" applyFont="1" applyFill="1" applyAlignment="1">
      <alignment horizontal="right" vertical="center" indent="2"/>
    </xf>
    <xf numFmtId="3" fontId="124" fillId="55" borderId="0" xfId="0" applyNumberFormat="1" applyFont="1" applyFill="1" applyAlignment="1">
      <alignment horizontal="left"/>
    </xf>
    <xf numFmtId="1" fontId="4" fillId="55" borderId="0" xfId="0" applyNumberFormat="1" applyFont="1" applyFill="1"/>
    <xf numFmtId="3" fontId="4" fillId="55" borderId="0" xfId="0" applyNumberFormat="1" applyFont="1" applyFill="1" applyAlignment="1">
      <alignment horizontal="left" vertical="center"/>
    </xf>
    <xf numFmtId="3" fontId="135" fillId="24" borderId="0" xfId="0" applyNumberFormat="1" applyFont="1" applyFill="1" applyAlignment="1" applyProtection="1">
      <alignment vertical="center"/>
      <protection hidden="1"/>
    </xf>
    <xf numFmtId="3" fontId="135" fillId="47" borderId="0" xfId="0" applyNumberFormat="1" applyFont="1" applyFill="1" applyAlignment="1">
      <alignment vertical="center"/>
    </xf>
    <xf numFmtId="0" fontId="10" fillId="19" borderId="0" xfId="0" applyFont="1" applyFill="1" applyAlignment="1">
      <alignment horizontal="left" vertical="top" wrapText="1"/>
    </xf>
    <xf numFmtId="0" fontId="10" fillId="38" borderId="16" xfId="0" applyFont="1" applyFill="1" applyBorder="1" applyAlignment="1">
      <alignment horizontal="center" vertical="top"/>
    </xf>
    <xf numFmtId="0" fontId="10" fillId="38" borderId="25" xfId="0" applyFont="1" applyFill="1" applyBorder="1" applyAlignment="1">
      <alignment horizontal="center" vertical="top"/>
    </xf>
    <xf numFmtId="0" fontId="10" fillId="38" borderId="110" xfId="0" applyFont="1" applyFill="1" applyBorder="1" applyAlignment="1">
      <alignment horizontal="center" vertical="top"/>
    </xf>
    <xf numFmtId="0" fontId="10" fillId="38" borderId="55" xfId="0" applyFont="1" applyFill="1" applyBorder="1" applyAlignment="1">
      <alignment horizontal="center" vertical="top"/>
    </xf>
    <xf numFmtId="0" fontId="5" fillId="38" borderId="26" xfId="0" applyFont="1" applyFill="1" applyBorder="1" applyAlignment="1">
      <alignment horizontal="left" vertical="center"/>
    </xf>
    <xf numFmtId="0" fontId="5" fillId="38" borderId="16" xfId="0" applyFont="1" applyFill="1" applyBorder="1" applyAlignment="1">
      <alignment horizontal="center" vertical="top"/>
    </xf>
    <xf numFmtId="0" fontId="5" fillId="38" borderId="53" xfId="0" applyFont="1" applyFill="1" applyBorder="1" applyAlignment="1">
      <alignment horizontal="left" vertical="center"/>
    </xf>
    <xf numFmtId="0" fontId="5" fillId="38" borderId="110" xfId="0" applyFont="1" applyFill="1" applyBorder="1" applyAlignment="1">
      <alignment horizontal="center" vertical="top"/>
    </xf>
    <xf numFmtId="0" fontId="73" fillId="31" borderId="0" xfId="0" applyFont="1" applyFill="1" applyAlignment="1">
      <alignment vertical="center" wrapText="1"/>
    </xf>
    <xf numFmtId="3" fontId="74" fillId="24" borderId="73" xfId="0" applyNumberFormat="1" applyFont="1" applyFill="1" applyBorder="1" applyAlignment="1">
      <alignment vertical="center"/>
    </xf>
    <xf numFmtId="3" fontId="12" fillId="19" borderId="154" xfId="0" applyNumberFormat="1" applyFont="1" applyFill="1" applyBorder="1" applyAlignment="1">
      <alignment horizontal="right" vertical="center" indent="1"/>
    </xf>
    <xf numFmtId="0" fontId="13" fillId="19" borderId="154" xfId="0" applyFont="1" applyFill="1" applyBorder="1"/>
    <xf numFmtId="3" fontId="13" fillId="19" borderId="154" xfId="0" applyNumberFormat="1" applyFont="1" applyFill="1" applyBorder="1" applyAlignment="1">
      <alignment horizontal="right" vertical="center" indent="1"/>
    </xf>
    <xf numFmtId="3" fontId="13" fillId="24" borderId="154" xfId="0" applyNumberFormat="1" applyFont="1" applyFill="1" applyBorder="1" applyAlignment="1">
      <alignment horizontal="right" vertical="center" indent="1"/>
    </xf>
    <xf numFmtId="0" fontId="0" fillId="24" borderId="154" xfId="0" applyFill="1" applyBorder="1"/>
    <xf numFmtId="0" fontId="13" fillId="19" borderId="0" xfId="0" applyFont="1" applyFill="1" applyAlignment="1">
      <alignment horizontal="center" vertical="center"/>
    </xf>
    <xf numFmtId="0" fontId="8" fillId="19" borderId="0" xfId="0" applyFont="1" applyFill="1" applyAlignment="1">
      <alignment horizontal="center" vertical="center"/>
    </xf>
    <xf numFmtId="0" fontId="13" fillId="47" borderId="0" xfId="0" applyFont="1" applyFill="1" applyAlignment="1">
      <alignment horizontal="center" vertical="center"/>
    </xf>
    <xf numFmtId="0" fontId="8" fillId="47" borderId="0" xfId="0" applyFont="1" applyFill="1" applyAlignment="1">
      <alignment horizontal="center" vertical="center"/>
    </xf>
    <xf numFmtId="0" fontId="38" fillId="19" borderId="0" xfId="0" applyFont="1" applyFill="1" applyAlignment="1">
      <alignment horizontal="left" vertical="center"/>
    </xf>
    <xf numFmtId="0" fontId="136" fillId="19" borderId="0" xfId="0" applyFont="1" applyFill="1" applyAlignment="1">
      <alignment horizontal="center"/>
    </xf>
    <xf numFmtId="0" fontId="136" fillId="19" borderId="0" xfId="0" applyFont="1" applyFill="1" applyAlignment="1">
      <alignment horizontal="center" vertical="center"/>
    </xf>
    <xf numFmtId="0" fontId="5" fillId="31" borderId="0" xfId="0" applyFont="1" applyFill="1" applyAlignment="1">
      <alignment horizontal="left" vertical="center" wrapText="1"/>
    </xf>
    <xf numFmtId="0" fontId="5" fillId="31" borderId="0" xfId="0" applyFont="1" applyFill="1" applyAlignment="1">
      <alignment horizontal="center"/>
    </xf>
    <xf numFmtId="0" fontId="73" fillId="31" borderId="0" xfId="0" applyFont="1" applyFill="1" applyAlignment="1">
      <alignment horizontal="center" vertical="center" wrapText="1"/>
    </xf>
    <xf numFmtId="14" fontId="10" fillId="31" borderId="38" xfId="0" applyNumberFormat="1" applyFont="1" applyFill="1" applyBorder="1" applyAlignment="1" applyProtection="1">
      <alignment vertical="center"/>
      <protection locked="0"/>
    </xf>
    <xf numFmtId="3" fontId="137" fillId="19" borderId="0" xfId="0" applyNumberFormat="1" applyFont="1" applyFill="1" applyAlignment="1">
      <alignment horizontal="right" vertical="center"/>
    </xf>
    <xf numFmtId="0" fontId="137" fillId="19" borderId="0" xfId="0" applyFont="1" applyFill="1" applyAlignment="1">
      <alignment horizontal="right"/>
    </xf>
    <xf numFmtId="3" fontId="137" fillId="24" borderId="0" xfId="0" applyNumberFormat="1" applyFont="1" applyFill="1" applyAlignment="1">
      <alignment horizontal="right" vertical="center"/>
    </xf>
    <xf numFmtId="3" fontId="138" fillId="24" borderId="0" xfId="0" applyNumberFormat="1" applyFont="1" applyFill="1" applyAlignment="1">
      <alignment horizontal="right" vertical="center"/>
    </xf>
    <xf numFmtId="0" fontId="139" fillId="24" borderId="0" xfId="0" applyFont="1" applyFill="1" applyAlignment="1">
      <alignment horizontal="right"/>
    </xf>
    <xf numFmtId="3" fontId="74" fillId="19" borderId="0" xfId="0" applyNumberFormat="1" applyFont="1" applyFill="1" applyAlignment="1">
      <alignment horizontal="right" vertical="center" indent="1"/>
    </xf>
    <xf numFmtId="0" fontId="69" fillId="19" borderId="0" xfId="0" applyFont="1" applyFill="1" applyAlignment="1">
      <alignment horizontal="left" vertical="top" wrapText="1"/>
    </xf>
    <xf numFmtId="3" fontId="10" fillId="17" borderId="38" xfId="0" applyNumberFormat="1" applyFont="1" applyFill="1" applyBorder="1" applyAlignment="1" applyProtection="1">
      <alignment vertical="center"/>
      <protection locked="0"/>
    </xf>
    <xf numFmtId="0" fontId="5" fillId="38" borderId="45" xfId="0" applyFont="1" applyFill="1" applyBorder="1" applyAlignment="1">
      <alignment vertical="top" wrapText="1"/>
    </xf>
    <xf numFmtId="0" fontId="38" fillId="19" borderId="0" xfId="0" applyFont="1" applyFill="1" applyAlignment="1">
      <alignment horizontal="centerContinuous" vertical="center"/>
    </xf>
    <xf numFmtId="0" fontId="10" fillId="19" borderId="16" xfId="0" applyFont="1" applyFill="1" applyBorder="1"/>
    <xf numFmtId="0" fontId="124" fillId="38" borderId="0" xfId="0" applyFont="1" applyFill="1" applyAlignment="1">
      <alignment horizontal="center" vertical="center"/>
    </xf>
    <xf numFmtId="0" fontId="124" fillId="25" borderId="0" xfId="0" applyFont="1" applyFill="1"/>
    <xf numFmtId="0" fontId="4" fillId="38" borderId="0" xfId="0" applyFont="1" applyFill="1" applyAlignment="1">
      <alignment horizontal="center"/>
    </xf>
    <xf numFmtId="0" fontId="124" fillId="25" borderId="0" xfId="0" applyFont="1" applyFill="1" applyAlignment="1">
      <alignment vertical="center"/>
    </xf>
    <xf numFmtId="0" fontId="141" fillId="38" borderId="0" xfId="0" applyFont="1" applyFill="1" applyAlignment="1">
      <alignment vertical="center"/>
    </xf>
    <xf numFmtId="0" fontId="141" fillId="38" borderId="0" xfId="0" applyFont="1" applyFill="1" applyAlignment="1">
      <alignment horizontal="center" vertical="center"/>
    </xf>
    <xf numFmtId="0" fontId="0" fillId="38" borderId="0" xfId="0" applyFill="1" applyAlignment="1">
      <alignment horizontal="center" vertical="center"/>
    </xf>
    <xf numFmtId="3" fontId="124" fillId="38" borderId="0" xfId="0" applyNumberFormat="1" applyFont="1" applyFill="1" applyAlignment="1">
      <alignment horizontal="left"/>
    </xf>
    <xf numFmtId="0" fontId="5" fillId="38" borderId="38" xfId="0" applyFont="1" applyFill="1" applyBorder="1" applyAlignment="1">
      <alignment vertical="top" wrapText="1"/>
    </xf>
    <xf numFmtId="3" fontId="137" fillId="31" borderId="0" xfId="0" applyNumberFormat="1" applyFont="1" applyFill="1" applyAlignment="1">
      <alignment horizontal="right" vertical="center" indent="1"/>
    </xf>
    <xf numFmtId="0" fontId="39" fillId="17" borderId="0" xfId="0" applyFont="1" applyFill="1" applyAlignment="1">
      <alignment horizontal="center" vertical="center" wrapText="1"/>
    </xf>
    <xf numFmtId="0" fontId="8" fillId="25" borderId="0" xfId="0" applyFont="1" applyFill="1" applyAlignment="1">
      <alignment horizontal="left" vertical="top" wrapText="1"/>
    </xf>
    <xf numFmtId="3" fontId="69" fillId="53" borderId="0" xfId="0" applyNumberFormat="1" applyFont="1" applyFill="1" applyAlignment="1">
      <alignment horizontal="left" vertical="center"/>
    </xf>
    <xf numFmtId="0" fontId="45" fillId="19" borderId="0" xfId="0" applyFont="1" applyFill="1"/>
    <xf numFmtId="0" fontId="69" fillId="31" borderId="22" xfId="0" applyFont="1" applyFill="1" applyBorder="1"/>
    <xf numFmtId="3" fontId="69" fillId="31" borderId="0" xfId="0" applyNumberFormat="1" applyFont="1" applyFill="1" applyAlignment="1">
      <alignment horizontal="left" vertical="center" indent="2"/>
    </xf>
    <xf numFmtId="3" fontId="8" fillId="17" borderId="16" xfId="33" applyNumberFormat="1" applyFont="1" applyFill="1" applyBorder="1" applyAlignment="1">
      <alignment horizontal="right" vertical="center"/>
    </xf>
    <xf numFmtId="0" fontId="10" fillId="25" borderId="137" xfId="0" applyFont="1" applyFill="1" applyBorder="1" applyAlignment="1">
      <alignment horizontal="center" vertical="top"/>
    </xf>
    <xf numFmtId="3" fontId="8" fillId="17" borderId="0" xfId="33" applyNumberFormat="1" applyFont="1" applyFill="1" applyBorder="1" applyAlignment="1">
      <alignment horizontal="right" vertical="center"/>
    </xf>
    <xf numFmtId="0" fontId="10" fillId="25" borderId="0" xfId="0" applyFont="1" applyFill="1" applyAlignment="1">
      <alignment horizontal="center" vertical="top"/>
    </xf>
    <xf numFmtId="3" fontId="8" fillId="17" borderId="25" xfId="33" applyNumberFormat="1" applyFont="1" applyFill="1" applyBorder="1" applyAlignment="1">
      <alignment horizontal="right" vertical="center"/>
    </xf>
    <xf numFmtId="0" fontId="10" fillId="25" borderId="25" xfId="0" applyFont="1" applyFill="1" applyBorder="1" applyAlignment="1">
      <alignment horizontal="center" vertical="top"/>
    </xf>
    <xf numFmtId="3" fontId="8" fillId="17" borderId="54" xfId="33" applyNumberFormat="1" applyFont="1" applyFill="1" applyBorder="1" applyAlignment="1">
      <alignment horizontal="right" vertical="center" wrapText="1"/>
    </xf>
    <xf numFmtId="0" fontId="10" fillId="25" borderId="0" xfId="0" applyFont="1" applyFill="1" applyAlignment="1">
      <alignment horizontal="center" vertical="center"/>
    </xf>
    <xf numFmtId="3" fontId="8" fillId="17" borderId="137" xfId="33" applyNumberFormat="1" applyFont="1" applyFill="1" applyBorder="1" applyAlignment="1">
      <alignment horizontal="right" vertical="center"/>
    </xf>
    <xf numFmtId="0" fontId="10" fillId="25" borderId="137" xfId="0" applyFont="1" applyFill="1" applyBorder="1" applyAlignment="1">
      <alignment horizontal="center" vertical="center"/>
    </xf>
    <xf numFmtId="0" fontId="10" fillId="25" borderId="25" xfId="0" applyFont="1" applyFill="1" applyBorder="1" applyAlignment="1">
      <alignment horizontal="center" vertical="center"/>
    </xf>
    <xf numFmtId="0" fontId="8" fillId="25" borderId="23" xfId="0" applyFont="1" applyFill="1" applyBorder="1"/>
    <xf numFmtId="0" fontId="8" fillId="25" borderId="128" xfId="0" applyFont="1" applyFill="1" applyBorder="1"/>
    <xf numFmtId="0" fontId="10" fillId="0" borderId="0" xfId="0" applyFont="1" applyAlignment="1">
      <alignment horizontal="center"/>
    </xf>
    <xf numFmtId="0" fontId="10" fillId="25" borderId="0" xfId="0" applyFont="1" applyFill="1" applyAlignment="1">
      <alignment horizontal="right"/>
    </xf>
    <xf numFmtId="0" fontId="8" fillId="25" borderId="53" xfId="0" applyFont="1" applyFill="1" applyBorder="1" applyAlignment="1">
      <alignment horizontal="center" vertical="top"/>
    </xf>
    <xf numFmtId="3" fontId="8" fillId="25" borderId="54" xfId="0" applyNumberFormat="1" applyFont="1" applyFill="1" applyBorder="1" applyAlignment="1">
      <alignment vertical="top"/>
    </xf>
    <xf numFmtId="9" fontId="8" fillId="25" borderId="54" xfId="48" applyFont="1" applyFill="1" applyBorder="1" applyAlignment="1">
      <alignment horizontal="right" vertical="top"/>
    </xf>
    <xf numFmtId="9" fontId="8" fillId="25" borderId="54" xfId="48" applyFont="1" applyFill="1" applyBorder="1" applyAlignment="1">
      <alignment vertical="top"/>
    </xf>
    <xf numFmtId="3" fontId="8" fillId="25" borderId="54" xfId="0" applyNumberFormat="1" applyFont="1" applyFill="1" applyBorder="1" applyAlignment="1">
      <alignment horizontal="right" vertical="top"/>
    </xf>
    <xf numFmtId="0" fontId="10" fillId="25" borderId="54" xfId="0" applyFont="1" applyFill="1" applyBorder="1" applyAlignment="1">
      <alignment horizontal="center" vertical="top"/>
    </xf>
    <xf numFmtId="0" fontId="8" fillId="25" borderId="55" xfId="0" applyFont="1" applyFill="1" applyBorder="1" applyAlignment="1">
      <alignment horizontal="center" vertical="top"/>
    </xf>
    <xf numFmtId="0" fontId="8" fillId="25" borderId="0" xfId="0" applyFont="1" applyFill="1" applyAlignment="1">
      <alignment horizontal="center" vertical="top"/>
    </xf>
    <xf numFmtId="3" fontId="8" fillId="25" borderId="0" xfId="0" applyNumberFormat="1" applyFont="1" applyFill="1" applyAlignment="1">
      <alignment horizontal="right" vertical="top"/>
    </xf>
    <xf numFmtId="0" fontId="8" fillId="25" borderId="15" xfId="0" applyFont="1" applyFill="1" applyBorder="1" applyAlignment="1">
      <alignment vertical="top"/>
    </xf>
    <xf numFmtId="0" fontId="8" fillId="25" borderId="26" xfId="0" applyFont="1" applyFill="1" applyBorder="1" applyAlignment="1">
      <alignment horizontal="center" vertical="top"/>
    </xf>
    <xf numFmtId="3" fontId="8" fillId="25" borderId="16" xfId="0" applyNumberFormat="1" applyFont="1" applyFill="1" applyBorder="1" applyAlignment="1">
      <alignment vertical="top"/>
    </xf>
    <xf numFmtId="9" fontId="8" fillId="25" borderId="16" xfId="48" applyFont="1" applyFill="1" applyBorder="1" applyAlignment="1">
      <alignment horizontal="right" vertical="top"/>
    </xf>
    <xf numFmtId="9" fontId="8" fillId="25" borderId="16" xfId="48" applyFont="1" applyFill="1" applyBorder="1" applyAlignment="1">
      <alignment vertical="top"/>
    </xf>
    <xf numFmtId="3" fontId="8" fillId="25" borderId="16" xfId="0" applyNumberFormat="1" applyFont="1" applyFill="1" applyBorder="1" applyAlignment="1">
      <alignment horizontal="right" vertical="top"/>
    </xf>
    <xf numFmtId="0" fontId="10" fillId="25" borderId="16" xfId="0" applyFont="1" applyFill="1" applyBorder="1" applyAlignment="1">
      <alignment horizontal="center" vertical="top"/>
    </xf>
    <xf numFmtId="0" fontId="8" fillId="25" borderId="99" xfId="0" applyFont="1" applyFill="1" applyBorder="1" applyAlignment="1">
      <alignment horizontal="center" vertical="top"/>
    </xf>
    <xf numFmtId="0" fontId="8" fillId="25" borderId="23" xfId="0" applyFont="1" applyFill="1" applyBorder="1" applyAlignment="1">
      <alignment horizontal="center" vertical="top"/>
    </xf>
    <xf numFmtId="0" fontId="8" fillId="25" borderId="41" xfId="0" applyFont="1" applyFill="1" applyBorder="1" applyAlignment="1">
      <alignment horizontal="center" vertical="top"/>
    </xf>
    <xf numFmtId="0" fontId="8" fillId="25" borderId="128" xfId="0" applyFont="1" applyFill="1" applyBorder="1" applyAlignment="1">
      <alignment vertical="top"/>
    </xf>
    <xf numFmtId="0" fontId="8" fillId="25" borderId="24" xfId="0" applyFont="1" applyFill="1" applyBorder="1" applyAlignment="1">
      <alignment horizontal="center" vertical="top"/>
    </xf>
    <xf numFmtId="0" fontId="8" fillId="25" borderId="25" xfId="0" applyFont="1" applyFill="1" applyBorder="1" applyAlignment="1">
      <alignment horizontal="left" vertical="top"/>
    </xf>
    <xf numFmtId="3" fontId="8" fillId="25" borderId="25" xfId="0" applyNumberFormat="1" applyFont="1" applyFill="1" applyBorder="1" applyAlignment="1">
      <alignment vertical="top"/>
    </xf>
    <xf numFmtId="9" fontId="8" fillId="25" borderId="25" xfId="48" applyFont="1" applyFill="1" applyBorder="1" applyAlignment="1">
      <alignment horizontal="right" vertical="top"/>
    </xf>
    <xf numFmtId="9" fontId="8" fillId="25" borderId="25" xfId="48" applyFont="1" applyFill="1" applyBorder="1" applyAlignment="1">
      <alignment vertical="top"/>
    </xf>
    <xf numFmtId="3" fontId="8" fillId="25" borderId="25" xfId="0" applyNumberFormat="1" applyFont="1" applyFill="1" applyBorder="1" applyAlignment="1">
      <alignment horizontal="right" vertical="top"/>
    </xf>
    <xf numFmtId="0" fontId="8" fillId="25" borderId="102" xfId="0" applyFont="1" applyFill="1" applyBorder="1" applyAlignment="1">
      <alignment horizontal="center" vertical="top"/>
    </xf>
    <xf numFmtId="0" fontId="8" fillId="25" borderId="0" xfId="0" applyFont="1" applyFill="1" applyAlignment="1">
      <alignment horizontal="right" vertical="top"/>
    </xf>
    <xf numFmtId="0" fontId="8" fillId="25" borderId="142" xfId="0" applyFont="1" applyFill="1" applyBorder="1"/>
    <xf numFmtId="0" fontId="8" fillId="25" borderId="148" xfId="0" applyFont="1" applyFill="1" applyBorder="1" applyAlignment="1">
      <alignment vertical="top"/>
    </xf>
    <xf numFmtId="0" fontId="8" fillId="25" borderId="24" xfId="0" applyFont="1" applyFill="1" applyBorder="1" applyAlignment="1">
      <alignment horizontal="center"/>
    </xf>
    <xf numFmtId="0" fontId="8" fillId="25" borderId="25" xfId="0" applyFont="1" applyFill="1" applyBorder="1" applyAlignment="1">
      <alignment horizontal="center" vertical="top"/>
    </xf>
    <xf numFmtId="175" fontId="8" fillId="25" borderId="54" xfId="48" applyNumberFormat="1" applyFont="1" applyFill="1" applyBorder="1" applyAlignment="1">
      <alignment horizontal="right" vertical="top"/>
    </xf>
    <xf numFmtId="0" fontId="8" fillId="25" borderId="107" xfId="0" applyFont="1" applyFill="1" applyBorder="1" applyAlignment="1">
      <alignment horizontal="center" vertical="top"/>
    </xf>
    <xf numFmtId="0" fontId="8" fillId="25" borderId="23" xfId="0" applyFont="1" applyFill="1" applyBorder="1" applyAlignment="1">
      <alignment vertical="center"/>
    </xf>
    <xf numFmtId="0" fontId="8" fillId="25" borderId="24" xfId="0" applyFont="1" applyFill="1" applyBorder="1" applyAlignment="1">
      <alignment horizontal="center" vertical="center"/>
    </xf>
    <xf numFmtId="3" fontId="8" fillId="29" borderId="25" xfId="0" applyNumberFormat="1" applyFont="1" applyFill="1" applyBorder="1" applyAlignment="1">
      <alignment vertical="center"/>
    </xf>
    <xf numFmtId="3" fontId="8" fillId="25" borderId="25" xfId="0" applyNumberFormat="1" applyFont="1" applyFill="1" applyBorder="1" applyAlignment="1">
      <alignment vertical="center"/>
    </xf>
    <xf numFmtId="0" fontId="8" fillId="25" borderId="25" xfId="0" applyFont="1" applyFill="1" applyBorder="1" applyAlignment="1">
      <alignment vertical="center"/>
    </xf>
    <xf numFmtId="0" fontId="8" fillId="25" borderId="25" xfId="0" applyFont="1" applyFill="1" applyBorder="1" applyAlignment="1">
      <alignment horizontal="center" vertical="center"/>
    </xf>
    <xf numFmtId="0" fontId="8" fillId="25" borderId="102" xfId="0" applyFont="1" applyFill="1" applyBorder="1" applyAlignment="1">
      <alignment horizontal="center" vertical="center"/>
    </xf>
    <xf numFmtId="0" fontId="8" fillId="25" borderId="15" xfId="0" applyFont="1" applyFill="1" applyBorder="1" applyAlignment="1">
      <alignment vertical="center"/>
    </xf>
    <xf numFmtId="0" fontId="8" fillId="25" borderId="0" xfId="0" applyFont="1" applyFill="1" applyAlignment="1">
      <alignment horizontal="center" vertical="center"/>
    </xf>
    <xf numFmtId="3" fontId="8" fillId="25" borderId="0" xfId="0" applyNumberFormat="1" applyFont="1" applyFill="1" applyAlignment="1">
      <alignment vertical="center"/>
    </xf>
    <xf numFmtId="0" fontId="8" fillId="25" borderId="0" xfId="0" applyFont="1" applyFill="1" applyAlignment="1">
      <alignment vertical="center"/>
    </xf>
    <xf numFmtId="0" fontId="8" fillId="25" borderId="128" xfId="0" applyFont="1" applyFill="1" applyBorder="1" applyAlignment="1">
      <alignment vertical="center"/>
    </xf>
    <xf numFmtId="0" fontId="8" fillId="25" borderId="53" xfId="0" applyFont="1" applyFill="1" applyBorder="1" applyAlignment="1">
      <alignment horizontal="center" vertical="center"/>
    </xf>
    <xf numFmtId="3" fontId="8" fillId="25" borderId="110" xfId="0" applyNumberFormat="1" applyFont="1" applyFill="1" applyBorder="1" applyAlignment="1">
      <alignment vertical="center"/>
    </xf>
    <xf numFmtId="0" fontId="8" fillId="25" borderId="110" xfId="0" applyFont="1" applyFill="1" applyBorder="1" applyAlignment="1">
      <alignment vertical="center"/>
    </xf>
    <xf numFmtId="0" fontId="8" fillId="25" borderId="110" xfId="0" applyFont="1" applyFill="1" applyBorder="1" applyAlignment="1">
      <alignment horizontal="right" vertical="center"/>
    </xf>
    <xf numFmtId="0" fontId="8" fillId="25" borderId="110" xfId="0" applyFont="1" applyFill="1" applyBorder="1" applyAlignment="1">
      <alignment horizontal="center" vertical="center"/>
    </xf>
    <xf numFmtId="0" fontId="10" fillId="25" borderId="110" xfId="0" applyFont="1" applyFill="1" applyBorder="1" applyAlignment="1">
      <alignment horizontal="center" vertical="top"/>
    </xf>
    <xf numFmtId="0" fontId="8" fillId="25" borderId="107" xfId="0" applyFont="1" applyFill="1" applyBorder="1" applyAlignment="1">
      <alignment horizontal="center"/>
    </xf>
    <xf numFmtId="3" fontId="8" fillId="25" borderId="0" xfId="0" applyNumberFormat="1" applyFont="1" applyFill="1"/>
    <xf numFmtId="0" fontId="8" fillId="0" borderId="23" xfId="0" applyFont="1" applyBorder="1"/>
    <xf numFmtId="0" fontId="8" fillId="25" borderId="24" xfId="0" applyFont="1" applyFill="1" applyBorder="1"/>
    <xf numFmtId="0" fontId="8" fillId="25" borderId="25" xfId="0" applyFont="1" applyFill="1" applyBorder="1" applyAlignment="1">
      <alignment horizontal="center"/>
    </xf>
    <xf numFmtId="0" fontId="137" fillId="19" borderId="0" xfId="0" applyFont="1" applyFill="1" applyAlignment="1">
      <alignment horizontal="center" vertical="top" wrapText="1"/>
    </xf>
    <xf numFmtId="3" fontId="13" fillId="47" borderId="0" xfId="0" applyNumberFormat="1" applyFont="1" applyFill="1" applyAlignment="1">
      <alignment horizontal="center" vertical="center"/>
    </xf>
    <xf numFmtId="0" fontId="137" fillId="19" borderId="0" xfId="0" applyFont="1" applyFill="1" applyAlignment="1">
      <alignment horizontal="left" vertical="top"/>
    </xf>
    <xf numFmtId="0" fontId="142" fillId="19" borderId="0" xfId="0" applyFont="1" applyFill="1" applyAlignment="1">
      <alignment horizontal="center" vertical="top"/>
    </xf>
    <xf numFmtId="0" fontId="74" fillId="23" borderId="57" xfId="0" applyFont="1" applyFill="1" applyBorder="1" applyAlignment="1">
      <alignment horizontal="center"/>
    </xf>
    <xf numFmtId="0" fontId="143" fillId="53" borderId="0" xfId="0" applyFont="1" applyFill="1" applyAlignment="1">
      <alignment horizontal="left" indent="2"/>
    </xf>
    <xf numFmtId="0" fontId="143" fillId="53" borderId="0" xfId="0" applyFont="1" applyFill="1" applyAlignment="1">
      <alignment horizontal="left" vertical="center" indent="2"/>
    </xf>
    <xf numFmtId="0" fontId="13" fillId="31" borderId="0" xfId="0" applyFont="1" applyFill="1" applyAlignment="1">
      <alignment horizontal="left"/>
    </xf>
    <xf numFmtId="3" fontId="137" fillId="47" borderId="0" xfId="0" applyNumberFormat="1" applyFont="1" applyFill="1" applyAlignment="1">
      <alignment horizontal="right" vertical="center" indent="1"/>
    </xf>
    <xf numFmtId="0" fontId="137" fillId="47" borderId="0" xfId="0" applyFont="1" applyFill="1" applyAlignment="1">
      <alignment horizontal="right"/>
    </xf>
    <xf numFmtId="3" fontId="10" fillId="19" borderId="0" xfId="0" applyNumberFormat="1" applyFont="1" applyFill="1" applyAlignment="1">
      <alignment horizontal="center" vertical="center" wrapText="1"/>
    </xf>
    <xf numFmtId="0" fontId="75" fillId="20" borderId="26" xfId="0" applyFont="1" applyFill="1" applyBorder="1"/>
    <xf numFmtId="0" fontId="8" fillId="20" borderId="16" xfId="0" applyFont="1" applyFill="1" applyBorder="1"/>
    <xf numFmtId="0" fontId="8" fillId="20" borderId="16" xfId="0" applyFont="1" applyFill="1" applyBorder="1" applyAlignment="1">
      <alignment horizontal="center"/>
    </xf>
    <xf numFmtId="0" fontId="8" fillId="20" borderId="17" xfId="0" applyFont="1" applyFill="1" applyBorder="1"/>
    <xf numFmtId="0" fontId="15" fillId="0" borderId="0" xfId="0" applyFont="1" applyAlignment="1">
      <alignment horizontal="center"/>
    </xf>
    <xf numFmtId="0" fontId="8" fillId="20" borderId="15" xfId="0" applyFont="1" applyFill="1" applyBorder="1" applyAlignment="1">
      <alignment horizontal="center"/>
    </xf>
    <xf numFmtId="0" fontId="75" fillId="20" borderId="23" xfId="0" applyFont="1" applyFill="1" applyBorder="1" applyAlignment="1">
      <alignment horizontal="center"/>
    </xf>
    <xf numFmtId="0" fontId="74" fillId="17" borderId="0" xfId="0" applyFont="1" applyFill="1"/>
    <xf numFmtId="0" fontId="75" fillId="20" borderId="23" xfId="0" applyFont="1" applyFill="1" applyBorder="1"/>
    <xf numFmtId="0" fontId="8" fillId="20" borderId="0" xfId="0" applyFont="1" applyFill="1"/>
    <xf numFmtId="0" fontId="8" fillId="20" borderId="15" xfId="0" applyFont="1" applyFill="1" applyBorder="1"/>
    <xf numFmtId="0" fontId="43" fillId="0" borderId="0" xfId="0" applyFont="1" applyAlignment="1">
      <alignment vertical="center"/>
    </xf>
    <xf numFmtId="0" fontId="15" fillId="17" borderId="68" xfId="0" applyFont="1" applyFill="1" applyBorder="1" applyAlignment="1">
      <alignment vertical="top"/>
    </xf>
    <xf numFmtId="0" fontId="15" fillId="17" borderId="69" xfId="0" applyFont="1" applyFill="1" applyBorder="1" applyAlignment="1">
      <alignment vertical="top"/>
    </xf>
    <xf numFmtId="0" fontId="15" fillId="17" borderId="70" xfId="0" applyFont="1" applyFill="1" applyBorder="1" applyAlignment="1">
      <alignment vertical="top"/>
    </xf>
    <xf numFmtId="0" fontId="75" fillId="20" borderId="24" xfId="0" applyFont="1" applyFill="1" applyBorder="1"/>
    <xf numFmtId="0" fontId="8" fillId="20" borderId="25" xfId="0" applyFont="1" applyFill="1" applyBorder="1"/>
    <xf numFmtId="169" fontId="4" fillId="20" borderId="25" xfId="0" applyNumberFormat="1" applyFont="1" applyFill="1" applyBorder="1" applyAlignment="1">
      <alignment horizontal="left"/>
    </xf>
    <xf numFmtId="0" fontId="8" fillId="20" borderId="27" xfId="0" applyFont="1" applyFill="1" applyBorder="1"/>
    <xf numFmtId="0" fontId="75" fillId="19" borderId="23" xfId="0" applyFont="1" applyFill="1" applyBorder="1"/>
    <xf numFmtId="0" fontId="8" fillId="19" borderId="15" xfId="0" applyFont="1" applyFill="1" applyBorder="1"/>
    <xf numFmtId="0" fontId="8" fillId="19" borderId="128" xfId="0" applyFont="1" applyFill="1" applyBorder="1"/>
    <xf numFmtId="0" fontId="8" fillId="19" borderId="0" xfId="0" applyFont="1" applyFill="1" applyAlignment="1">
      <alignment vertical="top"/>
    </xf>
    <xf numFmtId="0" fontId="10" fillId="19" borderId="116" xfId="0" applyFont="1" applyFill="1" applyBorder="1" applyAlignment="1">
      <alignment horizontal="center"/>
    </xf>
    <xf numFmtId="3" fontId="8" fillId="19" borderId="0" xfId="0" applyNumberFormat="1" applyFont="1" applyFill="1" applyAlignment="1">
      <alignment horizontal="right" vertical="center" indent="1"/>
    </xf>
    <xf numFmtId="3" fontId="11" fillId="19" borderId="0" xfId="0" applyNumberFormat="1" applyFont="1" applyFill="1" applyAlignment="1">
      <alignment horizontal="right" vertical="center" indent="1"/>
    </xf>
    <xf numFmtId="3" fontId="8" fillId="31" borderId="0" xfId="0" applyNumberFormat="1" applyFont="1" applyFill="1" applyAlignment="1">
      <alignment horizontal="left" vertical="center" indent="1"/>
    </xf>
    <xf numFmtId="0" fontId="74" fillId="31" borderId="0" xfId="0" applyFont="1" applyFill="1" applyAlignment="1">
      <alignment vertical="top"/>
    </xf>
    <xf numFmtId="3" fontId="10" fillId="37" borderId="115" xfId="0" applyNumberFormat="1" applyFont="1" applyFill="1" applyBorder="1" applyAlignment="1">
      <alignment vertical="center"/>
    </xf>
    <xf numFmtId="3" fontId="10" fillId="17" borderId="65" xfId="0" applyNumberFormat="1" applyFont="1" applyFill="1" applyBorder="1" applyAlignment="1">
      <alignment vertical="center"/>
    </xf>
    <xf numFmtId="3" fontId="8" fillId="19" borderId="0" xfId="0" applyNumberFormat="1" applyFont="1" applyFill="1" applyAlignment="1">
      <alignment wrapText="1"/>
    </xf>
    <xf numFmtId="0" fontId="43" fillId="23" borderId="56" xfId="0" applyFont="1" applyFill="1" applyBorder="1" applyAlignment="1">
      <alignment horizontal="center"/>
    </xf>
    <xf numFmtId="3" fontId="10" fillId="31" borderId="0" xfId="0" applyNumberFormat="1" applyFont="1" applyFill="1" applyAlignment="1">
      <alignment horizontal="left" vertical="center" indent="1"/>
    </xf>
    <xf numFmtId="0" fontId="43" fillId="23" borderId="58" xfId="0" applyFont="1" applyFill="1" applyBorder="1" applyAlignment="1">
      <alignment horizontal="center"/>
    </xf>
    <xf numFmtId="3" fontId="10" fillId="17" borderId="138" xfId="0" applyNumberFormat="1" applyFont="1" applyFill="1" applyBorder="1" applyAlignment="1">
      <alignment vertical="center"/>
    </xf>
    <xf numFmtId="0" fontId="43" fillId="23" borderId="57" xfId="0" applyFont="1" applyFill="1" applyBorder="1" applyAlignment="1">
      <alignment horizontal="center"/>
    </xf>
    <xf numFmtId="1" fontId="43" fillId="23" borderId="57" xfId="0" applyNumberFormat="1" applyFont="1" applyFill="1" applyBorder="1" applyAlignment="1">
      <alignment horizontal="center"/>
    </xf>
    <xf numFmtId="0" fontId="47" fillId="53" borderId="0" xfId="0" applyFont="1" applyFill="1"/>
    <xf numFmtId="0" fontId="8" fillId="53" borderId="0" xfId="0" applyFont="1" applyFill="1" applyAlignment="1">
      <alignment vertical="top"/>
    </xf>
    <xf numFmtId="3" fontId="8" fillId="53" borderId="0" xfId="0" applyNumberFormat="1" applyFont="1" applyFill="1" applyAlignment="1">
      <alignment horizontal="right" vertical="center" indent="1"/>
    </xf>
    <xf numFmtId="3" fontId="69" fillId="53" borderId="0" xfId="0" applyNumberFormat="1" applyFont="1" applyFill="1" applyAlignment="1">
      <alignment horizontal="left" vertical="center" indent="1"/>
    </xf>
    <xf numFmtId="3" fontId="56" fillId="19" borderId="0" xfId="0" applyNumberFormat="1" applyFont="1" applyFill="1" applyAlignment="1">
      <alignment horizontal="left" vertical="center"/>
    </xf>
    <xf numFmtId="1" fontId="43" fillId="23" borderId="58" xfId="0" applyNumberFormat="1" applyFont="1" applyFill="1" applyBorder="1" applyAlignment="1">
      <alignment horizontal="center"/>
    </xf>
    <xf numFmtId="0" fontId="56" fillId="31" borderId="0" xfId="0" applyFont="1" applyFill="1" applyAlignment="1">
      <alignment horizontal="left" vertical="center"/>
    </xf>
    <xf numFmtId="1" fontId="43" fillId="23" borderId="0" xfId="0" applyNumberFormat="1" applyFont="1" applyFill="1" applyAlignment="1">
      <alignment horizontal="center"/>
    </xf>
    <xf numFmtId="3" fontId="10" fillId="25" borderId="138" xfId="0" applyNumberFormat="1" applyFont="1" applyFill="1" applyBorder="1" applyAlignment="1">
      <alignment vertical="center"/>
    </xf>
    <xf numFmtId="167" fontId="55" fillId="19" borderId="0" xfId="0" applyNumberFormat="1" applyFont="1" applyFill="1" applyAlignment="1">
      <alignment horizontal="right" vertical="center"/>
    </xf>
    <xf numFmtId="3" fontId="55" fillId="19" borderId="0" xfId="0" applyNumberFormat="1" applyFont="1" applyFill="1" applyAlignment="1">
      <alignment horizontal="left" vertical="center" indent="1"/>
    </xf>
    <xf numFmtId="3" fontId="8" fillId="19" borderId="0" xfId="0" applyNumberFormat="1" applyFont="1" applyFill="1" applyAlignment="1">
      <alignment horizontal="left" vertical="center" indent="1"/>
    </xf>
    <xf numFmtId="0" fontId="75" fillId="19" borderId="66" xfId="0" applyFont="1" applyFill="1" applyBorder="1"/>
    <xf numFmtId="0" fontId="8" fillId="19" borderId="34" xfId="0" applyFont="1" applyFill="1" applyBorder="1"/>
    <xf numFmtId="3" fontId="11" fillId="19" borderId="34" xfId="0" applyNumberFormat="1" applyFont="1" applyFill="1" applyBorder="1" applyAlignment="1">
      <alignment horizontal="right" vertical="center"/>
    </xf>
    <xf numFmtId="3" fontId="52" fillId="19" borderId="34" xfId="0" applyNumberFormat="1" applyFont="1" applyFill="1" applyBorder="1" applyAlignment="1">
      <alignment horizontal="left" vertical="center" indent="1"/>
    </xf>
    <xf numFmtId="3" fontId="8" fillId="19" borderId="34" xfId="0" applyNumberFormat="1" applyFont="1" applyFill="1" applyBorder="1" applyAlignment="1">
      <alignment horizontal="left" vertical="center" indent="1"/>
    </xf>
    <xf numFmtId="0" fontId="8" fillId="19" borderId="35" xfId="0" applyFont="1" applyFill="1" applyBorder="1"/>
    <xf numFmtId="0" fontId="75" fillId="17" borderId="67" xfId="0" applyFont="1" applyFill="1" applyBorder="1"/>
    <xf numFmtId="0" fontId="8" fillId="17" borderId="36" xfId="0" applyFont="1" applyFill="1" applyBorder="1"/>
    <xf numFmtId="3" fontId="11" fillId="17" borderId="36" xfId="0" applyNumberFormat="1" applyFont="1" applyFill="1" applyBorder="1" applyAlignment="1">
      <alignment horizontal="right" vertical="center"/>
    </xf>
    <xf numFmtId="3" fontId="52" fillId="17" borderId="36" xfId="0" applyNumberFormat="1" applyFont="1" applyFill="1" applyBorder="1" applyAlignment="1">
      <alignment horizontal="left" vertical="center" indent="1"/>
    </xf>
    <xf numFmtId="3" fontId="8" fillId="17" borderId="36" xfId="0" applyNumberFormat="1" applyFont="1" applyFill="1" applyBorder="1" applyAlignment="1">
      <alignment horizontal="left" vertical="center" indent="1"/>
    </xf>
    <xf numFmtId="0" fontId="8" fillId="17" borderId="37" xfId="0" applyFont="1" applyFill="1" applyBorder="1"/>
    <xf numFmtId="3" fontId="76" fillId="17" borderId="23" xfId="0" applyNumberFormat="1" applyFont="1" applyFill="1" applyBorder="1"/>
    <xf numFmtId="0" fontId="45" fillId="22" borderId="44" xfId="0" applyFont="1" applyFill="1" applyBorder="1" applyAlignment="1">
      <alignment horizontal="left"/>
    </xf>
    <xf numFmtId="0" fontId="45" fillId="22" borderId="36" xfId="0" applyFont="1" applyFill="1" applyBorder="1" applyAlignment="1">
      <alignment horizontal="left"/>
    </xf>
    <xf numFmtId="0" fontId="45" fillId="22" borderId="36" xfId="0" applyFont="1" applyFill="1" applyBorder="1"/>
    <xf numFmtId="0" fontId="45" fillId="22" borderId="40" xfId="0" applyFont="1" applyFill="1" applyBorder="1"/>
    <xf numFmtId="0" fontId="8" fillId="17" borderId="15" xfId="0" applyFont="1" applyFill="1" applyBorder="1"/>
    <xf numFmtId="0" fontId="45" fillId="22" borderId="43" xfId="0" applyFont="1" applyFill="1" applyBorder="1" applyAlignment="1">
      <alignment horizontal="left"/>
    </xf>
    <xf numFmtId="0" fontId="45" fillId="22" borderId="0" xfId="0" applyFont="1" applyFill="1" applyAlignment="1">
      <alignment horizontal="left"/>
    </xf>
    <xf numFmtId="0" fontId="45" fillId="22" borderId="0" xfId="0" applyFont="1" applyFill="1"/>
    <xf numFmtId="0" fontId="45" fillId="22" borderId="41" xfId="0" applyFont="1" applyFill="1" applyBorder="1"/>
    <xf numFmtId="1" fontId="77" fillId="17" borderId="23" xfId="0" applyNumberFormat="1" applyFont="1" applyFill="1" applyBorder="1" applyAlignment="1">
      <alignment horizontal="right"/>
    </xf>
    <xf numFmtId="3" fontId="45" fillId="22" borderId="0" xfId="0" applyNumberFormat="1" applyFont="1" applyFill="1" applyAlignment="1">
      <alignment horizontal="left"/>
    </xf>
    <xf numFmtId="3" fontId="45" fillId="22" borderId="0" xfId="0" applyNumberFormat="1" applyFont="1" applyFill="1" applyAlignment="1">
      <alignment horizontal="right" vertical="center"/>
    </xf>
    <xf numFmtId="3" fontId="60" fillId="22" borderId="0" xfId="0" applyNumberFormat="1" applyFont="1" applyFill="1" applyAlignment="1">
      <alignment horizontal="left" vertical="center" indent="1"/>
    </xf>
    <xf numFmtId="3" fontId="45" fillId="22" borderId="0" xfId="0" applyNumberFormat="1" applyFont="1" applyFill="1" applyAlignment="1">
      <alignment horizontal="left" vertical="center" indent="1"/>
    </xf>
    <xf numFmtId="166" fontId="8" fillId="0" borderId="0" xfId="0" applyNumberFormat="1" applyFont="1"/>
    <xf numFmtId="0" fontId="75" fillId="17" borderId="23" xfId="0" applyFont="1" applyFill="1" applyBorder="1"/>
    <xf numFmtId="0" fontId="49" fillId="22" borderId="34" xfId="0" applyFont="1" applyFill="1" applyBorder="1" applyAlignment="1">
      <alignment horizontal="left"/>
    </xf>
    <xf numFmtId="0" fontId="49" fillId="22" borderId="34" xfId="0" applyFont="1" applyFill="1" applyBorder="1"/>
    <xf numFmtId="0" fontId="49" fillId="22" borderId="42" xfId="0" applyFont="1" applyFill="1" applyBorder="1"/>
    <xf numFmtId="0" fontId="75" fillId="17" borderId="24" xfId="0" applyFont="1" applyFill="1" applyBorder="1"/>
    <xf numFmtId="0" fontId="8" fillId="17" borderId="25" xfId="0" applyFont="1" applyFill="1" applyBorder="1"/>
    <xf numFmtId="3" fontId="8" fillId="17" borderId="25" xfId="0" applyNumberFormat="1" applyFont="1" applyFill="1" applyBorder="1" applyAlignment="1">
      <alignment horizontal="right" vertical="center" indent="1"/>
    </xf>
    <xf numFmtId="3" fontId="52" fillId="17" borderId="25" xfId="0" applyNumberFormat="1" applyFont="1" applyFill="1" applyBorder="1" applyAlignment="1">
      <alignment horizontal="left" vertical="center" indent="1"/>
    </xf>
    <xf numFmtId="0" fontId="8" fillId="17" borderId="27" xfId="0" applyFont="1" applyFill="1" applyBorder="1"/>
    <xf numFmtId="0" fontId="8" fillId="0" borderId="25" xfId="0" applyFont="1" applyBorder="1"/>
    <xf numFmtId="3" fontId="8" fillId="19" borderId="0" xfId="0" applyNumberFormat="1" applyFont="1" applyFill="1" applyAlignment="1">
      <alignment horizontal="right" vertical="center"/>
    </xf>
    <xf numFmtId="0" fontId="8" fillId="0" borderId="16" xfId="0" applyFont="1" applyBorder="1"/>
    <xf numFmtId="3" fontId="8" fillId="19" borderId="0" xfId="0" applyNumberFormat="1" applyFont="1" applyFill="1" applyAlignment="1">
      <alignment horizontal="center" vertical="center"/>
    </xf>
    <xf numFmtId="3" fontId="10" fillId="19" borderId="0" xfId="0" applyNumberFormat="1" applyFont="1" applyFill="1" applyAlignment="1">
      <alignment horizontal="center" vertical="top" wrapText="1"/>
    </xf>
    <xf numFmtId="3" fontId="8" fillId="19" borderId="0" xfId="0" applyNumberFormat="1" applyFont="1" applyFill="1" applyAlignment="1">
      <alignment horizontal="right" vertical="top"/>
    </xf>
    <xf numFmtId="3" fontId="10" fillId="19" borderId="0" xfId="0" applyNumberFormat="1" applyFont="1" applyFill="1" applyAlignment="1">
      <alignment vertical="top" wrapText="1"/>
    </xf>
    <xf numFmtId="0" fontId="8" fillId="24" borderId="0" xfId="0" applyFont="1" applyFill="1"/>
    <xf numFmtId="3" fontId="10" fillId="24" borderId="72" xfId="0" applyNumberFormat="1" applyFont="1" applyFill="1" applyBorder="1" applyAlignment="1">
      <alignment horizontal="center" vertical="center"/>
    </xf>
    <xf numFmtId="3" fontId="10" fillId="24" borderId="0" xfId="0" applyNumberFormat="1" applyFont="1" applyFill="1" applyAlignment="1">
      <alignment horizontal="center" vertical="center" wrapText="1"/>
    </xf>
    <xf numFmtId="3" fontId="8" fillId="24" borderId="0" xfId="0" applyNumberFormat="1" applyFont="1" applyFill="1" applyAlignment="1">
      <alignment horizontal="right" vertical="center" indent="1"/>
    </xf>
    <xf numFmtId="3" fontId="10" fillId="24" borderId="0" xfId="0" applyNumberFormat="1" applyFont="1" applyFill="1" applyAlignment="1">
      <alignment horizontal="right" vertical="center" indent="1"/>
    </xf>
    <xf numFmtId="3" fontId="10" fillId="24" borderId="0" xfId="0" applyNumberFormat="1" applyFont="1" applyFill="1" applyAlignment="1">
      <alignment horizontal="center" vertical="center"/>
    </xf>
    <xf numFmtId="1" fontId="43" fillId="23" borderId="56" xfId="0" applyNumberFormat="1" applyFont="1" applyFill="1" applyBorder="1" applyAlignment="1">
      <alignment horizontal="center"/>
    </xf>
    <xf numFmtId="3" fontId="10" fillId="24" borderId="138" xfId="0" applyNumberFormat="1" applyFont="1" applyFill="1" applyBorder="1" applyAlignment="1">
      <alignment vertical="center"/>
    </xf>
    <xf numFmtId="3" fontId="8" fillId="24" borderId="0" xfId="0" applyNumberFormat="1" applyFont="1" applyFill="1" applyAlignment="1">
      <alignment vertical="center"/>
    </xf>
    <xf numFmtId="3" fontId="10" fillId="24" borderId="0" xfId="0" applyNumberFormat="1" applyFont="1" applyFill="1" applyAlignment="1">
      <alignment vertical="center"/>
    </xf>
    <xf numFmtId="0" fontId="12" fillId="19" borderId="0" xfId="0" applyFont="1" applyFill="1" applyAlignment="1">
      <alignment horizontal="right"/>
    </xf>
    <xf numFmtId="0" fontId="10" fillId="24" borderId="0" xfId="0" applyFont="1" applyFill="1" applyAlignment="1">
      <alignment horizontal="right"/>
    </xf>
    <xf numFmtId="3" fontId="74" fillId="24" borderId="0" xfId="0" applyNumberFormat="1" applyFont="1" applyFill="1" applyAlignment="1">
      <alignment vertical="center"/>
    </xf>
    <xf numFmtId="3" fontId="10" fillId="47" borderId="138" xfId="0" applyNumberFormat="1" applyFont="1" applyFill="1" applyBorder="1" applyAlignment="1">
      <alignment vertical="center"/>
    </xf>
    <xf numFmtId="3" fontId="8" fillId="47" borderId="0" xfId="0" applyNumberFormat="1" applyFont="1" applyFill="1" applyAlignment="1">
      <alignment vertical="center"/>
    </xf>
    <xf numFmtId="3" fontId="73" fillId="47" borderId="0" xfId="0" applyNumberFormat="1" applyFont="1" applyFill="1" applyAlignment="1">
      <alignment vertical="center"/>
    </xf>
    <xf numFmtId="3" fontId="10" fillId="47" borderId="39" xfId="0" applyNumberFormat="1" applyFont="1" applyFill="1" applyBorder="1" applyAlignment="1">
      <alignment horizontal="right" vertical="center" indent="1"/>
    </xf>
    <xf numFmtId="3" fontId="8" fillId="0" borderId="0" xfId="0" applyNumberFormat="1" applyFont="1" applyAlignment="1">
      <alignment vertical="center"/>
    </xf>
    <xf numFmtId="3" fontId="10" fillId="47" borderId="0" xfId="0" applyNumberFormat="1" applyFont="1" applyFill="1" applyAlignment="1">
      <alignment horizontal="right" vertical="center" indent="1"/>
    </xf>
    <xf numFmtId="3" fontId="8" fillId="47" borderId="0" xfId="0" applyNumberFormat="1" applyFont="1" applyFill="1" applyAlignment="1">
      <alignment horizontal="right" vertical="center" indent="1"/>
    </xf>
    <xf numFmtId="3" fontId="10" fillId="47" borderId="115" xfId="0" applyNumberFormat="1" applyFont="1" applyFill="1" applyBorder="1" applyAlignment="1">
      <alignment vertical="center"/>
    </xf>
    <xf numFmtId="3" fontId="10" fillId="47" borderId="0" xfId="0" applyNumberFormat="1" applyFont="1" applyFill="1" applyAlignment="1">
      <alignment vertical="center"/>
    </xf>
    <xf numFmtId="0" fontId="129" fillId="19" borderId="23" xfId="0" applyFont="1" applyFill="1" applyBorder="1"/>
    <xf numFmtId="0" fontId="127" fillId="19" borderId="0" xfId="0" applyFont="1" applyFill="1"/>
    <xf numFmtId="0" fontId="126" fillId="19" borderId="0" xfId="0" applyFont="1" applyFill="1"/>
    <xf numFmtId="0" fontId="127" fillId="24" borderId="0" xfId="0" applyFont="1" applyFill="1"/>
    <xf numFmtId="3" fontId="126" fillId="24" borderId="0" xfId="0" applyNumberFormat="1" applyFont="1" applyFill="1" applyAlignment="1">
      <alignment horizontal="center" vertical="center"/>
    </xf>
    <xf numFmtId="3" fontId="126" fillId="24" borderId="0" xfId="0" applyNumberFormat="1" applyFont="1" applyFill="1" applyAlignment="1">
      <alignment horizontal="center" vertical="center" wrapText="1"/>
    </xf>
    <xf numFmtId="3" fontId="127" fillId="24" borderId="0" xfId="0" applyNumberFormat="1" applyFont="1" applyFill="1" applyAlignment="1">
      <alignment horizontal="right" vertical="center" indent="1"/>
    </xf>
    <xf numFmtId="0" fontId="85" fillId="19" borderId="0" xfId="0" applyFont="1" applyFill="1"/>
    <xf numFmtId="0" fontId="85" fillId="24" borderId="0" xfId="0" applyFont="1" applyFill="1"/>
    <xf numFmtId="0" fontId="74" fillId="24" borderId="0" xfId="0" applyFont="1" applyFill="1"/>
    <xf numFmtId="0" fontId="84" fillId="19" borderId="128" xfId="0" applyFont="1" applyFill="1" applyBorder="1"/>
    <xf numFmtId="3" fontId="74" fillId="0" borderId="0" xfId="0" applyNumberFormat="1" applyFont="1"/>
    <xf numFmtId="0" fontId="8" fillId="17" borderId="18" xfId="0" applyFont="1" applyFill="1" applyBorder="1"/>
    <xf numFmtId="0" fontId="8" fillId="17" borderId="19" xfId="0" applyFont="1" applyFill="1" applyBorder="1"/>
    <xf numFmtId="0" fontId="8" fillId="24" borderId="19" xfId="0" applyFont="1" applyFill="1" applyBorder="1"/>
    <xf numFmtId="3" fontId="8" fillId="24" borderId="19" xfId="0" applyNumberFormat="1" applyFont="1" applyFill="1" applyBorder="1" applyAlignment="1">
      <alignment vertical="center"/>
    </xf>
    <xf numFmtId="0" fontId="8" fillId="24" borderId="59" xfId="0" applyFont="1" applyFill="1" applyBorder="1"/>
    <xf numFmtId="1" fontId="43" fillId="0" borderId="0" xfId="0" applyNumberFormat="1" applyFont="1" applyAlignment="1">
      <alignment horizontal="center"/>
    </xf>
    <xf numFmtId="0" fontId="8" fillId="17" borderId="20" xfId="0" applyFont="1" applyFill="1" applyBorder="1"/>
    <xf numFmtId="3" fontId="10" fillId="24" borderId="72" xfId="0" applyNumberFormat="1" applyFont="1" applyFill="1" applyBorder="1" applyAlignment="1">
      <alignment vertical="center"/>
    </xf>
    <xf numFmtId="0" fontId="8" fillId="24" borderId="60" xfId="0" applyFont="1" applyFill="1" applyBorder="1"/>
    <xf numFmtId="0" fontId="116" fillId="17" borderId="21" xfId="0" applyFont="1" applyFill="1" applyBorder="1"/>
    <xf numFmtId="0" fontId="116" fillId="17" borderId="22" xfId="0" applyFont="1" applyFill="1" applyBorder="1"/>
    <xf numFmtId="0" fontId="116" fillId="24" borderId="22" xfId="0" applyFont="1" applyFill="1" applyBorder="1"/>
    <xf numFmtId="0" fontId="116" fillId="24" borderId="61" xfId="0" applyFont="1" applyFill="1" applyBorder="1"/>
    <xf numFmtId="0" fontId="116" fillId="19" borderId="15" xfId="0" applyFont="1" applyFill="1" applyBorder="1"/>
    <xf numFmtId="0" fontId="116" fillId="17" borderId="0" xfId="0" applyFont="1" applyFill="1"/>
    <xf numFmtId="0" fontId="116" fillId="0" borderId="0" xfId="0" applyFont="1"/>
    <xf numFmtId="3" fontId="116" fillId="0" borderId="0" xfId="0" applyNumberFormat="1" applyFont="1"/>
    <xf numFmtId="0" fontId="116" fillId="19" borderId="0" xfId="0" applyFont="1" applyFill="1"/>
    <xf numFmtId="0" fontId="116" fillId="17" borderId="36" xfId="0" applyFont="1" applyFill="1" applyBorder="1"/>
    <xf numFmtId="0" fontId="116" fillId="17" borderId="37" xfId="0" applyFont="1" applyFill="1" applyBorder="1"/>
    <xf numFmtId="0" fontId="75" fillId="25" borderId="23" xfId="0" applyFont="1" applyFill="1" applyBorder="1"/>
    <xf numFmtId="0" fontId="117" fillId="22" borderId="44" xfId="0" applyFont="1" applyFill="1" applyBorder="1"/>
    <xf numFmtId="0" fontId="69" fillId="22" borderId="36" xfId="0" applyFont="1" applyFill="1" applyBorder="1" applyAlignment="1">
      <alignment horizontal="left"/>
    </xf>
    <xf numFmtId="0" fontId="117" fillId="22" borderId="36" xfId="0" applyFont="1" applyFill="1" applyBorder="1" applyAlignment="1">
      <alignment horizontal="left"/>
    </xf>
    <xf numFmtId="0" fontId="117" fillId="22" borderId="36" xfId="0" applyFont="1" applyFill="1" applyBorder="1"/>
    <xf numFmtId="0" fontId="117" fillId="22" borderId="40" xfId="0" applyFont="1" applyFill="1" applyBorder="1"/>
    <xf numFmtId="0" fontId="116" fillId="17" borderId="15" xfId="0" applyFont="1" applyFill="1" applyBorder="1"/>
    <xf numFmtId="0" fontId="116" fillId="0" borderId="0" xfId="0" applyFont="1" applyAlignment="1">
      <alignment horizontal="center"/>
    </xf>
    <xf numFmtId="0" fontId="69" fillId="22" borderId="43" xfId="0" applyFont="1" applyFill="1" applyBorder="1"/>
    <xf numFmtId="0" fontId="69" fillId="22" borderId="0" xfId="0" applyFont="1" applyFill="1" applyAlignment="1">
      <alignment horizontal="left"/>
    </xf>
    <xf numFmtId="0" fontId="117" fillId="22" borderId="0" xfId="0" applyFont="1" applyFill="1"/>
    <xf numFmtId="0" fontId="117" fillId="22" borderId="41" xfId="0" applyFont="1" applyFill="1" applyBorder="1"/>
    <xf numFmtId="1" fontId="77" fillId="25" borderId="23" xfId="0" applyNumberFormat="1" applyFont="1" applyFill="1" applyBorder="1" applyAlignment="1">
      <alignment horizontal="right"/>
    </xf>
    <xf numFmtId="3" fontId="69" fillId="22" borderId="0" xfId="0" applyNumberFormat="1" applyFont="1" applyFill="1" applyAlignment="1">
      <alignment horizontal="left"/>
    </xf>
    <xf numFmtId="3" fontId="116" fillId="0" borderId="0" xfId="0" applyNumberFormat="1" applyFont="1" applyAlignment="1">
      <alignment horizontal="center"/>
    </xf>
    <xf numFmtId="0" fontId="116" fillId="17" borderId="128" xfId="0" applyFont="1" applyFill="1" applyBorder="1"/>
    <xf numFmtId="0" fontId="69" fillId="22" borderId="34" xfId="0" applyFont="1" applyFill="1" applyBorder="1"/>
    <xf numFmtId="0" fontId="117" fillId="22" borderId="34" xfId="0" applyFont="1" applyFill="1" applyBorder="1"/>
    <xf numFmtId="0" fontId="117" fillId="22" borderId="42" xfId="0" applyFont="1" applyFill="1" applyBorder="1"/>
    <xf numFmtId="0" fontId="8" fillId="19" borderId="16" xfId="0" applyFont="1" applyFill="1" applyBorder="1"/>
    <xf numFmtId="0" fontId="8" fillId="31" borderId="17" xfId="0" applyFont="1" applyFill="1" applyBorder="1"/>
    <xf numFmtId="0" fontId="78" fillId="19" borderId="23" xfId="0" applyFont="1" applyFill="1" applyBorder="1"/>
    <xf numFmtId="0" fontId="76" fillId="19" borderId="23" xfId="0" applyFont="1" applyFill="1" applyBorder="1"/>
    <xf numFmtId="0" fontId="69" fillId="19" borderId="15" xfId="0" applyFont="1" applyFill="1" applyBorder="1"/>
    <xf numFmtId="0" fontId="69" fillId="0" borderId="0" xfId="0" applyFont="1"/>
    <xf numFmtId="3" fontId="10" fillId="19" borderId="0" xfId="0" applyNumberFormat="1" applyFont="1" applyFill="1" applyAlignment="1">
      <alignment vertical="center" wrapText="1"/>
    </xf>
    <xf numFmtId="3" fontId="8" fillId="17" borderId="0" xfId="0" applyNumberFormat="1" applyFont="1" applyFill="1"/>
    <xf numFmtId="0" fontId="86" fillId="24" borderId="0" xfId="0" applyFont="1" applyFill="1"/>
    <xf numFmtId="0" fontId="78" fillId="19" borderId="142" xfId="0" applyFont="1" applyFill="1" applyBorder="1"/>
    <xf numFmtId="3" fontId="0" fillId="24" borderId="0" xfId="0" applyNumberFormat="1" applyFill="1"/>
    <xf numFmtId="0" fontId="47" fillId="0" borderId="0" xfId="0" applyFont="1"/>
    <xf numFmtId="3" fontId="57" fillId="17" borderId="0" xfId="0" applyNumberFormat="1" applyFont="1" applyFill="1"/>
    <xf numFmtId="3" fontId="85" fillId="24" borderId="0" xfId="0" applyNumberFormat="1" applyFont="1" applyFill="1" applyAlignment="1">
      <alignment horizontal="right" vertical="center" indent="1"/>
    </xf>
    <xf numFmtId="3" fontId="84" fillId="24" borderId="0" xfId="0" applyNumberFormat="1" applyFont="1" applyFill="1"/>
    <xf numFmtId="3" fontId="120" fillId="24" borderId="0" xfId="0" applyNumberFormat="1" applyFont="1" applyFill="1"/>
    <xf numFmtId="3" fontId="110" fillId="24" borderId="0" xfId="0" applyNumberFormat="1" applyFont="1" applyFill="1"/>
    <xf numFmtId="3" fontId="10" fillId="24" borderId="115" xfId="0" applyNumberFormat="1" applyFont="1" applyFill="1" applyBorder="1" applyAlignment="1">
      <alignment vertical="center"/>
    </xf>
    <xf numFmtId="3" fontId="111" fillId="24" borderId="0" xfId="0" applyNumberFormat="1" applyFont="1" applyFill="1"/>
    <xf numFmtId="3" fontId="0" fillId="47" borderId="0" xfId="0" applyNumberFormat="1" applyFill="1"/>
    <xf numFmtId="0" fontId="84" fillId="24" borderId="0" xfId="0" applyFont="1" applyFill="1"/>
    <xf numFmtId="0" fontId="128" fillId="19" borderId="0" xfId="0" applyFont="1" applyFill="1"/>
    <xf numFmtId="3" fontId="126" fillId="24" borderId="0" xfId="0" applyNumberFormat="1" applyFont="1" applyFill="1" applyAlignment="1">
      <alignment horizontal="right" vertical="center" indent="1"/>
    </xf>
    <xf numFmtId="3" fontId="10" fillId="24" borderId="0" xfId="0" applyNumberFormat="1" applyFont="1" applyFill="1" applyAlignment="1">
      <alignment horizontal="right"/>
    </xf>
    <xf numFmtId="3" fontId="8" fillId="17" borderId="19" xfId="0" applyNumberFormat="1" applyFont="1" applyFill="1" applyBorder="1" applyAlignment="1">
      <alignment horizontal="right" vertical="center" indent="1"/>
    </xf>
    <xf numFmtId="3" fontId="8" fillId="24" borderId="19" xfId="0" applyNumberFormat="1" applyFont="1" applyFill="1" applyBorder="1" applyAlignment="1">
      <alignment horizontal="right" vertical="center" indent="1"/>
    </xf>
    <xf numFmtId="0" fontId="8" fillId="17" borderId="21" xfId="0" applyFont="1" applyFill="1" applyBorder="1"/>
    <xf numFmtId="0" fontId="8" fillId="17" borderId="22" xfId="0" applyFont="1" applyFill="1" applyBorder="1"/>
    <xf numFmtId="0" fontId="8" fillId="24" borderId="22" xfId="0" applyFont="1" applyFill="1" applyBorder="1"/>
    <xf numFmtId="0" fontId="8" fillId="24" borderId="61" xfId="0" applyFont="1" applyFill="1" applyBorder="1"/>
    <xf numFmtId="0" fontId="74" fillId="22" borderId="44" xfId="0" applyFont="1" applyFill="1" applyBorder="1" applyAlignment="1">
      <alignment horizontal="left"/>
    </xf>
    <xf numFmtId="0" fontId="8" fillId="22" borderId="40" xfId="0" applyFont="1" applyFill="1" applyBorder="1"/>
    <xf numFmtId="0" fontId="74" fillId="22" borderId="43" xfId="0" applyFont="1" applyFill="1" applyBorder="1" applyAlignment="1">
      <alignment horizontal="left"/>
    </xf>
    <xf numFmtId="0" fontId="74" fillId="22" borderId="0" xfId="0" applyFont="1" applyFill="1" applyAlignment="1">
      <alignment horizontal="left"/>
    </xf>
    <xf numFmtId="0" fontId="74" fillId="22" borderId="0" xfId="0" applyFont="1" applyFill="1"/>
    <xf numFmtId="0" fontId="8" fillId="22" borderId="41" xfId="0" applyFont="1" applyFill="1" applyBorder="1"/>
    <xf numFmtId="0" fontId="8" fillId="17" borderId="128" xfId="0" applyFont="1" applyFill="1" applyBorder="1"/>
    <xf numFmtId="0" fontId="74" fillId="22" borderId="34" xfId="0" applyFont="1" applyFill="1" applyBorder="1" applyAlignment="1">
      <alignment horizontal="left"/>
    </xf>
    <xf numFmtId="0" fontId="74" fillId="22" borderId="34" xfId="0" applyFont="1" applyFill="1" applyBorder="1"/>
    <xf numFmtId="0" fontId="8" fillId="22" borderId="42" xfId="0" applyFont="1" applyFill="1" applyBorder="1"/>
    <xf numFmtId="0" fontId="75" fillId="25" borderId="23" xfId="0" applyFont="1" applyFill="1" applyBorder="1" applyAlignment="1">
      <alignment vertical="center"/>
    </xf>
    <xf numFmtId="0" fontId="0" fillId="25" borderId="0" xfId="0" applyFill="1" applyAlignment="1">
      <alignment vertical="center"/>
    </xf>
    <xf numFmtId="0" fontId="0" fillId="25" borderId="15" xfId="0" applyFill="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76" fillId="25" borderId="23" xfId="0" applyFont="1" applyFill="1" applyBorder="1"/>
    <xf numFmtId="0" fontId="43" fillId="25" borderId="0" xfId="0" applyFont="1" applyFill="1"/>
    <xf numFmtId="0" fontId="12" fillId="25" borderId="0" xfId="0" applyFont="1" applyFill="1"/>
    <xf numFmtId="0" fontId="75" fillId="25" borderId="24" xfId="0" applyFont="1" applyFill="1" applyBorder="1"/>
    <xf numFmtId="0" fontId="13" fillId="25" borderId="25" xfId="0" applyFont="1" applyFill="1" applyBorder="1"/>
    <xf numFmtId="0" fontId="0" fillId="25" borderId="25" xfId="0" applyFill="1" applyBorder="1"/>
    <xf numFmtId="0" fontId="79" fillId="25" borderId="0" xfId="0" applyFont="1" applyFill="1" applyAlignment="1">
      <alignment horizontal="left"/>
    </xf>
    <xf numFmtId="4" fontId="5" fillId="25" borderId="0" xfId="0" applyNumberFormat="1" applyFont="1" applyFill="1" applyAlignment="1">
      <alignment horizontal="right"/>
    </xf>
    <xf numFmtId="0" fontId="74" fillId="25" borderId="0" xfId="0" applyFont="1" applyFill="1"/>
    <xf numFmtId="0" fontId="74" fillId="25" borderId="0" xfId="0" applyFont="1" applyFill="1" applyAlignment="1">
      <alignment horizontal="center"/>
    </xf>
    <xf numFmtId="0" fontId="118" fillId="25" borderId="0" xfId="0" applyFont="1" applyFill="1"/>
    <xf numFmtId="0" fontId="115" fillId="25" borderId="0" xfId="0" applyFont="1" applyFill="1"/>
    <xf numFmtId="0" fontId="115" fillId="25" borderId="0" xfId="0" applyFont="1" applyFill="1" applyAlignment="1">
      <alignment horizontal="center"/>
    </xf>
    <xf numFmtId="0" fontId="119" fillId="25" borderId="1" xfId="26" applyFont="1" applyFill="1" applyProtection="1"/>
    <xf numFmtId="0" fontId="19" fillId="25" borderId="1" xfId="26" applyFill="1" applyAlignment="1" applyProtection="1">
      <alignment vertical="center"/>
    </xf>
    <xf numFmtId="169" fontId="74" fillId="25" borderId="0" xfId="0" applyNumberFormat="1" applyFont="1" applyFill="1"/>
    <xf numFmtId="0" fontId="74" fillId="25" borderId="0" xfId="0" applyFont="1" applyFill="1" applyAlignment="1">
      <alignment horizontal="right"/>
    </xf>
    <xf numFmtId="174" fontId="74" fillId="25" borderId="0" xfId="0" applyNumberFormat="1" applyFont="1" applyFill="1" applyAlignment="1">
      <alignment horizontal="left"/>
    </xf>
    <xf numFmtId="0" fontId="75" fillId="25" borderId="0" xfId="0" applyFont="1" applyFill="1" applyAlignment="1">
      <alignment horizontal="center"/>
    </xf>
    <xf numFmtId="0" fontId="8" fillId="25" borderId="0" xfId="0" applyFont="1" applyFill="1" applyAlignment="1">
      <alignment horizontal="left" vertical="center" wrapText="1"/>
    </xf>
    <xf numFmtId="0" fontId="8" fillId="0" borderId="16" xfId="45" applyFont="1" applyBorder="1" applyAlignment="1">
      <alignment horizontal="left" vertical="center" wrapText="1"/>
    </xf>
    <xf numFmtId="0" fontId="8" fillId="0" borderId="25" xfId="45" applyFont="1" applyBorder="1" applyAlignment="1">
      <alignment horizontal="left" vertical="center" wrapText="1"/>
    </xf>
    <xf numFmtId="3" fontId="8" fillId="25" borderId="25" xfId="45" applyNumberFormat="1" applyFont="1" applyFill="1" applyBorder="1" applyAlignment="1">
      <alignment vertical="top"/>
    </xf>
    <xf numFmtId="0" fontId="15" fillId="17" borderId="68" xfId="0" applyFont="1" applyFill="1" applyBorder="1" applyAlignment="1" applyProtection="1">
      <alignment vertical="top"/>
      <protection locked="0"/>
    </xf>
    <xf numFmtId="49" fontId="15" fillId="17" borderId="68" xfId="0" applyNumberFormat="1" applyFont="1" applyFill="1" applyBorder="1" applyAlignment="1" applyProtection="1">
      <alignment vertical="top"/>
      <protection locked="0"/>
    </xf>
    <xf numFmtId="0" fontId="13" fillId="17" borderId="26" xfId="0" applyFont="1" applyFill="1" applyBorder="1" applyAlignment="1">
      <alignment vertical="top"/>
    </xf>
    <xf numFmtId="0" fontId="49" fillId="19" borderId="27" xfId="0" applyFont="1" applyFill="1" applyBorder="1" applyAlignment="1">
      <alignment horizontal="center"/>
    </xf>
    <xf numFmtId="0" fontId="75" fillId="25" borderId="25" xfId="0" applyFont="1" applyFill="1" applyBorder="1" applyAlignment="1">
      <alignment horizontal="center"/>
    </xf>
    <xf numFmtId="0" fontId="13" fillId="0" borderId="110" xfId="0" applyFont="1" applyBorder="1"/>
    <xf numFmtId="0" fontId="13" fillId="0" borderId="25" xfId="0" applyFont="1" applyBorder="1"/>
    <xf numFmtId="0" fontId="74" fillId="0" borderId="25" xfId="0" applyFont="1" applyBorder="1" applyAlignment="1">
      <alignment horizontal="center"/>
    </xf>
    <xf numFmtId="0" fontId="75" fillId="0" borderId="25" xfId="0" applyFont="1" applyBorder="1"/>
    <xf numFmtId="0" fontId="75" fillId="25" borderId="27" xfId="0" applyFont="1" applyFill="1" applyBorder="1" applyAlignment="1">
      <alignment horizontal="center"/>
    </xf>
    <xf numFmtId="0" fontId="49" fillId="19" borderId="128" xfId="0" applyFont="1" applyFill="1" applyBorder="1" applyAlignment="1">
      <alignment horizontal="center"/>
    </xf>
    <xf numFmtId="0" fontId="49" fillId="19" borderId="25" xfId="0" applyFont="1" applyFill="1" applyBorder="1" applyAlignment="1">
      <alignment horizontal="center"/>
    </xf>
    <xf numFmtId="0" fontId="74" fillId="25" borderId="0" xfId="0" applyFont="1" applyFill="1" applyAlignment="1">
      <alignment wrapText="1"/>
    </xf>
    <xf numFmtId="0" fontId="36" fillId="17" borderId="0" xfId="0" applyFont="1" applyFill="1" applyAlignment="1">
      <alignment vertical="top" wrapText="1"/>
    </xf>
    <xf numFmtId="0" fontId="36" fillId="0" borderId="0" xfId="0" applyFont="1" applyAlignment="1">
      <alignment vertical="top" wrapText="1"/>
    </xf>
    <xf numFmtId="0" fontId="0" fillId="0" borderId="0" xfId="0" applyAlignment="1">
      <alignment vertical="top" wrapText="1"/>
    </xf>
    <xf numFmtId="0" fontId="36" fillId="17" borderId="0" xfId="0" applyFont="1" applyFill="1" applyAlignment="1">
      <alignment horizontal="left" vertical="top" wrapText="1"/>
    </xf>
    <xf numFmtId="0" fontId="36" fillId="17" borderId="117" xfId="0" applyFont="1" applyFill="1" applyBorder="1" applyAlignment="1">
      <alignment horizontal="left" vertical="center" wrapText="1"/>
    </xf>
    <xf numFmtId="0" fontId="36" fillId="17" borderId="119" xfId="0" applyFont="1" applyFill="1" applyBorder="1" applyAlignment="1">
      <alignment horizontal="left" vertical="center" wrapText="1"/>
    </xf>
    <xf numFmtId="0" fontId="36" fillId="17" borderId="120" xfId="0" applyFont="1" applyFill="1" applyBorder="1" applyAlignment="1">
      <alignment horizontal="left" vertical="center" wrapText="1"/>
    </xf>
    <xf numFmtId="0" fontId="36" fillId="17" borderId="121" xfId="0" applyFont="1" applyFill="1" applyBorder="1" applyAlignment="1">
      <alignment horizontal="left" vertical="center" wrapText="1"/>
    </xf>
    <xf numFmtId="0" fontId="36" fillId="17" borderId="122" xfId="0" applyFont="1" applyFill="1" applyBorder="1" applyAlignment="1">
      <alignment horizontal="left" vertical="center" wrapText="1"/>
    </xf>
    <xf numFmtId="0" fontId="36" fillId="17" borderId="124" xfId="0" applyFont="1" applyFill="1" applyBorder="1" applyAlignment="1">
      <alignment horizontal="left" vertical="center" wrapText="1"/>
    </xf>
    <xf numFmtId="0" fontId="39" fillId="25" borderId="0" xfId="0" applyFont="1" applyFill="1" applyAlignment="1">
      <alignment horizontal="left" vertical="top" wrapText="1" indent="1"/>
    </xf>
    <xf numFmtId="0" fontId="4" fillId="25" borderId="0" xfId="0" applyFont="1" applyFill="1" applyAlignment="1">
      <alignment horizontal="left" vertical="top" wrapText="1" indent="1"/>
    </xf>
    <xf numFmtId="0" fontId="33" fillId="20" borderId="23" xfId="0" applyFont="1" applyFill="1" applyBorder="1" applyAlignment="1">
      <alignment horizontal="center"/>
    </xf>
    <xf numFmtId="0" fontId="33" fillId="20" borderId="0" xfId="0" applyFont="1" applyFill="1" applyAlignment="1">
      <alignment horizontal="center"/>
    </xf>
    <xf numFmtId="0" fontId="33" fillId="20" borderId="128" xfId="0" applyFont="1" applyFill="1" applyBorder="1" applyAlignment="1">
      <alignment horizontal="center"/>
    </xf>
    <xf numFmtId="0" fontId="34" fillId="20" borderId="23" xfId="0" applyFont="1" applyFill="1" applyBorder="1" applyAlignment="1">
      <alignment horizontal="center"/>
    </xf>
    <xf numFmtId="0" fontId="34" fillId="20" borderId="0" xfId="0" applyFont="1" applyFill="1" applyAlignment="1">
      <alignment horizontal="center"/>
    </xf>
    <xf numFmtId="0" fontId="34" fillId="20" borderId="128" xfId="0" applyFont="1" applyFill="1" applyBorder="1" applyAlignment="1">
      <alignment horizontal="center"/>
    </xf>
    <xf numFmtId="0" fontId="39" fillId="17" borderId="0" xfId="0" applyFont="1" applyFill="1" applyAlignment="1">
      <alignment horizontal="left" vertical="top" wrapText="1" indent="1"/>
    </xf>
    <xf numFmtId="0" fontId="4" fillId="0" borderId="0" xfId="0" applyFont="1" applyAlignment="1">
      <alignment horizontal="left" vertical="top" wrapText="1" indent="1"/>
    </xf>
    <xf numFmtId="0" fontId="36" fillId="17" borderId="0" xfId="0" applyFont="1" applyFill="1" applyAlignment="1">
      <alignment horizontal="center" vertical="center" wrapText="1"/>
    </xf>
    <xf numFmtId="0" fontId="87" fillId="20" borderId="0" xfId="0" applyFont="1" applyFill="1" applyAlignment="1">
      <alignment horizontal="center" vertical="top" wrapText="1"/>
    </xf>
    <xf numFmtId="0" fontId="91" fillId="20" borderId="0" xfId="0" applyFont="1" applyFill="1" applyAlignment="1">
      <alignment horizontal="center" vertical="top" wrapText="1"/>
    </xf>
    <xf numFmtId="0" fontId="34" fillId="20" borderId="23" xfId="0" applyFont="1" applyFill="1" applyBorder="1" applyAlignment="1">
      <alignment horizontal="center" shrinkToFit="1"/>
    </xf>
    <xf numFmtId="0" fontId="34" fillId="20" borderId="0" xfId="0" applyFont="1" applyFill="1" applyAlignment="1">
      <alignment horizontal="center" vertical="top" wrapText="1"/>
    </xf>
    <xf numFmtId="0" fontId="0" fillId="20" borderId="0" xfId="0" applyFill="1" applyAlignment="1">
      <alignment horizontal="center" vertical="top" wrapText="1"/>
    </xf>
    <xf numFmtId="0" fontId="39" fillId="17" borderId="0" xfId="0" applyFont="1" applyFill="1" applyAlignment="1">
      <alignment horizontal="left" vertical="top" wrapText="1"/>
    </xf>
    <xf numFmtId="0" fontId="8" fillId="31" borderId="0" xfId="0" applyFont="1" applyFill="1"/>
    <xf numFmtId="0" fontId="8" fillId="19" borderId="0" xfId="0" applyFont="1" applyFill="1"/>
    <xf numFmtId="0" fontId="8" fillId="17" borderId="0" xfId="0" applyFont="1" applyFill="1"/>
    <xf numFmtId="0" fontId="8" fillId="19" borderId="0" xfId="0" applyFont="1" applyFill="1" applyAlignment="1">
      <alignment vertical="top"/>
    </xf>
    <xf numFmtId="0" fontId="13" fillId="19" borderId="0" xfId="0" applyFont="1" applyFill="1"/>
    <xf numFmtId="0" fontId="8" fillId="53" borderId="0" xfId="0" applyFont="1" applyFill="1"/>
    <xf numFmtId="0" fontId="8" fillId="19" borderId="0" xfId="0" applyFont="1" applyFill="1" applyAlignment="1">
      <alignment horizontal="left" wrapText="1"/>
    </xf>
    <xf numFmtId="0" fontId="47" fillId="19" borderId="0" xfId="0" applyFont="1" applyFill="1" applyAlignment="1">
      <alignment horizontal="left" wrapText="1"/>
    </xf>
    <xf numFmtId="3" fontId="69" fillId="22" borderId="0" xfId="0" applyNumberFormat="1" applyFont="1" applyFill="1" applyAlignment="1">
      <alignment horizontal="left"/>
    </xf>
    <xf numFmtId="0" fontId="8" fillId="19" borderId="0" xfId="0" applyFont="1" applyFill="1" applyAlignment="1">
      <alignment horizontal="left"/>
    </xf>
    <xf numFmtId="0" fontId="8" fillId="19" borderId="0" xfId="0" applyFont="1" applyFill="1" applyAlignment="1">
      <alignment horizontal="left" vertical="center" wrapText="1"/>
    </xf>
    <xf numFmtId="3" fontId="10" fillId="19" borderId="0" xfId="0" applyNumberFormat="1" applyFont="1" applyFill="1" applyAlignment="1">
      <alignment horizontal="center" vertical="top" wrapText="1"/>
    </xf>
    <xf numFmtId="0" fontId="8" fillId="19" borderId="0" xfId="0" applyFont="1" applyFill="1" applyAlignment="1">
      <alignment vertical="top" wrapText="1"/>
    </xf>
    <xf numFmtId="0" fontId="8" fillId="19" borderId="0" xfId="0" applyFont="1" applyFill="1" applyAlignment="1">
      <alignment horizontal="left" vertical="top" wrapText="1"/>
    </xf>
    <xf numFmtId="0" fontId="8" fillId="0" borderId="56" xfId="0" applyFont="1" applyBorder="1" applyAlignment="1">
      <alignment horizontal="center" wrapText="1"/>
    </xf>
    <xf numFmtId="0" fontId="8" fillId="0" borderId="58" xfId="0" applyFont="1" applyBorder="1" applyAlignment="1">
      <alignment horizontal="center" wrapText="1"/>
    </xf>
    <xf numFmtId="0" fontId="8" fillId="19" borderId="0" xfId="0" applyFont="1" applyFill="1" applyAlignment="1">
      <alignment wrapText="1"/>
    </xf>
    <xf numFmtId="0" fontId="0" fillId="0" borderId="0" xfId="0" applyAlignment="1">
      <alignment wrapText="1"/>
    </xf>
    <xf numFmtId="0" fontId="82" fillId="22" borderId="71" xfId="0" applyFont="1" applyFill="1" applyBorder="1" applyAlignment="1">
      <alignment horizontal="left"/>
    </xf>
    <xf numFmtId="0" fontId="82" fillId="22" borderId="34" xfId="0" applyFont="1" applyFill="1" applyBorder="1" applyAlignment="1">
      <alignment horizontal="left"/>
    </xf>
    <xf numFmtId="3" fontId="45" fillId="22" borderId="0" xfId="0" applyNumberFormat="1" applyFont="1" applyFill="1" applyAlignment="1">
      <alignment horizontal="left"/>
    </xf>
    <xf numFmtId="3" fontId="56" fillId="19" borderId="0" xfId="0" applyNumberFormat="1" applyFont="1" applyFill="1" applyAlignment="1">
      <alignment horizontal="left" vertical="center"/>
    </xf>
    <xf numFmtId="0" fontId="56" fillId="0" borderId="0" xfId="0" applyFont="1" applyAlignment="1">
      <alignment horizontal="left" vertical="center"/>
    </xf>
    <xf numFmtId="3" fontId="11" fillId="19" borderId="0" xfId="0" applyNumberFormat="1" applyFont="1" applyFill="1" applyAlignment="1">
      <alignment horizontal="right" vertical="center"/>
    </xf>
    <xf numFmtId="0" fontId="8" fillId="31" borderId="0" xfId="0" applyFont="1" applyFill="1" applyAlignment="1">
      <alignment horizontal="left" vertical="center" wrapText="1"/>
    </xf>
    <xf numFmtId="0" fontId="8" fillId="31" borderId="0" xfId="0" applyFont="1" applyFill="1" applyAlignment="1">
      <alignment horizontal="left" wrapText="1"/>
    </xf>
    <xf numFmtId="1" fontId="130" fillId="22" borderId="71" xfId="0" applyNumberFormat="1" applyFont="1" applyFill="1" applyBorder="1" applyAlignment="1">
      <alignment horizontal="left"/>
    </xf>
    <xf numFmtId="0" fontId="130" fillId="22" borderId="34" xfId="0" applyFont="1" applyFill="1" applyBorder="1" applyAlignment="1">
      <alignment horizontal="left"/>
    </xf>
    <xf numFmtId="0" fontId="69" fillId="22" borderId="36" xfId="0" applyFont="1" applyFill="1" applyBorder="1" applyAlignment="1">
      <alignment horizontal="left"/>
    </xf>
    <xf numFmtId="0" fontId="8" fillId="31" borderId="0" xfId="0" applyFont="1" applyFill="1" applyAlignment="1">
      <alignment vertical="top"/>
    </xf>
    <xf numFmtId="0" fontId="8" fillId="25" borderId="56" xfId="0" applyFont="1" applyFill="1" applyBorder="1" applyAlignment="1">
      <alignment horizontal="center" wrapText="1"/>
    </xf>
    <xf numFmtId="0" fontId="8" fillId="25" borderId="58" xfId="0" applyFont="1" applyFill="1" applyBorder="1" applyAlignment="1">
      <alignment horizontal="center" wrapText="1"/>
    </xf>
    <xf numFmtId="0" fontId="8" fillId="25" borderId="0" xfId="0" applyFont="1" applyFill="1" applyAlignment="1">
      <alignment horizontal="left" vertical="top" wrapText="1"/>
    </xf>
    <xf numFmtId="0" fontId="51" fillId="17" borderId="25" xfId="0" applyFont="1" applyFill="1" applyBorder="1" applyAlignment="1">
      <alignment horizontal="center"/>
    </xf>
    <xf numFmtId="1" fontId="82" fillId="22" borderId="71" xfId="0" applyNumberFormat="1" applyFont="1" applyFill="1" applyBorder="1" applyAlignment="1">
      <alignment horizontal="center"/>
    </xf>
    <xf numFmtId="0" fontId="82" fillId="22" borderId="34" xfId="0" applyFont="1" applyFill="1" applyBorder="1" applyAlignment="1">
      <alignment horizontal="center"/>
    </xf>
    <xf numFmtId="0" fontId="87" fillId="25" borderId="0" xfId="0" applyFont="1" applyFill="1" applyAlignment="1">
      <alignment horizontal="center" vertical="center"/>
    </xf>
    <xf numFmtId="0" fontId="69" fillId="19" borderId="44" xfId="0" applyFont="1" applyFill="1" applyBorder="1" applyAlignment="1">
      <alignment horizontal="left" vertical="center" wrapText="1"/>
    </xf>
    <xf numFmtId="0" fontId="69" fillId="19" borderId="36" xfId="0" applyFont="1" applyFill="1" applyBorder="1" applyAlignment="1">
      <alignment horizontal="left" vertical="center" wrapText="1"/>
    </xf>
    <xf numFmtId="0" fontId="69" fillId="19" borderId="71" xfId="0" applyFont="1" applyFill="1" applyBorder="1" applyAlignment="1">
      <alignment horizontal="left" vertical="center" wrapText="1"/>
    </xf>
    <xf numFmtId="0" fontId="69" fillId="19" borderId="34" xfId="0" applyFont="1" applyFill="1" applyBorder="1" applyAlignment="1">
      <alignment horizontal="left" vertical="center" wrapText="1"/>
    </xf>
    <xf numFmtId="0" fontId="47" fillId="17" borderId="153" xfId="0" applyFont="1" applyFill="1" applyBorder="1" applyAlignment="1">
      <alignment horizontal="left" vertical="top" wrapText="1"/>
    </xf>
    <xf numFmtId="0" fontId="9" fillId="20" borderId="23" xfId="0" applyFont="1" applyFill="1" applyBorder="1" applyAlignment="1">
      <alignment horizontal="center"/>
    </xf>
    <xf numFmtId="0" fontId="9" fillId="20" borderId="0" xfId="0" applyFont="1" applyFill="1" applyAlignment="1">
      <alignment horizontal="center"/>
    </xf>
    <xf numFmtId="0" fontId="9" fillId="20" borderId="15" xfId="0" applyFont="1" applyFill="1" applyBorder="1" applyAlignment="1">
      <alignment horizontal="center"/>
    </xf>
    <xf numFmtId="168" fontId="11" fillId="19" borderId="0" xfId="0" applyNumberFormat="1" applyFont="1" applyFill="1" applyAlignment="1">
      <alignment horizontal="center" vertical="center"/>
    </xf>
    <xf numFmtId="0" fontId="8" fillId="20" borderId="0" xfId="0" applyFont="1" applyFill="1" applyAlignment="1">
      <alignment horizontal="center" vertical="top"/>
    </xf>
    <xf numFmtId="0" fontId="8" fillId="20" borderId="24" xfId="0" applyFont="1" applyFill="1" applyBorder="1" applyAlignment="1">
      <alignment horizontal="center"/>
    </xf>
    <xf numFmtId="0" fontId="8" fillId="20" borderId="25" xfId="0" applyFont="1" applyFill="1" applyBorder="1" applyAlignment="1">
      <alignment horizontal="center"/>
    </xf>
    <xf numFmtId="0" fontId="8" fillId="20" borderId="27" xfId="0" applyFont="1" applyFill="1" applyBorder="1" applyAlignment="1">
      <alignment horizontal="center"/>
    </xf>
    <xf numFmtId="0" fontId="8" fillId="0" borderId="0" xfId="0" applyFont="1" applyAlignment="1">
      <alignment vertical="top" wrapText="1"/>
    </xf>
    <xf numFmtId="0" fontId="10" fillId="31" borderId="0" xfId="0" applyFont="1" applyFill="1" applyAlignment="1">
      <alignment vertical="top"/>
    </xf>
    <xf numFmtId="0" fontId="8" fillId="20" borderId="23" xfId="0" applyFont="1" applyFill="1" applyBorder="1" applyAlignment="1">
      <alignment horizontal="center"/>
    </xf>
    <xf numFmtId="0" fontId="8" fillId="20" borderId="0" xfId="0" applyFont="1" applyFill="1" applyAlignment="1">
      <alignment horizontal="center"/>
    </xf>
    <xf numFmtId="0" fontId="8" fillId="20" borderId="15" xfId="0" applyFont="1" applyFill="1" applyBorder="1" applyAlignment="1">
      <alignment horizontal="center"/>
    </xf>
    <xf numFmtId="0" fontId="69" fillId="20" borderId="23" xfId="0" applyFont="1" applyFill="1" applyBorder="1" applyAlignment="1">
      <alignment horizontal="center"/>
    </xf>
    <xf numFmtId="0" fontId="69" fillId="20" borderId="0" xfId="0" applyFont="1" applyFill="1" applyAlignment="1">
      <alignment horizontal="center"/>
    </xf>
    <xf numFmtId="0" fontId="69" fillId="20" borderId="15" xfId="0" applyFont="1" applyFill="1" applyBorder="1" applyAlignment="1">
      <alignment horizontal="center"/>
    </xf>
    <xf numFmtId="3" fontId="8" fillId="19" borderId="0" xfId="0" applyNumberFormat="1" applyFont="1" applyFill="1" applyAlignment="1">
      <alignment horizontal="right" vertical="top" wrapText="1"/>
    </xf>
    <xf numFmtId="3" fontId="8" fillId="19" borderId="0" xfId="0" applyNumberFormat="1" applyFont="1" applyFill="1" applyAlignment="1">
      <alignment horizontal="right" wrapText="1"/>
    </xf>
    <xf numFmtId="3" fontId="143" fillId="24" borderId="0" xfId="0" applyNumberFormat="1" applyFont="1" applyFill="1" applyAlignment="1">
      <alignment horizontal="center" wrapText="1"/>
    </xf>
    <xf numFmtId="3" fontId="143" fillId="24" borderId="0" xfId="0" applyNumberFormat="1" applyFont="1" applyFill="1" applyAlignment="1">
      <alignment horizontal="center" vertical="top" wrapText="1"/>
    </xf>
    <xf numFmtId="3" fontId="74" fillId="24" borderId="0" xfId="0" applyNumberFormat="1" applyFont="1" applyFill="1" applyAlignment="1">
      <alignment horizontal="center" vertical="center" wrapText="1"/>
    </xf>
    <xf numFmtId="0" fontId="8" fillId="31" borderId="0" xfId="0" applyFont="1" applyFill="1" applyAlignment="1">
      <alignment horizontal="left" vertical="top" wrapText="1"/>
    </xf>
    <xf numFmtId="0" fontId="75" fillId="25" borderId="53" xfId="0" applyFont="1" applyFill="1" applyBorder="1" applyAlignment="1">
      <alignment horizontal="center"/>
    </xf>
    <xf numFmtId="0" fontId="75" fillId="25" borderId="54" xfId="0" applyFont="1" applyFill="1" applyBorder="1" applyAlignment="1">
      <alignment horizontal="center"/>
    </xf>
    <xf numFmtId="0" fontId="10" fillId="19" borderId="0" xfId="0" applyFont="1" applyFill="1" applyAlignment="1">
      <alignment horizontal="left" vertical="top" wrapText="1"/>
    </xf>
    <xf numFmtId="0" fontId="10" fillId="19" borderId="0" xfId="0" applyFont="1" applyFill="1" applyAlignment="1">
      <alignment horizontal="left" wrapText="1"/>
    </xf>
    <xf numFmtId="0" fontId="13" fillId="31" borderId="0" xfId="0" applyFont="1" applyFill="1" applyAlignment="1">
      <alignment horizontal="left" vertical="top" wrapText="1"/>
    </xf>
    <xf numFmtId="0" fontId="73" fillId="38" borderId="0" xfId="0" applyFont="1" applyFill="1" applyAlignment="1">
      <alignment horizontal="center" vertical="center" wrapText="1"/>
    </xf>
    <xf numFmtId="0" fontId="5" fillId="19" borderId="16" xfId="0" applyFont="1" applyFill="1" applyBorder="1" applyAlignment="1">
      <alignment horizontal="left"/>
    </xf>
    <xf numFmtId="0" fontId="8" fillId="53" borderId="0" xfId="0" applyFont="1" applyFill="1" applyAlignment="1">
      <alignment horizontal="left" wrapText="1"/>
    </xf>
    <xf numFmtId="3" fontId="10" fillId="17" borderId="53" xfId="0" applyNumberFormat="1" applyFont="1" applyFill="1" applyBorder="1" applyAlignment="1" applyProtection="1">
      <alignment horizontal="center" vertical="center"/>
      <protection locked="0"/>
    </xf>
    <xf numFmtId="3" fontId="12" fillId="17" borderId="110" xfId="0" applyNumberFormat="1" applyFont="1" applyFill="1" applyBorder="1" applyAlignment="1" applyProtection="1">
      <alignment horizontal="center" vertical="center"/>
      <protection locked="0"/>
    </xf>
    <xf numFmtId="3" fontId="12" fillId="17" borderId="55" xfId="0" applyNumberFormat="1" applyFont="1" applyFill="1" applyBorder="1" applyAlignment="1" applyProtection="1">
      <alignment horizontal="center" vertical="center"/>
      <protection locked="0"/>
    </xf>
    <xf numFmtId="0" fontId="5" fillId="38" borderId="24" xfId="0" applyFont="1" applyFill="1" applyBorder="1" applyAlignment="1">
      <alignment horizontal="left" vertical="center" wrapText="1"/>
    </xf>
    <xf numFmtId="0" fontId="5" fillId="38" borderId="25" xfId="0" applyFont="1" applyFill="1" applyBorder="1" applyAlignment="1">
      <alignment horizontal="left" vertical="center" wrapText="1"/>
    </xf>
    <xf numFmtId="0" fontId="10" fillId="19" borderId="0" xfId="0" applyFont="1" applyFill="1" applyAlignment="1">
      <alignment horizontal="center" vertical="top"/>
    </xf>
    <xf numFmtId="0" fontId="142" fillId="19" borderId="25" xfId="0" applyFont="1" applyFill="1" applyBorder="1" applyAlignment="1">
      <alignment horizontal="center" vertical="center"/>
    </xf>
    <xf numFmtId="0" fontId="34" fillId="19" borderId="25" xfId="0" applyFont="1" applyFill="1" applyBorder="1" applyAlignment="1">
      <alignment horizontal="center" vertical="center"/>
    </xf>
    <xf numFmtId="0" fontId="69" fillId="0" borderId="0" xfId="0" applyFont="1" applyAlignment="1">
      <alignment wrapText="1"/>
    </xf>
    <xf numFmtId="0" fontId="5" fillId="0" borderId="0" xfId="0" applyFont="1" applyAlignment="1">
      <alignment wrapText="1"/>
    </xf>
    <xf numFmtId="0" fontId="43" fillId="0" borderId="56" xfId="0" applyFont="1" applyBorder="1" applyAlignment="1">
      <alignment horizontal="center" vertical="center" wrapText="1"/>
    </xf>
    <xf numFmtId="0" fontId="43" fillId="0" borderId="58" xfId="0" applyFont="1" applyBorder="1" applyAlignment="1">
      <alignment horizontal="center" vertical="center"/>
    </xf>
    <xf numFmtId="0" fontId="83" fillId="0" borderId="0" xfId="0" applyFont="1" applyAlignment="1">
      <alignment horizontal="left" vertical="center"/>
    </xf>
    <xf numFmtId="0" fontId="69" fillId="19" borderId="0" xfId="0" applyFont="1" applyFill="1" applyAlignment="1">
      <alignment horizontal="left" vertical="top" wrapText="1"/>
    </xf>
    <xf numFmtId="0" fontId="74" fillId="0" borderId="56" xfId="0" applyFont="1" applyBorder="1" applyAlignment="1">
      <alignment horizontal="center" wrapText="1"/>
    </xf>
    <xf numFmtId="0" fontId="74" fillId="0" borderId="57" xfId="0" applyFont="1" applyBorder="1" applyAlignment="1">
      <alignment horizontal="center" wrapText="1"/>
    </xf>
    <xf numFmtId="0" fontId="74" fillId="0" borderId="58" xfId="0" applyFont="1" applyBorder="1" applyAlignment="1">
      <alignment horizontal="center" wrapText="1"/>
    </xf>
    <xf numFmtId="0" fontId="8" fillId="31" borderId="0" xfId="0" applyFont="1" applyFill="1" applyAlignment="1">
      <alignment vertical="top" wrapText="1"/>
    </xf>
    <xf numFmtId="0" fontId="13" fillId="19" borderId="0" xfId="0" applyFont="1" applyFill="1" applyAlignment="1">
      <alignment vertical="top" wrapText="1"/>
    </xf>
    <xf numFmtId="0" fontId="10" fillId="19" borderId="0" xfId="0" applyFont="1" applyFill="1" applyAlignment="1">
      <alignment horizontal="center" vertical="center" wrapText="1"/>
    </xf>
    <xf numFmtId="0" fontId="0" fillId="0" borderId="0" xfId="0" applyAlignment="1">
      <alignment vertical="center" wrapText="1"/>
    </xf>
    <xf numFmtId="3" fontId="10" fillId="19" borderId="0" xfId="0" applyNumberFormat="1" applyFont="1" applyFill="1" applyAlignment="1">
      <alignment horizontal="center" vertical="center" wrapText="1"/>
    </xf>
    <xf numFmtId="3" fontId="12" fillId="19" borderId="0" xfId="0" applyNumberFormat="1" applyFont="1" applyFill="1" applyAlignment="1">
      <alignment horizontal="center" vertical="center" wrapText="1"/>
    </xf>
    <xf numFmtId="0" fontId="12" fillId="19" borderId="0" xfId="0" applyFont="1" applyFill="1" applyAlignment="1">
      <alignment horizontal="center" vertical="center" wrapText="1"/>
    </xf>
    <xf numFmtId="0" fontId="69" fillId="19" borderId="0" xfId="0" applyFont="1" applyFill="1" applyAlignment="1">
      <alignment horizontal="left" vertical="center" wrapText="1"/>
    </xf>
    <xf numFmtId="0" fontId="45" fillId="19" borderId="0" xfId="0" applyFont="1" applyFill="1" applyAlignment="1">
      <alignment horizontal="center" wrapText="1"/>
    </xf>
    <xf numFmtId="0" fontId="45" fillId="19" borderId="25" xfId="0" applyFont="1" applyFill="1" applyBorder="1" applyAlignment="1">
      <alignment horizontal="center" wrapText="1"/>
    </xf>
    <xf numFmtId="0" fontId="13" fillId="31" borderId="0" xfId="0" applyFont="1" applyFill="1" applyAlignment="1">
      <alignment horizontal="left"/>
    </xf>
    <xf numFmtId="0" fontId="10" fillId="24" borderId="19" xfId="0" applyFont="1" applyFill="1" applyBorder="1" applyAlignment="1">
      <alignment horizontal="center" vertical="center" wrapText="1"/>
    </xf>
    <xf numFmtId="0" fontId="12" fillId="24" borderId="72" xfId="0" applyFont="1" applyFill="1" applyBorder="1" applyAlignment="1">
      <alignment horizontal="center" vertical="center"/>
    </xf>
    <xf numFmtId="0" fontId="8" fillId="17" borderId="0" xfId="0" applyFont="1" applyFill="1" applyAlignment="1">
      <alignment horizontal="left" vertical="top"/>
    </xf>
    <xf numFmtId="0" fontId="5" fillId="19" borderId="0" xfId="0" applyFont="1" applyFill="1" applyAlignment="1">
      <alignment horizontal="left"/>
    </xf>
    <xf numFmtId="0" fontId="10" fillId="19" borderId="0" xfId="0" applyFont="1" applyFill="1" applyAlignment="1">
      <alignment horizontal="center" vertical="center"/>
    </xf>
    <xf numFmtId="0" fontId="10" fillId="19" borderId="120" xfId="6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121" xfId="0" applyBorder="1" applyAlignment="1">
      <alignment horizontal="center" vertical="center" wrapText="1"/>
    </xf>
    <xf numFmtId="0" fontId="10" fillId="19" borderId="120" xfId="60" quotePrefix="1" applyFont="1" applyFill="1" applyBorder="1" applyAlignment="1">
      <alignment horizontal="center" vertical="center" wrapText="1"/>
    </xf>
    <xf numFmtId="2" fontId="53" fillId="17" borderId="0" xfId="63" applyNumberFormat="1" applyFont="1" applyFill="1" applyAlignment="1">
      <alignment wrapText="1"/>
    </xf>
    <xf numFmtId="0" fontId="53" fillId="17" borderId="0" xfId="60" applyFont="1" applyFill="1" applyAlignment="1">
      <alignment wrapText="1"/>
    </xf>
    <xf numFmtId="0" fontId="105" fillId="40" borderId="23" xfId="60" applyFont="1" applyFill="1" applyBorder="1" applyAlignment="1">
      <alignment horizontal="left"/>
    </xf>
    <xf numFmtId="0" fontId="104" fillId="40" borderId="0" xfId="60" applyFont="1" applyFill="1" applyAlignment="1">
      <alignment horizontal="left"/>
    </xf>
    <xf numFmtId="0" fontId="104" fillId="40" borderId="15" xfId="60" applyFont="1" applyFill="1" applyBorder="1" applyAlignment="1">
      <alignment horizontal="left"/>
    </xf>
    <xf numFmtId="0" fontId="101" fillId="19" borderId="0" xfId="60" applyFont="1" applyFill="1" applyAlignment="1">
      <alignment horizontal="center" vertical="center" wrapText="1"/>
    </xf>
    <xf numFmtId="0" fontId="0" fillId="0" borderId="0" xfId="60" applyFont="1" applyAlignment="1">
      <alignment horizontal="center" vertical="center"/>
    </xf>
    <xf numFmtId="0" fontId="73" fillId="19" borderId="0" xfId="60" quotePrefix="1" applyFont="1" applyFill="1" applyAlignment="1">
      <alignment horizontal="left" wrapText="1"/>
    </xf>
    <xf numFmtId="0" fontId="84" fillId="0" borderId="0" xfId="60" applyFont="1" applyAlignment="1">
      <alignment horizontal="left" wrapText="1"/>
    </xf>
    <xf numFmtId="0" fontId="84" fillId="0" borderId="121" xfId="60" applyFont="1" applyBorder="1" applyAlignment="1">
      <alignment horizontal="left" wrapText="1"/>
    </xf>
    <xf numFmtId="0" fontId="10" fillId="19" borderId="117" xfId="60" quotePrefix="1" applyFont="1" applyFill="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14" fillId="19" borderId="0" xfId="60" applyFont="1" applyFill="1" applyAlignment="1">
      <alignment horizontal="center" vertical="center" wrapText="1"/>
    </xf>
    <xf numFmtId="0" fontId="15" fillId="0" borderId="0" xfId="0" applyFont="1" applyAlignment="1">
      <alignment horizontal="center" vertical="center"/>
    </xf>
    <xf numFmtId="0" fontId="34" fillId="19" borderId="117" xfId="60" applyFont="1" applyFill="1" applyBorder="1" applyAlignment="1">
      <alignment horizontal="center" vertical="center"/>
    </xf>
    <xf numFmtId="0" fontId="0" fillId="0" borderId="118" xfId="0" applyBorder="1" applyAlignment="1">
      <alignment horizontal="center"/>
    </xf>
    <xf numFmtId="0" fontId="0" fillId="0" borderId="119" xfId="0" applyBorder="1" applyAlignment="1">
      <alignment horizontal="center"/>
    </xf>
    <xf numFmtId="0" fontId="73" fillId="19" borderId="127" xfId="60" applyFont="1" applyFill="1" applyBorder="1" applyAlignment="1">
      <alignment horizontal="left" vertical="center" wrapText="1"/>
    </xf>
    <xf numFmtId="0" fontId="4" fillId="0" borderId="120" xfId="0" applyFont="1" applyBorder="1" applyAlignment="1">
      <alignment wrapText="1"/>
    </xf>
    <xf numFmtId="0" fontId="45" fillId="19" borderId="0" xfId="0" applyFont="1" applyFill="1" applyAlignment="1">
      <alignment horizontal="left"/>
    </xf>
    <xf numFmtId="0" fontId="50" fillId="0" borderId="0" xfId="0" applyFont="1" applyAlignment="1">
      <alignment horizontal="left"/>
    </xf>
    <xf numFmtId="0" fontId="74" fillId="0" borderId="0" xfId="0" applyFont="1" applyAlignment="1">
      <alignment horizontal="center" vertical="center" wrapText="1"/>
    </xf>
    <xf numFmtId="0" fontId="121" fillId="19" borderId="0" xfId="0" applyFont="1" applyFill="1" applyAlignment="1" applyProtection="1">
      <alignment horizontal="left" vertical="top" wrapText="1"/>
      <protection locked="0"/>
    </xf>
    <xf numFmtId="0" fontId="45" fillId="19" borderId="0" xfId="0" applyFont="1" applyFill="1" applyAlignment="1">
      <alignment horizontal="left" wrapText="1"/>
    </xf>
    <xf numFmtId="0" fontId="69" fillId="19" borderId="0" xfId="0" applyFont="1" applyFill="1" applyAlignment="1">
      <alignment horizontal="left" wrapText="1"/>
    </xf>
    <xf numFmtId="0" fontId="8" fillId="17" borderId="0" xfId="0" applyFont="1" applyFill="1" applyAlignment="1">
      <alignment horizontal="left"/>
    </xf>
    <xf numFmtId="0" fontId="10" fillId="19" borderId="0" xfId="0" applyFont="1" applyFill="1" applyAlignment="1">
      <alignment horizontal="left"/>
    </xf>
    <xf numFmtId="0" fontId="8" fillId="31" borderId="0" xfId="0" applyFont="1" applyFill="1" applyAlignment="1">
      <alignment horizontal="left"/>
    </xf>
    <xf numFmtId="0" fontId="8" fillId="31" borderId="155" xfId="0" applyFont="1" applyFill="1" applyBorder="1" applyAlignment="1">
      <alignment horizontal="left"/>
    </xf>
    <xf numFmtId="0" fontId="10" fillId="31" borderId="0" xfId="0" applyFont="1" applyFill="1" applyAlignment="1">
      <alignment horizontal="left"/>
    </xf>
    <xf numFmtId="0" fontId="10" fillId="31" borderId="155" xfId="0" applyFont="1" applyFill="1" applyBorder="1" applyAlignment="1">
      <alignment horizontal="left"/>
    </xf>
    <xf numFmtId="0" fontId="8" fillId="17" borderId="0" xfId="0" applyFont="1" applyFill="1" applyAlignment="1">
      <alignment vertical="top" wrapText="1"/>
    </xf>
    <xf numFmtId="0" fontId="47" fillId="17" borderId="0" xfId="0" applyFont="1" applyFill="1" applyAlignment="1">
      <alignment horizontal="left" vertical="top" wrapText="1" indent="1"/>
    </xf>
    <xf numFmtId="0" fontId="13" fillId="17" borderId="68" xfId="0" applyFont="1" applyFill="1" applyBorder="1" applyAlignment="1">
      <alignment horizontal="left" indent="1"/>
    </xf>
    <xf numFmtId="0" fontId="13" fillId="17" borderId="70" xfId="0" applyFont="1" applyFill="1" applyBorder="1" applyAlignment="1">
      <alignment horizontal="left" indent="1"/>
    </xf>
    <xf numFmtId="0" fontId="8" fillId="0" borderId="0" xfId="0" applyFont="1" applyAlignment="1">
      <alignment horizontal="left" vertical="top" wrapText="1"/>
    </xf>
    <xf numFmtId="0" fontId="12" fillId="21"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25" xfId="0" applyBorder="1" applyAlignment="1">
      <alignment horizontal="left" vertical="center" wrapText="1"/>
    </xf>
    <xf numFmtId="0" fontId="13" fillId="17" borderId="0" xfId="0" applyFont="1" applyFill="1" applyAlignment="1">
      <alignment vertical="top" wrapText="1"/>
    </xf>
    <xf numFmtId="0" fontId="0" fillId="17" borderId="0" xfId="0" applyFill="1" applyAlignment="1">
      <alignment vertical="top"/>
    </xf>
    <xf numFmtId="0" fontId="0" fillId="17" borderId="0" xfId="0" applyFill="1" applyAlignment="1">
      <alignment vertical="top" wrapText="1"/>
    </xf>
    <xf numFmtId="49" fontId="13" fillId="17" borderId="68" xfId="0" applyNumberFormat="1" applyFont="1" applyFill="1" applyBorder="1" applyAlignment="1">
      <alignment horizontal="left" indent="1"/>
    </xf>
    <xf numFmtId="49" fontId="13" fillId="17" borderId="70" xfId="0" applyNumberFormat="1" applyFont="1" applyFill="1" applyBorder="1" applyAlignment="1">
      <alignment horizontal="left" indent="1"/>
    </xf>
    <xf numFmtId="0" fontId="12" fillId="20" borderId="23" xfId="0" applyFont="1" applyFill="1" applyBorder="1" applyAlignment="1">
      <alignment horizontal="center" vertical="center" wrapText="1"/>
    </xf>
    <xf numFmtId="0" fontId="12" fillId="20" borderId="0" xfId="0" applyFont="1" applyFill="1" applyAlignment="1">
      <alignment horizontal="center" vertical="center" wrapText="1"/>
    </xf>
    <xf numFmtId="0" fontId="12" fillId="20"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10" fillId="20" borderId="0" xfId="0" applyFont="1" applyFill="1" applyAlignment="1">
      <alignment horizontal="center" vertical="center"/>
    </xf>
    <xf numFmtId="0" fontId="12" fillId="20" borderId="0" xfId="0" applyFont="1" applyFill="1" applyAlignment="1">
      <alignment horizontal="center" vertical="center"/>
    </xf>
    <xf numFmtId="0" fontId="10" fillId="20" borderId="0" xfId="0" applyFont="1" applyFill="1" applyAlignment="1">
      <alignment horizontal="center" vertical="center" wrapText="1"/>
    </xf>
    <xf numFmtId="0" fontId="13" fillId="20" borderId="0" xfId="0" applyFont="1" applyFill="1" applyAlignment="1">
      <alignment horizontal="center" vertical="center" wrapText="1"/>
    </xf>
    <xf numFmtId="0" fontId="12" fillId="20" borderId="23" xfId="0" applyFont="1" applyFill="1" applyBorder="1" applyAlignment="1">
      <alignment horizontal="center" vertical="center"/>
    </xf>
    <xf numFmtId="0" fontId="12" fillId="20" borderId="15" xfId="0" applyFont="1" applyFill="1" applyBorder="1" applyAlignment="1">
      <alignment horizontal="center" vertical="center"/>
    </xf>
    <xf numFmtId="0" fontId="10" fillId="46" borderId="0" xfId="0" applyFont="1" applyFill="1" applyAlignment="1">
      <alignment horizontal="left" vertical="center" wrapText="1"/>
    </xf>
    <xf numFmtId="4" fontId="13" fillId="17" borderId="68" xfId="0" applyNumberFormat="1" applyFont="1" applyFill="1" applyBorder="1" applyAlignment="1">
      <alignment horizontal="left" indent="1"/>
    </xf>
    <xf numFmtId="4" fontId="13" fillId="17" borderId="70" xfId="0" applyNumberFormat="1" applyFont="1" applyFill="1" applyBorder="1" applyAlignment="1">
      <alignment horizontal="left" indent="1"/>
    </xf>
    <xf numFmtId="0" fontId="0" fillId="17" borderId="0" xfId="0" applyFill="1" applyAlignment="1">
      <alignment horizontal="left" vertical="top" indent="1"/>
    </xf>
    <xf numFmtId="0" fontId="13" fillId="17" borderId="0" xfId="0" applyFont="1" applyFill="1" applyAlignment="1">
      <alignment horizontal="left" vertical="top" wrapText="1" indent="1"/>
    </xf>
    <xf numFmtId="0" fontId="44" fillId="17" borderId="0" xfId="0" applyFont="1" applyFill="1" applyAlignment="1">
      <alignment horizontal="right" vertical="center" wrapText="1"/>
    </xf>
    <xf numFmtId="0" fontId="0" fillId="0" borderId="0" xfId="0" applyAlignment="1">
      <alignment horizontal="right" vertical="center" wrapText="1"/>
    </xf>
    <xf numFmtId="0" fontId="0" fillId="17" borderId="0" xfId="0" applyFill="1" applyAlignment="1">
      <alignment horizontal="left" vertical="top" wrapText="1" indent="1"/>
    </xf>
    <xf numFmtId="0" fontId="10" fillId="26" borderId="0" xfId="0" applyFont="1" applyFill="1" applyAlignment="1">
      <alignment vertical="center" wrapText="1"/>
    </xf>
    <xf numFmtId="3" fontId="84" fillId="17" borderId="0" xfId="0" applyNumberFormat="1" applyFont="1" applyFill="1" applyAlignment="1">
      <alignment horizontal="center" vertical="top" wrapText="1"/>
    </xf>
    <xf numFmtId="0" fontId="84" fillId="0" borderId="0" xfId="0" applyFont="1" applyAlignment="1">
      <alignment wrapText="1"/>
    </xf>
    <xf numFmtId="0" fontId="84" fillId="0" borderId="15" xfId="0" applyFont="1" applyBorder="1" applyAlignment="1">
      <alignment wrapText="1"/>
    </xf>
    <xf numFmtId="0" fontId="84" fillId="0" borderId="25" xfId="0" applyFont="1" applyBorder="1" applyAlignment="1">
      <alignment wrapText="1"/>
    </xf>
    <xf numFmtId="0" fontId="84" fillId="0" borderId="27" xfId="0" applyFont="1" applyBorder="1" applyAlignment="1">
      <alignment wrapText="1"/>
    </xf>
    <xf numFmtId="0" fontId="65" fillId="17" borderId="25" xfId="0" applyFont="1" applyFill="1" applyBorder="1" applyAlignment="1">
      <alignment vertical="top" wrapText="1"/>
    </xf>
    <xf numFmtId="0" fontId="65" fillId="0" borderId="25" xfId="0" applyFont="1" applyBorder="1" applyAlignment="1">
      <alignment vertical="top" wrapText="1"/>
    </xf>
    <xf numFmtId="3" fontId="44" fillId="17" borderId="73" xfId="0" applyNumberFormat="1" applyFont="1" applyFill="1" applyBorder="1" applyAlignment="1">
      <alignment horizontal="center" wrapText="1"/>
    </xf>
    <xf numFmtId="0" fontId="0" fillId="0" borderId="25" xfId="0" applyBorder="1" applyAlignment="1">
      <alignment horizontal="center" wrapText="1"/>
    </xf>
    <xf numFmtId="3" fontId="84" fillId="17" borderId="0" xfId="0" applyNumberFormat="1" applyFont="1" applyFill="1" applyAlignment="1">
      <alignment horizontal="center" vertical="center"/>
    </xf>
    <xf numFmtId="0" fontId="47" fillId="17" borderId="0" xfId="0" applyFont="1" applyFill="1" applyAlignment="1">
      <alignment vertical="top" wrapText="1"/>
    </xf>
    <xf numFmtId="0" fontId="0" fillId="33" borderId="26"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33" borderId="24"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12" fillId="17" borderId="0" xfId="0" applyFont="1" applyFill="1" applyAlignment="1">
      <alignment wrapText="1"/>
    </xf>
    <xf numFmtId="4" fontId="84" fillId="17" borderId="0" xfId="0" applyNumberFormat="1" applyFont="1" applyFill="1" applyAlignment="1">
      <alignment horizontal="right" vertical="center" wrapText="1"/>
    </xf>
    <xf numFmtId="4" fontId="84" fillId="17" borderId="0" xfId="0" applyNumberFormat="1" applyFont="1" applyFill="1" applyAlignment="1">
      <alignment horizontal="right" vertical="center"/>
    </xf>
    <xf numFmtId="0" fontId="47" fillId="17" borderId="0" xfId="0" applyFont="1" applyFill="1" applyAlignment="1">
      <alignment horizontal="left" vertical="top" wrapText="1"/>
    </xf>
    <xf numFmtId="0" fontId="10" fillId="25" borderId="0" xfId="0" applyFont="1" applyFill="1" applyAlignment="1">
      <alignment horizontal="left" wrapText="1"/>
    </xf>
    <xf numFmtId="0" fontId="8" fillId="32" borderId="53" xfId="45" applyFont="1" applyFill="1" applyBorder="1" applyAlignment="1" applyProtection="1">
      <alignment horizontal="center" vertical="center" wrapText="1"/>
      <protection locked="0"/>
    </xf>
    <xf numFmtId="0" fontId="8" fillId="32" borderId="54" xfId="45" applyFont="1" applyFill="1" applyBorder="1" applyAlignment="1" applyProtection="1">
      <alignment horizontal="center" vertical="center" wrapText="1"/>
      <protection locked="0"/>
    </xf>
    <xf numFmtId="0" fontId="8" fillId="32" borderId="55" xfId="45" applyFont="1" applyFill="1" applyBorder="1" applyAlignment="1" applyProtection="1">
      <alignment horizontal="center" vertical="center" wrapText="1"/>
      <protection locked="0"/>
    </xf>
    <xf numFmtId="0" fontId="8" fillId="25" borderId="68" xfId="0" applyFont="1" applyFill="1" applyBorder="1" applyAlignment="1">
      <alignment horizontal="right"/>
    </xf>
    <xf numFmtId="0" fontId="8" fillId="25" borderId="69" xfId="0" applyFont="1" applyFill="1" applyBorder="1" applyAlignment="1">
      <alignment horizontal="right"/>
    </xf>
    <xf numFmtId="0" fontId="8" fillId="25" borderId="70" xfId="0" applyFont="1" applyFill="1" applyBorder="1" applyAlignment="1">
      <alignment horizontal="right"/>
    </xf>
    <xf numFmtId="0" fontId="10" fillId="0" borderId="68" xfId="0" applyFont="1" applyBorder="1" applyAlignment="1">
      <alignment horizontal="center"/>
    </xf>
    <xf numFmtId="0" fontId="10" fillId="0" borderId="70" xfId="0" applyFont="1" applyBorder="1" applyAlignment="1">
      <alignment horizontal="center"/>
    </xf>
    <xf numFmtId="0" fontId="34" fillId="25" borderId="0" xfId="45" applyFont="1" applyFill="1" applyAlignment="1">
      <alignment horizontal="center"/>
    </xf>
    <xf numFmtId="0" fontId="8" fillId="25" borderId="68" xfId="0" applyFont="1" applyFill="1" applyBorder="1" applyAlignment="1">
      <alignment horizontal="left" indent="4"/>
    </xf>
    <xf numFmtId="0" fontId="8" fillId="25" borderId="69" xfId="0" applyFont="1" applyFill="1" applyBorder="1" applyAlignment="1">
      <alignment horizontal="left" indent="4"/>
    </xf>
    <xf numFmtId="0" fontId="8" fillId="25" borderId="70" xfId="0" applyFont="1" applyFill="1" applyBorder="1" applyAlignment="1">
      <alignment horizontal="left" indent="4"/>
    </xf>
    <xf numFmtId="3" fontId="10" fillId="25" borderId="0" xfId="45" applyNumberFormat="1" applyFont="1" applyFill="1" applyAlignment="1">
      <alignment horizontal="left" vertical="top" wrapText="1" indent="2"/>
    </xf>
    <xf numFmtId="0" fontId="10" fillId="0" borderId="68" xfId="45" applyFont="1" applyBorder="1" applyAlignment="1">
      <alignment horizontal="center"/>
    </xf>
    <xf numFmtId="0" fontId="10" fillId="0" borderId="70" xfId="45" applyFont="1" applyBorder="1" applyAlignment="1">
      <alignment horizontal="center"/>
    </xf>
    <xf numFmtId="0" fontId="5" fillId="37" borderId="0" xfId="0" applyFont="1" applyFill="1" applyAlignment="1">
      <alignment horizontal="center"/>
    </xf>
    <xf numFmtId="0" fontId="14" fillId="48" borderId="24" xfId="0" applyFont="1" applyFill="1" applyBorder="1" applyAlignment="1">
      <alignment horizontal="center"/>
    </xf>
    <xf numFmtId="0" fontId="14" fillId="48" borderId="25" xfId="0" applyFont="1" applyFill="1" applyBorder="1" applyAlignment="1">
      <alignment horizontal="center"/>
    </xf>
    <xf numFmtId="0" fontId="5" fillId="37" borderId="24" xfId="0" applyFont="1" applyFill="1" applyBorder="1" applyAlignment="1">
      <alignment horizontal="center"/>
    </xf>
    <xf numFmtId="0" fontId="5" fillId="37" borderId="25" xfId="0" applyFont="1" applyFill="1" applyBorder="1" applyAlignment="1">
      <alignment horizontal="center"/>
    </xf>
    <xf numFmtId="0" fontId="5" fillId="37" borderId="27" xfId="0" applyFont="1" applyFill="1" applyBorder="1" applyAlignment="1">
      <alignment horizontal="center"/>
    </xf>
    <xf numFmtId="0" fontId="14" fillId="27" borderId="25" xfId="0" applyFont="1" applyFill="1" applyBorder="1" applyAlignment="1">
      <alignment horizontal="center"/>
    </xf>
    <xf numFmtId="0" fontId="14" fillId="27" borderId="27" xfId="0" applyFont="1" applyFill="1" applyBorder="1" applyAlignment="1">
      <alignment horizontal="center"/>
    </xf>
    <xf numFmtId="0" fontId="4" fillId="48" borderId="24" xfId="0" applyFont="1" applyFill="1" applyBorder="1" applyAlignment="1">
      <alignment horizontal="center"/>
    </xf>
    <xf numFmtId="0" fontId="4" fillId="48" borderId="25" xfId="0" applyFont="1" applyFill="1" applyBorder="1" applyAlignment="1">
      <alignment horizontal="center"/>
    </xf>
    <xf numFmtId="0" fontId="4" fillId="48" borderId="27" xfId="0" applyFont="1" applyFill="1" applyBorder="1" applyAlignment="1">
      <alignment horizontal="center"/>
    </xf>
  </cellXfs>
  <cellStyles count="112">
    <cellStyle name="%" xfId="60" xr:uid="{00000000-0005-0000-0000-00000000000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77" xr:uid="{5BF1656A-E76F-404A-84AD-C01BA0B15401}"/>
    <cellStyle name="CellBACode 2" xfId="95" xr:uid="{429630FB-78C6-4907-A78F-7F08554FB37C}"/>
    <cellStyle name="CellBAName" xfId="78" xr:uid="{D125B45E-B206-47C0-9669-D8C6850E8A3C}"/>
    <cellStyle name="CellBAName 2" xfId="96" xr:uid="{74EDC7BE-DBDD-41BD-A926-9E097595E67C}"/>
    <cellStyle name="CellBAValue" xfId="27" xr:uid="{00000000-0005-0000-0000-00001B000000}"/>
    <cellStyle name="CellBAValue 2" xfId="28" xr:uid="{00000000-0005-0000-0000-00001C000000}"/>
    <cellStyle name="CellMCCode" xfId="79" xr:uid="{9E798746-A2A1-4373-B0FA-090601FF5CEF}"/>
    <cellStyle name="CellMCCode 2" xfId="97" xr:uid="{02DE0BE4-460C-4ADF-A34E-B7E3F1DDC07E}"/>
    <cellStyle name="CellMCName" xfId="80" xr:uid="{03B0A12C-128D-4972-BF33-024F18BCA6E4}"/>
    <cellStyle name="CellMCName 2" xfId="98" xr:uid="{2EAB1CC4-C5AF-43C0-9380-2D8B99236A8F}"/>
    <cellStyle name="CellNationCode" xfId="81" xr:uid="{182850AB-925A-4D44-90B2-F5FFE0E674AC}"/>
    <cellStyle name="CellNationName" xfId="82" xr:uid="{E5A3C43E-8119-42BC-9C27-96F57323C155}"/>
    <cellStyle name="CellNationValue" xfId="29" xr:uid="{00000000-0005-0000-0000-00001D000000}"/>
    <cellStyle name="CellRegionCode" xfId="83" xr:uid="{54921792-C976-4F7C-AECA-4C1199354C37}"/>
    <cellStyle name="CellRegionName" xfId="84" xr:uid="{DBB718B2-BA72-4DB5-BE2A-A8FDE3730076}"/>
    <cellStyle name="CellUACode" xfId="85" xr:uid="{E4406A4D-B9C8-47A1-B621-E1E3CD7C42BC}"/>
    <cellStyle name="CellUACode 2" xfId="99" xr:uid="{73AD437B-00F9-4907-8770-FF913E48203C}"/>
    <cellStyle name="CellUAName" xfId="86" xr:uid="{5EED78DB-DFEF-4169-B915-420FCACA10DB}"/>
    <cellStyle name="CellUAName 2" xfId="100" xr:uid="{F3619EDC-4E4D-4D02-A66F-58C56C486C9B}"/>
    <cellStyle name="CellUAValue" xfId="30" xr:uid="{00000000-0005-0000-0000-00001E000000}"/>
    <cellStyle name="CellUAValue 2" xfId="31" xr:uid="{00000000-0005-0000-0000-00001F000000}"/>
    <cellStyle name="Check Cell" xfId="32" builtinId="23" customBuiltin="1"/>
    <cellStyle name="Comma" xfId="33" builtinId="3"/>
    <cellStyle name="Comma 2" xfId="52" xr:uid="{00000000-0005-0000-0000-000022000000}"/>
    <cellStyle name="Comma 2 2" xfId="53" xr:uid="{00000000-0005-0000-0000-000023000000}"/>
    <cellStyle name="Comma 2 2 2" xfId="73" xr:uid="{45398699-4064-41DF-9C60-A96636DA7B2B}"/>
    <cellStyle name="Comma 2 2 2 2" xfId="108" xr:uid="{C08C94B3-B45F-4B9B-ACF5-3E0AEB0EC088}"/>
    <cellStyle name="Comma 2 3" xfId="72" xr:uid="{D5580FA8-40A1-49F3-9322-1B228C63C409}"/>
    <cellStyle name="Comma 2 3 2" xfId="107" xr:uid="{434DCB42-663E-4C00-BCC3-BA80025B4F7A}"/>
    <cellStyle name="Comma 3" xfId="61" xr:uid="{00000000-0005-0000-0000-000024000000}"/>
    <cellStyle name="Comma 3 2" xfId="76" xr:uid="{965F0132-591E-45D8-A840-6DF2D89C85E0}"/>
    <cellStyle name="Comma 3 2 2" xfId="111" xr:uid="{FABAFEFE-E2A0-45AC-8EAB-37B25B0DEFF2}"/>
    <cellStyle name="Comma 4" xfId="70" xr:uid="{11006F35-77F8-433A-9C6E-4B5FF3F6EB44}"/>
    <cellStyle name="Comma 4 2" xfId="105" xr:uid="{1CFC51C2-0E5D-49DD-949B-0DFD87F743A4}"/>
    <cellStyle name="Currency" xfId="34" builtinId="4"/>
    <cellStyle name="Currency 2" xfId="71" xr:uid="{066B58A8-0684-401B-AFE9-3689757BE9EC}"/>
    <cellStyle name="Currency 2 2" xfId="106" xr:uid="{4CD6A176-4BC1-4A11-BCAD-5FD4871C1117}"/>
    <cellStyle name="Data_Total" xfId="87" xr:uid="{3008A6E7-36CC-4219-9969-884F4B8991E1}"/>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Headings" xfId="88" xr:uid="{2D5F92CB-DBC1-4D3B-9630-3947235E29F8}"/>
    <cellStyle name="Headings 2" xfId="101" xr:uid="{645A7508-944D-4F08-8A8A-4974CC11A1E5}"/>
    <cellStyle name="Hyperlink 2" xfId="54" xr:uid="{00000000-0005-0000-0000-00002D000000}"/>
    <cellStyle name="Hyperlink 2 2" xfId="65" xr:uid="{00000000-0005-0000-0000-00002E000000}"/>
    <cellStyle name="Hyperlink 3" xfId="66" xr:uid="{00000000-0005-0000-0000-00002F000000}"/>
    <cellStyle name="Hyperlink 4" xfId="67" xr:uid="{00000000-0005-0000-0000-000030000000}"/>
    <cellStyle name="Hyperlink_140108 Draft NNDR1Sup 201415" xfId="41" xr:uid="{00000000-0005-0000-0000-000031000000}"/>
    <cellStyle name="Input" xfId="42" builtinId="20" customBuiltin="1"/>
    <cellStyle name="Linked Cell" xfId="43" builtinId="24" customBuiltin="1"/>
    <cellStyle name="Neutral" xfId="44" builtinId="28" customBuiltin="1"/>
    <cellStyle name="Neutral 2" xfId="56" xr:uid="{00000000-0005-0000-0000-000035000000}"/>
    <cellStyle name="Normal" xfId="0" builtinId="0"/>
    <cellStyle name="Normal 2" xfId="45" xr:uid="{00000000-0005-0000-0000-000037000000}"/>
    <cellStyle name="Normal 2 2" xfId="68" xr:uid="{00000000-0005-0000-0000-000038000000}"/>
    <cellStyle name="Normal 3" xfId="57" xr:uid="{00000000-0005-0000-0000-000039000000}"/>
    <cellStyle name="Normal 3 2" xfId="64" xr:uid="{00000000-0005-0000-0000-00003A000000}"/>
    <cellStyle name="Normal 3 3" xfId="94" xr:uid="{36ABAF77-12F2-47F3-9D05-AD5A5DF6DF8D}"/>
    <cellStyle name="Normal 4" xfId="59" xr:uid="{00000000-0005-0000-0000-00003B000000}"/>
    <cellStyle name="Normal 4 2" xfId="75" xr:uid="{3657152A-03C0-490E-A8B1-3EF6DFB76F37}"/>
    <cellStyle name="Normal 4 2 2" xfId="110" xr:uid="{65CD38B6-C94A-4FBB-96B0-23F5CCE53D5D}"/>
    <cellStyle name="Normal 4 3" xfId="104" xr:uid="{AB3B5E3D-12E6-4335-8742-673E31A81EB9}"/>
    <cellStyle name="Normal 5" xfId="55" xr:uid="{00000000-0005-0000-0000-00003C000000}"/>
    <cellStyle name="Normal 5 2" xfId="62" xr:uid="{00000000-0005-0000-0000-00003D000000}"/>
    <cellStyle name="Normal 5 3" xfId="74" xr:uid="{C57D2D4D-6189-4F9B-A269-6CE695FB0388}"/>
    <cellStyle name="Normal 5 3 2" xfId="109" xr:uid="{BA70C64E-DB3D-4C08-8F2F-3AC677A73F83}"/>
    <cellStyle name="Normal 5 4" xfId="103" xr:uid="{414F4A11-926F-4E02-9CAB-71A33A08D1CE}"/>
    <cellStyle name="Normal 6" xfId="69" xr:uid="{00000000-0005-0000-0000-00003E000000}"/>
    <cellStyle name="Normal_Sheet1" xfId="63" xr:uid="{00000000-0005-0000-0000-00003F000000}"/>
    <cellStyle name="Note" xfId="46" builtinId="10" customBuiltin="1"/>
    <cellStyle name="Output" xfId="47" builtinId="21" customBuiltin="1"/>
    <cellStyle name="Percent" xfId="48" builtinId="5"/>
    <cellStyle name="Percent 2" xfId="58" xr:uid="{00000000-0005-0000-0000-000043000000}"/>
    <cellStyle name="Row_CategoryHeadings" xfId="89" xr:uid="{9FDC4338-6D5D-4E1F-BB3C-202796DC3274}"/>
    <cellStyle name="Source" xfId="90" xr:uid="{613CC219-AB3C-4F69-A05E-574FB82F3960}"/>
    <cellStyle name="Style4" xfId="91" xr:uid="{16E8C9D7-FF2A-4C81-AE42-031D13154A72}"/>
    <cellStyle name="Table_Name" xfId="92" xr:uid="{D78D7423-AF5B-4ABF-8FFC-B61BEF2090DF}"/>
    <cellStyle name="Title" xfId="49" builtinId="15" customBuiltin="1"/>
    <cellStyle name="Total" xfId="50" builtinId="25" customBuiltin="1"/>
    <cellStyle name="Warning Text" xfId="51" builtinId="11" customBuiltin="1"/>
    <cellStyle name="Warnings" xfId="93" xr:uid="{8261C79C-AD78-4171-B452-80AB06A984D0}"/>
    <cellStyle name="Warnings 2" xfId="102" xr:uid="{3AA3741E-50C1-4D72-A1B2-71DE5A5FCAAE}"/>
  </cellStyles>
  <dxfs count="19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lor rgb="FF9C0006"/>
      </font>
      <fill>
        <patternFill>
          <bgColor rgb="FFFFC7CE"/>
        </patternFill>
      </fill>
    </dxf>
    <dxf>
      <fill>
        <patternFill patternType="none">
          <bgColor indexed="65"/>
        </patternFill>
      </fill>
    </dxf>
    <dxf>
      <fill>
        <patternFill patternType="none">
          <bgColor indexed="65"/>
        </patternFill>
      </fill>
    </dxf>
    <dxf>
      <font>
        <b/>
        <i val="0"/>
        <condense val="0"/>
        <extend val="0"/>
      </font>
      <fill>
        <patternFill>
          <bgColor indexed="17"/>
        </patternFill>
      </fill>
    </dxf>
    <dxf>
      <font>
        <b/>
        <i val="0"/>
        <condense val="0"/>
        <extend val="0"/>
        <color auto="1"/>
      </font>
      <fill>
        <patternFill>
          <bgColor indexed="10"/>
        </patternFill>
      </fill>
    </dxf>
    <dxf>
      <fill>
        <patternFill patternType="none">
          <bgColor indexed="65"/>
        </patternFill>
      </fill>
    </dxf>
    <dxf>
      <font>
        <b/>
        <i val="0"/>
        <strike val="0"/>
        <color theme="0"/>
      </font>
      <fill>
        <patternFill>
          <bgColor rgb="FFFF0000"/>
        </patternFill>
      </fill>
    </dxf>
    <dxf>
      <font>
        <b/>
        <i val="0"/>
        <color theme="0"/>
      </font>
      <fill>
        <patternFill>
          <bgColor indexed="17"/>
        </patternFill>
      </fill>
    </dxf>
    <dxf>
      <font>
        <b/>
        <i val="0"/>
        <color theme="0"/>
      </font>
      <fill>
        <patternFill>
          <bgColor indexed="10"/>
        </patternFill>
      </fill>
    </dxf>
    <dxf>
      <fill>
        <patternFill>
          <bgColor theme="9" tint="0.59996337778862885"/>
        </patternFill>
      </fill>
    </dxf>
    <dxf>
      <fill>
        <patternFill>
          <bgColor theme="9" tint="0.59996337778862885"/>
        </patternFill>
      </fill>
    </dxf>
    <dxf>
      <font>
        <b/>
        <i val="0"/>
        <color theme="0"/>
      </font>
      <fill>
        <patternFill>
          <bgColor indexed="17"/>
        </patternFill>
      </fill>
    </dxf>
    <dxf>
      <font>
        <b/>
        <i val="0"/>
        <color theme="0"/>
      </font>
      <fill>
        <patternFill>
          <bgColor indexed="10"/>
        </patternFill>
      </fill>
    </dxf>
    <dxf>
      <fill>
        <patternFill>
          <bgColor theme="9" tint="0.59996337778862885"/>
        </patternFill>
      </fill>
    </dxf>
    <dxf>
      <font>
        <b/>
        <i val="0"/>
        <color theme="0"/>
      </font>
      <fill>
        <patternFill>
          <bgColor indexed="17"/>
        </patternFill>
      </fill>
    </dxf>
    <dxf>
      <font>
        <b/>
        <i val="0"/>
        <color theme="0"/>
      </font>
      <fill>
        <patternFill>
          <bgColor indexed="10"/>
        </patternFill>
      </fill>
    </dxf>
    <dxf>
      <font>
        <b/>
        <i val="0"/>
        <condense val="0"/>
        <extend val="0"/>
      </font>
      <fill>
        <patternFill>
          <bgColor indexed="17"/>
        </patternFill>
      </fill>
    </dxf>
    <dxf>
      <font>
        <b/>
        <i val="0"/>
        <condense val="0"/>
        <extend val="0"/>
        <color auto="1"/>
      </font>
      <fill>
        <patternFill>
          <bgColor indexed="10"/>
        </patternFill>
      </fill>
    </dxf>
    <dxf>
      <fill>
        <patternFill patternType="none">
          <bgColor indexed="65"/>
        </patternFill>
      </fill>
    </dxf>
    <dxf>
      <font>
        <b/>
        <i val="0"/>
        <condense val="0"/>
        <extend val="0"/>
      </font>
      <fill>
        <patternFill>
          <bgColor indexed="17"/>
        </patternFill>
      </fill>
    </dxf>
    <dxf>
      <font>
        <b/>
        <i val="0"/>
        <condense val="0"/>
        <extend val="0"/>
        <color auto="1"/>
      </font>
      <fill>
        <patternFill>
          <bgColor indexed="10"/>
        </patternFill>
      </fill>
    </dxf>
    <dxf>
      <font>
        <b/>
        <i val="0"/>
        <condense val="0"/>
        <extend val="0"/>
      </font>
      <fill>
        <patternFill>
          <bgColor indexed="17"/>
        </patternFill>
      </fill>
    </dxf>
    <dxf>
      <font>
        <b/>
        <i val="0"/>
        <condense val="0"/>
        <extend val="0"/>
        <color auto="1"/>
      </font>
      <fill>
        <patternFill>
          <bgColor indexed="10"/>
        </patternFill>
      </fill>
    </dxf>
    <dxf>
      <fill>
        <patternFill patternType="none">
          <bgColor indexed="65"/>
        </patternFill>
      </fill>
    </dxf>
    <dxf>
      <font>
        <b/>
        <i val="0"/>
        <color theme="0"/>
      </font>
      <fill>
        <patternFill>
          <bgColor indexed="17"/>
        </patternFill>
      </fill>
    </dxf>
    <dxf>
      <font>
        <b/>
        <i val="0"/>
        <color theme="0"/>
      </font>
      <fill>
        <patternFill>
          <bgColor indexed="10"/>
        </patternFill>
      </fill>
    </dxf>
    <dxf>
      <font>
        <b/>
        <i val="0"/>
      </font>
      <fill>
        <patternFill>
          <bgColor theme="8" tint="0.59996337778862885"/>
        </patternFill>
      </fill>
    </dxf>
    <dxf>
      <font>
        <b/>
        <i val="0"/>
        <strike val="0"/>
        <color theme="0"/>
      </font>
      <fill>
        <patternFill>
          <bgColor rgb="FFFF0000"/>
        </patternFill>
      </fill>
    </dxf>
    <dxf>
      <font>
        <b/>
        <i val="0"/>
        <color theme="0"/>
      </font>
      <fill>
        <patternFill>
          <bgColor indexed="17"/>
        </patternFill>
      </fill>
    </dxf>
    <dxf>
      <font>
        <b/>
        <i val="0"/>
        <color theme="0"/>
      </font>
      <fill>
        <patternFill>
          <bgColor indexed="10"/>
        </patternFill>
      </fill>
    </dxf>
    <dxf>
      <fill>
        <patternFill>
          <bgColor theme="9" tint="0.59996337778862885"/>
        </patternFill>
      </fill>
    </dxf>
    <dxf>
      <font>
        <b/>
        <i val="0"/>
        <color theme="0"/>
      </font>
      <fill>
        <patternFill>
          <bgColor indexed="17"/>
        </patternFill>
      </fill>
    </dxf>
    <dxf>
      <font>
        <b/>
        <i val="0"/>
        <color theme="0"/>
      </font>
      <fill>
        <patternFill>
          <bgColor indexed="10"/>
        </patternFill>
      </fill>
    </dxf>
    <dxf>
      <fill>
        <patternFill>
          <bgColor theme="9" tint="0.59996337778862885"/>
        </patternFill>
      </fill>
    </dxf>
    <dxf>
      <font>
        <b/>
        <i val="0"/>
        <condense val="0"/>
        <extend val="0"/>
      </font>
      <fill>
        <patternFill>
          <bgColor indexed="17"/>
        </patternFill>
      </fill>
    </dxf>
    <dxf>
      <font>
        <b/>
        <i val="0"/>
        <condense val="0"/>
        <extend val="0"/>
        <color auto="1"/>
      </font>
      <fill>
        <patternFill>
          <bgColor indexed="10"/>
        </patternFill>
      </fill>
    </dxf>
    <dxf>
      <font>
        <b/>
        <i val="0"/>
        <color theme="0"/>
      </font>
      <fill>
        <patternFill>
          <bgColor indexed="17"/>
        </patternFill>
      </fill>
    </dxf>
    <dxf>
      <font>
        <b/>
        <i val="0"/>
        <color theme="0"/>
      </font>
      <fill>
        <patternFill>
          <bgColor indexed="10"/>
        </patternFill>
      </fill>
    </dxf>
    <dxf>
      <fill>
        <patternFill>
          <bgColor theme="9" tint="0.59996337778862885"/>
        </patternFill>
      </fill>
    </dxf>
    <dxf>
      <fill>
        <patternFill>
          <bgColor theme="0" tint="-0.14996795556505021"/>
        </patternFill>
      </fill>
    </dxf>
    <dxf>
      <fill>
        <patternFill>
          <bgColor rgb="FFFF0000"/>
        </patternFill>
      </fill>
    </dxf>
    <dxf>
      <font>
        <color theme="1"/>
      </font>
      <fill>
        <patternFill patternType="solid">
          <bgColor theme="0" tint="-4.9989318521683403E-2"/>
        </patternFill>
      </fill>
      <border>
        <left/>
        <right/>
        <top/>
        <bottom/>
        <vertical/>
        <horizontal/>
      </border>
    </dxf>
    <dxf>
      <fill>
        <patternFill>
          <bgColor theme="0" tint="-0.14996795556505021"/>
        </patternFill>
      </fill>
    </dxf>
    <dxf>
      <fill>
        <patternFill>
          <bgColor rgb="FFFF0000"/>
        </patternFill>
      </fill>
    </dxf>
    <dxf>
      <fill>
        <patternFill>
          <bgColor rgb="FFFF0000"/>
        </patternFill>
      </fill>
    </dxf>
    <dxf>
      <fill>
        <patternFill>
          <bgColor theme="0" tint="-0.14996795556505021"/>
        </patternFill>
      </fill>
    </dxf>
    <dxf>
      <fill>
        <patternFill>
          <bgColor theme="0" tint="-0.24994659260841701"/>
        </patternFill>
      </fill>
    </dxf>
    <dxf>
      <fill>
        <patternFill>
          <bgColor theme="0" tint="-0.24994659260841701"/>
        </patternFill>
      </fill>
    </dxf>
    <dxf>
      <font>
        <strike val="0"/>
        <color theme="0" tint="-0.14996795556505021"/>
      </font>
      <fill>
        <patternFill>
          <bgColor theme="0" tint="-0.14996795556505021"/>
        </patternFill>
      </fill>
      <border>
        <left/>
        <right/>
        <top/>
        <bottom/>
      </border>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4D79B"/>
        </patternFill>
      </fill>
    </dxf>
    <dxf>
      <font>
        <color theme="0" tint="-0.14996795556505021"/>
      </font>
      <fill>
        <patternFill>
          <bgColor theme="0" tint="-0.14996795556505021"/>
        </patternFill>
      </fill>
      <border>
        <top/>
        <bottom/>
      </border>
    </dxf>
    <dxf>
      <font>
        <b/>
        <i val="0"/>
        <color rgb="FFFF0000"/>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b/>
        <i val="0"/>
        <color rgb="FFFF0000"/>
      </font>
    </dxf>
    <dxf>
      <font>
        <b/>
        <i val="0"/>
        <color rgb="FFFF0000"/>
      </font>
    </dxf>
    <dxf>
      <font>
        <color theme="0" tint="-0.14996795556505021"/>
      </font>
      <fill>
        <patternFill>
          <bgColor theme="0" tint="-0.14996795556505021"/>
        </patternFill>
      </fill>
      <border>
        <left/>
        <right/>
        <top/>
        <bottom/>
      </border>
    </dxf>
    <dxf>
      <fill>
        <patternFill>
          <bgColor theme="0" tint="-0.14996795556505021"/>
        </patternFill>
      </fill>
    </dxf>
    <dxf>
      <font>
        <color theme="0" tint="-0.14996795556505021"/>
      </font>
      <fill>
        <patternFill>
          <bgColor theme="0" tint="-0.14996795556505021"/>
        </patternFill>
      </fill>
    </dxf>
    <dxf>
      <font>
        <color rgb="FFFF0000"/>
      </font>
      <fill>
        <patternFill>
          <bgColor theme="0" tint="-0.14996795556505021"/>
        </patternFill>
      </fill>
    </dxf>
    <dxf>
      <fill>
        <patternFill>
          <bgColor theme="0" tint="-0.14996795556505021"/>
        </patternFill>
      </fill>
    </dxf>
    <dxf>
      <font>
        <b/>
        <i val="0"/>
        <color rgb="FFFF0000"/>
      </font>
      <fill>
        <patternFill>
          <bgColor theme="0" tint="-0.14996795556505021"/>
        </patternFill>
      </fill>
    </dxf>
    <dxf>
      <font>
        <b/>
        <i val="0"/>
        <color auto="1"/>
      </font>
      <fill>
        <patternFill>
          <bgColor theme="0" tint="-0.14996795556505021"/>
        </patternFill>
      </fill>
    </dxf>
    <dxf>
      <font>
        <color auto="1"/>
      </font>
      <fill>
        <patternFill>
          <bgColor theme="0" tint="-0.14996795556505021"/>
        </patternFill>
      </fill>
    </dxf>
    <dxf>
      <font>
        <color rgb="FFFFFFCC"/>
      </font>
      <fill>
        <patternFill>
          <bgColor rgb="FFFFFFCC"/>
        </patternFill>
      </fill>
      <border>
        <left/>
        <right/>
        <top/>
        <bottom/>
        <vertical/>
        <horizontal/>
      </border>
    </dxf>
    <dxf>
      <border>
        <left/>
        <right/>
        <top/>
        <bottom/>
        <vertical/>
        <horizontal/>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14996795556505021"/>
      </font>
      <fill>
        <patternFill>
          <bgColor theme="0" tint="-0.14996795556505021"/>
        </patternFill>
      </fill>
    </dxf>
    <dxf>
      <font>
        <color theme="0" tint="-0.14996795556505021"/>
      </font>
      <fill>
        <patternFill>
          <bgColor theme="0" tint="-0.14996795556505021"/>
        </patternFill>
      </fill>
      <border>
        <left/>
        <right/>
        <top/>
        <bottom/>
      </border>
    </dxf>
    <dxf>
      <fill>
        <patternFill>
          <bgColor rgb="FFFFFFCC"/>
        </patternFill>
      </fill>
      <border>
        <bottom/>
        <vertical/>
        <horizontal/>
      </border>
    </dxf>
    <dxf>
      <font>
        <color theme="0" tint="-0.14996795556505021"/>
      </font>
      <fill>
        <patternFill>
          <bgColor rgb="FFFFFFCC"/>
        </patternFill>
      </fill>
      <border>
        <left/>
        <right/>
        <top/>
        <bottom/>
      </border>
    </dxf>
    <dxf>
      <font>
        <color rgb="FFFFFFCC"/>
      </font>
      <fill>
        <patternFill>
          <bgColor rgb="FFFFFFCC"/>
        </patternFill>
      </fill>
    </dxf>
    <dxf>
      <fill>
        <patternFill>
          <bgColor rgb="FFFFFFCC"/>
        </patternFill>
      </fill>
      <border>
        <top/>
        <bottom/>
        <vertical/>
        <horizontal/>
      </border>
    </dxf>
    <dxf>
      <fill>
        <patternFill>
          <bgColor rgb="FFFFFFCC"/>
        </patternFill>
      </fill>
      <border>
        <left/>
        <right/>
        <top/>
        <bottom/>
        <vertical/>
        <horizontal/>
      </border>
    </dxf>
    <dxf>
      <font>
        <color theme="6" tint="0.39994506668294322"/>
      </font>
      <fill>
        <patternFill>
          <bgColor theme="6" tint="0.39994506668294322"/>
        </patternFill>
      </fill>
      <border>
        <left/>
        <right/>
        <top/>
        <bottom/>
        <vertical/>
        <horizontal/>
      </border>
    </dxf>
    <dxf>
      <font>
        <color theme="6" tint="0.39994506668294322"/>
      </font>
      <fill>
        <patternFill>
          <bgColor theme="6" tint="0.39994506668294322"/>
        </patternFill>
      </fill>
      <border>
        <left/>
        <right/>
        <top/>
        <bottom/>
        <vertical/>
        <horizontal/>
      </border>
    </dxf>
    <dxf>
      <font>
        <color rgb="FFFFFFCC"/>
      </font>
      <fill>
        <patternFill>
          <bgColor rgb="FFFFFFCC"/>
        </patternFill>
      </fill>
      <border>
        <left/>
        <right/>
        <top/>
        <bottom/>
        <vertical/>
        <horizontal/>
      </border>
    </dxf>
    <dxf>
      <font>
        <color rgb="FFFFFFCC"/>
      </font>
      <fill>
        <patternFill>
          <bgColor rgb="FFFFFFCC"/>
        </patternFill>
      </fill>
      <border>
        <left/>
        <right/>
        <top/>
        <bottom/>
        <vertical/>
        <horizontal/>
      </border>
    </dxf>
    <dxf>
      <font>
        <color theme="0" tint="-0.14996795556505021"/>
      </font>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FFCC"/>
      </font>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19" formatCode="dd/mm/yyyy"/>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theme="6" tint="0.39994506668294322"/>
      </font>
      <fill>
        <patternFill>
          <bgColor theme="6" tint="0.39994506668294322"/>
        </patternFill>
      </fill>
      <border>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ont>
        <b/>
        <i val="0"/>
        <color rgb="FFFF0000"/>
      </font>
    </dxf>
    <dxf>
      <font>
        <b/>
        <i val="0"/>
        <color rgb="FFFF0000"/>
      </font>
    </dxf>
  </dxfs>
  <tableStyles count="0" defaultTableStyle="TableStyleMedium9" defaultPivotStyle="PivotStyleLight16"/>
  <colors>
    <mruColors>
      <color rgb="FFC4D79B"/>
      <color rgb="FFCC0000"/>
      <color rgb="FFFFFFCC"/>
      <color rgb="FFFFFF99"/>
      <color rgb="FFDDD9C4"/>
      <color rgb="FF99CCFF"/>
      <color rgb="FF008000"/>
      <color rgb="FFC4FF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List" dx="16" fmlaLink="F1" fmlaRange="Data!$B$8:$C$304" noThreeD="1" sel="297" val="29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1190286</xdr:colOff>
      <xdr:row>2</xdr:row>
      <xdr:rowOff>314224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714286" cy="809524"/>
        </a:xfrm>
        <a:prstGeom prst="rect">
          <a:avLst/>
        </a:prstGeom>
      </xdr:spPr>
    </xdr:pic>
    <xdr:clientData/>
  </xdr:twoCellAnchor>
  <xdr:twoCellAnchor editAs="oneCell">
    <xdr:from>
      <xdr:col>0</xdr:col>
      <xdr:colOff>0</xdr:colOff>
      <xdr:row>0</xdr:row>
      <xdr:rowOff>0</xdr:rowOff>
    </xdr:from>
    <xdr:to>
      <xdr:col>2</xdr:col>
      <xdr:colOff>1190286</xdr:colOff>
      <xdr:row>2</xdr:row>
      <xdr:rowOff>314224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714286" cy="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457200</xdr:colOff>
          <xdr:row>9</xdr:row>
          <xdr:rowOff>76200</xdr:rowOff>
        </xdr:from>
        <xdr:to>
          <xdr:col>13</xdr:col>
          <xdr:colOff>47625</xdr:colOff>
          <xdr:row>13</xdr:row>
          <xdr:rowOff>85725</xdr:rowOff>
        </xdr:to>
        <xdr:sp macro="" textlink="">
          <xdr:nvSpPr>
            <xdr:cNvPr id="2053" name="List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3990975</xdr:colOff>
      <xdr:row>1</xdr:row>
      <xdr:rowOff>0</xdr:rowOff>
    </xdr:from>
    <xdr:to>
      <xdr:col>9</xdr:col>
      <xdr:colOff>0</xdr:colOff>
      <xdr:row>1</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54864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3990975</xdr:colOff>
      <xdr:row>1</xdr:row>
      <xdr:rowOff>0</xdr:rowOff>
    </xdr:from>
    <xdr:to>
      <xdr:col>27</xdr:col>
      <xdr:colOff>0</xdr:colOff>
      <xdr:row>1</xdr:row>
      <xdr:rowOff>0</xdr:rowOff>
    </xdr:to>
    <xdr:sp macro="" textlink="">
      <xdr:nvSpPr>
        <xdr:cNvPr id="4" name="Line 1">
          <a:extLst>
            <a:ext uri="{FF2B5EF4-FFF2-40B4-BE49-F238E27FC236}">
              <a16:creationId xmlns:a16="http://schemas.microsoft.com/office/drawing/2014/main" id="{00000000-0008-0000-0400-000004000000}"/>
            </a:ext>
          </a:extLst>
        </xdr:cNvPr>
        <xdr:cNvSpPr>
          <a:spLocks noChangeShapeType="1"/>
        </xdr:cNvSpPr>
      </xdr:nvSpPr>
      <xdr:spPr bwMode="auto">
        <a:xfrm>
          <a:off x="152400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ndr.statistics@communities.gov.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104"/>
  <sheetViews>
    <sheetView showGridLines="0" tabSelected="1" workbookViewId="0"/>
  </sheetViews>
  <sheetFormatPr defaultRowHeight="12.75" x14ac:dyDescent="0.2"/>
  <cols>
    <col min="1" max="1" width="5.7109375" customWidth="1"/>
    <col min="2" max="2" width="17.140625" customWidth="1"/>
    <col min="3" max="3" width="126.7109375" customWidth="1"/>
    <col min="4" max="4" width="5.7109375" customWidth="1"/>
  </cols>
  <sheetData>
    <row r="1" spans="1:4" x14ac:dyDescent="0.2">
      <c r="A1" s="1006" t="s">
        <v>708</v>
      </c>
      <c r="B1" s="131"/>
      <c r="C1" s="131"/>
      <c r="D1" s="132"/>
    </row>
    <row r="2" spans="1:4" ht="26.25" customHeight="1" x14ac:dyDescent="0.2">
      <c r="A2" s="835"/>
      <c r="B2" s="834"/>
      <c r="C2" s="834"/>
      <c r="D2" s="1007"/>
    </row>
    <row r="3" spans="1:4" ht="26.25" customHeight="1" x14ac:dyDescent="0.2">
      <c r="A3" s="835"/>
      <c r="B3" s="834"/>
      <c r="C3" s="834"/>
      <c r="D3" s="1007"/>
    </row>
    <row r="4" spans="1:4" ht="23.25" x14ac:dyDescent="0.35">
      <c r="A4" s="1623" t="s">
        <v>936</v>
      </c>
      <c r="B4" s="1624"/>
      <c r="C4" s="1624"/>
      <c r="D4" s="1625"/>
    </row>
    <row r="5" spans="1:4" ht="23.25" x14ac:dyDescent="0.35">
      <c r="A5" s="1623" t="s">
        <v>2837</v>
      </c>
      <c r="B5" s="1624"/>
      <c r="C5" s="1624"/>
      <c r="D5" s="1625"/>
    </row>
    <row r="6" spans="1:4" s="9" customFormat="1" ht="15.75" x14ac:dyDescent="0.25">
      <c r="A6" s="329"/>
      <c r="B6" s="1008"/>
      <c r="C6" s="1008"/>
      <c r="D6" s="1009"/>
    </row>
    <row r="7" spans="1:4" s="9" customFormat="1" ht="18" x14ac:dyDescent="0.25">
      <c r="A7" s="1626" t="s">
        <v>2772</v>
      </c>
      <c r="B7" s="1627"/>
      <c r="C7" s="1627"/>
      <c r="D7" s="1628"/>
    </row>
    <row r="8" spans="1:4" s="9" customFormat="1" ht="20.25" customHeight="1" x14ac:dyDescent="0.25">
      <c r="A8" s="405"/>
      <c r="B8" s="1010"/>
      <c r="C8" s="167"/>
      <c r="D8" s="902"/>
    </row>
    <row r="9" spans="1:4" s="9" customFormat="1" ht="18" x14ac:dyDescent="0.25">
      <c r="A9" s="1626" t="s">
        <v>487</v>
      </c>
      <c r="B9" s="1627"/>
      <c r="C9" s="1627"/>
      <c r="D9" s="1628"/>
    </row>
    <row r="10" spans="1:4" ht="14.25" customHeight="1" x14ac:dyDescent="0.25">
      <c r="A10" s="1005"/>
      <c r="B10" s="1011"/>
      <c r="C10" s="1011"/>
      <c r="D10" s="1012"/>
    </row>
    <row r="11" spans="1:4" ht="18" x14ac:dyDescent="0.25">
      <c r="A11" s="1634" t="s">
        <v>3286</v>
      </c>
      <c r="B11" s="1627"/>
      <c r="C11" s="1627"/>
      <c r="D11" s="1628"/>
    </row>
    <row r="12" spans="1:4" ht="20.25" x14ac:dyDescent="0.3">
      <c r="A12" s="407"/>
      <c r="B12" s="1013"/>
      <c r="C12" s="1013"/>
      <c r="D12" s="1014"/>
    </row>
    <row r="13" spans="1:4" ht="20.25" x14ac:dyDescent="0.2">
      <c r="A13" s="406"/>
      <c r="B13" s="1632" t="s">
        <v>935</v>
      </c>
      <c r="C13" s="1633"/>
      <c r="D13" s="1015"/>
    </row>
    <row r="14" spans="1:4" ht="15.75" x14ac:dyDescent="0.25">
      <c r="A14" s="405"/>
      <c r="B14" s="1010"/>
      <c r="C14" s="1010"/>
      <c r="D14" s="1016"/>
    </row>
    <row r="15" spans="1:4" ht="15.75" x14ac:dyDescent="0.25">
      <c r="A15" s="405"/>
      <c r="B15" s="1635" t="s">
        <v>2350</v>
      </c>
      <c r="C15" s="1635"/>
      <c r="D15" s="1016"/>
    </row>
    <row r="16" spans="1:4" ht="25.5" customHeight="1" x14ac:dyDescent="0.25">
      <c r="A16" s="405"/>
      <c r="B16" s="1636"/>
      <c r="C16" s="1636"/>
      <c r="D16" s="1016"/>
    </row>
    <row r="17" spans="1:4" x14ac:dyDescent="0.2">
      <c r="A17" s="404"/>
      <c r="B17" s="833"/>
      <c r="C17" s="833"/>
      <c r="D17" s="1017"/>
    </row>
    <row r="18" spans="1:4" ht="13.5" thickBot="1" x14ac:dyDescent="0.25">
      <c r="A18" s="133"/>
      <c r="B18" s="134"/>
      <c r="C18" s="134"/>
      <c r="D18" s="33"/>
    </row>
    <row r="19" spans="1:4" ht="13.5" thickBot="1" x14ac:dyDescent="0.25"/>
    <row r="20" spans="1:4" x14ac:dyDescent="0.2">
      <c r="A20" s="1018"/>
      <c r="B20" s="34"/>
      <c r="C20" s="34"/>
      <c r="D20" s="35"/>
    </row>
    <row r="21" spans="1:4" ht="18" customHeight="1" x14ac:dyDescent="0.2">
      <c r="A21" s="36"/>
      <c r="B21" s="1631" t="s">
        <v>1262</v>
      </c>
      <c r="C21" s="1631"/>
      <c r="D21" s="947"/>
    </row>
    <row r="22" spans="1:4" ht="18" customHeight="1" x14ac:dyDescent="0.2">
      <c r="A22" s="36"/>
      <c r="B22" s="1631"/>
      <c r="C22" s="1631"/>
      <c r="D22" s="947"/>
    </row>
    <row r="23" spans="1:4" ht="13.5" thickBot="1" x14ac:dyDescent="0.25">
      <c r="A23" s="1019"/>
      <c r="B23" s="38"/>
      <c r="C23" s="38"/>
      <c r="D23" s="39"/>
    </row>
    <row r="24" spans="1:4" x14ac:dyDescent="0.2">
      <c r="A24" s="1020"/>
      <c r="D24" s="1021"/>
    </row>
    <row r="25" spans="1:4" s="45" customFormat="1" ht="18" x14ac:dyDescent="0.25">
      <c r="A25" s="1022"/>
      <c r="B25" s="1023" t="s">
        <v>495</v>
      </c>
      <c r="D25" s="1024"/>
    </row>
    <row r="26" spans="1:4" s="45" customFormat="1" ht="20.100000000000001" customHeight="1" x14ac:dyDescent="0.25">
      <c r="A26" s="1022"/>
      <c r="B26" s="1611" t="s">
        <v>934</v>
      </c>
      <c r="C26" s="1612"/>
      <c r="D26" s="1024"/>
    </row>
    <row r="27" spans="1:4" s="45" customFormat="1" ht="20.100000000000001" customHeight="1" x14ac:dyDescent="0.25">
      <c r="A27" s="1022"/>
      <c r="B27" s="1611"/>
      <c r="C27" s="1612"/>
      <c r="D27" s="1024"/>
    </row>
    <row r="28" spans="1:4" s="45" customFormat="1" ht="20.100000000000001" customHeight="1" x14ac:dyDescent="0.25">
      <c r="A28" s="1022"/>
      <c r="B28" s="1612"/>
      <c r="C28" s="1612"/>
      <c r="D28" s="1024"/>
    </row>
    <row r="29" spans="1:4" s="45" customFormat="1" ht="23.25" customHeight="1" x14ac:dyDescent="0.25">
      <c r="A29" s="1022"/>
      <c r="B29" s="1025" t="s">
        <v>496</v>
      </c>
      <c r="D29" s="1024"/>
    </row>
    <row r="30" spans="1:4" s="45" customFormat="1" ht="23.25" customHeight="1" thickBot="1" x14ac:dyDescent="0.3">
      <c r="A30" s="1022"/>
      <c r="B30" s="1025"/>
      <c r="D30" s="1024"/>
    </row>
    <row r="31" spans="1:4" s="45" customFormat="1" ht="20.100000000000001" customHeight="1" thickTop="1" thickBot="1" x14ac:dyDescent="0.35">
      <c r="A31" s="1022"/>
      <c r="B31" s="40"/>
      <c r="C31" s="1629" t="s">
        <v>946</v>
      </c>
      <c r="D31" s="1024"/>
    </row>
    <row r="32" spans="1:4" s="45" customFormat="1" ht="20.100000000000001" customHeight="1" thickTop="1" x14ac:dyDescent="0.3">
      <c r="A32" s="1022"/>
      <c r="B32" s="1026"/>
      <c r="C32" s="1630"/>
      <c r="D32" s="1024"/>
    </row>
    <row r="33" spans="1:4" s="45" customFormat="1" ht="20.100000000000001" customHeight="1" thickBot="1" x14ac:dyDescent="0.35">
      <c r="A33" s="1022"/>
      <c r="B33" s="1026"/>
      <c r="C33" s="403"/>
      <c r="D33" s="1024"/>
    </row>
    <row r="34" spans="1:4" s="45" customFormat="1" ht="20.100000000000001" customHeight="1" thickTop="1" thickBot="1" x14ac:dyDescent="0.3">
      <c r="A34" s="1022"/>
      <c r="B34" s="41"/>
      <c r="C34" s="1637" t="s">
        <v>3411</v>
      </c>
      <c r="D34" s="1024"/>
    </row>
    <row r="35" spans="1:4" s="45" customFormat="1" ht="20.100000000000001" customHeight="1" thickTop="1" x14ac:dyDescent="0.25">
      <c r="A35" s="1022"/>
      <c r="B35" s="8"/>
      <c r="C35" s="1637"/>
      <c r="D35" s="1024"/>
    </row>
    <row r="36" spans="1:4" s="45" customFormat="1" ht="20.100000000000001" customHeight="1" x14ac:dyDescent="0.25">
      <c r="A36" s="1208"/>
      <c r="B36" s="8"/>
      <c r="C36" s="1637"/>
      <c r="D36" s="1024"/>
    </row>
    <row r="37" spans="1:4" s="45" customFormat="1" ht="20.100000000000001" customHeight="1" x14ac:dyDescent="0.25">
      <c r="A37" s="1208"/>
      <c r="B37" s="8"/>
      <c r="C37" s="1637"/>
      <c r="D37" s="1024"/>
    </row>
    <row r="38" spans="1:4" s="45" customFormat="1" ht="20.100000000000001" customHeight="1" x14ac:dyDescent="0.25">
      <c r="A38" s="1208"/>
      <c r="B38" s="8"/>
      <c r="C38" s="1637"/>
      <c r="D38" s="1024"/>
    </row>
    <row r="39" spans="1:4" s="45" customFormat="1" ht="20.100000000000001" customHeight="1" x14ac:dyDescent="0.25">
      <c r="A39" s="1208"/>
      <c r="B39" s="8"/>
      <c r="C39" s="1637"/>
      <c r="D39" s="1024"/>
    </row>
    <row r="40" spans="1:4" s="45" customFormat="1" ht="20.100000000000001" customHeight="1" x14ac:dyDescent="0.3">
      <c r="A40" s="1022"/>
      <c r="B40" s="1026"/>
      <c r="C40" s="1637"/>
      <c r="D40" s="1024"/>
    </row>
    <row r="41" spans="1:4" s="45" customFormat="1" ht="20.100000000000001" customHeight="1" x14ac:dyDescent="0.3">
      <c r="A41" s="1208"/>
      <c r="B41" s="1026"/>
      <c r="C41" s="1637"/>
      <c r="D41" s="1024"/>
    </row>
    <row r="42" spans="1:4" s="45" customFormat="1" ht="20.100000000000001" customHeight="1" x14ac:dyDescent="0.3">
      <c r="A42" s="1208"/>
      <c r="B42" s="1026"/>
      <c r="C42" s="1637"/>
      <c r="D42" s="1024"/>
    </row>
    <row r="43" spans="1:4" s="45" customFormat="1" ht="20.100000000000001" customHeight="1" x14ac:dyDescent="0.3">
      <c r="A43" s="1208"/>
      <c r="B43" s="1026"/>
      <c r="C43" s="1637"/>
      <c r="D43" s="1024"/>
    </row>
    <row r="44" spans="1:4" s="45" customFormat="1" ht="20.100000000000001" customHeight="1" x14ac:dyDescent="0.3">
      <c r="A44" s="1208"/>
      <c r="B44" s="1026"/>
      <c r="C44" s="1637"/>
      <c r="D44" s="1024"/>
    </row>
    <row r="45" spans="1:4" s="45" customFormat="1" ht="20.100000000000001" customHeight="1" x14ac:dyDescent="0.3">
      <c r="A45" s="1208"/>
      <c r="B45" s="1026"/>
      <c r="C45" s="1637"/>
      <c r="D45" s="1024"/>
    </row>
    <row r="46" spans="1:4" s="45" customFormat="1" ht="81" customHeight="1" thickBot="1" x14ac:dyDescent="0.35">
      <c r="A46" s="1208"/>
      <c r="B46" s="1026"/>
      <c r="C46" s="1637"/>
      <c r="D46" s="1024"/>
    </row>
    <row r="47" spans="1:4" s="45" customFormat="1" ht="20.25" thickTop="1" thickBot="1" x14ac:dyDescent="0.35">
      <c r="A47" s="1022"/>
      <c r="B47" s="42"/>
      <c r="C47" s="1621" t="s">
        <v>2336</v>
      </c>
      <c r="D47" s="1024"/>
    </row>
    <row r="48" spans="1:4" s="45" customFormat="1" ht="20.100000000000001" customHeight="1" thickTop="1" x14ac:dyDescent="0.3">
      <c r="A48" s="1022"/>
      <c r="B48" s="1027"/>
      <c r="C48" s="1622"/>
      <c r="D48" s="1024"/>
    </row>
    <row r="49" spans="1:4" s="45" customFormat="1" ht="20.100000000000001" customHeight="1" x14ac:dyDescent="0.3">
      <c r="A49" s="1022"/>
      <c r="B49" s="1027"/>
      <c r="C49" s="1004"/>
      <c r="D49" s="1024"/>
    </row>
    <row r="50" spans="1:4" s="45" customFormat="1" ht="20.100000000000001" customHeight="1" x14ac:dyDescent="0.25">
      <c r="A50" s="1022"/>
      <c r="B50" s="1028" t="s">
        <v>1239</v>
      </c>
      <c r="C50" s="1028"/>
      <c r="D50" s="1024"/>
    </row>
    <row r="51" spans="1:4" s="45" customFormat="1" ht="20.100000000000001" customHeight="1" x14ac:dyDescent="0.25">
      <c r="A51" s="1022"/>
      <c r="B51" s="1029"/>
      <c r="C51" s="1029"/>
      <c r="D51" s="1024"/>
    </row>
    <row r="52" spans="1:4" s="401" customFormat="1" ht="20.100000000000001" customHeight="1" x14ac:dyDescent="0.2">
      <c r="A52" s="402"/>
      <c r="B52" s="1614" t="s">
        <v>1240</v>
      </c>
      <c r="C52" s="1614"/>
      <c r="D52" s="1030"/>
    </row>
    <row r="53" spans="1:4" s="45" customFormat="1" ht="20.100000000000001" customHeight="1" x14ac:dyDescent="0.25">
      <c r="A53" s="1022"/>
      <c r="B53" s="1614"/>
      <c r="C53" s="1614"/>
      <c r="D53" s="1024"/>
    </row>
    <row r="54" spans="1:4" s="45" customFormat="1" ht="20.100000000000001" customHeight="1" x14ac:dyDescent="0.25">
      <c r="A54" s="1022"/>
      <c r="B54" s="1031"/>
      <c r="C54" s="1031"/>
      <c r="D54" s="1024"/>
    </row>
    <row r="55" spans="1:4" s="45" customFormat="1" ht="20.100000000000001" customHeight="1" x14ac:dyDescent="0.25">
      <c r="A55" s="1022"/>
      <c r="B55" s="1032" t="s">
        <v>895</v>
      </c>
      <c r="C55" s="1033"/>
      <c r="D55" s="1024"/>
    </row>
    <row r="56" spans="1:4" s="45" customFormat="1" ht="20.100000000000001" customHeight="1" x14ac:dyDescent="0.25">
      <c r="A56" s="1022"/>
      <c r="B56" s="1614" t="s">
        <v>937</v>
      </c>
      <c r="C56" s="1614"/>
      <c r="D56" s="1024"/>
    </row>
    <row r="57" spans="1:4" s="45" customFormat="1" ht="20.100000000000001" customHeight="1" x14ac:dyDescent="0.25">
      <c r="A57" s="1022"/>
      <c r="B57" s="1614"/>
      <c r="C57" s="1614"/>
      <c r="D57" s="1024"/>
    </row>
    <row r="58" spans="1:4" s="45" customFormat="1" ht="20.100000000000001" customHeight="1" x14ac:dyDescent="0.25">
      <c r="A58" s="1022"/>
      <c r="B58" s="1614"/>
      <c r="C58" s="1614"/>
      <c r="D58" s="1024"/>
    </row>
    <row r="59" spans="1:4" s="45" customFormat="1" ht="20.100000000000001" customHeight="1" x14ac:dyDescent="0.25">
      <c r="A59" s="1022"/>
      <c r="B59" s="1614"/>
      <c r="C59" s="1614"/>
      <c r="D59" s="1024"/>
    </row>
    <row r="60" spans="1:4" s="45" customFormat="1" ht="20.100000000000001" customHeight="1" x14ac:dyDescent="0.25">
      <c r="A60" s="1022"/>
      <c r="B60" s="1034" t="s">
        <v>927</v>
      </c>
      <c r="C60" s="1034"/>
      <c r="D60" s="1024"/>
    </row>
    <row r="61" spans="1:4" s="45" customFormat="1" ht="20.100000000000001" customHeight="1" x14ac:dyDescent="0.25">
      <c r="A61" s="1022"/>
      <c r="B61" s="1031"/>
      <c r="C61" s="1031"/>
      <c r="D61" s="1024"/>
    </row>
    <row r="62" spans="1:4" s="45" customFormat="1" ht="20.100000000000001" customHeight="1" x14ac:dyDescent="0.25">
      <c r="A62" s="1022"/>
      <c r="B62" s="1035" t="s">
        <v>933</v>
      </c>
      <c r="C62" s="1031"/>
      <c r="D62" s="1024"/>
    </row>
    <row r="63" spans="1:4" s="45" customFormat="1" ht="18" customHeight="1" x14ac:dyDescent="0.25">
      <c r="A63" s="1022"/>
      <c r="B63" s="1615" t="s">
        <v>3412</v>
      </c>
      <c r="C63" s="1616"/>
      <c r="D63" s="1024"/>
    </row>
    <row r="64" spans="1:4" s="45" customFormat="1" ht="18" customHeight="1" x14ac:dyDescent="0.25">
      <c r="A64" s="1022"/>
      <c r="B64" s="1617"/>
      <c r="C64" s="1618"/>
      <c r="D64" s="1024"/>
    </row>
    <row r="65" spans="1:4" s="45" customFormat="1" ht="18" customHeight="1" x14ac:dyDescent="0.25">
      <c r="A65" s="1022"/>
      <c r="B65" s="1617"/>
      <c r="C65" s="1618"/>
      <c r="D65" s="1024"/>
    </row>
    <row r="66" spans="1:4" s="45" customFormat="1" ht="18" customHeight="1" x14ac:dyDescent="0.25">
      <c r="A66" s="1022"/>
      <c r="B66" s="1617"/>
      <c r="C66" s="1618"/>
      <c r="D66" s="1024"/>
    </row>
    <row r="67" spans="1:4" s="45" customFormat="1" ht="18" customHeight="1" x14ac:dyDescent="0.25">
      <c r="A67" s="1022"/>
      <c r="B67" s="1617"/>
      <c r="C67" s="1618"/>
      <c r="D67" s="1024"/>
    </row>
    <row r="68" spans="1:4" s="45" customFormat="1" ht="18" customHeight="1" x14ac:dyDescent="0.25">
      <c r="A68" s="1022"/>
      <c r="B68" s="1617"/>
      <c r="C68" s="1618"/>
      <c r="D68" s="1024"/>
    </row>
    <row r="69" spans="1:4" s="45" customFormat="1" ht="18" customHeight="1" x14ac:dyDescent="0.25">
      <c r="A69" s="1022"/>
      <c r="B69" s="1617"/>
      <c r="C69" s="1618"/>
      <c r="D69" s="1024"/>
    </row>
    <row r="70" spans="1:4" s="45" customFormat="1" ht="18" customHeight="1" x14ac:dyDescent="0.25">
      <c r="A70" s="1022"/>
      <c r="B70" s="1617"/>
      <c r="C70" s="1618"/>
      <c r="D70" s="1024"/>
    </row>
    <row r="71" spans="1:4" s="45" customFormat="1" ht="18" customHeight="1" x14ac:dyDescent="0.25">
      <c r="A71" s="1022"/>
      <c r="B71" s="1617"/>
      <c r="C71" s="1618"/>
      <c r="D71" s="1024"/>
    </row>
    <row r="72" spans="1:4" s="45" customFormat="1" ht="18" customHeight="1" x14ac:dyDescent="0.25">
      <c r="A72" s="1022"/>
      <c r="B72" s="1617"/>
      <c r="C72" s="1618"/>
      <c r="D72" s="1024"/>
    </row>
    <row r="73" spans="1:4" s="45" customFormat="1" ht="18" customHeight="1" x14ac:dyDescent="0.25">
      <c r="A73" s="1022"/>
      <c r="B73" s="1617"/>
      <c r="C73" s="1618"/>
      <c r="D73" s="1024"/>
    </row>
    <row r="74" spans="1:4" s="45" customFormat="1" ht="18" customHeight="1" x14ac:dyDescent="0.25">
      <c r="A74" s="1022"/>
      <c r="B74" s="1617"/>
      <c r="C74" s="1618"/>
      <c r="D74" s="1024"/>
    </row>
    <row r="75" spans="1:4" s="45" customFormat="1" ht="18.75" customHeight="1" x14ac:dyDescent="0.25">
      <c r="A75" s="1022"/>
      <c r="B75" s="1617"/>
      <c r="C75" s="1618"/>
      <c r="D75" s="1024"/>
    </row>
    <row r="76" spans="1:4" s="45" customFormat="1" ht="54.75" customHeight="1" x14ac:dyDescent="0.25">
      <c r="A76" s="1022"/>
      <c r="B76" s="1619"/>
      <c r="C76" s="1620"/>
      <c r="D76" s="1024"/>
    </row>
    <row r="77" spans="1:4" s="45" customFormat="1" ht="18.75" x14ac:dyDescent="0.25">
      <c r="A77" s="1022"/>
      <c r="B77" s="1275"/>
      <c r="C77" s="1275"/>
      <c r="D77" s="1024"/>
    </row>
    <row r="78" spans="1:4" s="45" customFormat="1" ht="18" x14ac:dyDescent="0.25">
      <c r="A78" s="1022"/>
      <c r="B78" s="1023" t="s">
        <v>497</v>
      </c>
      <c r="D78" s="1024"/>
    </row>
    <row r="79" spans="1:4" s="45" customFormat="1" ht="20.100000000000001" customHeight="1" x14ac:dyDescent="0.25">
      <c r="A79" s="1022"/>
      <c r="B79" s="1611" t="s">
        <v>3287</v>
      </c>
      <c r="C79" s="1612"/>
      <c r="D79" s="1024"/>
    </row>
    <row r="80" spans="1:4" s="45" customFormat="1" ht="20.100000000000001" customHeight="1" x14ac:dyDescent="0.25">
      <c r="A80" s="1022"/>
      <c r="B80" s="1612"/>
      <c r="C80" s="1612"/>
      <c r="D80" s="1024"/>
    </row>
    <row r="81" spans="1:4" s="45" customFormat="1" ht="20.100000000000001" customHeight="1" x14ac:dyDescent="0.25">
      <c r="A81" s="1022"/>
      <c r="B81" s="1612"/>
      <c r="C81" s="1612"/>
      <c r="D81" s="1024"/>
    </row>
    <row r="82" spans="1:4" s="45" customFormat="1" ht="20.100000000000001" customHeight="1" x14ac:dyDescent="0.25">
      <c r="A82" s="1022"/>
      <c r="B82" s="1613"/>
      <c r="C82" s="1613"/>
      <c r="D82" s="1024"/>
    </row>
    <row r="83" spans="1:4" s="45" customFormat="1" ht="18" x14ac:dyDescent="0.25">
      <c r="A83" s="1022"/>
      <c r="B83" s="1025" t="s">
        <v>2838</v>
      </c>
      <c r="D83" s="1024"/>
    </row>
    <row r="84" spans="1:4" s="45" customFormat="1" ht="18" x14ac:dyDescent="0.25">
      <c r="A84" s="1022"/>
      <c r="B84" s="1025"/>
      <c r="D84" s="1024"/>
    </row>
    <row r="85" spans="1:4" s="45" customFormat="1" ht="18" x14ac:dyDescent="0.25">
      <c r="A85" s="1022"/>
      <c r="B85" s="1023" t="s">
        <v>2292</v>
      </c>
      <c r="D85" s="1024"/>
    </row>
    <row r="86" spans="1:4" s="45" customFormat="1" ht="18" x14ac:dyDescent="0.25">
      <c r="A86" s="1022"/>
      <c r="B86" s="1025" t="s">
        <v>2771</v>
      </c>
      <c r="D86" s="1024"/>
    </row>
    <row r="87" spans="1:4" s="45" customFormat="1" ht="18" x14ac:dyDescent="0.25">
      <c r="A87" s="1022"/>
      <c r="B87" s="1025"/>
      <c r="D87" s="1024"/>
    </row>
    <row r="88" spans="1:4" s="45" customFormat="1" ht="20.100000000000001" customHeight="1" x14ac:dyDescent="0.25">
      <c r="A88" s="1022"/>
      <c r="B88" s="1614" t="s">
        <v>2293</v>
      </c>
      <c r="C88" s="1614"/>
      <c r="D88" s="1024"/>
    </row>
    <row r="89" spans="1:4" s="45" customFormat="1" ht="20.100000000000001" customHeight="1" x14ac:dyDescent="0.25">
      <c r="A89" s="1022"/>
      <c r="B89" s="1614"/>
      <c r="C89" s="1614"/>
      <c r="D89" s="1024"/>
    </row>
    <row r="90" spans="1:4" s="45" customFormat="1" ht="20.100000000000001" customHeight="1" x14ac:dyDescent="0.25">
      <c r="A90" s="1022"/>
      <c r="B90" s="1614"/>
      <c r="C90" s="1614"/>
      <c r="D90" s="1024"/>
    </row>
    <row r="91" spans="1:4" s="45" customFormat="1" ht="20.100000000000001" customHeight="1" x14ac:dyDescent="0.25">
      <c r="A91" s="1022"/>
      <c r="B91" s="1614"/>
      <c r="C91" s="1614"/>
      <c r="D91" s="1024"/>
    </row>
    <row r="92" spans="1:4" s="45" customFormat="1" ht="20.100000000000001" customHeight="1" x14ac:dyDescent="0.25">
      <c r="A92" s="1022"/>
      <c r="B92" s="1614"/>
      <c r="C92" s="1614"/>
      <c r="D92" s="1024"/>
    </row>
    <row r="93" spans="1:4" s="45" customFormat="1" ht="18" x14ac:dyDescent="0.25">
      <c r="A93" s="1022"/>
      <c r="B93" s="1614"/>
      <c r="C93" s="1614"/>
      <c r="D93" s="1024"/>
    </row>
    <row r="94" spans="1:4" s="45" customFormat="1" ht="18" x14ac:dyDescent="0.25">
      <c r="A94" s="1022"/>
      <c r="B94" s="717"/>
      <c r="C94" s="717"/>
      <c r="D94" s="1024"/>
    </row>
    <row r="95" spans="1:4" s="45" customFormat="1" ht="18" x14ac:dyDescent="0.25">
      <c r="A95" s="1022"/>
      <c r="B95" s="1025" t="s">
        <v>1260</v>
      </c>
      <c r="D95" s="1024"/>
    </row>
    <row r="96" spans="1:4" s="45" customFormat="1" ht="18" x14ac:dyDescent="0.25">
      <c r="A96" s="1022"/>
      <c r="B96" s="1036"/>
      <c r="D96" s="1024"/>
    </row>
    <row r="97" spans="1:4" s="45" customFormat="1" ht="20.100000000000001" customHeight="1" x14ac:dyDescent="0.25">
      <c r="A97" s="1022"/>
      <c r="B97" s="1025" t="s">
        <v>938</v>
      </c>
      <c r="D97" s="1024"/>
    </row>
    <row r="98" spans="1:4" s="45" customFormat="1" ht="20.100000000000001" customHeight="1" x14ac:dyDescent="0.25">
      <c r="A98" s="1022"/>
      <c r="B98" s="1037" t="s">
        <v>2423</v>
      </c>
      <c r="D98" s="1024"/>
    </row>
    <row r="99" spans="1:4" s="45" customFormat="1" ht="18.75" thickBot="1" x14ac:dyDescent="0.3">
      <c r="A99" s="1038"/>
      <c r="B99" s="1039"/>
      <c r="C99" s="1039"/>
      <c r="D99" s="1040"/>
    </row>
    <row r="100" spans="1:4" ht="15" x14ac:dyDescent="0.2">
      <c r="B100" s="9"/>
    </row>
    <row r="101" spans="1:4" ht="15" x14ac:dyDescent="0.2">
      <c r="B101" s="9"/>
    </row>
    <row r="102" spans="1:4" ht="15" x14ac:dyDescent="0.2">
      <c r="B102" s="9"/>
    </row>
    <row r="103" spans="1:4" ht="15" x14ac:dyDescent="0.2">
      <c r="B103" s="9"/>
    </row>
    <row r="104" spans="1:4" ht="15" x14ac:dyDescent="0.2">
      <c r="B104" s="9"/>
    </row>
  </sheetData>
  <sheetProtection sheet="1" objects="1" scenarios="1"/>
  <mergeCells count="17">
    <mergeCell ref="C47:C48"/>
    <mergeCell ref="A4:D4"/>
    <mergeCell ref="A5:D5"/>
    <mergeCell ref="A7:D7"/>
    <mergeCell ref="A9:D9"/>
    <mergeCell ref="C31:C32"/>
    <mergeCell ref="B21:C22"/>
    <mergeCell ref="B26:C28"/>
    <mergeCell ref="B13:C13"/>
    <mergeCell ref="A11:D11"/>
    <mergeCell ref="B15:C16"/>
    <mergeCell ref="C34:C46"/>
    <mergeCell ref="B79:C82"/>
    <mergeCell ref="B56:C59"/>
    <mergeCell ref="B88:C93"/>
    <mergeCell ref="B52:C53"/>
    <mergeCell ref="B63:C76"/>
  </mergeCells>
  <hyperlinks>
    <hyperlink ref="B98" r:id="rId1" display="nndr.statistics@communities.gov.uk" xr:uid="{E02A5905-B7F6-4742-9D0D-CBBE00DC2097}"/>
  </hyperlinks>
  <printOptions horizontalCentered="1" verticalCentered="1"/>
  <pageMargins left="0.74803149606299213" right="0.74803149606299213" top="0.78740157480314965" bottom="0.78740157480314965" header="0.51181102362204722" footer="0.51181102362204722"/>
  <pageSetup paperSize="9" scale="5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947-DC61-4DB2-AB31-3A3311C757B5}">
  <sheetPr codeName="Sheet24">
    <tabColor rgb="FF00B0F0"/>
    <pageSetUpPr autoPageBreaks="0"/>
  </sheetPr>
  <dimension ref="A1:K1382"/>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9.140625" defaultRowHeight="12.75" x14ac:dyDescent="0.2"/>
  <cols>
    <col min="1" max="1" width="25.85546875" customWidth="1"/>
    <col min="2" max="2" width="22.42578125" bestFit="1" customWidth="1"/>
    <col min="3" max="5" width="22.42578125" customWidth="1"/>
  </cols>
  <sheetData>
    <row r="1" spans="1:5" x14ac:dyDescent="0.2">
      <c r="A1" s="764" t="s">
        <v>1263</v>
      </c>
      <c r="B1" s="759" t="s">
        <v>1264</v>
      </c>
      <c r="C1" s="759" t="s">
        <v>1265</v>
      </c>
      <c r="D1" s="759" t="s">
        <v>1266</v>
      </c>
      <c r="E1" s="759" t="s">
        <v>1267</v>
      </c>
    </row>
    <row r="2" spans="1:5" ht="15.75" x14ac:dyDescent="0.2">
      <c r="A2" s="765" t="s">
        <v>1268</v>
      </c>
      <c r="B2" s="766" t="s">
        <v>984</v>
      </c>
      <c r="C2" s="766"/>
      <c r="D2" s="766"/>
      <c r="E2" s="766"/>
    </row>
    <row r="3" spans="1:5" ht="15.75" x14ac:dyDescent="0.2">
      <c r="A3" s="765" t="s">
        <v>1269</v>
      </c>
      <c r="B3">
        <f>'Part 1'!S20</f>
        <v>1.1000000000000001</v>
      </c>
    </row>
    <row r="4" spans="1:5" ht="15.75" x14ac:dyDescent="0.2">
      <c r="A4" s="765" t="s">
        <v>1270</v>
      </c>
      <c r="B4" s="767" t="e">
        <f>'Part 1'!$K$16</f>
        <v>#N/A</v>
      </c>
      <c r="C4" s="767"/>
      <c r="D4" s="767"/>
      <c r="E4" s="767"/>
    </row>
    <row r="5" spans="1:5" ht="15.75" x14ac:dyDescent="0.2">
      <c r="A5" s="765" t="s">
        <v>1382</v>
      </c>
      <c r="B5" s="767" t="e">
        <f>Import_LA_Name</f>
        <v>#N/A</v>
      </c>
      <c r="C5" s="767"/>
      <c r="D5" s="767"/>
      <c r="E5" s="767"/>
    </row>
    <row r="6" spans="1:5" ht="15.75" x14ac:dyDescent="0.2">
      <c r="A6" s="765" t="s">
        <v>1271</v>
      </c>
      <c r="B6" s="142">
        <v>202501</v>
      </c>
    </row>
    <row r="7" spans="1:5" ht="15.75" x14ac:dyDescent="0.2">
      <c r="A7" s="765" t="s">
        <v>1272</v>
      </c>
      <c r="B7" s="142">
        <f>'Part 1'!K17</f>
        <v>0</v>
      </c>
      <c r="C7" s="142"/>
      <c r="D7" s="142"/>
      <c r="E7" s="142"/>
    </row>
    <row r="8" spans="1:5" ht="15.75" x14ac:dyDescent="0.2">
      <c r="A8" s="765" t="s">
        <v>1273</v>
      </c>
      <c r="B8" s="142">
        <f>'Part 1'!K18</f>
        <v>0</v>
      </c>
      <c r="C8" s="142"/>
      <c r="D8" s="142"/>
      <c r="E8" s="142"/>
    </row>
    <row r="9" spans="1:5" ht="15.75" x14ac:dyDescent="0.2">
      <c r="A9" s="765" t="s">
        <v>1274</v>
      </c>
      <c r="B9" s="142">
        <f>'Part 1'!K19</f>
        <v>0</v>
      </c>
      <c r="C9" s="142"/>
      <c r="D9" s="142"/>
      <c r="E9" s="142"/>
    </row>
    <row r="10" spans="1:5" ht="15.75" x14ac:dyDescent="0.2">
      <c r="A10" s="765" t="s">
        <v>2447</v>
      </c>
      <c r="B10" s="1046" t="e">
        <f>INDEX(Data!BJ:BJ,MATCH(Import_LA_Code,Ref_LA_Codes,0))</f>
        <v>#N/A</v>
      </c>
      <c r="C10" s="142"/>
      <c r="D10" s="142"/>
      <c r="E10" s="142"/>
    </row>
    <row r="11" spans="1:5" ht="15.75" x14ac:dyDescent="0.2">
      <c r="A11" s="765" t="s">
        <v>2448</v>
      </c>
      <c r="B11" s="1046" t="e">
        <f>INDEX(Data!BK:BK,MATCH(Import_LA_Code,Ref_LA_Codes,0))</f>
        <v>#N/A</v>
      </c>
      <c r="C11" s="142"/>
      <c r="D11" s="142"/>
      <c r="E11" s="142"/>
    </row>
    <row r="12" spans="1:5" ht="15.75" x14ac:dyDescent="0.2">
      <c r="A12" s="765" t="s">
        <v>2449</v>
      </c>
      <c r="B12" s="1046" t="e">
        <f>INDEX(Data!BL:BL,MATCH(Import_LA_Code,Ref_LA_Codes,0))</f>
        <v>#N/A</v>
      </c>
      <c r="C12" s="142"/>
      <c r="D12" s="142"/>
      <c r="E12" s="142"/>
    </row>
    <row r="13" spans="1:5" s="770" customFormat="1" x14ac:dyDescent="0.2">
      <c r="A13" s="768" t="s">
        <v>1383</v>
      </c>
      <c r="B13" s="769">
        <f>'Part 1'!$K$25</f>
        <v>0</v>
      </c>
      <c r="C13" s="769"/>
      <c r="D13" s="769"/>
      <c r="E13" s="769"/>
    </row>
    <row r="14" spans="1:5" s="770" customFormat="1" x14ac:dyDescent="0.2">
      <c r="A14" s="771" t="s">
        <v>1275</v>
      </c>
      <c r="B14" s="769">
        <f>'Part 1'!$K$30</f>
        <v>0</v>
      </c>
      <c r="C14" s="769"/>
      <c r="D14" s="769"/>
      <c r="E14" s="769"/>
    </row>
    <row r="15" spans="1:5" s="770" customFormat="1" x14ac:dyDescent="0.2">
      <c r="A15" s="771" t="s">
        <v>1276</v>
      </c>
      <c r="B15" s="769">
        <f>'Part 1'!$K$32</f>
        <v>0</v>
      </c>
      <c r="C15" s="769"/>
      <c r="D15" s="769"/>
      <c r="E15" s="769"/>
    </row>
    <row r="16" spans="1:5" s="770" customFormat="1" x14ac:dyDescent="0.2">
      <c r="A16" s="771" t="s">
        <v>1384</v>
      </c>
      <c r="B16" s="769" t="e">
        <f>'Part 1'!$K$35</f>
        <v>#N/A</v>
      </c>
      <c r="C16" s="769"/>
      <c r="D16" s="769"/>
      <c r="E16" s="769"/>
    </row>
    <row r="17" spans="1:5" s="770" customFormat="1" x14ac:dyDescent="0.2">
      <c r="A17" s="771" t="s">
        <v>1385</v>
      </c>
      <c r="B17" s="769">
        <f>'Part 1'!$K$37</f>
        <v>0</v>
      </c>
      <c r="C17" s="769"/>
      <c r="D17" s="769"/>
      <c r="E17" s="769"/>
    </row>
    <row r="18" spans="1:5" s="770" customFormat="1" x14ac:dyDescent="0.2">
      <c r="A18" s="771" t="s">
        <v>1386</v>
      </c>
      <c r="B18" s="769" t="e">
        <f>'Part 1'!$K$39</f>
        <v>#N/A</v>
      </c>
      <c r="C18" s="769"/>
      <c r="D18" s="769"/>
      <c r="E18" s="769"/>
    </row>
    <row r="19" spans="1:5" s="770" customFormat="1" x14ac:dyDescent="0.2">
      <c r="A19" s="771" t="s">
        <v>1277</v>
      </c>
      <c r="B19" s="769" t="e">
        <f>'Part 1'!$K$42</f>
        <v>#N/A</v>
      </c>
      <c r="C19" s="769"/>
      <c r="D19" s="769"/>
      <c r="E19" s="769"/>
    </row>
    <row r="20" spans="1:5" s="770" customFormat="1" x14ac:dyDescent="0.2">
      <c r="A20" s="771" t="s">
        <v>1387</v>
      </c>
      <c r="B20" s="769">
        <f>'Part 1'!$K$45</f>
        <v>0</v>
      </c>
      <c r="C20" s="769"/>
      <c r="D20" s="769"/>
      <c r="E20" s="769"/>
    </row>
    <row r="21" spans="1:5" s="770" customFormat="1" x14ac:dyDescent="0.2">
      <c r="A21" s="771" t="s">
        <v>1388</v>
      </c>
      <c r="B21" s="769">
        <f>'Part 1'!$K$47</f>
        <v>0</v>
      </c>
      <c r="C21" s="769"/>
      <c r="D21" s="769"/>
      <c r="E21" s="769"/>
    </row>
    <row r="22" spans="1:5" s="770" customFormat="1" x14ac:dyDescent="0.2">
      <c r="A22" s="771" t="s">
        <v>1389</v>
      </c>
      <c r="B22" s="769">
        <f>'Part 1'!$K$50</f>
        <v>0</v>
      </c>
      <c r="C22" s="769"/>
      <c r="D22" s="769"/>
      <c r="E22" s="769"/>
    </row>
    <row r="23" spans="1:5" s="770" customFormat="1" x14ac:dyDescent="0.2">
      <c r="A23" s="771" t="s">
        <v>1390</v>
      </c>
      <c r="B23" s="769" t="e">
        <f>'Part 1'!$K$52</f>
        <v>#N/A</v>
      </c>
      <c r="C23" s="769"/>
      <c r="D23" s="769"/>
      <c r="E23" s="769"/>
    </row>
    <row r="24" spans="1:5" s="770" customFormat="1" x14ac:dyDescent="0.2">
      <c r="A24" s="771" t="s">
        <v>1391</v>
      </c>
      <c r="B24" s="769">
        <f>'Part 1'!$K$54</f>
        <v>0</v>
      </c>
      <c r="C24" s="769"/>
      <c r="D24" s="769"/>
      <c r="E24" s="769"/>
    </row>
    <row r="25" spans="1:5" s="770" customFormat="1" x14ac:dyDescent="0.2">
      <c r="A25" s="771" t="s">
        <v>1278</v>
      </c>
      <c r="B25" s="769" t="e">
        <f>'Part 1'!$K$58</f>
        <v>#N/A</v>
      </c>
      <c r="C25" s="769"/>
      <c r="D25" s="769"/>
      <c r="E25" s="769"/>
    </row>
    <row r="26" spans="1:5" s="770" customFormat="1" x14ac:dyDescent="0.2">
      <c r="A26" s="771" t="s">
        <v>1392</v>
      </c>
      <c r="B26" s="772" t="e">
        <f>'Part 1'!$K$94</f>
        <v>#N/A</v>
      </c>
      <c r="C26" s="772"/>
      <c r="D26" s="772"/>
      <c r="E26" s="772"/>
    </row>
    <row r="27" spans="1:5" s="770" customFormat="1" x14ac:dyDescent="0.2">
      <c r="A27" s="771" t="s">
        <v>1393</v>
      </c>
      <c r="B27" s="772" t="e">
        <f>'Part 1'!$M$94</f>
        <v>#N/A</v>
      </c>
      <c r="C27" s="772"/>
      <c r="D27" s="772"/>
      <c r="E27" s="772"/>
    </row>
    <row r="28" spans="1:5" s="770" customFormat="1" x14ac:dyDescent="0.2">
      <c r="A28" s="771" t="s">
        <v>1394</v>
      </c>
      <c r="B28" s="772" t="e">
        <f>'Part 1'!$O$94</f>
        <v>#N/A</v>
      </c>
      <c r="C28" s="772"/>
      <c r="D28" s="772"/>
      <c r="E28" s="772"/>
    </row>
    <row r="29" spans="1:5" s="770" customFormat="1" x14ac:dyDescent="0.2">
      <c r="A29" s="771" t="s">
        <v>1395</v>
      </c>
      <c r="B29" s="772" t="e">
        <f>'Part 1'!$Q$94</f>
        <v>#N/A</v>
      </c>
      <c r="C29" s="772"/>
      <c r="D29" s="772"/>
      <c r="E29" s="772"/>
    </row>
    <row r="30" spans="1:5" s="770" customFormat="1" x14ac:dyDescent="0.2">
      <c r="A30" s="771" t="s">
        <v>1396</v>
      </c>
      <c r="B30" s="772">
        <f>'Part 1'!$S$94</f>
        <v>1</v>
      </c>
      <c r="C30" s="772"/>
      <c r="D30" s="772"/>
      <c r="E30" s="772"/>
    </row>
    <row r="31" spans="1:5" s="770" customFormat="1" x14ac:dyDescent="0.2">
      <c r="A31" s="771" t="s">
        <v>1397</v>
      </c>
      <c r="B31" s="769" t="e">
        <f>'Part 1'!$K$98</f>
        <v>#N/A</v>
      </c>
      <c r="C31" s="769"/>
      <c r="D31" s="769"/>
      <c r="E31" s="769"/>
    </row>
    <row r="32" spans="1:5" s="770" customFormat="1" x14ac:dyDescent="0.2">
      <c r="A32" s="771" t="s">
        <v>1398</v>
      </c>
      <c r="B32" s="769" t="e">
        <f>'Part 1'!$M$98</f>
        <v>#N/A</v>
      </c>
      <c r="C32" s="769"/>
      <c r="D32" s="769"/>
      <c r="E32" s="769"/>
    </row>
    <row r="33" spans="1:5" s="770" customFormat="1" x14ac:dyDescent="0.2">
      <c r="A33" s="771" t="s">
        <v>1399</v>
      </c>
      <c r="B33" s="769" t="e">
        <f>'Part 1'!$O$98</f>
        <v>#N/A</v>
      </c>
      <c r="C33" s="769"/>
      <c r="D33" s="769"/>
      <c r="E33" s="769"/>
    </row>
    <row r="34" spans="1:5" s="770" customFormat="1" x14ac:dyDescent="0.2">
      <c r="A34" s="771" t="s">
        <v>1400</v>
      </c>
      <c r="B34" s="769" t="e">
        <f>'Part 1'!$Q$98</f>
        <v>#N/A</v>
      </c>
      <c r="C34" s="769"/>
      <c r="D34" s="769"/>
      <c r="E34" s="769"/>
    </row>
    <row r="35" spans="1:5" s="770" customFormat="1" x14ac:dyDescent="0.2">
      <c r="A35" s="771" t="s">
        <v>1401</v>
      </c>
      <c r="B35" s="769" t="e">
        <f>'Part 1'!$S$98</f>
        <v>#N/A</v>
      </c>
      <c r="C35" s="769"/>
      <c r="D35" s="769"/>
      <c r="E35" s="769"/>
    </row>
    <row r="36" spans="1:5" s="770" customFormat="1" x14ac:dyDescent="0.2">
      <c r="A36" s="771" t="s">
        <v>1402</v>
      </c>
      <c r="B36" s="769" t="e">
        <f>'Part 1'!$K$101</f>
        <v>#N/A</v>
      </c>
      <c r="C36" s="769"/>
      <c r="D36" s="769"/>
      <c r="E36" s="769"/>
    </row>
    <row r="37" spans="1:5" s="770" customFormat="1" x14ac:dyDescent="0.2">
      <c r="A37" s="771" t="s">
        <v>1403</v>
      </c>
      <c r="B37" s="769">
        <f>'Part 1'!$M$101</f>
        <v>0</v>
      </c>
      <c r="C37" s="769"/>
      <c r="D37" s="769"/>
      <c r="E37" s="769"/>
    </row>
    <row r="38" spans="1:5" s="770" customFormat="1" x14ac:dyDescent="0.2">
      <c r="A38" s="771" t="s">
        <v>1404</v>
      </c>
      <c r="B38" s="769">
        <f>'Part 1'!$O$101</f>
        <v>0</v>
      </c>
      <c r="C38" s="769"/>
      <c r="D38" s="769"/>
      <c r="E38" s="769"/>
    </row>
    <row r="39" spans="1:5" s="770" customFormat="1" x14ac:dyDescent="0.2">
      <c r="A39" s="771" t="s">
        <v>1405</v>
      </c>
      <c r="B39" s="769">
        <f>'Part 1'!$Q$101</f>
        <v>0</v>
      </c>
      <c r="C39" s="769"/>
      <c r="D39" s="769"/>
      <c r="E39" s="769"/>
    </row>
    <row r="40" spans="1:5" s="770" customFormat="1" x14ac:dyDescent="0.2">
      <c r="A40" s="771" t="s">
        <v>1406</v>
      </c>
      <c r="B40" s="769" t="e">
        <f>'Part 1'!$S$101</f>
        <v>#N/A</v>
      </c>
      <c r="C40" s="769"/>
      <c r="D40" s="769"/>
      <c r="E40" s="769"/>
    </row>
    <row r="41" spans="1:5" s="770" customFormat="1" x14ac:dyDescent="0.2">
      <c r="A41" s="771" t="s">
        <v>1407</v>
      </c>
      <c r="B41" s="769" t="e">
        <f>'Part 1'!$K$103</f>
        <v>#N/A</v>
      </c>
      <c r="C41" s="769"/>
      <c r="D41" s="769"/>
      <c r="E41" s="769"/>
    </row>
    <row r="42" spans="1:5" s="770" customFormat="1" x14ac:dyDescent="0.2">
      <c r="A42" s="771" t="s">
        <v>1408</v>
      </c>
      <c r="B42" s="769" t="e">
        <f>'Part 1'!$M$103</f>
        <v>#N/A</v>
      </c>
      <c r="C42" s="769"/>
      <c r="D42" s="769"/>
      <c r="E42" s="769"/>
    </row>
    <row r="43" spans="1:5" s="770" customFormat="1" x14ac:dyDescent="0.2">
      <c r="A43" s="771" t="s">
        <v>1409</v>
      </c>
      <c r="B43" s="769" t="e">
        <f>'Part 1'!$O$103</f>
        <v>#N/A</v>
      </c>
      <c r="C43" s="769"/>
      <c r="D43" s="769"/>
      <c r="E43" s="769"/>
    </row>
    <row r="44" spans="1:5" s="770" customFormat="1" x14ac:dyDescent="0.2">
      <c r="A44" s="771" t="s">
        <v>1410</v>
      </c>
      <c r="B44" s="769" t="e">
        <f>'Part 1'!$Q$103</f>
        <v>#N/A</v>
      </c>
      <c r="C44" s="769"/>
      <c r="D44" s="769"/>
      <c r="E44" s="769"/>
    </row>
    <row r="45" spans="1:5" s="770" customFormat="1" x14ac:dyDescent="0.2">
      <c r="A45" s="771" t="s">
        <v>1411</v>
      </c>
      <c r="B45" s="769" t="e">
        <f>'Part 1'!$S$103</f>
        <v>#N/A</v>
      </c>
      <c r="C45" s="769"/>
      <c r="D45" s="769"/>
      <c r="E45" s="769"/>
    </row>
    <row r="46" spans="1:5" s="770" customFormat="1" x14ac:dyDescent="0.2">
      <c r="A46" s="771" t="s">
        <v>1412</v>
      </c>
      <c r="B46" s="769" t="e">
        <f>'Part 1'!$M$106</f>
        <v>#N/A</v>
      </c>
      <c r="C46" s="769"/>
      <c r="D46" s="769"/>
      <c r="E46" s="769"/>
    </row>
    <row r="47" spans="1:5" s="770" customFormat="1" x14ac:dyDescent="0.2">
      <c r="A47" s="771" t="s">
        <v>1413</v>
      </c>
      <c r="B47" s="769" t="e">
        <f>'Part 1'!$S$106</f>
        <v>#N/A</v>
      </c>
      <c r="C47" s="769"/>
      <c r="D47" s="769"/>
      <c r="E47" s="769"/>
    </row>
    <row r="48" spans="1:5" s="770" customFormat="1" x14ac:dyDescent="0.2">
      <c r="A48" s="771" t="s">
        <v>1414</v>
      </c>
      <c r="B48" s="769" t="e">
        <f>'Part 1'!$M$108</f>
        <v>#N/A</v>
      </c>
      <c r="C48" s="769"/>
      <c r="D48" s="769"/>
      <c r="E48" s="769"/>
    </row>
    <row r="49" spans="1:5" s="770" customFormat="1" x14ac:dyDescent="0.2">
      <c r="A49" s="771" t="s">
        <v>2284</v>
      </c>
      <c r="B49" s="769" t="e">
        <f>'Part 1'!$O$108</f>
        <v>#N/A</v>
      </c>
      <c r="C49" s="769"/>
      <c r="D49" s="769"/>
      <c r="E49" s="769"/>
    </row>
    <row r="50" spans="1:5" s="770" customFormat="1" x14ac:dyDescent="0.2">
      <c r="A50" s="771" t="s">
        <v>1415</v>
      </c>
      <c r="B50" s="769">
        <f>'Part 1'!$S$108</f>
        <v>0</v>
      </c>
      <c r="C50" s="769"/>
      <c r="D50" s="769"/>
      <c r="E50" s="769"/>
    </row>
    <row r="51" spans="1:5" s="770" customFormat="1" x14ac:dyDescent="0.2">
      <c r="A51" s="771" t="s">
        <v>1416</v>
      </c>
      <c r="B51" s="769">
        <f>'Part 1'!$M$110</f>
        <v>0</v>
      </c>
      <c r="C51" s="769"/>
      <c r="D51" s="769"/>
      <c r="E51" s="769"/>
    </row>
    <row r="52" spans="1:5" s="770" customFormat="1" x14ac:dyDescent="0.2">
      <c r="A52" s="771" t="s">
        <v>1417</v>
      </c>
      <c r="B52" s="769" t="e">
        <f>'Part 1'!$O$110</f>
        <v>#N/A</v>
      </c>
      <c r="C52" s="769"/>
      <c r="D52" s="769"/>
      <c r="E52" s="769"/>
    </row>
    <row r="53" spans="1:5" s="770" customFormat="1" x14ac:dyDescent="0.2">
      <c r="A53" s="771" t="s">
        <v>1418</v>
      </c>
      <c r="B53" s="769">
        <f>'Part 1'!$S$110</f>
        <v>0</v>
      </c>
      <c r="C53" s="769"/>
      <c r="D53" s="769"/>
      <c r="E53" s="769"/>
    </row>
    <row r="54" spans="1:5" s="770" customFormat="1" x14ac:dyDescent="0.2">
      <c r="A54" s="773" t="s">
        <v>1419</v>
      </c>
      <c r="B54" s="769" t="e">
        <f>'Part 1'!$M$112</f>
        <v>#N/A</v>
      </c>
      <c r="C54" s="769"/>
      <c r="D54" s="769"/>
      <c r="E54" s="769"/>
    </row>
    <row r="55" spans="1:5" s="770" customFormat="1" x14ac:dyDescent="0.2">
      <c r="A55" s="773" t="s">
        <v>1420</v>
      </c>
      <c r="B55" s="769" t="e">
        <f>'Part 1'!$O$112</f>
        <v>#N/A</v>
      </c>
      <c r="C55" s="769"/>
      <c r="D55" s="769"/>
      <c r="E55" s="769"/>
    </row>
    <row r="56" spans="1:5" s="770" customFormat="1" x14ac:dyDescent="0.2">
      <c r="A56" s="773" t="s">
        <v>1421</v>
      </c>
      <c r="B56" s="769" t="e">
        <f>'Part 1'!$Q$112</f>
        <v>#N/A</v>
      </c>
      <c r="C56" s="769"/>
      <c r="D56" s="769"/>
      <c r="E56" s="769"/>
    </row>
    <row r="57" spans="1:5" s="770" customFormat="1" x14ac:dyDescent="0.2">
      <c r="A57" s="773" t="s">
        <v>1422</v>
      </c>
      <c r="B57" s="769">
        <f>'Part 1'!$S$112</f>
        <v>0</v>
      </c>
      <c r="C57" s="769"/>
      <c r="D57" s="769"/>
      <c r="E57" s="769"/>
    </row>
    <row r="58" spans="1:5" s="770" customFormat="1" x14ac:dyDescent="0.2">
      <c r="A58" s="771" t="s">
        <v>1423</v>
      </c>
      <c r="B58" s="769" t="e">
        <f>'Part 1'!$M$114</f>
        <v>#N/A</v>
      </c>
      <c r="C58" s="769"/>
      <c r="D58" s="769"/>
      <c r="E58" s="769"/>
    </row>
    <row r="59" spans="1:5" s="770" customFormat="1" x14ac:dyDescent="0.2">
      <c r="A59" s="771" t="s">
        <v>1424</v>
      </c>
      <c r="B59" s="769" t="e">
        <f>'Part 1'!$O$114</f>
        <v>#N/A</v>
      </c>
      <c r="C59" s="769"/>
      <c r="D59" s="769"/>
      <c r="E59" s="769"/>
    </row>
    <row r="60" spans="1:5" s="770" customFormat="1" x14ac:dyDescent="0.2">
      <c r="A60" s="771" t="s">
        <v>1425</v>
      </c>
      <c r="B60" s="769" t="e">
        <f>'Part 1'!$Q$114</f>
        <v>#N/A</v>
      </c>
      <c r="C60" s="769"/>
      <c r="D60" s="769"/>
      <c r="E60" s="769"/>
    </row>
    <row r="61" spans="1:5" s="770" customFormat="1" x14ac:dyDescent="0.2">
      <c r="A61" s="771" t="s">
        <v>1426</v>
      </c>
      <c r="B61" s="769" t="e">
        <f>'Part 1'!$S$114</f>
        <v>#N/A</v>
      </c>
      <c r="C61" s="769"/>
      <c r="D61" s="769"/>
      <c r="E61" s="769"/>
    </row>
    <row r="62" spans="1:5" s="770" customFormat="1" x14ac:dyDescent="0.2">
      <c r="A62" s="771" t="s">
        <v>1427</v>
      </c>
      <c r="B62" s="769" t="e">
        <f>'Part 1'!$M$116</f>
        <v>#N/A</v>
      </c>
      <c r="C62" s="769"/>
      <c r="D62" s="769"/>
      <c r="E62" s="769"/>
    </row>
    <row r="63" spans="1:5" s="770" customFormat="1" x14ac:dyDescent="0.2">
      <c r="A63" s="771" t="s">
        <v>1428</v>
      </c>
      <c r="B63" s="769" t="e">
        <f>'Part 1'!$S$116</f>
        <v>#N/A</v>
      </c>
      <c r="C63" s="769"/>
      <c r="D63" s="769"/>
      <c r="E63" s="769"/>
    </row>
    <row r="64" spans="1:5" s="770" customFormat="1" x14ac:dyDescent="0.2">
      <c r="A64" s="771" t="s">
        <v>1429</v>
      </c>
      <c r="B64" s="769">
        <f>'Part 1'!$M$118</f>
        <v>0</v>
      </c>
      <c r="C64" s="769"/>
      <c r="D64" s="769"/>
      <c r="E64" s="769"/>
    </row>
    <row r="65" spans="1:5" s="770" customFormat="1" x14ac:dyDescent="0.2">
      <c r="A65" s="771" t="s">
        <v>1430</v>
      </c>
      <c r="B65" s="769">
        <f>'Part 1'!$S$118</f>
        <v>0</v>
      </c>
      <c r="C65" s="769"/>
      <c r="D65" s="769"/>
      <c r="E65" s="769"/>
    </row>
    <row r="66" spans="1:5" s="770" customFormat="1" x14ac:dyDescent="0.2">
      <c r="A66" s="773" t="s">
        <v>1431</v>
      </c>
      <c r="B66" s="769" t="e">
        <f>'Part 1'!K122</f>
        <v>#N/A</v>
      </c>
      <c r="C66" s="769"/>
      <c r="D66" s="769"/>
      <c r="E66" s="769"/>
    </row>
    <row r="67" spans="1:5" s="770" customFormat="1" x14ac:dyDescent="0.2">
      <c r="A67" s="773" t="s">
        <v>1432</v>
      </c>
      <c r="B67" s="769" t="e">
        <f>'Part 1'!M122</f>
        <v>#N/A</v>
      </c>
      <c r="C67" s="769"/>
      <c r="D67" s="769"/>
      <c r="E67" s="769"/>
    </row>
    <row r="68" spans="1:5" s="770" customFormat="1" x14ac:dyDescent="0.2">
      <c r="A68" s="773" t="s">
        <v>1433</v>
      </c>
      <c r="B68" s="769" t="e">
        <f>'Part 1'!O122</f>
        <v>#N/A</v>
      </c>
      <c r="C68" s="769"/>
      <c r="D68" s="769"/>
      <c r="E68" s="769"/>
    </row>
    <row r="69" spans="1:5" s="770" customFormat="1" x14ac:dyDescent="0.2">
      <c r="A69" s="773" t="s">
        <v>1434</v>
      </c>
      <c r="B69" s="769" t="e">
        <f>'Part 1'!Q122</f>
        <v>#N/A</v>
      </c>
      <c r="C69" s="769"/>
      <c r="D69" s="769"/>
      <c r="E69" s="769"/>
    </row>
    <row r="70" spans="1:5" s="770" customFormat="1" x14ac:dyDescent="0.2">
      <c r="A70" s="773" t="s">
        <v>1435</v>
      </c>
      <c r="B70" s="769" t="e">
        <f>'Part 1'!S122</f>
        <v>#N/A</v>
      </c>
      <c r="C70" s="769"/>
      <c r="D70" s="769"/>
      <c r="E70" s="769"/>
    </row>
    <row r="71" spans="1:5" s="770" customFormat="1" x14ac:dyDescent="0.2">
      <c r="A71" s="773" t="s">
        <v>1436</v>
      </c>
      <c r="B71" s="769" t="e">
        <f>'Part 1'!$K$127</f>
        <v>#N/A</v>
      </c>
      <c r="C71" s="769"/>
      <c r="D71" s="769"/>
      <c r="E71" s="769"/>
    </row>
    <row r="72" spans="1:5" s="770" customFormat="1" x14ac:dyDescent="0.2">
      <c r="A72" s="773" t="s">
        <v>1437</v>
      </c>
      <c r="B72" s="769" t="e">
        <f>'Part 1'!$M$127</f>
        <v>#N/A</v>
      </c>
      <c r="C72" s="769"/>
      <c r="D72" s="769"/>
      <c r="E72" s="769"/>
    </row>
    <row r="73" spans="1:5" s="770" customFormat="1" x14ac:dyDescent="0.2">
      <c r="A73" s="773" t="s">
        <v>1438</v>
      </c>
      <c r="B73" s="769" t="e">
        <f>'Part 1'!$O$127</f>
        <v>#N/A</v>
      </c>
      <c r="C73" s="769"/>
      <c r="D73" s="769"/>
      <c r="E73" s="769"/>
    </row>
    <row r="74" spans="1:5" s="770" customFormat="1" x14ac:dyDescent="0.2">
      <c r="A74" s="773" t="s">
        <v>1439</v>
      </c>
      <c r="B74" s="769" t="e">
        <f>'Part 1'!$Q$127</f>
        <v>#N/A</v>
      </c>
      <c r="C74" s="769"/>
      <c r="D74" s="769"/>
      <c r="E74" s="769"/>
    </row>
    <row r="75" spans="1:5" s="770" customFormat="1" x14ac:dyDescent="0.2">
      <c r="A75" s="773" t="s">
        <v>1440</v>
      </c>
      <c r="B75" s="769" t="e">
        <f>'Part 1'!$S$127</f>
        <v>#N/A</v>
      </c>
      <c r="C75" s="769"/>
      <c r="D75" s="769"/>
      <c r="E75" s="769"/>
    </row>
    <row r="76" spans="1:5" s="770" customFormat="1" x14ac:dyDescent="0.2">
      <c r="A76" s="768" t="s">
        <v>3257</v>
      </c>
      <c r="B76" s="769" t="e">
        <f>'Part 1'!$M$166</f>
        <v>#N/A</v>
      </c>
      <c r="C76" s="769"/>
      <c r="D76" s="769"/>
      <c r="E76" s="769"/>
    </row>
    <row r="77" spans="1:5" s="770" customFormat="1" x14ac:dyDescent="0.2">
      <c r="A77" s="768" t="s">
        <v>3258</v>
      </c>
      <c r="B77" s="769" t="e">
        <f>'Part 1'!$O$166</f>
        <v>#N/A</v>
      </c>
      <c r="C77" s="769"/>
      <c r="D77" s="769"/>
      <c r="E77" s="769"/>
    </row>
    <row r="78" spans="1:5" s="770" customFormat="1" x14ac:dyDescent="0.2">
      <c r="A78" s="768" t="s">
        <v>3259</v>
      </c>
      <c r="B78" s="769" t="e">
        <f>'Part 1'!$Q$166</f>
        <v>#N/A</v>
      </c>
      <c r="C78" s="769"/>
      <c r="D78" s="769"/>
      <c r="E78" s="769"/>
    </row>
    <row r="79" spans="1:5" s="770" customFormat="1" x14ac:dyDescent="0.2">
      <c r="A79" s="768" t="s">
        <v>3260</v>
      </c>
      <c r="B79" s="769" t="e">
        <f>'Part 1'!$S$166</f>
        <v>#N/A</v>
      </c>
      <c r="C79" s="769"/>
      <c r="D79" s="769"/>
      <c r="E79" s="769"/>
    </row>
    <row r="80" spans="1:5" s="770" customFormat="1" x14ac:dyDescent="0.2">
      <c r="A80" s="768" t="s">
        <v>3261</v>
      </c>
      <c r="B80" s="769" t="e">
        <f>'Part 1'!$M$170</f>
        <v>#N/A</v>
      </c>
      <c r="C80" s="769"/>
      <c r="D80" s="769"/>
      <c r="E80" s="769"/>
    </row>
    <row r="81" spans="1:5" s="770" customFormat="1" x14ac:dyDescent="0.2">
      <c r="A81" s="768" t="s">
        <v>3262</v>
      </c>
      <c r="B81" s="769" t="e">
        <f>'Part 1'!$O$170</f>
        <v>#N/A</v>
      </c>
      <c r="C81" s="769"/>
      <c r="D81" s="769"/>
      <c r="E81" s="769"/>
    </row>
    <row r="82" spans="1:5" s="770" customFormat="1" x14ac:dyDescent="0.2">
      <c r="A82" s="768" t="s">
        <v>3263</v>
      </c>
      <c r="B82" s="769" t="e">
        <f>'Part 1'!$Q$170</f>
        <v>#N/A</v>
      </c>
      <c r="C82" s="769"/>
      <c r="D82" s="769"/>
      <c r="E82" s="769"/>
    </row>
    <row r="83" spans="1:5" s="770" customFormat="1" x14ac:dyDescent="0.2">
      <c r="A83" s="768" t="s">
        <v>3264</v>
      </c>
      <c r="B83" s="769" t="e">
        <f>'Part 1'!$S$170</f>
        <v>#N/A</v>
      </c>
      <c r="C83" s="769"/>
      <c r="D83" s="769"/>
      <c r="E83" s="769"/>
    </row>
    <row r="84" spans="1:5" s="770" customFormat="1" x14ac:dyDescent="0.2">
      <c r="A84" s="768" t="s">
        <v>1441</v>
      </c>
      <c r="B84" s="769" t="e">
        <f>'Part 1'!$M$174</f>
        <v>#N/A</v>
      </c>
      <c r="C84" s="769"/>
      <c r="D84" s="769"/>
      <c r="E84" s="769"/>
    </row>
    <row r="85" spans="1:5" s="770" customFormat="1" x14ac:dyDescent="0.2">
      <c r="A85" s="768" t="s">
        <v>1442</v>
      </c>
      <c r="B85" s="769" t="e">
        <f>'Part 1'!$O$174</f>
        <v>#N/A</v>
      </c>
      <c r="C85" s="769"/>
      <c r="D85" s="769"/>
      <c r="E85" s="769"/>
    </row>
    <row r="86" spans="1:5" s="770" customFormat="1" x14ac:dyDescent="0.2">
      <c r="A86" s="768" t="s">
        <v>1443</v>
      </c>
      <c r="B86" s="769" t="e">
        <f>'Part 1'!$Q$174</f>
        <v>#N/A</v>
      </c>
      <c r="C86" s="769"/>
      <c r="D86" s="769"/>
      <c r="E86" s="769"/>
    </row>
    <row r="87" spans="1:5" s="770" customFormat="1" x14ac:dyDescent="0.2">
      <c r="A87" s="768" t="s">
        <v>1444</v>
      </c>
      <c r="B87" s="769" t="e">
        <f>'Part 1'!$S$174</f>
        <v>#N/A</v>
      </c>
      <c r="C87" s="769"/>
      <c r="D87" s="769"/>
      <c r="E87" s="769"/>
    </row>
    <row r="88" spans="1:5" s="770" customFormat="1" x14ac:dyDescent="0.2">
      <c r="A88" s="768" t="s">
        <v>1445</v>
      </c>
      <c r="B88" s="769" t="e">
        <f>'Part 1'!$M$178</f>
        <v>#N/A</v>
      </c>
      <c r="C88" s="769"/>
      <c r="D88" s="769"/>
      <c r="E88" s="769"/>
    </row>
    <row r="89" spans="1:5" s="770" customFormat="1" x14ac:dyDescent="0.2">
      <c r="A89" s="768" t="s">
        <v>1446</v>
      </c>
      <c r="B89" s="769" t="e">
        <f>'Part 1'!$O$178</f>
        <v>#N/A</v>
      </c>
      <c r="C89" s="769"/>
      <c r="D89" s="769"/>
      <c r="E89" s="769"/>
    </row>
    <row r="90" spans="1:5" s="770" customFormat="1" x14ac:dyDescent="0.2">
      <c r="A90" s="768" t="s">
        <v>1447</v>
      </c>
      <c r="B90" s="769" t="e">
        <f>'Part 1'!$Q$178</f>
        <v>#N/A</v>
      </c>
      <c r="C90" s="769"/>
      <c r="D90" s="769"/>
      <c r="E90" s="769"/>
    </row>
    <row r="91" spans="1:5" s="770" customFormat="1" x14ac:dyDescent="0.2">
      <c r="A91" s="768" t="s">
        <v>1448</v>
      </c>
      <c r="B91" s="769" t="e">
        <f>'Part 1'!$S$178</f>
        <v>#N/A</v>
      </c>
      <c r="C91" s="769"/>
      <c r="D91" s="769"/>
      <c r="E91" s="769"/>
    </row>
    <row r="92" spans="1:5" s="770" customFormat="1" x14ac:dyDescent="0.2">
      <c r="A92" s="768" t="s">
        <v>1449</v>
      </c>
      <c r="B92" s="769" t="e">
        <f>'Part 1'!$M$180</f>
        <v>#N/A</v>
      </c>
      <c r="C92" s="769"/>
      <c r="D92" s="769"/>
      <c r="E92" s="769"/>
    </row>
    <row r="93" spans="1:5" s="770" customFormat="1" x14ac:dyDescent="0.2">
      <c r="A93" s="768" t="s">
        <v>1450</v>
      </c>
      <c r="B93" s="769" t="e">
        <f>'Part 1'!$O$180</f>
        <v>#N/A</v>
      </c>
      <c r="C93" s="769"/>
      <c r="D93" s="769"/>
      <c r="E93" s="769"/>
    </row>
    <row r="94" spans="1:5" s="770" customFormat="1" x14ac:dyDescent="0.2">
      <c r="A94" s="768" t="s">
        <v>1451</v>
      </c>
      <c r="B94" s="769" t="e">
        <f>'Part 1'!$Q$180</f>
        <v>#N/A</v>
      </c>
      <c r="C94" s="769"/>
      <c r="D94" s="769"/>
      <c r="E94" s="769"/>
    </row>
    <row r="95" spans="1:5" s="770" customFormat="1" x14ac:dyDescent="0.2">
      <c r="A95" s="768" t="s">
        <v>1452</v>
      </c>
      <c r="B95" s="769" t="e">
        <f>'Part 1'!$S$180</f>
        <v>#N/A</v>
      </c>
      <c r="C95" s="769"/>
      <c r="D95" s="769"/>
      <c r="E95" s="769"/>
    </row>
    <row r="96" spans="1:5" s="770" customFormat="1" x14ac:dyDescent="0.2">
      <c r="A96" s="768" t="s">
        <v>1453</v>
      </c>
      <c r="B96" s="769" t="e">
        <f>'Part 1'!$M$182</f>
        <v>#N/A</v>
      </c>
      <c r="C96" s="769"/>
      <c r="D96" s="769"/>
      <c r="E96" s="769"/>
    </row>
    <row r="97" spans="1:5" s="770" customFormat="1" x14ac:dyDescent="0.2">
      <c r="A97" s="768" t="s">
        <v>1454</v>
      </c>
      <c r="B97" s="769" t="e">
        <f>'Part 1'!$O$182</f>
        <v>#N/A</v>
      </c>
      <c r="C97" s="769"/>
      <c r="D97" s="769"/>
      <c r="E97" s="769"/>
    </row>
    <row r="98" spans="1:5" s="770" customFormat="1" x14ac:dyDescent="0.2">
      <c r="A98" s="768" t="s">
        <v>1455</v>
      </c>
      <c r="B98" s="769" t="e">
        <f>'Part 1'!$Q$182</f>
        <v>#N/A</v>
      </c>
      <c r="C98" s="769"/>
      <c r="D98" s="769"/>
      <c r="E98" s="769"/>
    </row>
    <row r="99" spans="1:5" s="770" customFormat="1" x14ac:dyDescent="0.2">
      <c r="A99" s="768" t="s">
        <v>1456</v>
      </c>
      <c r="B99" s="769" t="e">
        <f>'Part 1'!$S$182</f>
        <v>#N/A</v>
      </c>
      <c r="C99" s="769"/>
      <c r="D99" s="769"/>
      <c r="E99" s="769"/>
    </row>
    <row r="100" spans="1:5" s="770" customFormat="1" x14ac:dyDescent="0.2">
      <c r="A100" s="768" t="s">
        <v>1457</v>
      </c>
      <c r="B100" s="769" t="e">
        <f>'Part 1'!$M$185</f>
        <v>#N/A</v>
      </c>
      <c r="C100" s="769"/>
      <c r="D100" s="769"/>
      <c r="E100" s="769"/>
    </row>
    <row r="101" spans="1:5" s="770" customFormat="1" x14ac:dyDescent="0.2">
      <c r="A101" s="768" t="s">
        <v>1458</v>
      </c>
      <c r="B101" s="769" t="e">
        <f>'Part 1'!$O$185</f>
        <v>#N/A</v>
      </c>
      <c r="C101" s="769"/>
      <c r="D101" s="769"/>
      <c r="E101" s="769"/>
    </row>
    <row r="102" spans="1:5" s="770" customFormat="1" x14ac:dyDescent="0.2">
      <c r="A102" s="768" t="s">
        <v>1459</v>
      </c>
      <c r="B102" s="769" t="e">
        <f>'Part 1'!$Q$185</f>
        <v>#N/A</v>
      </c>
      <c r="C102" s="769"/>
      <c r="D102" s="769"/>
      <c r="E102" s="769"/>
    </row>
    <row r="103" spans="1:5" s="770" customFormat="1" x14ac:dyDescent="0.2">
      <c r="A103" s="768" t="s">
        <v>1460</v>
      </c>
      <c r="B103" s="769" t="e">
        <f>'Part 1'!$S$185</f>
        <v>#N/A</v>
      </c>
      <c r="C103" s="769"/>
      <c r="D103" s="769"/>
      <c r="E103" s="769"/>
    </row>
    <row r="104" spans="1:5" s="770" customFormat="1" x14ac:dyDescent="0.2">
      <c r="A104" s="768" t="s">
        <v>1461</v>
      </c>
      <c r="B104" s="769" t="e">
        <f>'Part 1'!$M$188</f>
        <v>#N/A</v>
      </c>
      <c r="C104" s="769"/>
      <c r="D104" s="769"/>
      <c r="E104" s="769"/>
    </row>
    <row r="105" spans="1:5" s="770" customFormat="1" x14ac:dyDescent="0.2">
      <c r="A105" s="768" t="s">
        <v>1462</v>
      </c>
      <c r="B105" s="769" t="e">
        <f>'Part 1'!$O$188</f>
        <v>#N/A</v>
      </c>
      <c r="C105" s="769"/>
      <c r="D105" s="769"/>
      <c r="E105" s="769"/>
    </row>
    <row r="106" spans="1:5" s="770" customFormat="1" x14ac:dyDescent="0.2">
      <c r="A106" s="768" t="s">
        <v>1463</v>
      </c>
      <c r="B106" s="769" t="e">
        <f>'Part 1'!$Q$188</f>
        <v>#N/A</v>
      </c>
      <c r="C106" s="769"/>
      <c r="D106" s="769"/>
      <c r="E106" s="769"/>
    </row>
    <row r="107" spans="1:5" s="770" customFormat="1" x14ac:dyDescent="0.2">
      <c r="A107" s="768" t="s">
        <v>1464</v>
      </c>
      <c r="B107" s="769" t="e">
        <f>'Part 1'!$S$188</f>
        <v>#N/A</v>
      </c>
      <c r="C107" s="769"/>
      <c r="D107" s="769"/>
      <c r="E107" s="769"/>
    </row>
    <row r="108" spans="1:5" s="770" customFormat="1" x14ac:dyDescent="0.2">
      <c r="A108" s="768" t="s">
        <v>1465</v>
      </c>
      <c r="B108" s="769" t="e">
        <f>'Part 1'!$M$191</f>
        <v>#N/A</v>
      </c>
      <c r="C108" s="769"/>
      <c r="D108" s="769"/>
      <c r="E108" s="769"/>
    </row>
    <row r="109" spans="1:5" s="770" customFormat="1" x14ac:dyDescent="0.2">
      <c r="A109" s="768" t="s">
        <v>1466</v>
      </c>
      <c r="B109" s="769" t="e">
        <f>'Part 1'!$O$191</f>
        <v>#N/A</v>
      </c>
      <c r="C109" s="769"/>
      <c r="D109" s="769"/>
      <c r="E109" s="769"/>
    </row>
    <row r="110" spans="1:5" s="770" customFormat="1" x14ac:dyDescent="0.2">
      <c r="A110" s="768" t="s">
        <v>1467</v>
      </c>
      <c r="B110" s="769" t="e">
        <f>'Part 1'!$Q$191</f>
        <v>#N/A</v>
      </c>
      <c r="C110" s="769"/>
      <c r="D110" s="769"/>
      <c r="E110" s="769"/>
    </row>
    <row r="111" spans="1:5" s="770" customFormat="1" x14ac:dyDescent="0.2">
      <c r="A111" s="768" t="s">
        <v>1468</v>
      </c>
      <c r="B111" s="769" t="e">
        <f>'Part 1'!$S$191</f>
        <v>#N/A</v>
      </c>
      <c r="C111" s="769"/>
      <c r="D111" s="769"/>
      <c r="E111" s="769"/>
    </row>
    <row r="112" spans="1:5" s="770" customFormat="1" x14ac:dyDescent="0.2">
      <c r="A112" s="768" t="s">
        <v>1469</v>
      </c>
      <c r="B112" s="769" t="e">
        <f>'Part 1'!$M$194</f>
        <v>#N/A</v>
      </c>
      <c r="C112" s="769"/>
      <c r="D112" s="769"/>
      <c r="E112" s="769"/>
    </row>
    <row r="113" spans="1:5" s="770" customFormat="1" x14ac:dyDescent="0.2">
      <c r="A113" s="768" t="s">
        <v>1470</v>
      </c>
      <c r="B113" s="769" t="e">
        <f>'Part 1'!$O$194</f>
        <v>#N/A</v>
      </c>
      <c r="C113" s="769"/>
      <c r="D113" s="769"/>
      <c r="E113" s="769"/>
    </row>
    <row r="114" spans="1:5" s="770" customFormat="1" x14ac:dyDescent="0.2">
      <c r="A114" s="768" t="s">
        <v>1471</v>
      </c>
      <c r="B114" s="769" t="e">
        <f>'Part 1'!$Q$194</f>
        <v>#N/A</v>
      </c>
      <c r="C114" s="769"/>
      <c r="D114" s="769"/>
      <c r="E114" s="769"/>
    </row>
    <row r="115" spans="1:5" s="770" customFormat="1" x14ac:dyDescent="0.2">
      <c r="A115" s="768" t="s">
        <v>1472</v>
      </c>
      <c r="B115" s="769" t="e">
        <f>'Part 1'!$S$194</f>
        <v>#N/A</v>
      </c>
      <c r="C115" s="769"/>
      <c r="D115" s="769"/>
      <c r="E115" s="769"/>
    </row>
    <row r="116" spans="1:5" s="770" customFormat="1" x14ac:dyDescent="0.2">
      <c r="A116" s="768" t="s">
        <v>2339</v>
      </c>
      <c r="B116" s="769" t="e">
        <f>'Part 1'!$M$197</f>
        <v>#N/A</v>
      </c>
      <c r="C116" s="769"/>
      <c r="D116" s="769"/>
      <c r="E116" s="769"/>
    </row>
    <row r="117" spans="1:5" s="770" customFormat="1" x14ac:dyDescent="0.2">
      <c r="A117" s="768" t="s">
        <v>2340</v>
      </c>
      <c r="B117" s="769" t="e">
        <f>'Part 1'!$O$197</f>
        <v>#N/A</v>
      </c>
      <c r="C117" s="769"/>
      <c r="D117" s="769"/>
      <c r="E117" s="769"/>
    </row>
    <row r="118" spans="1:5" s="770" customFormat="1" x14ac:dyDescent="0.2">
      <c r="A118" s="768" t="s">
        <v>2341</v>
      </c>
      <c r="B118" s="769" t="e">
        <f>'Part 1'!$Q$197</f>
        <v>#N/A</v>
      </c>
      <c r="C118" s="769"/>
      <c r="D118" s="769"/>
      <c r="E118" s="769"/>
    </row>
    <row r="119" spans="1:5" s="770" customFormat="1" x14ac:dyDescent="0.2">
      <c r="A119" s="768" t="s">
        <v>2342</v>
      </c>
      <c r="B119" s="769" t="e">
        <f>'Part 1'!$S$197</f>
        <v>#N/A</v>
      </c>
      <c r="C119" s="769"/>
      <c r="D119" s="769"/>
      <c r="E119" s="769"/>
    </row>
    <row r="120" spans="1:5" s="770" customFormat="1" x14ac:dyDescent="0.2">
      <c r="A120" s="768" t="s">
        <v>2318</v>
      </c>
      <c r="B120" s="769" t="e">
        <f>'Part 1'!$M$200</f>
        <v>#N/A</v>
      </c>
      <c r="C120" s="769"/>
      <c r="D120" s="769"/>
      <c r="E120" s="769"/>
    </row>
    <row r="121" spans="1:5" s="770" customFormat="1" x14ac:dyDescent="0.2">
      <c r="A121" s="768" t="s">
        <v>2319</v>
      </c>
      <c r="B121" s="769" t="e">
        <f>'Part 1'!$O$200</f>
        <v>#N/A</v>
      </c>
      <c r="C121" s="769"/>
      <c r="D121" s="769"/>
      <c r="E121" s="769"/>
    </row>
    <row r="122" spans="1:5" s="770" customFormat="1" x14ac:dyDescent="0.2">
      <c r="A122" s="768" t="s">
        <v>2320</v>
      </c>
      <c r="B122" s="769" t="e">
        <f>'Part 1'!$Q$200</f>
        <v>#N/A</v>
      </c>
      <c r="C122" s="769"/>
      <c r="D122" s="769"/>
      <c r="E122" s="769"/>
    </row>
    <row r="123" spans="1:5" s="770" customFormat="1" x14ac:dyDescent="0.2">
      <c r="A123" s="768" t="s">
        <v>2321</v>
      </c>
      <c r="B123" s="769" t="e">
        <f>'Part 1'!$S$200</f>
        <v>#N/A</v>
      </c>
      <c r="C123" s="769"/>
      <c r="D123" s="769"/>
      <c r="E123" s="769"/>
    </row>
    <row r="124" spans="1:5" s="770" customFormat="1" x14ac:dyDescent="0.2">
      <c r="A124" s="768" t="s">
        <v>2331</v>
      </c>
      <c r="B124" s="769">
        <f>'Part 1'!$M$203</f>
        <v>0</v>
      </c>
      <c r="C124" s="769"/>
      <c r="D124" s="769"/>
      <c r="E124" s="769"/>
    </row>
    <row r="125" spans="1:5" s="770" customFormat="1" x14ac:dyDescent="0.2">
      <c r="A125" s="768" t="s">
        <v>2332</v>
      </c>
      <c r="B125" s="769">
        <f>'Part 1'!$O$203</f>
        <v>0</v>
      </c>
      <c r="C125" s="769"/>
      <c r="D125" s="769"/>
      <c r="E125" s="769"/>
    </row>
    <row r="126" spans="1:5" s="770" customFormat="1" x14ac:dyDescent="0.2">
      <c r="A126" s="768" t="s">
        <v>2333</v>
      </c>
      <c r="B126" s="769">
        <f>'Part 1'!$Q$203</f>
        <v>0</v>
      </c>
      <c r="C126" s="769"/>
      <c r="D126" s="769"/>
      <c r="E126" s="769"/>
    </row>
    <row r="127" spans="1:5" s="770" customFormat="1" x14ac:dyDescent="0.2">
      <c r="A127" s="768" t="s">
        <v>2334</v>
      </c>
      <c r="B127" s="769">
        <f>'Part 1'!$S$203</f>
        <v>0</v>
      </c>
      <c r="C127" s="769"/>
      <c r="D127" s="769"/>
      <c r="E127" s="769"/>
    </row>
    <row r="128" spans="1:5" s="770" customFormat="1" x14ac:dyDescent="0.2">
      <c r="A128" s="1222" t="s">
        <v>3300</v>
      </c>
      <c r="B128" s="1223" t="e">
        <f>'Part 1'!$M$206</f>
        <v>#N/A</v>
      </c>
      <c r="C128" s="769"/>
      <c r="D128" s="769"/>
      <c r="E128" s="769"/>
    </row>
    <row r="129" spans="1:5" s="770" customFormat="1" x14ac:dyDescent="0.2">
      <c r="A129" s="1222" t="s">
        <v>3301</v>
      </c>
      <c r="B129" s="1223" t="e">
        <f>'Part 1'!$O$206</f>
        <v>#N/A</v>
      </c>
      <c r="C129" s="769"/>
      <c r="D129" s="769"/>
      <c r="E129" s="769"/>
    </row>
    <row r="130" spans="1:5" s="770" customFormat="1" x14ac:dyDescent="0.2">
      <c r="A130" s="1222" t="s">
        <v>3302</v>
      </c>
      <c r="B130" s="1223" t="e">
        <f>'Part 1'!$Q$206</f>
        <v>#N/A</v>
      </c>
      <c r="C130" s="769"/>
      <c r="D130" s="769"/>
      <c r="E130" s="769"/>
    </row>
    <row r="131" spans="1:5" s="770" customFormat="1" x14ac:dyDescent="0.2">
      <c r="A131" s="1222" t="s">
        <v>3303</v>
      </c>
      <c r="B131" s="1223" t="e">
        <f>'Part 1'!$S$206</f>
        <v>#N/A</v>
      </c>
      <c r="C131" s="769"/>
      <c r="D131" s="769"/>
      <c r="E131" s="769"/>
    </row>
    <row r="132" spans="1:5" s="770" customFormat="1" x14ac:dyDescent="0.2">
      <c r="A132" s="768" t="s">
        <v>2404</v>
      </c>
      <c r="B132" s="769" t="e">
        <f>'Part 1'!M$209</f>
        <v>#N/A</v>
      </c>
      <c r="C132" s="769"/>
      <c r="D132" s="769"/>
      <c r="E132" s="769"/>
    </row>
    <row r="133" spans="1:5" s="770" customFormat="1" x14ac:dyDescent="0.2">
      <c r="A133" s="768" t="s">
        <v>2405</v>
      </c>
      <c r="B133" s="769" t="e">
        <f>'Part 1'!O$209</f>
        <v>#N/A</v>
      </c>
      <c r="C133" s="769"/>
      <c r="D133" s="769"/>
      <c r="E133" s="769"/>
    </row>
    <row r="134" spans="1:5" s="770" customFormat="1" x14ac:dyDescent="0.2">
      <c r="A134" s="768" t="s">
        <v>2406</v>
      </c>
      <c r="B134" s="769" t="e">
        <f>'Part 1'!Q$209</f>
        <v>#N/A</v>
      </c>
      <c r="C134" s="769"/>
      <c r="D134" s="769"/>
      <c r="E134" s="769"/>
    </row>
    <row r="135" spans="1:5" s="770" customFormat="1" x14ac:dyDescent="0.2">
      <c r="A135" s="768" t="s">
        <v>2407</v>
      </c>
      <c r="B135" s="769" t="e">
        <f>'Part 1'!S$209</f>
        <v>#N/A</v>
      </c>
      <c r="C135" s="769"/>
      <c r="D135" s="769"/>
      <c r="E135" s="769"/>
    </row>
    <row r="136" spans="1:5" s="770" customFormat="1" x14ac:dyDescent="0.2">
      <c r="A136" s="1272" t="s">
        <v>3265</v>
      </c>
      <c r="B136" s="1178">
        <v>0</v>
      </c>
      <c r="C136" s="769"/>
      <c r="D136" s="769"/>
      <c r="E136" s="769"/>
    </row>
    <row r="137" spans="1:5" s="770" customFormat="1" x14ac:dyDescent="0.2">
      <c r="A137" s="1272" t="s">
        <v>3266</v>
      </c>
      <c r="B137" s="1178">
        <v>0</v>
      </c>
      <c r="C137" s="769"/>
      <c r="D137" s="769"/>
      <c r="E137" s="769"/>
    </row>
    <row r="138" spans="1:5" s="770" customFormat="1" x14ac:dyDescent="0.2">
      <c r="A138" s="1272" t="s">
        <v>3267</v>
      </c>
      <c r="B138" s="1178">
        <v>0</v>
      </c>
      <c r="C138" s="769"/>
      <c r="D138" s="769"/>
      <c r="E138" s="769"/>
    </row>
    <row r="139" spans="1:5" s="770" customFormat="1" x14ac:dyDescent="0.2">
      <c r="A139" s="1272" t="s">
        <v>3268</v>
      </c>
      <c r="B139" s="1178">
        <v>0</v>
      </c>
      <c r="C139" s="769"/>
      <c r="D139" s="769"/>
      <c r="E139" s="769"/>
    </row>
    <row r="140" spans="1:5" s="770" customFormat="1" x14ac:dyDescent="0.2">
      <c r="A140" s="1272" t="s">
        <v>2344</v>
      </c>
      <c r="B140" s="1178">
        <v>0</v>
      </c>
      <c r="C140" s="769"/>
      <c r="D140" s="769"/>
      <c r="E140" s="769"/>
    </row>
    <row r="141" spans="1:5" s="770" customFormat="1" x14ac:dyDescent="0.2">
      <c r="A141" s="1272" t="s">
        <v>2351</v>
      </c>
      <c r="B141" s="1178">
        <v>0</v>
      </c>
      <c r="C141" s="769"/>
      <c r="D141" s="769"/>
      <c r="E141" s="769"/>
    </row>
    <row r="142" spans="1:5" s="770" customFormat="1" x14ac:dyDescent="0.2">
      <c r="A142" s="1272" t="s">
        <v>2345</v>
      </c>
      <c r="B142" s="1178">
        <v>0</v>
      </c>
      <c r="C142" s="769"/>
      <c r="D142" s="769"/>
      <c r="E142" s="769"/>
    </row>
    <row r="143" spans="1:5" s="770" customFormat="1" x14ac:dyDescent="0.2">
      <c r="A143" s="1272" t="s">
        <v>2346</v>
      </c>
      <c r="B143" s="1178">
        <v>0</v>
      </c>
      <c r="C143" s="769"/>
      <c r="D143" s="769"/>
      <c r="E143" s="769"/>
    </row>
    <row r="144" spans="1:5" s="770" customFormat="1" x14ac:dyDescent="0.2">
      <c r="A144" s="768" t="s">
        <v>1473</v>
      </c>
      <c r="B144" s="769" t="e">
        <f>'Part 1'!$M$213</f>
        <v>#N/A</v>
      </c>
      <c r="C144" s="769"/>
      <c r="D144" s="769"/>
      <c r="E144" s="769"/>
    </row>
    <row r="145" spans="1:5" s="770" customFormat="1" x14ac:dyDescent="0.2">
      <c r="A145" s="768" t="s">
        <v>1474</v>
      </c>
      <c r="B145" s="769" t="e">
        <f>'Part 1'!$O$213</f>
        <v>#N/A</v>
      </c>
      <c r="C145" s="769"/>
      <c r="D145" s="769"/>
      <c r="E145" s="769"/>
    </row>
    <row r="146" spans="1:5" s="770" customFormat="1" x14ac:dyDescent="0.2">
      <c r="A146" s="768" t="s">
        <v>1475</v>
      </c>
      <c r="B146" s="769" t="e">
        <f>'Part 1'!$Q$213</f>
        <v>#N/A</v>
      </c>
      <c r="C146" s="769"/>
      <c r="D146" s="769"/>
      <c r="E146" s="769"/>
    </row>
    <row r="147" spans="1:5" s="770" customFormat="1" x14ac:dyDescent="0.2">
      <c r="A147" s="768" t="s">
        <v>1476</v>
      </c>
      <c r="B147" s="769" t="e">
        <f>'Part 1'!$S$213</f>
        <v>#N/A</v>
      </c>
      <c r="C147" s="769"/>
      <c r="D147" s="769"/>
      <c r="E147" s="769"/>
    </row>
    <row r="148" spans="1:5" s="776" customFormat="1" x14ac:dyDescent="0.2">
      <c r="A148" s="774" t="s">
        <v>1279</v>
      </c>
      <c r="B148" s="775">
        <f>'Part 2'!$D$18</f>
        <v>0</v>
      </c>
      <c r="C148" s="775"/>
      <c r="D148" s="775"/>
      <c r="E148" s="775"/>
    </row>
    <row r="149" spans="1:5" s="776" customFormat="1" x14ac:dyDescent="0.2">
      <c r="A149" s="777" t="s">
        <v>1477</v>
      </c>
      <c r="B149" s="778">
        <f>'Part 2'!$G$18+'Part 2'!$S$18</f>
        <v>0</v>
      </c>
      <c r="C149" s="778"/>
      <c r="D149" s="778"/>
      <c r="E149" s="778"/>
    </row>
    <row r="150" spans="1:5" s="776" customFormat="1" x14ac:dyDescent="0.2">
      <c r="A150" s="777" t="s">
        <v>1478</v>
      </c>
      <c r="B150" s="778">
        <f>'Part 2'!$J$18+'Part 2'!$V$18</f>
        <v>0</v>
      </c>
      <c r="C150" s="778"/>
      <c r="D150" s="778"/>
      <c r="E150" s="778"/>
    </row>
    <row r="151" spans="1:5" s="776" customFormat="1" x14ac:dyDescent="0.2">
      <c r="A151" s="777" t="s">
        <v>1479</v>
      </c>
      <c r="B151" s="778">
        <f>'Part 2'!$AB$18</f>
        <v>0</v>
      </c>
      <c r="C151" s="778"/>
      <c r="D151" s="778"/>
      <c r="E151" s="778"/>
    </row>
    <row r="152" spans="1:5" s="776" customFormat="1" x14ac:dyDescent="0.2">
      <c r="A152" s="777" t="s">
        <v>1480</v>
      </c>
      <c r="B152" s="778">
        <f>'Part 2'!$G$27+'Part 2'!$S$27</f>
        <v>0</v>
      </c>
      <c r="C152" s="778"/>
      <c r="D152" s="778"/>
      <c r="E152" s="778"/>
    </row>
    <row r="153" spans="1:5" s="776" customFormat="1" x14ac:dyDescent="0.2">
      <c r="A153" s="777" t="s">
        <v>1481</v>
      </c>
      <c r="B153" s="778">
        <f>'Part 2'!$J$27+'Part 2'!$V$27</f>
        <v>0</v>
      </c>
      <c r="C153" s="778"/>
      <c r="D153" s="778"/>
      <c r="E153" s="778"/>
    </row>
    <row r="154" spans="1:5" s="776" customFormat="1" x14ac:dyDescent="0.2">
      <c r="A154" s="777" t="s">
        <v>3288</v>
      </c>
      <c r="B154" s="778" t="str">
        <f>'Part 2'!J7</f>
        <v>Yes - able to provide disaggregated data</v>
      </c>
      <c r="C154" s="778"/>
      <c r="D154" s="778"/>
      <c r="E154" s="778"/>
    </row>
    <row r="155" spans="1:5" s="776" customFormat="1" x14ac:dyDescent="0.2">
      <c r="A155" s="777" t="s">
        <v>1482</v>
      </c>
      <c r="B155" s="778">
        <f>'Part 2'!$G$31+'Part 2'!$S$31</f>
        <v>0</v>
      </c>
      <c r="C155" s="778"/>
      <c r="D155" s="778"/>
      <c r="E155" s="778"/>
    </row>
    <row r="156" spans="1:5" s="776" customFormat="1" x14ac:dyDescent="0.2">
      <c r="A156" s="777" t="s">
        <v>1483</v>
      </c>
      <c r="B156" s="778">
        <f>'Part 2'!$J$31+'Part 2'!$V$31</f>
        <v>0</v>
      </c>
      <c r="C156" s="778"/>
      <c r="D156" s="778"/>
      <c r="E156" s="778"/>
    </row>
    <row r="157" spans="1:5" s="776" customFormat="1" x14ac:dyDescent="0.2">
      <c r="A157" s="777" t="s">
        <v>1484</v>
      </c>
      <c r="B157" s="778">
        <f>'Part 2'!$G$34+'Part 2'!$S$34</f>
        <v>0</v>
      </c>
      <c r="C157" s="778"/>
      <c r="D157" s="778"/>
      <c r="E157" s="778"/>
    </row>
    <row r="158" spans="1:5" s="776" customFormat="1" x14ac:dyDescent="0.2">
      <c r="A158" s="777" t="s">
        <v>1485</v>
      </c>
      <c r="B158" s="778">
        <f>'Part 2'!$J$34+'Part 2'!$V$34</f>
        <v>0</v>
      </c>
      <c r="C158" s="778"/>
      <c r="D158" s="778"/>
      <c r="E158" s="778"/>
    </row>
    <row r="159" spans="1:5" s="776" customFormat="1" x14ac:dyDescent="0.2">
      <c r="A159" s="777" t="s">
        <v>1486</v>
      </c>
      <c r="B159" s="778">
        <f>'Part 2'!$AB$34</f>
        <v>0</v>
      </c>
      <c r="C159" s="778"/>
      <c r="D159" s="778"/>
      <c r="E159" s="778"/>
    </row>
    <row r="160" spans="1:5" s="776" customFormat="1" x14ac:dyDescent="0.2">
      <c r="A160" s="779" t="s">
        <v>1487</v>
      </c>
      <c r="B160" s="778">
        <f>'Part 2'!$G$42+'Part 2'!$S$42</f>
        <v>0</v>
      </c>
      <c r="C160" s="778"/>
      <c r="D160" s="778"/>
      <c r="E160" s="778"/>
    </row>
    <row r="161" spans="1:5" s="776" customFormat="1" x14ac:dyDescent="0.2">
      <c r="A161" s="779" t="s">
        <v>1488</v>
      </c>
      <c r="B161" s="778">
        <f>'Part 2'!$J$42+'Part 2'!$V$42</f>
        <v>0</v>
      </c>
      <c r="C161" s="778"/>
      <c r="D161" s="778"/>
      <c r="E161" s="778"/>
    </row>
    <row r="162" spans="1:5" s="776" customFormat="1" x14ac:dyDescent="0.2">
      <c r="A162" s="779" t="s">
        <v>1489</v>
      </c>
      <c r="B162" s="778">
        <f>'Part 2'!$AB$42</f>
        <v>0</v>
      </c>
      <c r="C162" s="778"/>
      <c r="D162" s="778"/>
      <c r="E162" s="778"/>
    </row>
    <row r="163" spans="1:5" s="776" customFormat="1" x14ac:dyDescent="0.2">
      <c r="A163" s="777" t="s">
        <v>1490</v>
      </c>
      <c r="B163" s="778">
        <f>'Part 2'!$G$46+'Part 2'!$S$46</f>
        <v>0</v>
      </c>
      <c r="C163" s="778"/>
      <c r="D163" s="778"/>
      <c r="E163" s="778"/>
    </row>
    <row r="164" spans="1:5" s="776" customFormat="1" x14ac:dyDescent="0.2">
      <c r="A164" s="777" t="s">
        <v>1491</v>
      </c>
      <c r="B164" s="778">
        <f>'Part 2'!$J$46+'Part 2'!$V$46</f>
        <v>0</v>
      </c>
      <c r="C164" s="778"/>
      <c r="D164" s="778"/>
      <c r="E164" s="778"/>
    </row>
    <row r="165" spans="1:5" s="776" customFormat="1" x14ac:dyDescent="0.2">
      <c r="A165" s="777" t="s">
        <v>1492</v>
      </c>
      <c r="B165" s="778">
        <f>'Part 2'!$G$51+'Part 2'!$S$51</f>
        <v>0</v>
      </c>
      <c r="C165" s="778"/>
      <c r="D165" s="778"/>
      <c r="E165" s="778"/>
    </row>
    <row r="166" spans="1:5" s="776" customFormat="1" x14ac:dyDescent="0.2">
      <c r="A166" s="777" t="s">
        <v>1493</v>
      </c>
      <c r="B166" s="778">
        <f>'Part 2'!$J$51+'Part 2'!$V$51</f>
        <v>0</v>
      </c>
      <c r="C166" s="778"/>
      <c r="D166" s="778"/>
      <c r="E166" s="778"/>
    </row>
    <row r="167" spans="1:5" s="776" customFormat="1" x14ac:dyDescent="0.2">
      <c r="A167" s="777" t="s">
        <v>1494</v>
      </c>
      <c r="B167" s="778">
        <f>'Part 2'!$AB$51</f>
        <v>0</v>
      </c>
      <c r="C167" s="778"/>
      <c r="D167" s="778"/>
      <c r="E167" s="778"/>
    </row>
    <row r="168" spans="1:5" s="776" customFormat="1" x14ac:dyDescent="0.2">
      <c r="A168" s="777" t="s">
        <v>1495</v>
      </c>
      <c r="B168" s="778">
        <f>'Part 2'!$G$57+'Part 2'!$S$57</f>
        <v>0</v>
      </c>
      <c r="C168" s="778"/>
      <c r="D168" s="778"/>
      <c r="E168" s="778"/>
    </row>
    <row r="169" spans="1:5" s="776" customFormat="1" x14ac:dyDescent="0.2">
      <c r="A169" s="777" t="s">
        <v>1496</v>
      </c>
      <c r="B169" s="778">
        <f>'Part 2'!$J$57+'Part 2'!$V$57</f>
        <v>0</v>
      </c>
      <c r="C169" s="778"/>
      <c r="D169" s="778"/>
      <c r="E169" s="778"/>
    </row>
    <row r="170" spans="1:5" s="776" customFormat="1" x14ac:dyDescent="0.2">
      <c r="A170" s="777" t="s">
        <v>1497</v>
      </c>
      <c r="B170" s="778">
        <f>'Part 2'!$AB$57</f>
        <v>0</v>
      </c>
      <c r="C170" s="778"/>
      <c r="D170" s="778"/>
      <c r="E170" s="778"/>
    </row>
    <row r="171" spans="1:5" s="776" customFormat="1" x14ac:dyDescent="0.2">
      <c r="A171" s="777" t="s">
        <v>1498</v>
      </c>
      <c r="B171" s="778">
        <f>'Part 2'!$G$59+'Part 2'!$S$59</f>
        <v>0</v>
      </c>
      <c r="C171" s="778"/>
      <c r="D171" s="778"/>
      <c r="E171" s="778"/>
    </row>
    <row r="172" spans="1:5" s="776" customFormat="1" x14ac:dyDescent="0.2">
      <c r="A172" s="777" t="s">
        <v>1499</v>
      </c>
      <c r="B172" s="778">
        <f>'Part 2'!$J$59+'Part 2'!$V$59</f>
        <v>0</v>
      </c>
      <c r="C172" s="778"/>
      <c r="D172" s="778"/>
      <c r="E172" s="778"/>
    </row>
    <row r="173" spans="1:5" s="776" customFormat="1" x14ac:dyDescent="0.2">
      <c r="A173" s="777" t="s">
        <v>1500</v>
      </c>
      <c r="B173" s="778">
        <f>'Part 2'!$AB$59</f>
        <v>0</v>
      </c>
      <c r="C173" s="778"/>
      <c r="D173" s="778"/>
      <c r="E173" s="778"/>
    </row>
    <row r="174" spans="1:5" s="776" customFormat="1" x14ac:dyDescent="0.2">
      <c r="A174" s="777" t="s">
        <v>1503</v>
      </c>
      <c r="B174" s="778">
        <f>'Part 2'!$G$63+'Part 2'!$S$63</f>
        <v>0</v>
      </c>
      <c r="C174" s="778"/>
      <c r="D174" s="778"/>
      <c r="E174" s="778"/>
    </row>
    <row r="175" spans="1:5" s="776" customFormat="1" x14ac:dyDescent="0.2">
      <c r="A175" s="777" t="s">
        <v>1504</v>
      </c>
      <c r="B175" s="778">
        <f>'Part 2'!$J$63+'Part 2'!$V$63</f>
        <v>0</v>
      </c>
      <c r="C175" s="778"/>
      <c r="D175" s="778"/>
      <c r="E175" s="778"/>
    </row>
    <row r="176" spans="1:5" s="776" customFormat="1" x14ac:dyDescent="0.2">
      <c r="A176" s="777" t="s">
        <v>1505</v>
      </c>
      <c r="B176" s="778">
        <f>'Part 2'!$AB$63</f>
        <v>0</v>
      </c>
      <c r="C176" s="778"/>
      <c r="D176" s="778"/>
      <c r="E176" s="778"/>
    </row>
    <row r="177" spans="1:5" s="776" customFormat="1" x14ac:dyDescent="0.2">
      <c r="A177" s="777" t="s">
        <v>1506</v>
      </c>
      <c r="B177" s="778">
        <f>'Part 2'!$G$66+'Part 2'!$S$66</f>
        <v>0</v>
      </c>
      <c r="C177" s="778"/>
      <c r="D177" s="778"/>
      <c r="E177" s="778"/>
    </row>
    <row r="178" spans="1:5" s="776" customFormat="1" x14ac:dyDescent="0.2">
      <c r="A178" s="777" t="s">
        <v>1507</v>
      </c>
      <c r="B178" s="778">
        <f>'Part 2'!$J$66+'Part 2'!$V$66</f>
        <v>0</v>
      </c>
      <c r="C178" s="778"/>
      <c r="D178" s="778"/>
      <c r="E178" s="778"/>
    </row>
    <row r="179" spans="1:5" s="776" customFormat="1" x14ac:dyDescent="0.2">
      <c r="A179" s="777" t="s">
        <v>1508</v>
      </c>
      <c r="B179" s="778">
        <f>'Part 2'!$AB$66</f>
        <v>0</v>
      </c>
      <c r="C179" s="778"/>
      <c r="D179" s="778"/>
      <c r="E179" s="778"/>
    </row>
    <row r="180" spans="1:5" s="776" customFormat="1" x14ac:dyDescent="0.2">
      <c r="A180" s="777" t="s">
        <v>1509</v>
      </c>
      <c r="B180" s="778">
        <f>'Part 2'!$G$69+'Part 2'!$S$69</f>
        <v>0</v>
      </c>
      <c r="C180" s="778"/>
      <c r="D180" s="778"/>
      <c r="E180" s="778"/>
    </row>
    <row r="181" spans="1:5" s="776" customFormat="1" x14ac:dyDescent="0.2">
      <c r="A181" s="777" t="s">
        <v>1510</v>
      </c>
      <c r="B181" s="778">
        <f>'Part 2'!$J$69+'Part 2'!$V$69</f>
        <v>0</v>
      </c>
      <c r="C181" s="778"/>
      <c r="D181" s="778"/>
      <c r="E181" s="778"/>
    </row>
    <row r="182" spans="1:5" s="776" customFormat="1" x14ac:dyDescent="0.2">
      <c r="A182" s="777" t="s">
        <v>1511</v>
      </c>
      <c r="B182" s="778">
        <f>'Part 2'!$AB$69</f>
        <v>0</v>
      </c>
      <c r="C182" s="778"/>
      <c r="D182" s="778"/>
      <c r="E182" s="778"/>
    </row>
    <row r="183" spans="1:5" s="776" customFormat="1" x14ac:dyDescent="0.2">
      <c r="A183" s="777" t="s">
        <v>2303</v>
      </c>
      <c r="B183" s="778">
        <f>'Part 2'!$G$72+'Part 2'!$S$72</f>
        <v>0</v>
      </c>
      <c r="C183" s="778"/>
      <c r="D183" s="778"/>
      <c r="E183" s="778"/>
    </row>
    <row r="184" spans="1:5" s="776" customFormat="1" x14ac:dyDescent="0.2">
      <c r="A184" s="777" t="s">
        <v>2304</v>
      </c>
      <c r="B184" s="778">
        <f>'Part 2'!$J$72+'Part 2'!$V$72</f>
        <v>0</v>
      </c>
      <c r="C184" s="778"/>
      <c r="D184" s="778"/>
      <c r="E184" s="778"/>
    </row>
    <row r="185" spans="1:5" s="776" customFormat="1" x14ac:dyDescent="0.2">
      <c r="A185" s="777" t="s">
        <v>2305</v>
      </c>
      <c r="B185" s="778">
        <f>'Part 2'!$AB$72</f>
        <v>0</v>
      </c>
      <c r="C185" s="778"/>
      <c r="D185" s="778"/>
      <c r="E185" s="778"/>
    </row>
    <row r="186" spans="1:5" s="776" customFormat="1" x14ac:dyDescent="0.2">
      <c r="A186" s="777" t="s">
        <v>2408</v>
      </c>
      <c r="B186" s="778">
        <f>'Part 2'!$G$75+'Part 2'!$S$75</f>
        <v>0</v>
      </c>
      <c r="C186" s="778"/>
      <c r="D186" s="778"/>
      <c r="E186" s="778"/>
    </row>
    <row r="187" spans="1:5" s="776" customFormat="1" x14ac:dyDescent="0.2">
      <c r="A187" s="777" t="s">
        <v>2409</v>
      </c>
      <c r="B187" s="778">
        <f>'Part 2'!$J$75+'Part 2'!$V$75</f>
        <v>0</v>
      </c>
      <c r="C187" s="778"/>
      <c r="D187" s="778"/>
      <c r="E187" s="778"/>
    </row>
    <row r="188" spans="1:5" s="776" customFormat="1" x14ac:dyDescent="0.2">
      <c r="A188" s="777" t="s">
        <v>2410</v>
      </c>
      <c r="B188" s="778">
        <f>'Part 2'!$AB$75</f>
        <v>0</v>
      </c>
      <c r="C188" s="778"/>
      <c r="D188" s="778"/>
      <c r="E188" s="778"/>
    </row>
    <row r="189" spans="1:5" s="776" customFormat="1" x14ac:dyDescent="0.2">
      <c r="A189" s="1185" t="s">
        <v>3159</v>
      </c>
      <c r="B189" s="1178">
        <v>0</v>
      </c>
      <c r="C189" s="778"/>
      <c r="D189" s="778"/>
      <c r="E189" s="778"/>
    </row>
    <row r="190" spans="1:5" s="776" customFormat="1" x14ac:dyDescent="0.2">
      <c r="A190" s="1185" t="s">
        <v>3160</v>
      </c>
      <c r="B190" s="1178">
        <v>0</v>
      </c>
      <c r="C190" s="778"/>
      <c r="D190" s="778"/>
      <c r="E190" s="778"/>
    </row>
    <row r="191" spans="1:5" s="776" customFormat="1" x14ac:dyDescent="0.2">
      <c r="A191" s="1185" t="s">
        <v>3161</v>
      </c>
      <c r="B191" s="1178">
        <v>0</v>
      </c>
      <c r="C191" s="778"/>
      <c r="D191" s="778"/>
      <c r="E191" s="778"/>
    </row>
    <row r="192" spans="1:5" s="776" customFormat="1" x14ac:dyDescent="0.2">
      <c r="A192" s="777" t="s">
        <v>1512</v>
      </c>
      <c r="B192" s="778">
        <f>'Part 2'!$G$79+'Part 2'!$S$79</f>
        <v>0</v>
      </c>
      <c r="C192" s="778"/>
      <c r="D192" s="778"/>
      <c r="E192" s="778"/>
    </row>
    <row r="193" spans="1:5" s="776" customFormat="1" x14ac:dyDescent="0.2">
      <c r="A193" s="777" t="s">
        <v>1513</v>
      </c>
      <c r="B193" s="778">
        <f>'Part 2'!$J$79+'Part 2'!$V$79</f>
        <v>0</v>
      </c>
      <c r="C193" s="778"/>
      <c r="D193" s="778"/>
      <c r="E193" s="778"/>
    </row>
    <row r="194" spans="1:5" s="776" customFormat="1" x14ac:dyDescent="0.2">
      <c r="A194" s="777" t="s">
        <v>1514</v>
      </c>
      <c r="B194" s="778">
        <f>'Part 2'!$G$82+'Part 2'!$S$82</f>
        <v>0</v>
      </c>
      <c r="C194" s="778"/>
      <c r="D194" s="778"/>
      <c r="E194" s="778"/>
    </row>
    <row r="195" spans="1:5" s="776" customFormat="1" x14ac:dyDescent="0.2">
      <c r="A195" s="777" t="s">
        <v>1515</v>
      </c>
      <c r="B195" s="778">
        <f>'Part 2'!$J$82+'Part 2'!$V$82</f>
        <v>0</v>
      </c>
      <c r="C195" s="778"/>
      <c r="D195" s="778"/>
      <c r="E195" s="778"/>
    </row>
    <row r="196" spans="1:5" s="776" customFormat="1" x14ac:dyDescent="0.2">
      <c r="A196" s="777" t="s">
        <v>1516</v>
      </c>
      <c r="B196" s="778">
        <f>'Part 2'!$G$85+'Part 2'!$S$85</f>
        <v>0</v>
      </c>
      <c r="C196" s="778"/>
      <c r="D196" s="778"/>
      <c r="E196" s="778"/>
    </row>
    <row r="197" spans="1:5" s="776" customFormat="1" x14ac:dyDescent="0.2">
      <c r="A197" s="777" t="s">
        <v>1517</v>
      </c>
      <c r="B197" s="778">
        <f>'Part 2'!$J$85+'Part 2'!$V$85</f>
        <v>0</v>
      </c>
      <c r="C197" s="778"/>
      <c r="D197" s="778"/>
      <c r="E197" s="778"/>
    </row>
    <row r="198" spans="1:5" s="776" customFormat="1" x14ac:dyDescent="0.2">
      <c r="A198" s="777" t="s">
        <v>1518</v>
      </c>
      <c r="B198" s="778">
        <f>'Part 2'!$AB$85</f>
        <v>0</v>
      </c>
      <c r="C198" s="778"/>
      <c r="D198" s="778"/>
      <c r="E198" s="778"/>
    </row>
    <row r="199" spans="1:5" s="776" customFormat="1" x14ac:dyDescent="0.2">
      <c r="A199" s="777" t="s">
        <v>1519</v>
      </c>
      <c r="B199" s="778">
        <f>'Part 2'!$G$93+'Part 2'!$S$93</f>
        <v>0</v>
      </c>
      <c r="C199" s="778"/>
      <c r="D199" s="778"/>
      <c r="E199" s="778"/>
    </row>
    <row r="200" spans="1:5" s="776" customFormat="1" x14ac:dyDescent="0.2">
      <c r="A200" s="777" t="s">
        <v>1520</v>
      </c>
      <c r="B200" s="778">
        <f>'Part 2'!$J$93+'Part 2'!$V$93</f>
        <v>0</v>
      </c>
      <c r="C200" s="778"/>
      <c r="D200" s="778"/>
      <c r="E200" s="778"/>
    </row>
    <row r="201" spans="1:5" s="776" customFormat="1" x14ac:dyDescent="0.2">
      <c r="A201" s="777" t="s">
        <v>1521</v>
      </c>
      <c r="B201" s="778">
        <f>'Part 2'!$AB$93</f>
        <v>0</v>
      </c>
      <c r="C201" s="778"/>
      <c r="D201" s="778"/>
      <c r="E201" s="778"/>
    </row>
    <row r="202" spans="1:5" s="776" customFormat="1" x14ac:dyDescent="0.2">
      <c r="A202" s="777" t="s">
        <v>1522</v>
      </c>
      <c r="B202" s="778">
        <f>'Part 2'!$G$96+'Part 2'!$S$96</f>
        <v>0</v>
      </c>
      <c r="C202" s="778"/>
      <c r="D202" s="778"/>
      <c r="E202" s="778"/>
    </row>
    <row r="203" spans="1:5" s="776" customFormat="1" x14ac:dyDescent="0.2">
      <c r="A203" s="777" t="s">
        <v>1523</v>
      </c>
      <c r="B203" s="778">
        <f>'Part 2'!$J$96+'Part 2'!$V$96</f>
        <v>0</v>
      </c>
      <c r="C203" s="778"/>
      <c r="D203" s="778"/>
      <c r="E203" s="778"/>
    </row>
    <row r="204" spans="1:5" s="776" customFormat="1" x14ac:dyDescent="0.2">
      <c r="A204" s="777" t="s">
        <v>1524</v>
      </c>
      <c r="B204" s="778">
        <f>'Part 2'!$AB$96</f>
        <v>0</v>
      </c>
      <c r="C204" s="778"/>
      <c r="D204" s="778"/>
      <c r="E204" s="778"/>
    </row>
    <row r="205" spans="1:5" s="776" customFormat="1" x14ac:dyDescent="0.2">
      <c r="A205" s="777" t="s">
        <v>1525</v>
      </c>
      <c r="B205" s="778">
        <f>'Part 2'!$G$99+'Part 2'!$S$99</f>
        <v>0</v>
      </c>
      <c r="C205" s="778"/>
      <c r="D205" s="778"/>
      <c r="E205" s="778"/>
    </row>
    <row r="206" spans="1:5" s="776" customFormat="1" x14ac:dyDescent="0.2">
      <c r="A206" s="777" t="s">
        <v>1526</v>
      </c>
      <c r="B206" s="778">
        <f>'Part 2'!$J$99+'Part 2'!$V$99</f>
        <v>0</v>
      </c>
      <c r="C206" s="778"/>
      <c r="D206" s="778"/>
      <c r="E206" s="778"/>
    </row>
    <row r="207" spans="1:5" s="776" customFormat="1" x14ac:dyDescent="0.2">
      <c r="A207" s="777" t="s">
        <v>1527</v>
      </c>
      <c r="B207" s="778">
        <f>'Part 2'!$G$102+'Part 2'!$S$102</f>
        <v>0</v>
      </c>
      <c r="C207" s="778"/>
      <c r="D207" s="778"/>
      <c r="E207" s="778"/>
    </row>
    <row r="208" spans="1:5" s="776" customFormat="1" x14ac:dyDescent="0.2">
      <c r="A208" s="777" t="s">
        <v>1528</v>
      </c>
      <c r="B208" s="778">
        <f>'Part 2'!$J$102+'Part 2'!$V$102</f>
        <v>0</v>
      </c>
      <c r="C208" s="778"/>
      <c r="D208" s="778"/>
      <c r="E208" s="778"/>
    </row>
    <row r="209" spans="1:5" s="776" customFormat="1" x14ac:dyDescent="0.2">
      <c r="A209" s="779" t="s">
        <v>1529</v>
      </c>
      <c r="B209" s="778">
        <f>'Part 2'!$G$106+'Part 2'!$S$106</f>
        <v>0</v>
      </c>
      <c r="C209" s="778"/>
      <c r="D209" s="778"/>
      <c r="E209" s="778"/>
    </row>
    <row r="210" spans="1:5" s="776" customFormat="1" x14ac:dyDescent="0.2">
      <c r="A210" s="779" t="s">
        <v>1530</v>
      </c>
      <c r="B210" s="778">
        <f>'Part 2'!$J$106+'Part 2'!$V$106</f>
        <v>0</v>
      </c>
      <c r="C210" s="778"/>
      <c r="D210" s="778"/>
      <c r="E210" s="778"/>
    </row>
    <row r="211" spans="1:5" s="776" customFormat="1" x14ac:dyDescent="0.2">
      <c r="A211" s="779" t="s">
        <v>1531</v>
      </c>
      <c r="B211" s="778">
        <f>'Part 2'!$AB$106</f>
        <v>0</v>
      </c>
      <c r="C211" s="778"/>
      <c r="D211" s="778"/>
      <c r="E211" s="778"/>
    </row>
    <row r="212" spans="1:5" s="776" customFormat="1" x14ac:dyDescent="0.2">
      <c r="A212" s="777" t="s">
        <v>1532</v>
      </c>
      <c r="B212" s="778">
        <f>'Part 2'!$G$112+'Part 2'!$S$112</f>
        <v>0</v>
      </c>
      <c r="C212" s="778"/>
      <c r="D212" s="778"/>
      <c r="E212" s="778"/>
    </row>
    <row r="213" spans="1:5" s="776" customFormat="1" x14ac:dyDescent="0.2">
      <c r="A213" s="777" t="s">
        <v>1533</v>
      </c>
      <c r="B213" s="778">
        <f>'Part 2'!$J$112+'Part 2'!$V$112</f>
        <v>0</v>
      </c>
      <c r="C213" s="778"/>
      <c r="D213" s="778"/>
      <c r="E213" s="778"/>
    </row>
    <row r="214" spans="1:5" s="776" customFormat="1" x14ac:dyDescent="0.2">
      <c r="A214" s="777" t="s">
        <v>1534</v>
      </c>
      <c r="B214" s="778">
        <f>'Part 2'!$AB$112</f>
        <v>0</v>
      </c>
      <c r="C214" s="778"/>
      <c r="D214" s="778"/>
      <c r="E214" s="778"/>
    </row>
    <row r="215" spans="1:5" s="776" customFormat="1" x14ac:dyDescent="0.2">
      <c r="A215" s="777" t="s">
        <v>1535</v>
      </c>
      <c r="B215" s="778">
        <f>'Part 2'!$G$115+'Part 2'!$S$115</f>
        <v>0</v>
      </c>
      <c r="C215" s="778"/>
      <c r="D215" s="778"/>
      <c r="E215" s="778"/>
    </row>
    <row r="216" spans="1:5" s="776" customFormat="1" x14ac:dyDescent="0.2">
      <c r="A216" s="777" t="s">
        <v>1536</v>
      </c>
      <c r="B216" s="778">
        <f>'Part 2'!$J$115+'Part 2'!$V$115</f>
        <v>0</v>
      </c>
      <c r="C216" s="778"/>
      <c r="D216" s="778"/>
      <c r="E216" s="778"/>
    </row>
    <row r="217" spans="1:5" s="776" customFormat="1" x14ac:dyDescent="0.2">
      <c r="A217" s="777" t="s">
        <v>1537</v>
      </c>
      <c r="B217" s="778">
        <f>'Part 2'!$AB$115</f>
        <v>0</v>
      </c>
      <c r="C217" s="778"/>
      <c r="D217" s="778"/>
      <c r="E217" s="778"/>
    </row>
    <row r="218" spans="1:5" s="776" customFormat="1" x14ac:dyDescent="0.2">
      <c r="A218" s="777" t="s">
        <v>1538</v>
      </c>
      <c r="B218" s="778">
        <f>'Part 2'!$G$118+'Part 2'!$S$118</f>
        <v>0</v>
      </c>
      <c r="C218" s="778"/>
      <c r="D218" s="778"/>
      <c r="E218" s="778"/>
    </row>
    <row r="219" spans="1:5" s="776" customFormat="1" x14ac:dyDescent="0.2">
      <c r="A219" s="777" t="s">
        <v>1539</v>
      </c>
      <c r="B219" s="778">
        <f>'Part 2'!$J$118+'Part 2'!$V$118</f>
        <v>0</v>
      </c>
      <c r="C219" s="778"/>
      <c r="D219" s="778"/>
      <c r="E219" s="778"/>
    </row>
    <row r="220" spans="1:5" s="776" customFormat="1" x14ac:dyDescent="0.2">
      <c r="A220" s="777" t="s">
        <v>1540</v>
      </c>
      <c r="B220" s="778">
        <f>'Part 2'!$AB$118</f>
        <v>0</v>
      </c>
      <c r="C220" s="778"/>
      <c r="D220" s="778"/>
      <c r="E220" s="778"/>
    </row>
    <row r="221" spans="1:5" s="776" customFormat="1" x14ac:dyDescent="0.2">
      <c r="A221" s="1185" t="s">
        <v>1541</v>
      </c>
      <c r="B221" s="1178">
        <v>0</v>
      </c>
      <c r="C221" s="778"/>
      <c r="D221" s="778"/>
      <c r="E221" s="778"/>
    </row>
    <row r="222" spans="1:5" s="776" customFormat="1" x14ac:dyDescent="0.2">
      <c r="A222" s="1185" t="s">
        <v>1542</v>
      </c>
      <c r="B222" s="1178">
        <v>0</v>
      </c>
      <c r="C222" s="778"/>
      <c r="D222" s="778"/>
      <c r="E222" s="778"/>
    </row>
    <row r="223" spans="1:5" s="776" customFormat="1" x14ac:dyDescent="0.2">
      <c r="A223" s="1185" t="s">
        <v>1543</v>
      </c>
      <c r="B223" s="1178">
        <v>0</v>
      </c>
      <c r="C223" s="778"/>
      <c r="D223" s="778"/>
      <c r="E223" s="778"/>
    </row>
    <row r="224" spans="1:5" s="776" customFormat="1" x14ac:dyDescent="0.2">
      <c r="A224" s="777" t="s">
        <v>1544</v>
      </c>
      <c r="B224" s="778">
        <f>'Part 2'!$G$121+'Part 2'!$S$121</f>
        <v>0</v>
      </c>
      <c r="C224" s="778"/>
      <c r="D224" s="778"/>
      <c r="E224" s="778"/>
    </row>
    <row r="225" spans="1:5" s="776" customFormat="1" x14ac:dyDescent="0.2">
      <c r="A225" s="777" t="s">
        <v>1545</v>
      </c>
      <c r="B225" s="778">
        <f>'Part 2'!$J$121+'Part 2'!$V$121</f>
        <v>0</v>
      </c>
      <c r="C225" s="778"/>
      <c r="D225" s="778"/>
      <c r="E225" s="778"/>
    </row>
    <row r="226" spans="1:5" s="776" customFormat="1" x14ac:dyDescent="0.2">
      <c r="A226" s="777" t="s">
        <v>1546</v>
      </c>
      <c r="B226" s="778">
        <f>'Part 2'!$AB$121</f>
        <v>0</v>
      </c>
      <c r="C226" s="778"/>
      <c r="D226" s="778"/>
      <c r="E226" s="778"/>
    </row>
    <row r="227" spans="1:5" s="776" customFormat="1" x14ac:dyDescent="0.2">
      <c r="A227" s="779" t="s">
        <v>1547</v>
      </c>
      <c r="B227" s="778">
        <f>'Part 2'!$G$124+'Part 2'!$S$124</f>
        <v>0</v>
      </c>
      <c r="C227" s="778"/>
      <c r="D227" s="778"/>
      <c r="E227" s="778"/>
    </row>
    <row r="228" spans="1:5" s="776" customFormat="1" x14ac:dyDescent="0.2">
      <c r="A228" s="779" t="s">
        <v>1548</v>
      </c>
      <c r="B228" s="778">
        <f>'Part 2'!$J$124+'Part 2'!$V$124</f>
        <v>0</v>
      </c>
      <c r="C228" s="778"/>
      <c r="D228" s="778"/>
      <c r="E228" s="778"/>
    </row>
    <row r="229" spans="1:5" s="776" customFormat="1" x14ac:dyDescent="0.2">
      <c r="A229" s="779" t="s">
        <v>1549</v>
      </c>
      <c r="B229" s="778">
        <f>'Part 2'!$AB$124</f>
        <v>0</v>
      </c>
      <c r="C229" s="778"/>
      <c r="D229" s="778"/>
      <c r="E229" s="778"/>
    </row>
    <row r="230" spans="1:5" s="776" customFormat="1" x14ac:dyDescent="0.2">
      <c r="A230" s="777" t="s">
        <v>1280</v>
      </c>
      <c r="B230" s="778">
        <f>'Part 2'!$J$127+'Part 2'!$V$127</f>
        <v>0</v>
      </c>
      <c r="C230" s="778"/>
      <c r="D230" s="778"/>
      <c r="E230" s="778"/>
    </row>
    <row r="231" spans="1:5" s="776" customFormat="1" x14ac:dyDescent="0.2">
      <c r="A231" s="777" t="s">
        <v>1281</v>
      </c>
      <c r="B231" s="778">
        <f>'Part 2'!$G$129+'Part 2'!$S$129</f>
        <v>0</v>
      </c>
      <c r="C231" s="778"/>
      <c r="D231" s="778"/>
      <c r="E231" s="778"/>
    </row>
    <row r="232" spans="1:5" s="776" customFormat="1" x14ac:dyDescent="0.2">
      <c r="A232" s="777" t="s">
        <v>2329</v>
      </c>
      <c r="B232" s="778">
        <f>'Part 2'!$J$131+'Part 2'!$V$131</f>
        <v>0</v>
      </c>
      <c r="C232" s="778"/>
      <c r="D232" s="778"/>
      <c r="E232" s="778"/>
    </row>
    <row r="233" spans="1:5" s="776" customFormat="1" x14ac:dyDescent="0.2">
      <c r="A233" s="1224" t="s">
        <v>3304</v>
      </c>
      <c r="B233" s="1223">
        <f>'Part 2'!$G$133+'Part 2'!$S$133</f>
        <v>0</v>
      </c>
      <c r="C233" s="778"/>
      <c r="D233" s="778"/>
      <c r="E233" s="778"/>
    </row>
    <row r="234" spans="1:5" s="776" customFormat="1" x14ac:dyDescent="0.2">
      <c r="A234" s="1224" t="s">
        <v>3305</v>
      </c>
      <c r="B234" s="1223">
        <f>'Part 2'!$J$133+'Part 2'!$V$133</f>
        <v>0</v>
      </c>
      <c r="C234" s="778"/>
      <c r="D234" s="778"/>
      <c r="E234" s="778"/>
    </row>
    <row r="235" spans="1:5" s="776" customFormat="1" x14ac:dyDescent="0.2">
      <c r="A235" s="1224" t="s">
        <v>3306</v>
      </c>
      <c r="B235" s="1223">
        <f>'Part 2'!$AA$133</f>
        <v>0</v>
      </c>
      <c r="C235" s="778"/>
      <c r="D235" s="778"/>
      <c r="E235" s="778"/>
    </row>
    <row r="236" spans="1:5" s="776" customFormat="1" x14ac:dyDescent="0.2">
      <c r="A236" s="777" t="s">
        <v>1550</v>
      </c>
      <c r="B236" s="778">
        <f>'Part 2'!$G$137+'Part 2'!$S$137</f>
        <v>0</v>
      </c>
      <c r="C236" s="778"/>
      <c r="D236" s="778"/>
      <c r="E236" s="778"/>
    </row>
    <row r="237" spans="1:5" s="776" customFormat="1" x14ac:dyDescent="0.2">
      <c r="A237" s="777" t="s">
        <v>1551</v>
      </c>
      <c r="B237" s="778">
        <f>'Part 2'!$J$137+'Part 2'!$V$137</f>
        <v>0</v>
      </c>
      <c r="C237" s="778"/>
      <c r="D237" s="778"/>
      <c r="E237" s="778"/>
    </row>
    <row r="238" spans="1:5" s="776" customFormat="1" x14ac:dyDescent="0.2">
      <c r="A238" s="777" t="s">
        <v>1552</v>
      </c>
      <c r="B238" s="778">
        <f>'Part 2'!$G$140+'Part 2'!$S$140</f>
        <v>0</v>
      </c>
      <c r="C238" s="778"/>
      <c r="D238" s="778"/>
      <c r="E238" s="778"/>
    </row>
    <row r="239" spans="1:5" s="776" customFormat="1" x14ac:dyDescent="0.2">
      <c r="A239" s="777" t="s">
        <v>1553</v>
      </c>
      <c r="B239" s="778">
        <f>'Part 2'!$J$140+'Part 2'!$V$140</f>
        <v>0</v>
      </c>
      <c r="C239" s="778"/>
      <c r="D239" s="778"/>
      <c r="E239" s="778"/>
    </row>
    <row r="240" spans="1:5" s="776" customFormat="1" x14ac:dyDescent="0.2">
      <c r="A240" s="777" t="s">
        <v>1554</v>
      </c>
      <c r="B240" s="778">
        <f>'Part 2'!$G$144+'Part 2'!$S$144</f>
        <v>0</v>
      </c>
      <c r="C240" s="778"/>
      <c r="D240" s="778"/>
      <c r="E240" s="778"/>
    </row>
    <row r="241" spans="1:5" s="776" customFormat="1" x14ac:dyDescent="0.2">
      <c r="A241" s="777" t="s">
        <v>1555</v>
      </c>
      <c r="B241" s="778">
        <f>'Part 2'!$J$144+'Part 2'!$V$144</f>
        <v>0</v>
      </c>
      <c r="C241" s="778"/>
      <c r="D241" s="778"/>
      <c r="E241" s="778"/>
    </row>
    <row r="242" spans="1:5" s="776" customFormat="1" x14ac:dyDescent="0.2">
      <c r="A242" s="777" t="s">
        <v>1556</v>
      </c>
      <c r="B242" s="778">
        <f>'Part 2'!$AB$144</f>
        <v>0</v>
      </c>
      <c r="C242" s="778"/>
      <c r="D242" s="778"/>
      <c r="E242" s="778"/>
    </row>
    <row r="243" spans="1:5" s="776" customFormat="1" x14ac:dyDescent="0.2">
      <c r="A243" s="1186" t="s">
        <v>1557</v>
      </c>
      <c r="B243" s="1178">
        <v>0</v>
      </c>
      <c r="C243" s="778"/>
      <c r="D243" s="778"/>
      <c r="E243" s="778"/>
    </row>
    <row r="244" spans="1:5" s="776" customFormat="1" x14ac:dyDescent="0.2">
      <c r="A244" s="1186" t="s">
        <v>1558</v>
      </c>
      <c r="B244" s="1178">
        <v>0</v>
      </c>
      <c r="C244" s="778"/>
      <c r="D244" s="778"/>
      <c r="E244" s="778"/>
    </row>
    <row r="245" spans="1:5" s="776" customFormat="1" x14ac:dyDescent="0.2">
      <c r="A245" s="1186" t="s">
        <v>1559</v>
      </c>
      <c r="B245" s="1178">
        <v>0</v>
      </c>
      <c r="C245" s="778"/>
      <c r="D245" s="778"/>
      <c r="E245" s="778"/>
    </row>
    <row r="246" spans="1:5" s="776" customFormat="1" x14ac:dyDescent="0.2">
      <c r="A246" s="777" t="s">
        <v>1560</v>
      </c>
      <c r="B246" s="778">
        <f>'Part 2'!$G$151+'Part 2'!$S$151</f>
        <v>0</v>
      </c>
      <c r="C246" s="778"/>
      <c r="D246" s="778"/>
      <c r="E246" s="778"/>
    </row>
    <row r="247" spans="1:5" s="776" customFormat="1" x14ac:dyDescent="0.2">
      <c r="A247" s="777" t="s">
        <v>1561</v>
      </c>
      <c r="B247" s="778">
        <f>'Part 2'!$J$151+'Part 2'!$V$151</f>
        <v>0</v>
      </c>
      <c r="C247" s="778"/>
      <c r="D247" s="778"/>
      <c r="E247" s="778"/>
    </row>
    <row r="248" spans="1:5" s="776" customFormat="1" x14ac:dyDescent="0.2">
      <c r="A248" s="777" t="s">
        <v>1562</v>
      </c>
      <c r="B248" s="778">
        <f>'Part 2'!$AB$151</f>
        <v>0</v>
      </c>
      <c r="C248" s="778"/>
      <c r="D248" s="778"/>
      <c r="E248" s="778"/>
    </row>
    <row r="249" spans="1:5" s="776" customFormat="1" x14ac:dyDescent="0.2">
      <c r="A249" s="777" t="s">
        <v>1563</v>
      </c>
      <c r="B249" s="778">
        <f>'Part 2'!$G$154+'Part 2'!$S$154</f>
        <v>0</v>
      </c>
      <c r="C249" s="778"/>
      <c r="D249" s="778"/>
      <c r="E249" s="778"/>
    </row>
    <row r="250" spans="1:5" s="776" customFormat="1" x14ac:dyDescent="0.2">
      <c r="A250" s="777" t="s">
        <v>1564</v>
      </c>
      <c r="B250" s="778">
        <f>'Part 2'!$J$154+'Part 2'!$V$154</f>
        <v>0</v>
      </c>
      <c r="C250" s="778"/>
      <c r="D250" s="778"/>
      <c r="E250" s="778"/>
    </row>
    <row r="251" spans="1:5" s="776" customFormat="1" x14ac:dyDescent="0.2">
      <c r="A251" s="777" t="s">
        <v>1565</v>
      </c>
      <c r="B251" s="778">
        <f>'Part 2'!$AB$154</f>
        <v>0</v>
      </c>
      <c r="C251" s="778"/>
      <c r="D251" s="778"/>
      <c r="E251" s="778"/>
    </row>
    <row r="252" spans="1:5" s="776" customFormat="1" x14ac:dyDescent="0.2">
      <c r="A252" s="777" t="s">
        <v>2313</v>
      </c>
      <c r="B252" s="778">
        <f>'Part 2'!$G$157+'Part 2'!$S$157</f>
        <v>0</v>
      </c>
      <c r="C252" s="778"/>
      <c r="D252" s="778"/>
      <c r="E252" s="778"/>
    </row>
    <row r="253" spans="1:5" s="776" customFormat="1" x14ac:dyDescent="0.2">
      <c r="A253" s="777" t="s">
        <v>2314</v>
      </c>
      <c r="B253" s="778">
        <f>'Part 2'!$J$157+'Part 2'!$V$157</f>
        <v>0</v>
      </c>
      <c r="C253" s="778"/>
      <c r="D253" s="778"/>
      <c r="E253" s="778"/>
    </row>
    <row r="254" spans="1:5" s="776" customFormat="1" x14ac:dyDescent="0.2">
      <c r="A254" s="777" t="s">
        <v>2315</v>
      </c>
      <c r="B254" s="778">
        <f>'Part 2'!$AB$157</f>
        <v>0</v>
      </c>
      <c r="C254" s="778"/>
      <c r="D254" s="778"/>
      <c r="E254" s="778"/>
    </row>
    <row r="255" spans="1:5" s="776" customFormat="1" x14ac:dyDescent="0.2">
      <c r="A255" s="1185" t="s">
        <v>2347</v>
      </c>
      <c r="B255" s="1178">
        <v>0</v>
      </c>
      <c r="C255" s="778"/>
      <c r="D255" s="778"/>
      <c r="E255" s="778"/>
    </row>
    <row r="256" spans="1:5" s="776" customFormat="1" x14ac:dyDescent="0.2">
      <c r="A256" s="1185" t="s">
        <v>2348</v>
      </c>
      <c r="B256" s="1178">
        <v>0</v>
      </c>
      <c r="C256" s="778"/>
      <c r="D256" s="778"/>
      <c r="E256" s="778"/>
    </row>
    <row r="257" spans="1:11" s="776" customFormat="1" x14ac:dyDescent="0.2">
      <c r="A257" s="1185" t="s">
        <v>2349</v>
      </c>
      <c r="B257" s="1178">
        <v>0</v>
      </c>
      <c r="C257" s="778"/>
      <c r="D257" s="778"/>
      <c r="E257" s="778"/>
    </row>
    <row r="258" spans="1:11" s="776" customFormat="1" x14ac:dyDescent="0.2">
      <c r="A258" s="777" t="s">
        <v>1566</v>
      </c>
      <c r="B258" s="778">
        <f>'Part 2'!$G$160+'Part 2'!$S$160</f>
        <v>0</v>
      </c>
      <c r="C258" s="778"/>
      <c r="D258" s="778"/>
      <c r="E258" s="778"/>
      <c r="K258" s="781"/>
    </row>
    <row r="259" spans="1:11" s="776" customFormat="1" x14ac:dyDescent="0.2">
      <c r="A259" s="777" t="s">
        <v>1567</v>
      </c>
      <c r="B259" s="778">
        <f>'Part 2'!$J$160+'Part 2'!$V$160</f>
        <v>0</v>
      </c>
      <c r="C259" s="778"/>
      <c r="D259" s="778"/>
      <c r="E259" s="778"/>
    </row>
    <row r="260" spans="1:11" s="776" customFormat="1" x14ac:dyDescent="0.2">
      <c r="A260" s="777" t="s">
        <v>1568</v>
      </c>
      <c r="B260" s="778">
        <f>'Part 2'!$G$164+'Part 2'!$S$164</f>
        <v>0</v>
      </c>
      <c r="C260" s="778"/>
      <c r="D260" s="778"/>
      <c r="E260" s="778"/>
    </row>
    <row r="261" spans="1:11" s="776" customFormat="1" x14ac:dyDescent="0.2">
      <c r="A261" s="777" t="s">
        <v>1569</v>
      </c>
      <c r="B261" s="778">
        <f>'Part 2'!$J$164+'Part 2'!$V$164</f>
        <v>0</v>
      </c>
      <c r="C261" s="778"/>
      <c r="D261" s="778"/>
      <c r="E261" s="778"/>
    </row>
    <row r="262" spans="1:11" s="776" customFormat="1" x14ac:dyDescent="0.2">
      <c r="A262" s="779" t="s">
        <v>1570</v>
      </c>
      <c r="B262" s="778">
        <f>'Part 2'!$G$168+'Part 2'!$S$168</f>
        <v>0</v>
      </c>
      <c r="C262" s="778"/>
      <c r="D262" s="778"/>
      <c r="E262" s="778"/>
    </row>
    <row r="263" spans="1:11" s="776" customFormat="1" x14ac:dyDescent="0.2">
      <c r="A263" s="779" t="s">
        <v>1571</v>
      </c>
      <c r="B263" s="778">
        <f>'Part 2'!$J$168+'Part 2'!$V$168</f>
        <v>0</v>
      </c>
      <c r="C263" s="778"/>
      <c r="D263" s="778"/>
      <c r="E263" s="778"/>
    </row>
    <row r="264" spans="1:11" s="776" customFormat="1" x14ac:dyDescent="0.2">
      <c r="A264" s="779" t="s">
        <v>1572</v>
      </c>
      <c r="B264" s="778">
        <f>'Part 2'!$AB$168</f>
        <v>0</v>
      </c>
      <c r="C264" s="778"/>
      <c r="D264" s="778"/>
      <c r="E264" s="778"/>
    </row>
    <row r="265" spans="1:11" s="776" customFormat="1" x14ac:dyDescent="0.2">
      <c r="A265" s="777" t="s">
        <v>1573</v>
      </c>
      <c r="B265" s="778">
        <f>'Part 2'!$G$176+'Part 2'!$S$176</f>
        <v>0</v>
      </c>
      <c r="C265" s="778"/>
      <c r="D265" s="778"/>
      <c r="E265" s="778"/>
    </row>
    <row r="266" spans="1:11" s="776" customFormat="1" x14ac:dyDescent="0.2">
      <c r="A266" s="777" t="s">
        <v>1574</v>
      </c>
      <c r="B266" s="778">
        <f>'Part 2'!$J$176+'Part 2'!$V$176</f>
        <v>0</v>
      </c>
      <c r="C266" s="778"/>
      <c r="D266" s="778"/>
      <c r="E266" s="778"/>
    </row>
    <row r="267" spans="1:11" s="776" customFormat="1" x14ac:dyDescent="0.2">
      <c r="A267" s="777" t="s">
        <v>1575</v>
      </c>
      <c r="B267" s="778">
        <f>'Part 2'!$AB$176</f>
        <v>0</v>
      </c>
      <c r="C267" s="778"/>
      <c r="D267" s="778"/>
      <c r="E267" s="778"/>
    </row>
    <row r="268" spans="1:11" s="776" customFormat="1" x14ac:dyDescent="0.2">
      <c r="A268" s="777" t="s">
        <v>2930</v>
      </c>
      <c r="B268" s="778">
        <f>'Part 2'!$G$18</f>
        <v>0</v>
      </c>
      <c r="C268" s="778"/>
      <c r="D268" s="778"/>
      <c r="E268" s="778"/>
    </row>
    <row r="269" spans="1:11" s="776" customFormat="1" x14ac:dyDescent="0.2">
      <c r="A269" s="777" t="s">
        <v>2931</v>
      </c>
      <c r="B269" s="778">
        <f>'Part 2'!$J$18</f>
        <v>0</v>
      </c>
      <c r="C269" s="778"/>
      <c r="D269" s="778"/>
      <c r="E269" s="778"/>
    </row>
    <row r="270" spans="1:11" s="776" customFormat="1" x14ac:dyDescent="0.2">
      <c r="A270" s="777" t="s">
        <v>2932</v>
      </c>
      <c r="B270" s="778">
        <f>'Part 2'!$M$18</f>
        <v>0</v>
      </c>
      <c r="C270" s="778"/>
      <c r="D270" s="778"/>
      <c r="E270" s="778"/>
    </row>
    <row r="271" spans="1:11" s="776" customFormat="1" x14ac:dyDescent="0.2">
      <c r="A271" s="779" t="s">
        <v>2933</v>
      </c>
      <c r="B271" s="780">
        <f>'Part 2'!$D$24</f>
        <v>49.9</v>
      </c>
      <c r="C271" s="778"/>
      <c r="D271" s="780"/>
      <c r="E271" s="780"/>
    </row>
    <row r="272" spans="1:11" s="776" customFormat="1" x14ac:dyDescent="0.2">
      <c r="A272" s="777" t="s">
        <v>2934</v>
      </c>
      <c r="B272" s="778">
        <f>'Part 2'!$G$27</f>
        <v>0</v>
      </c>
      <c r="C272" s="778"/>
      <c r="D272" s="778"/>
      <c r="E272" s="778"/>
    </row>
    <row r="273" spans="1:5" s="776" customFormat="1" x14ac:dyDescent="0.2">
      <c r="A273" s="777" t="s">
        <v>2935</v>
      </c>
      <c r="B273" s="778">
        <f>'Part 2'!$J$27</f>
        <v>0</v>
      </c>
      <c r="C273" s="778"/>
      <c r="D273" s="778"/>
      <c r="E273" s="778"/>
    </row>
    <row r="274" spans="1:5" s="776" customFormat="1" x14ac:dyDescent="0.2">
      <c r="A274" s="777" t="s">
        <v>2936</v>
      </c>
      <c r="B274" s="778">
        <f>'Part 2'!$G$31</f>
        <v>0</v>
      </c>
      <c r="C274" s="778"/>
      <c r="D274" s="778"/>
      <c r="E274" s="778"/>
    </row>
    <row r="275" spans="1:5" s="776" customFormat="1" x14ac:dyDescent="0.2">
      <c r="A275" s="777" t="s">
        <v>2937</v>
      </c>
      <c r="B275" s="778">
        <f>'Part 2'!$J$31</f>
        <v>0</v>
      </c>
      <c r="C275" s="778"/>
      <c r="D275" s="778"/>
      <c r="E275" s="778"/>
    </row>
    <row r="276" spans="1:5" s="776" customFormat="1" x14ac:dyDescent="0.2">
      <c r="A276" s="777" t="s">
        <v>2938</v>
      </c>
      <c r="B276" s="778">
        <f>'Part 2'!$G$34</f>
        <v>0</v>
      </c>
      <c r="C276" s="778"/>
      <c r="D276" s="778"/>
      <c r="E276" s="778"/>
    </row>
    <row r="277" spans="1:5" s="776" customFormat="1" x14ac:dyDescent="0.2">
      <c r="A277" s="777" t="s">
        <v>2939</v>
      </c>
      <c r="B277" s="778">
        <f>'Part 2'!$J$34</f>
        <v>0</v>
      </c>
      <c r="C277" s="778"/>
      <c r="D277" s="778"/>
      <c r="E277" s="778"/>
    </row>
    <row r="278" spans="1:5" s="776" customFormat="1" x14ac:dyDescent="0.2">
      <c r="A278" s="777" t="s">
        <v>2940</v>
      </c>
      <c r="B278" s="778">
        <f>'Part 2'!$M$34</f>
        <v>0</v>
      </c>
      <c r="C278" s="778"/>
      <c r="D278" s="778"/>
      <c r="E278" s="778"/>
    </row>
    <row r="279" spans="1:5" s="776" customFormat="1" x14ac:dyDescent="0.2">
      <c r="A279" s="779" t="s">
        <v>2941</v>
      </c>
      <c r="B279" s="778">
        <f>'Part 2'!$G$42</f>
        <v>0</v>
      </c>
      <c r="C279" s="778"/>
      <c r="D279" s="778"/>
      <c r="E279" s="778"/>
    </row>
    <row r="280" spans="1:5" s="776" customFormat="1" x14ac:dyDescent="0.2">
      <c r="A280" s="779" t="s">
        <v>2942</v>
      </c>
      <c r="B280" s="778">
        <f>'Part 2'!$J$42</f>
        <v>0</v>
      </c>
      <c r="C280" s="778"/>
      <c r="D280" s="778"/>
      <c r="E280" s="778"/>
    </row>
    <row r="281" spans="1:5" s="776" customFormat="1" x14ac:dyDescent="0.2">
      <c r="A281" s="779" t="s">
        <v>2943</v>
      </c>
      <c r="B281" s="778">
        <f>'Part 2'!$M$42</f>
        <v>0</v>
      </c>
      <c r="C281" s="778"/>
      <c r="D281" s="778"/>
      <c r="E281" s="778"/>
    </row>
    <row r="282" spans="1:5" s="776" customFormat="1" x14ac:dyDescent="0.2">
      <c r="A282" s="777" t="s">
        <v>2944</v>
      </c>
      <c r="B282" s="778">
        <f>'Part 2'!$G$46</f>
        <v>0</v>
      </c>
      <c r="C282" s="778"/>
      <c r="D282" s="778"/>
      <c r="E282" s="778"/>
    </row>
    <row r="283" spans="1:5" s="776" customFormat="1" x14ac:dyDescent="0.2">
      <c r="A283" s="777" t="s">
        <v>2945</v>
      </c>
      <c r="B283" s="778">
        <f>'Part 2'!$J$46</f>
        <v>0</v>
      </c>
      <c r="C283" s="778"/>
      <c r="D283" s="778"/>
      <c r="E283" s="778"/>
    </row>
    <row r="284" spans="1:5" s="776" customFormat="1" x14ac:dyDescent="0.2">
      <c r="A284" s="777" t="s">
        <v>2946</v>
      </c>
      <c r="B284" s="778">
        <f>'Part 2'!$G$51</f>
        <v>0</v>
      </c>
      <c r="C284" s="778"/>
      <c r="D284" s="778"/>
      <c r="E284" s="778"/>
    </row>
    <row r="285" spans="1:5" s="776" customFormat="1" x14ac:dyDescent="0.2">
      <c r="A285" s="777" t="s">
        <v>2947</v>
      </c>
      <c r="B285" s="778">
        <f>'Part 2'!$J$51</f>
        <v>0</v>
      </c>
      <c r="C285" s="778"/>
      <c r="D285" s="778"/>
      <c r="E285" s="778"/>
    </row>
    <row r="286" spans="1:5" s="776" customFormat="1" x14ac:dyDescent="0.2">
      <c r="A286" s="777" t="s">
        <v>2948</v>
      </c>
      <c r="B286" s="778">
        <f>'Part 2'!$M$51</f>
        <v>0</v>
      </c>
      <c r="C286" s="778"/>
      <c r="D286" s="778"/>
      <c r="E286" s="778"/>
    </row>
    <row r="287" spans="1:5" s="776" customFormat="1" x14ac:dyDescent="0.2">
      <c r="A287" s="777" t="s">
        <v>2949</v>
      </c>
      <c r="B287" s="778">
        <f>'Part 2'!$G$57</f>
        <v>0</v>
      </c>
      <c r="C287" s="778"/>
      <c r="D287" s="778"/>
      <c r="E287" s="778"/>
    </row>
    <row r="288" spans="1:5" s="776" customFormat="1" x14ac:dyDescent="0.2">
      <c r="A288" s="777" t="s">
        <v>2950</v>
      </c>
      <c r="B288" s="778">
        <f>'Part 2'!$J$57</f>
        <v>0</v>
      </c>
      <c r="C288" s="778"/>
      <c r="D288" s="778"/>
      <c r="E288" s="778"/>
    </row>
    <row r="289" spans="1:5" s="776" customFormat="1" x14ac:dyDescent="0.2">
      <c r="A289" s="777" t="s">
        <v>2951</v>
      </c>
      <c r="B289" s="778">
        <f>'Part 2'!$M$57</f>
        <v>0</v>
      </c>
      <c r="C289" s="778"/>
      <c r="D289" s="778"/>
      <c r="E289" s="778"/>
    </row>
    <row r="290" spans="1:5" s="776" customFormat="1" x14ac:dyDescent="0.2">
      <c r="A290" s="777" t="s">
        <v>2952</v>
      </c>
      <c r="B290" s="778">
        <f>'Part 2'!$G$59</f>
        <v>0</v>
      </c>
      <c r="C290" s="778"/>
      <c r="D290" s="778"/>
      <c r="E290" s="778"/>
    </row>
    <row r="291" spans="1:5" s="776" customFormat="1" x14ac:dyDescent="0.2">
      <c r="A291" s="777" t="s">
        <v>2953</v>
      </c>
      <c r="B291" s="778">
        <f>'Part 2'!$J$59</f>
        <v>0</v>
      </c>
      <c r="C291" s="778"/>
      <c r="D291" s="778"/>
      <c r="E291" s="778"/>
    </row>
    <row r="292" spans="1:5" s="776" customFormat="1" x14ac:dyDescent="0.2">
      <c r="A292" s="777" t="s">
        <v>2954</v>
      </c>
      <c r="B292" s="778">
        <f>'Part 2'!$M$59</f>
        <v>0</v>
      </c>
      <c r="C292" s="778"/>
      <c r="D292" s="778"/>
      <c r="E292" s="778"/>
    </row>
    <row r="293" spans="1:5" s="776" customFormat="1" x14ac:dyDescent="0.2">
      <c r="A293" s="777" t="s">
        <v>2955</v>
      </c>
      <c r="B293" s="778">
        <f>'Part 2'!$G$63</f>
        <v>0</v>
      </c>
      <c r="C293" s="778"/>
      <c r="D293" s="778"/>
      <c r="E293" s="778"/>
    </row>
    <row r="294" spans="1:5" s="776" customFormat="1" x14ac:dyDescent="0.2">
      <c r="A294" s="777" t="s">
        <v>2956</v>
      </c>
      <c r="B294" s="778">
        <f>'Part 2'!$J$63</f>
        <v>0</v>
      </c>
      <c r="C294" s="778"/>
      <c r="D294" s="778"/>
      <c r="E294" s="778"/>
    </row>
    <row r="295" spans="1:5" s="776" customFormat="1" x14ac:dyDescent="0.2">
      <c r="A295" s="777" t="s">
        <v>2957</v>
      </c>
      <c r="B295" s="778">
        <f>'Part 2'!$M$63</f>
        <v>0</v>
      </c>
      <c r="C295" s="778"/>
      <c r="D295" s="778"/>
      <c r="E295" s="778"/>
    </row>
    <row r="296" spans="1:5" s="776" customFormat="1" x14ac:dyDescent="0.2">
      <c r="A296" s="777" t="s">
        <v>2958</v>
      </c>
      <c r="B296" s="778">
        <f>'Part 2'!$G$66</f>
        <v>0</v>
      </c>
      <c r="C296" s="778"/>
      <c r="D296" s="778"/>
      <c r="E296" s="778"/>
    </row>
    <row r="297" spans="1:5" s="776" customFormat="1" x14ac:dyDescent="0.2">
      <c r="A297" s="777" t="s">
        <v>2959</v>
      </c>
      <c r="B297" s="778">
        <f>'Part 2'!$J$66</f>
        <v>0</v>
      </c>
      <c r="C297" s="778"/>
      <c r="D297" s="778"/>
      <c r="E297" s="778"/>
    </row>
    <row r="298" spans="1:5" s="776" customFormat="1" x14ac:dyDescent="0.2">
      <c r="A298" s="777" t="s">
        <v>2960</v>
      </c>
      <c r="B298" s="778">
        <f>'Part 2'!$M$66</f>
        <v>0</v>
      </c>
      <c r="C298" s="778"/>
      <c r="D298" s="778"/>
      <c r="E298" s="778"/>
    </row>
    <row r="299" spans="1:5" s="776" customFormat="1" x14ac:dyDescent="0.2">
      <c r="A299" s="777" t="s">
        <v>2961</v>
      </c>
      <c r="B299" s="778">
        <f>'Part 2'!$G$69</f>
        <v>0</v>
      </c>
      <c r="C299" s="778"/>
      <c r="D299" s="778"/>
      <c r="E299" s="778"/>
    </row>
    <row r="300" spans="1:5" s="776" customFormat="1" x14ac:dyDescent="0.2">
      <c r="A300" s="777" t="s">
        <v>2962</v>
      </c>
      <c r="B300" s="778">
        <f>'Part 2'!$J$69</f>
        <v>0</v>
      </c>
      <c r="C300" s="778"/>
      <c r="D300" s="778"/>
      <c r="E300" s="778"/>
    </row>
    <row r="301" spans="1:5" s="776" customFormat="1" x14ac:dyDescent="0.2">
      <c r="A301" s="777" t="s">
        <v>2963</v>
      </c>
      <c r="B301" s="778">
        <f>'Part 2'!$M$69</f>
        <v>0</v>
      </c>
      <c r="C301" s="778"/>
      <c r="D301" s="778"/>
      <c r="E301" s="778"/>
    </row>
    <row r="302" spans="1:5" s="776" customFormat="1" x14ac:dyDescent="0.2">
      <c r="A302" s="777" t="s">
        <v>2964</v>
      </c>
      <c r="B302" s="778">
        <f>'Part 2'!$G$72</f>
        <v>0</v>
      </c>
      <c r="C302" s="778"/>
      <c r="D302" s="778"/>
      <c r="E302" s="778"/>
    </row>
    <row r="303" spans="1:5" s="776" customFormat="1" x14ac:dyDescent="0.2">
      <c r="A303" s="777" t="s">
        <v>2965</v>
      </c>
      <c r="B303" s="778">
        <f>'Part 2'!$J$72</f>
        <v>0</v>
      </c>
      <c r="C303" s="778"/>
      <c r="D303" s="778"/>
      <c r="E303" s="778"/>
    </row>
    <row r="304" spans="1:5" s="776" customFormat="1" x14ac:dyDescent="0.2">
      <c r="A304" s="777" t="s">
        <v>2966</v>
      </c>
      <c r="B304" s="778">
        <f>'Part 2'!$M$72</f>
        <v>0</v>
      </c>
      <c r="C304" s="778"/>
      <c r="D304" s="778"/>
      <c r="E304" s="778"/>
    </row>
    <row r="305" spans="1:5" s="776" customFormat="1" x14ac:dyDescent="0.2">
      <c r="A305" s="777" t="s">
        <v>3027</v>
      </c>
      <c r="B305" s="778">
        <f>'Part 2'!$G$75</f>
        <v>0</v>
      </c>
      <c r="C305" s="778"/>
      <c r="D305" s="778"/>
      <c r="E305" s="778"/>
    </row>
    <row r="306" spans="1:5" s="776" customFormat="1" x14ac:dyDescent="0.2">
      <c r="A306" s="777" t="s">
        <v>3028</v>
      </c>
      <c r="B306" s="778">
        <f>'Part 2'!$J$75</f>
        <v>0</v>
      </c>
      <c r="C306" s="778"/>
      <c r="D306" s="778"/>
      <c r="E306" s="778"/>
    </row>
    <row r="307" spans="1:5" s="776" customFormat="1" x14ac:dyDescent="0.2">
      <c r="A307" s="777" t="s">
        <v>3029</v>
      </c>
      <c r="B307" s="778">
        <f>'Part 2'!$M$75</f>
        <v>0</v>
      </c>
      <c r="C307" s="778"/>
      <c r="D307" s="778"/>
      <c r="E307" s="778"/>
    </row>
    <row r="308" spans="1:5" s="776" customFormat="1" x14ac:dyDescent="0.2">
      <c r="A308" s="1185" t="s">
        <v>3156</v>
      </c>
      <c r="B308" s="1178">
        <v>0</v>
      </c>
      <c r="C308" s="778"/>
      <c r="D308" s="778"/>
      <c r="E308" s="778"/>
    </row>
    <row r="309" spans="1:5" s="776" customFormat="1" x14ac:dyDescent="0.2">
      <c r="A309" s="1185" t="s">
        <v>3157</v>
      </c>
      <c r="B309" s="1178">
        <v>0</v>
      </c>
      <c r="C309" s="778"/>
      <c r="D309" s="778"/>
      <c r="E309" s="778"/>
    </row>
    <row r="310" spans="1:5" s="776" customFormat="1" x14ac:dyDescent="0.2">
      <c r="A310" s="1185" t="s">
        <v>3158</v>
      </c>
      <c r="B310" s="1178">
        <v>0</v>
      </c>
      <c r="C310" s="778"/>
      <c r="D310" s="778"/>
      <c r="E310" s="778"/>
    </row>
    <row r="311" spans="1:5" s="776" customFormat="1" x14ac:dyDescent="0.2">
      <c r="A311" s="777" t="s">
        <v>2967</v>
      </c>
      <c r="B311" s="778">
        <f>'Part 2'!$G$79</f>
        <v>0</v>
      </c>
      <c r="C311" s="778"/>
      <c r="D311" s="778"/>
      <c r="E311" s="778"/>
    </row>
    <row r="312" spans="1:5" s="776" customFormat="1" x14ac:dyDescent="0.2">
      <c r="A312" s="777" t="s">
        <v>2968</v>
      </c>
      <c r="B312" s="778">
        <f>'Part 2'!$J$79</f>
        <v>0</v>
      </c>
      <c r="C312" s="778"/>
      <c r="D312" s="778"/>
      <c r="E312" s="778"/>
    </row>
    <row r="313" spans="1:5" s="776" customFormat="1" x14ac:dyDescent="0.2">
      <c r="A313" s="777" t="s">
        <v>2969</v>
      </c>
      <c r="B313" s="778">
        <f>'Part 2'!$G$82</f>
        <v>0</v>
      </c>
      <c r="C313" s="778"/>
      <c r="D313" s="778"/>
      <c r="E313" s="778"/>
    </row>
    <row r="314" spans="1:5" s="776" customFormat="1" x14ac:dyDescent="0.2">
      <c r="A314" s="777" t="s">
        <v>2970</v>
      </c>
      <c r="B314" s="778">
        <f>'Part 2'!$J$82</f>
        <v>0</v>
      </c>
      <c r="C314" s="778"/>
      <c r="D314" s="778"/>
      <c r="E314" s="778"/>
    </row>
    <row r="315" spans="1:5" s="776" customFormat="1" x14ac:dyDescent="0.2">
      <c r="A315" s="777" t="s">
        <v>2971</v>
      </c>
      <c r="B315" s="778">
        <f>'Part 2'!$G$85</f>
        <v>0</v>
      </c>
      <c r="C315" s="778"/>
      <c r="D315" s="778"/>
      <c r="E315" s="778"/>
    </row>
    <row r="316" spans="1:5" s="776" customFormat="1" x14ac:dyDescent="0.2">
      <c r="A316" s="777" t="s">
        <v>2972</v>
      </c>
      <c r="B316" s="778">
        <f>'Part 2'!$J$85</f>
        <v>0</v>
      </c>
      <c r="C316" s="778"/>
      <c r="D316" s="778"/>
      <c r="E316" s="778"/>
    </row>
    <row r="317" spans="1:5" s="776" customFormat="1" x14ac:dyDescent="0.2">
      <c r="A317" s="777" t="s">
        <v>2973</v>
      </c>
      <c r="B317" s="778">
        <f>'Part 2'!$M$85</f>
        <v>0</v>
      </c>
      <c r="C317" s="778"/>
      <c r="D317" s="778"/>
      <c r="E317" s="778"/>
    </row>
    <row r="318" spans="1:5" s="776" customFormat="1" x14ac:dyDescent="0.2">
      <c r="A318" s="777" t="s">
        <v>2974</v>
      </c>
      <c r="B318" s="778">
        <f>'Part 2'!$G$93</f>
        <v>0</v>
      </c>
      <c r="C318" s="778"/>
      <c r="D318" s="778"/>
      <c r="E318" s="778"/>
    </row>
    <row r="319" spans="1:5" s="776" customFormat="1" x14ac:dyDescent="0.2">
      <c r="A319" s="777" t="s">
        <v>2975</v>
      </c>
      <c r="B319" s="778">
        <f>'Part 2'!$J$93</f>
        <v>0</v>
      </c>
      <c r="C319" s="778"/>
      <c r="D319" s="778"/>
      <c r="E319" s="778"/>
    </row>
    <row r="320" spans="1:5" s="776" customFormat="1" x14ac:dyDescent="0.2">
      <c r="A320" s="777" t="s">
        <v>2976</v>
      </c>
      <c r="B320" s="778">
        <f>'Part 2'!$M$93</f>
        <v>0</v>
      </c>
      <c r="C320" s="778"/>
      <c r="D320" s="778"/>
      <c r="E320" s="778"/>
    </row>
    <row r="321" spans="1:5" s="776" customFormat="1" x14ac:dyDescent="0.2">
      <c r="A321" s="777" t="s">
        <v>2977</v>
      </c>
      <c r="B321" s="778">
        <f>'Part 2'!$G$96</f>
        <v>0</v>
      </c>
      <c r="C321" s="778"/>
      <c r="D321" s="778"/>
      <c r="E321" s="778"/>
    </row>
    <row r="322" spans="1:5" s="776" customFormat="1" x14ac:dyDescent="0.2">
      <c r="A322" s="777" t="s">
        <v>2978</v>
      </c>
      <c r="B322" s="778">
        <f>'Part 2'!$J$96</f>
        <v>0</v>
      </c>
      <c r="C322" s="778"/>
      <c r="D322" s="778"/>
      <c r="E322" s="778"/>
    </row>
    <row r="323" spans="1:5" s="776" customFormat="1" x14ac:dyDescent="0.2">
      <c r="A323" s="777" t="s">
        <v>2979</v>
      </c>
      <c r="B323" s="778">
        <f>'Part 2'!$M$96</f>
        <v>0</v>
      </c>
      <c r="C323" s="778"/>
      <c r="D323" s="778"/>
      <c r="E323" s="778"/>
    </row>
    <row r="324" spans="1:5" s="776" customFormat="1" x14ac:dyDescent="0.2">
      <c r="A324" s="777" t="s">
        <v>2980</v>
      </c>
      <c r="B324" s="778">
        <f>'Part 2'!$G$99</f>
        <v>0</v>
      </c>
      <c r="C324" s="778"/>
      <c r="D324" s="778"/>
      <c r="E324" s="778"/>
    </row>
    <row r="325" spans="1:5" s="776" customFormat="1" x14ac:dyDescent="0.2">
      <c r="A325" s="777" t="s">
        <v>2981</v>
      </c>
      <c r="B325" s="778">
        <f>'Part 2'!$J$99</f>
        <v>0</v>
      </c>
      <c r="C325" s="778"/>
      <c r="D325" s="778"/>
      <c r="E325" s="778"/>
    </row>
    <row r="326" spans="1:5" s="776" customFormat="1" x14ac:dyDescent="0.2">
      <c r="A326" s="777" t="s">
        <v>2982</v>
      </c>
      <c r="B326" s="778">
        <f>'Part 2'!$G$102</f>
        <v>0</v>
      </c>
      <c r="C326" s="778"/>
      <c r="D326" s="778"/>
      <c r="E326" s="778"/>
    </row>
    <row r="327" spans="1:5" s="776" customFormat="1" x14ac:dyDescent="0.2">
      <c r="A327" s="777" t="s">
        <v>2983</v>
      </c>
      <c r="B327" s="778">
        <f>'Part 2'!$J$102</f>
        <v>0</v>
      </c>
      <c r="C327" s="778"/>
      <c r="D327" s="778"/>
      <c r="E327" s="778"/>
    </row>
    <row r="328" spans="1:5" s="776" customFormat="1" x14ac:dyDescent="0.2">
      <c r="A328" s="779" t="s">
        <v>2984</v>
      </c>
      <c r="B328" s="778">
        <f>'Part 2'!$G$106</f>
        <v>0</v>
      </c>
      <c r="C328" s="778"/>
      <c r="D328" s="778"/>
      <c r="E328" s="778"/>
    </row>
    <row r="329" spans="1:5" s="776" customFormat="1" x14ac:dyDescent="0.2">
      <c r="A329" s="779" t="s">
        <v>2985</v>
      </c>
      <c r="B329" s="778">
        <f>'Part 2'!$J$106</f>
        <v>0</v>
      </c>
      <c r="C329" s="778"/>
      <c r="D329" s="778"/>
      <c r="E329" s="778"/>
    </row>
    <row r="330" spans="1:5" s="776" customFormat="1" x14ac:dyDescent="0.2">
      <c r="A330" s="779" t="s">
        <v>2986</v>
      </c>
      <c r="B330" s="778">
        <f>'Part 2'!$M$106</f>
        <v>0</v>
      </c>
      <c r="C330" s="778"/>
      <c r="D330" s="778"/>
      <c r="E330" s="778"/>
    </row>
    <row r="331" spans="1:5" s="776" customFormat="1" x14ac:dyDescent="0.2">
      <c r="A331" s="777" t="s">
        <v>2987</v>
      </c>
      <c r="B331" s="778">
        <f>'Part 2'!$G$112</f>
        <v>0</v>
      </c>
      <c r="C331" s="778"/>
      <c r="D331" s="778"/>
      <c r="E331" s="778"/>
    </row>
    <row r="332" spans="1:5" s="776" customFormat="1" x14ac:dyDescent="0.2">
      <c r="A332" s="777" t="s">
        <v>2988</v>
      </c>
      <c r="B332" s="778">
        <f>'Part 2'!$J$112</f>
        <v>0</v>
      </c>
      <c r="C332" s="778"/>
      <c r="D332" s="778"/>
      <c r="E332" s="778"/>
    </row>
    <row r="333" spans="1:5" s="776" customFormat="1" x14ac:dyDescent="0.2">
      <c r="A333" s="777" t="s">
        <v>2989</v>
      </c>
      <c r="B333" s="778">
        <f>'Part 2'!$M$112</f>
        <v>0</v>
      </c>
      <c r="C333" s="778"/>
      <c r="D333" s="778"/>
      <c r="E333" s="778"/>
    </row>
    <row r="334" spans="1:5" s="776" customFormat="1" x14ac:dyDescent="0.2">
      <c r="A334" s="777" t="s">
        <v>2990</v>
      </c>
      <c r="B334" s="778">
        <f>'Part 2'!$G$115</f>
        <v>0</v>
      </c>
      <c r="C334" s="778"/>
      <c r="D334" s="778"/>
      <c r="E334" s="778"/>
    </row>
    <row r="335" spans="1:5" s="776" customFormat="1" x14ac:dyDescent="0.2">
      <c r="A335" s="777" t="s">
        <v>2991</v>
      </c>
      <c r="B335" s="778">
        <f>'Part 2'!$J$115</f>
        <v>0</v>
      </c>
      <c r="C335" s="778"/>
      <c r="D335" s="778"/>
      <c r="E335" s="778"/>
    </row>
    <row r="336" spans="1:5" s="776" customFormat="1" x14ac:dyDescent="0.2">
      <c r="A336" s="777" t="s">
        <v>2992</v>
      </c>
      <c r="B336" s="778">
        <f>'Part 2'!$M$115</f>
        <v>0</v>
      </c>
      <c r="C336" s="778"/>
      <c r="D336" s="778"/>
      <c r="E336" s="778"/>
    </row>
    <row r="337" spans="1:5" s="776" customFormat="1" x14ac:dyDescent="0.2">
      <c r="A337" s="777" t="s">
        <v>2993</v>
      </c>
      <c r="B337" s="778">
        <f>'Part 2'!$G$118</f>
        <v>0</v>
      </c>
      <c r="C337" s="778"/>
      <c r="D337" s="778"/>
      <c r="E337" s="778"/>
    </row>
    <row r="338" spans="1:5" s="776" customFormat="1" x14ac:dyDescent="0.2">
      <c r="A338" s="777" t="s">
        <v>2994</v>
      </c>
      <c r="B338" s="778">
        <f>'Part 2'!$J$118</f>
        <v>0</v>
      </c>
      <c r="C338" s="778"/>
      <c r="D338" s="778"/>
      <c r="E338" s="778"/>
    </row>
    <row r="339" spans="1:5" s="776" customFormat="1" x14ac:dyDescent="0.2">
      <c r="A339" s="777" t="s">
        <v>2995</v>
      </c>
      <c r="B339" s="778">
        <f>'Part 2'!$M$118</f>
        <v>0</v>
      </c>
      <c r="C339" s="778"/>
      <c r="D339" s="778"/>
      <c r="E339" s="778"/>
    </row>
    <row r="340" spans="1:5" s="776" customFormat="1" x14ac:dyDescent="0.2">
      <c r="A340" s="1185" t="s">
        <v>2996</v>
      </c>
      <c r="B340" s="1178">
        <v>0</v>
      </c>
      <c r="C340" s="778"/>
      <c r="D340" s="778"/>
      <c r="E340" s="778"/>
    </row>
    <row r="341" spans="1:5" s="776" customFormat="1" x14ac:dyDescent="0.2">
      <c r="A341" s="1185" t="s">
        <v>2997</v>
      </c>
      <c r="B341" s="1178">
        <v>0</v>
      </c>
      <c r="C341" s="778"/>
      <c r="D341" s="778"/>
      <c r="E341" s="778"/>
    </row>
    <row r="342" spans="1:5" s="776" customFormat="1" x14ac:dyDescent="0.2">
      <c r="A342" s="1185" t="s">
        <v>2998</v>
      </c>
      <c r="B342" s="1178">
        <v>0</v>
      </c>
      <c r="C342" s="778"/>
      <c r="D342" s="778"/>
      <c r="E342" s="778"/>
    </row>
    <row r="343" spans="1:5" s="776" customFormat="1" x14ac:dyDescent="0.2">
      <c r="A343" s="777" t="s">
        <v>2999</v>
      </c>
      <c r="B343" s="778">
        <f>'Part 2'!$G$121</f>
        <v>0</v>
      </c>
      <c r="C343" s="778"/>
      <c r="D343" s="778"/>
      <c r="E343" s="778"/>
    </row>
    <row r="344" spans="1:5" s="776" customFormat="1" x14ac:dyDescent="0.2">
      <c r="A344" s="777" t="s">
        <v>3000</v>
      </c>
      <c r="B344" s="778">
        <f>'Part 2'!$J$121</f>
        <v>0</v>
      </c>
      <c r="C344" s="778"/>
      <c r="D344" s="778"/>
      <c r="E344" s="778"/>
    </row>
    <row r="345" spans="1:5" s="776" customFormat="1" x14ac:dyDescent="0.2">
      <c r="A345" s="777" t="s">
        <v>3001</v>
      </c>
      <c r="B345" s="778">
        <f>'Part 2'!$M$121</f>
        <v>0</v>
      </c>
      <c r="C345" s="778"/>
      <c r="D345" s="778"/>
      <c r="E345" s="778"/>
    </row>
    <row r="346" spans="1:5" s="776" customFormat="1" x14ac:dyDescent="0.2">
      <c r="A346" s="779" t="s">
        <v>3002</v>
      </c>
      <c r="B346" s="778">
        <f>'Part 2'!$G$124</f>
        <v>0</v>
      </c>
      <c r="C346" s="778"/>
      <c r="D346" s="778"/>
      <c r="E346" s="778"/>
    </row>
    <row r="347" spans="1:5" s="776" customFormat="1" x14ac:dyDescent="0.2">
      <c r="A347" s="779" t="s">
        <v>3003</v>
      </c>
      <c r="B347" s="778">
        <f>'Part 2'!$J$124</f>
        <v>0</v>
      </c>
      <c r="C347" s="778"/>
      <c r="D347" s="778"/>
      <c r="E347" s="778"/>
    </row>
    <row r="348" spans="1:5" s="776" customFormat="1" x14ac:dyDescent="0.2">
      <c r="A348" s="779" t="s">
        <v>3004</v>
      </c>
      <c r="B348" s="778">
        <f>'Part 2'!$M$124</f>
        <v>0</v>
      </c>
      <c r="C348" s="778"/>
      <c r="D348" s="778"/>
      <c r="E348" s="778"/>
    </row>
    <row r="349" spans="1:5" s="776" customFormat="1" x14ac:dyDescent="0.2">
      <c r="A349" s="777" t="s">
        <v>3005</v>
      </c>
      <c r="B349" s="778">
        <f>'Part 2'!$J$127</f>
        <v>0</v>
      </c>
      <c r="C349" s="778"/>
      <c r="D349" s="778"/>
      <c r="E349" s="778"/>
    </row>
    <row r="350" spans="1:5" s="776" customFormat="1" x14ac:dyDescent="0.2">
      <c r="A350" s="777" t="s">
        <v>3006</v>
      </c>
      <c r="B350" s="778">
        <f>'Part 2'!$G$129</f>
        <v>0</v>
      </c>
      <c r="C350" s="778"/>
      <c r="D350" s="778"/>
      <c r="E350" s="778"/>
    </row>
    <row r="351" spans="1:5" s="776" customFormat="1" x14ac:dyDescent="0.2">
      <c r="A351" s="777" t="s">
        <v>3007</v>
      </c>
      <c r="B351" s="778">
        <f>'Part 2'!$J$131</f>
        <v>0</v>
      </c>
      <c r="C351" s="778"/>
      <c r="D351" s="778"/>
      <c r="E351" s="778"/>
    </row>
    <row r="352" spans="1:5" s="776" customFormat="1" x14ac:dyDescent="0.2">
      <c r="A352" s="1224" t="s">
        <v>3307</v>
      </c>
      <c r="B352" s="1223">
        <f>'Part 2'!$G$133</f>
        <v>0</v>
      </c>
      <c r="C352" s="778"/>
      <c r="D352" s="778"/>
      <c r="E352" s="778"/>
    </row>
    <row r="353" spans="1:5" s="776" customFormat="1" x14ac:dyDescent="0.2">
      <c r="A353" s="1224" t="s">
        <v>3308</v>
      </c>
      <c r="B353" s="1223">
        <f>'Part 2'!$J$133</f>
        <v>0</v>
      </c>
      <c r="C353" s="778"/>
      <c r="D353" s="778"/>
      <c r="E353" s="778"/>
    </row>
    <row r="354" spans="1:5" s="776" customFormat="1" x14ac:dyDescent="0.2">
      <c r="A354" s="1224" t="s">
        <v>3309</v>
      </c>
      <c r="B354" s="1223">
        <f>'Part 2'!$M$133</f>
        <v>0</v>
      </c>
      <c r="C354" s="778"/>
      <c r="D354" s="778"/>
      <c r="E354" s="778"/>
    </row>
    <row r="355" spans="1:5" s="776" customFormat="1" x14ac:dyDescent="0.2">
      <c r="A355" s="777" t="s">
        <v>3008</v>
      </c>
      <c r="B355" s="778">
        <f>'Part 2'!$G$137</f>
        <v>0</v>
      </c>
      <c r="C355" s="778"/>
      <c r="D355" s="778"/>
      <c r="E355" s="778"/>
    </row>
    <row r="356" spans="1:5" s="776" customFormat="1" x14ac:dyDescent="0.2">
      <c r="A356" s="777" t="s">
        <v>3009</v>
      </c>
      <c r="B356" s="778">
        <f>'Part 2'!$J$137</f>
        <v>0</v>
      </c>
      <c r="C356" s="778"/>
      <c r="D356" s="778"/>
      <c r="E356" s="778"/>
    </row>
    <row r="357" spans="1:5" s="776" customFormat="1" x14ac:dyDescent="0.2">
      <c r="A357" s="777" t="s">
        <v>3010</v>
      </c>
      <c r="B357" s="778">
        <f>'Part 2'!$G$140</f>
        <v>0</v>
      </c>
      <c r="C357" s="778"/>
      <c r="D357" s="778"/>
      <c r="E357" s="778"/>
    </row>
    <row r="358" spans="1:5" s="776" customFormat="1" x14ac:dyDescent="0.2">
      <c r="A358" s="777" t="s">
        <v>3011</v>
      </c>
      <c r="B358" s="778">
        <f>'Part 2'!$J$140</f>
        <v>0</v>
      </c>
      <c r="C358" s="778"/>
      <c r="D358" s="778"/>
      <c r="E358" s="778"/>
    </row>
    <row r="359" spans="1:5" s="776" customFormat="1" x14ac:dyDescent="0.2">
      <c r="A359" s="777" t="s">
        <v>3012</v>
      </c>
      <c r="B359" s="778">
        <f>'Part 2'!$G$144</f>
        <v>0</v>
      </c>
      <c r="C359" s="778"/>
      <c r="D359" s="778"/>
      <c r="E359" s="778"/>
    </row>
    <row r="360" spans="1:5" s="776" customFormat="1" x14ac:dyDescent="0.2">
      <c r="A360" s="777" t="s">
        <v>3013</v>
      </c>
      <c r="B360" s="778">
        <f>'Part 2'!$J$144</f>
        <v>0</v>
      </c>
      <c r="C360" s="778"/>
      <c r="D360" s="778"/>
      <c r="E360" s="778"/>
    </row>
    <row r="361" spans="1:5" s="776" customFormat="1" x14ac:dyDescent="0.2">
      <c r="A361" s="777" t="s">
        <v>3014</v>
      </c>
      <c r="B361" s="778">
        <f>'Part 2'!$M$144</f>
        <v>0</v>
      </c>
      <c r="C361" s="778"/>
      <c r="D361" s="778"/>
      <c r="E361" s="778"/>
    </row>
    <row r="362" spans="1:5" s="776" customFormat="1" x14ac:dyDescent="0.2">
      <c r="A362" s="1186" t="s">
        <v>3015</v>
      </c>
      <c r="B362" s="1178">
        <v>0</v>
      </c>
      <c r="C362" s="778"/>
      <c r="D362" s="778"/>
      <c r="E362" s="778"/>
    </row>
    <row r="363" spans="1:5" s="776" customFormat="1" x14ac:dyDescent="0.2">
      <c r="A363" s="1186" t="s">
        <v>3016</v>
      </c>
      <c r="B363" s="1178">
        <v>0</v>
      </c>
      <c r="C363" s="778"/>
      <c r="D363" s="778"/>
      <c r="E363" s="778"/>
    </row>
    <row r="364" spans="1:5" s="776" customFormat="1" x14ac:dyDescent="0.2">
      <c r="A364" s="1186" t="s">
        <v>3017</v>
      </c>
      <c r="B364" s="1178">
        <v>0</v>
      </c>
      <c r="C364" s="778"/>
      <c r="D364" s="778"/>
      <c r="E364" s="778"/>
    </row>
    <row r="365" spans="1:5" s="776" customFormat="1" x14ac:dyDescent="0.2">
      <c r="A365" s="777" t="s">
        <v>3018</v>
      </c>
      <c r="B365" s="778">
        <f>'Part 2'!$G$151</f>
        <v>0</v>
      </c>
      <c r="C365" s="778"/>
      <c r="D365" s="778"/>
      <c r="E365" s="778"/>
    </row>
    <row r="366" spans="1:5" s="776" customFormat="1" x14ac:dyDescent="0.2">
      <c r="A366" s="777" t="s">
        <v>3019</v>
      </c>
      <c r="B366" s="778">
        <f>'Part 2'!$J$151</f>
        <v>0</v>
      </c>
      <c r="C366" s="778"/>
      <c r="D366" s="778"/>
      <c r="E366" s="778"/>
    </row>
    <row r="367" spans="1:5" s="776" customFormat="1" x14ac:dyDescent="0.2">
      <c r="A367" s="777" t="s">
        <v>3020</v>
      </c>
      <c r="B367" s="778">
        <f>'Part 2'!$M$151</f>
        <v>0</v>
      </c>
      <c r="C367" s="778"/>
      <c r="D367" s="778"/>
      <c r="E367" s="778"/>
    </row>
    <row r="368" spans="1:5" s="776" customFormat="1" x14ac:dyDescent="0.2">
      <c r="A368" s="777" t="s">
        <v>3021</v>
      </c>
      <c r="B368" s="778">
        <f>'Part 2'!$G$154</f>
        <v>0</v>
      </c>
      <c r="C368" s="778"/>
      <c r="D368" s="778"/>
      <c r="E368" s="778"/>
    </row>
    <row r="369" spans="1:11" s="776" customFormat="1" x14ac:dyDescent="0.2">
      <c r="A369" s="777" t="s">
        <v>3022</v>
      </c>
      <c r="B369" s="778">
        <f>'Part 2'!$J$154</f>
        <v>0</v>
      </c>
      <c r="C369" s="778"/>
      <c r="D369" s="778"/>
      <c r="E369" s="778"/>
    </row>
    <row r="370" spans="1:11" s="776" customFormat="1" x14ac:dyDescent="0.2">
      <c r="A370" s="777" t="s">
        <v>3023</v>
      </c>
      <c r="B370" s="778">
        <f>'Part 2'!$M$154</f>
        <v>0</v>
      </c>
      <c r="C370" s="778"/>
      <c r="D370" s="778"/>
      <c r="E370" s="778"/>
    </row>
    <row r="371" spans="1:11" s="776" customFormat="1" x14ac:dyDescent="0.2">
      <c r="A371" s="777" t="s">
        <v>3024</v>
      </c>
      <c r="B371" s="778">
        <f>'Part 2'!$G$157</f>
        <v>0</v>
      </c>
      <c r="C371" s="778"/>
      <c r="D371" s="778"/>
      <c r="E371" s="778"/>
    </row>
    <row r="372" spans="1:11" s="776" customFormat="1" x14ac:dyDescent="0.2">
      <c r="A372" s="777" t="s">
        <v>3025</v>
      </c>
      <c r="B372" s="778">
        <f>'Part 2'!$J$157</f>
        <v>0</v>
      </c>
      <c r="C372" s="778"/>
      <c r="D372" s="778"/>
      <c r="E372" s="778"/>
    </row>
    <row r="373" spans="1:11" s="776" customFormat="1" x14ac:dyDescent="0.2">
      <c r="A373" s="777" t="s">
        <v>3026</v>
      </c>
      <c r="B373" s="778">
        <f>'Part 2'!$M$157</f>
        <v>0</v>
      </c>
      <c r="C373" s="778"/>
      <c r="D373" s="778"/>
      <c r="E373" s="778"/>
    </row>
    <row r="374" spans="1:11" s="776" customFormat="1" x14ac:dyDescent="0.2">
      <c r="A374" s="1185" t="s">
        <v>3030</v>
      </c>
      <c r="B374" s="1178">
        <v>0</v>
      </c>
      <c r="C374" s="778"/>
      <c r="D374" s="778"/>
      <c r="E374" s="778"/>
    </row>
    <row r="375" spans="1:11" s="776" customFormat="1" x14ac:dyDescent="0.2">
      <c r="A375" s="1185" t="s">
        <v>3031</v>
      </c>
      <c r="B375" s="1178">
        <v>0</v>
      </c>
      <c r="C375" s="778"/>
      <c r="D375" s="778"/>
      <c r="E375" s="778"/>
    </row>
    <row r="376" spans="1:11" s="776" customFormat="1" x14ac:dyDescent="0.2">
      <c r="A376" s="1185" t="s">
        <v>3032</v>
      </c>
      <c r="B376" s="1178">
        <v>0</v>
      </c>
      <c r="C376" s="778"/>
      <c r="D376" s="778"/>
      <c r="E376" s="778"/>
    </row>
    <row r="377" spans="1:11" s="776" customFormat="1" x14ac:dyDescent="0.2">
      <c r="A377" s="777" t="s">
        <v>3033</v>
      </c>
      <c r="B377" s="778">
        <f>'Part 2'!$G$160</f>
        <v>0</v>
      </c>
      <c r="C377" s="778"/>
      <c r="D377" s="778"/>
      <c r="E377" s="778"/>
      <c r="K377" s="781"/>
    </row>
    <row r="378" spans="1:11" s="776" customFormat="1" x14ac:dyDescent="0.2">
      <c r="A378" s="777" t="s">
        <v>3034</v>
      </c>
      <c r="B378" s="778">
        <f>'Part 2'!$J$160</f>
        <v>0</v>
      </c>
      <c r="C378" s="778"/>
      <c r="D378" s="778"/>
      <c r="E378" s="778"/>
    </row>
    <row r="379" spans="1:11" s="776" customFormat="1" x14ac:dyDescent="0.2">
      <c r="A379" s="777" t="s">
        <v>3035</v>
      </c>
      <c r="B379" s="778">
        <f>'Part 2'!$G$164</f>
        <v>0</v>
      </c>
      <c r="C379" s="778"/>
      <c r="D379" s="778"/>
      <c r="E379" s="778"/>
    </row>
    <row r="380" spans="1:11" s="776" customFormat="1" x14ac:dyDescent="0.2">
      <c r="A380" s="777" t="s">
        <v>3036</v>
      </c>
      <c r="B380" s="778">
        <f>'Part 2'!$J$164</f>
        <v>0</v>
      </c>
      <c r="C380" s="778"/>
      <c r="D380" s="778"/>
      <c r="E380" s="778"/>
    </row>
    <row r="381" spans="1:11" s="776" customFormat="1" x14ac:dyDescent="0.2">
      <c r="A381" s="779" t="s">
        <v>3037</v>
      </c>
      <c r="B381" s="778">
        <f>'Part 2'!$G$168</f>
        <v>0</v>
      </c>
      <c r="C381" s="778"/>
      <c r="D381" s="778"/>
      <c r="E381" s="778"/>
    </row>
    <row r="382" spans="1:11" s="776" customFormat="1" x14ac:dyDescent="0.2">
      <c r="A382" s="779" t="s">
        <v>3038</v>
      </c>
      <c r="B382" s="778">
        <f>'Part 2'!$J$168</f>
        <v>0</v>
      </c>
      <c r="C382" s="778"/>
      <c r="D382" s="778"/>
      <c r="E382" s="778"/>
    </row>
    <row r="383" spans="1:11" s="776" customFormat="1" x14ac:dyDescent="0.2">
      <c r="A383" s="779" t="s">
        <v>3039</v>
      </c>
      <c r="B383" s="778">
        <f>'Part 2'!$M$168</f>
        <v>0</v>
      </c>
      <c r="C383" s="778"/>
      <c r="D383" s="778"/>
      <c r="E383" s="778"/>
    </row>
    <row r="384" spans="1:11" s="776" customFormat="1" x14ac:dyDescent="0.2">
      <c r="A384" s="777" t="s">
        <v>3275</v>
      </c>
      <c r="B384" s="778">
        <f>'Part 2'!$G$176</f>
        <v>0</v>
      </c>
      <c r="C384" s="778"/>
      <c r="D384" s="778"/>
      <c r="E384" s="778"/>
    </row>
    <row r="385" spans="1:5" s="776" customFormat="1" x14ac:dyDescent="0.2">
      <c r="A385" s="777" t="s">
        <v>3276</v>
      </c>
      <c r="B385" s="778">
        <f>'Part 2'!$J$176</f>
        <v>0</v>
      </c>
      <c r="C385" s="778"/>
      <c r="D385" s="778"/>
      <c r="E385" s="778"/>
    </row>
    <row r="386" spans="1:5" s="776" customFormat="1" x14ac:dyDescent="0.2">
      <c r="A386" s="777" t="s">
        <v>3277</v>
      </c>
      <c r="B386" s="778">
        <f>'Part 2'!$M$176</f>
        <v>0</v>
      </c>
      <c r="C386" s="778"/>
      <c r="D386" s="778"/>
      <c r="E386" s="778"/>
    </row>
    <row r="387" spans="1:5" s="776" customFormat="1" x14ac:dyDescent="0.2">
      <c r="A387" s="777" t="s">
        <v>3043</v>
      </c>
      <c r="B387" s="778">
        <f>'Part 2'!$S$18</f>
        <v>0</v>
      </c>
      <c r="C387" s="778"/>
      <c r="D387" s="778"/>
      <c r="E387" s="778"/>
    </row>
    <row r="388" spans="1:5" s="776" customFormat="1" x14ac:dyDescent="0.2">
      <c r="A388" s="777" t="s">
        <v>3044</v>
      </c>
      <c r="B388" s="778">
        <f>'Part 2'!$V$18</f>
        <v>0</v>
      </c>
      <c r="C388" s="778"/>
      <c r="D388" s="778"/>
      <c r="E388" s="778"/>
    </row>
    <row r="389" spans="1:5" s="776" customFormat="1" x14ac:dyDescent="0.2">
      <c r="A389" s="777" t="s">
        <v>3045</v>
      </c>
      <c r="B389" s="778">
        <f>'Part 2'!$Y$18</f>
        <v>0</v>
      </c>
      <c r="C389" s="778"/>
      <c r="D389" s="778"/>
      <c r="E389" s="778"/>
    </row>
    <row r="390" spans="1:5" s="776" customFormat="1" x14ac:dyDescent="0.2">
      <c r="A390" s="779" t="s">
        <v>3046</v>
      </c>
      <c r="B390" s="780">
        <f>'Part 2'!$P$24</f>
        <v>54.6</v>
      </c>
      <c r="C390" s="778"/>
      <c r="D390" s="780"/>
      <c r="E390" s="780"/>
    </row>
    <row r="391" spans="1:5" s="776" customFormat="1" x14ac:dyDescent="0.2">
      <c r="A391" s="777" t="s">
        <v>3047</v>
      </c>
      <c r="B391" s="778">
        <f>'Part 2'!$S$27</f>
        <v>0</v>
      </c>
      <c r="C391" s="778"/>
      <c r="D391" s="778"/>
      <c r="E391" s="778"/>
    </row>
    <row r="392" spans="1:5" s="776" customFormat="1" x14ac:dyDescent="0.2">
      <c r="A392" s="777" t="s">
        <v>3048</v>
      </c>
      <c r="B392" s="778">
        <f>'Part 2'!$V$27</f>
        <v>0</v>
      </c>
      <c r="C392" s="778"/>
      <c r="D392" s="778"/>
      <c r="E392" s="778"/>
    </row>
    <row r="393" spans="1:5" s="776" customFormat="1" x14ac:dyDescent="0.2">
      <c r="A393" s="777" t="s">
        <v>3049</v>
      </c>
      <c r="B393" s="778">
        <f>'Part 2'!$S$31</f>
        <v>0</v>
      </c>
      <c r="C393" s="778"/>
      <c r="D393" s="778"/>
      <c r="E393" s="778"/>
    </row>
    <row r="394" spans="1:5" s="776" customFormat="1" x14ac:dyDescent="0.2">
      <c r="A394" s="777" t="s">
        <v>3050</v>
      </c>
      <c r="B394" s="778">
        <f>'Part 2'!$V$31</f>
        <v>0</v>
      </c>
      <c r="C394" s="778"/>
      <c r="D394" s="778"/>
      <c r="E394" s="778"/>
    </row>
    <row r="395" spans="1:5" s="776" customFormat="1" x14ac:dyDescent="0.2">
      <c r="A395" s="777" t="s">
        <v>3051</v>
      </c>
      <c r="B395" s="778">
        <f>'Part 2'!$S$34</f>
        <v>0</v>
      </c>
      <c r="C395" s="778"/>
      <c r="D395" s="778"/>
      <c r="E395" s="778"/>
    </row>
    <row r="396" spans="1:5" s="776" customFormat="1" x14ac:dyDescent="0.2">
      <c r="A396" s="777" t="s">
        <v>3052</v>
      </c>
      <c r="B396" s="778">
        <f>'Part 2'!$V$34</f>
        <v>0</v>
      </c>
      <c r="C396" s="778"/>
      <c r="D396" s="778"/>
      <c r="E396" s="778"/>
    </row>
    <row r="397" spans="1:5" s="776" customFormat="1" x14ac:dyDescent="0.2">
      <c r="A397" s="777" t="s">
        <v>3053</v>
      </c>
      <c r="B397" s="778">
        <f>'Part 2'!$Y$34</f>
        <v>0</v>
      </c>
      <c r="C397" s="778"/>
      <c r="D397" s="778"/>
      <c r="E397" s="778"/>
    </row>
    <row r="398" spans="1:5" s="776" customFormat="1" x14ac:dyDescent="0.2">
      <c r="A398" s="779" t="s">
        <v>3054</v>
      </c>
      <c r="B398" s="778">
        <f>'Part 2'!$S$42</f>
        <v>0</v>
      </c>
      <c r="C398" s="778"/>
      <c r="D398" s="778"/>
      <c r="E398" s="778"/>
    </row>
    <row r="399" spans="1:5" s="776" customFormat="1" x14ac:dyDescent="0.2">
      <c r="A399" s="779" t="s">
        <v>3055</v>
      </c>
      <c r="B399" s="778">
        <f>'Part 2'!$V$42</f>
        <v>0</v>
      </c>
      <c r="C399" s="778"/>
      <c r="D399" s="778"/>
      <c r="E399" s="778"/>
    </row>
    <row r="400" spans="1:5" s="776" customFormat="1" x14ac:dyDescent="0.2">
      <c r="A400" s="779" t="s">
        <v>3056</v>
      </c>
      <c r="B400" s="778">
        <f>'Part 2'!$Y$42</f>
        <v>0</v>
      </c>
      <c r="C400" s="778"/>
      <c r="D400" s="778"/>
      <c r="E400" s="778"/>
    </row>
    <row r="401" spans="1:5" s="776" customFormat="1" x14ac:dyDescent="0.2">
      <c r="A401" s="777" t="s">
        <v>3057</v>
      </c>
      <c r="B401" s="778">
        <f>'Part 2'!$S$46</f>
        <v>0</v>
      </c>
      <c r="C401" s="778"/>
      <c r="D401" s="778"/>
      <c r="E401" s="778"/>
    </row>
    <row r="402" spans="1:5" s="776" customFormat="1" x14ac:dyDescent="0.2">
      <c r="A402" s="777" t="s">
        <v>3058</v>
      </c>
      <c r="B402" s="778">
        <f>'Part 2'!$V$46</f>
        <v>0</v>
      </c>
      <c r="C402" s="778"/>
      <c r="D402" s="778"/>
      <c r="E402" s="778"/>
    </row>
    <row r="403" spans="1:5" s="776" customFormat="1" x14ac:dyDescent="0.2">
      <c r="A403" s="777" t="s">
        <v>3059</v>
      </c>
      <c r="B403" s="778">
        <f>'Part 2'!$S$51</f>
        <v>0</v>
      </c>
      <c r="C403" s="778"/>
      <c r="D403" s="778"/>
      <c r="E403" s="778"/>
    </row>
    <row r="404" spans="1:5" s="776" customFormat="1" x14ac:dyDescent="0.2">
      <c r="A404" s="777" t="s">
        <v>3060</v>
      </c>
      <c r="B404" s="778">
        <f>'Part 2'!$V$51</f>
        <v>0</v>
      </c>
      <c r="C404" s="778"/>
      <c r="D404" s="778"/>
      <c r="E404" s="778"/>
    </row>
    <row r="405" spans="1:5" s="776" customFormat="1" x14ac:dyDescent="0.2">
      <c r="A405" s="777" t="s">
        <v>3061</v>
      </c>
      <c r="B405" s="778">
        <f>'Part 2'!$Y$51</f>
        <v>0</v>
      </c>
      <c r="C405" s="778"/>
      <c r="D405" s="778"/>
      <c r="E405" s="778"/>
    </row>
    <row r="406" spans="1:5" s="776" customFormat="1" x14ac:dyDescent="0.2">
      <c r="A406" s="777" t="s">
        <v>3062</v>
      </c>
      <c r="B406" s="778">
        <f>'Part 2'!$S$57</f>
        <v>0</v>
      </c>
      <c r="C406" s="778"/>
      <c r="D406" s="778"/>
      <c r="E406" s="778"/>
    </row>
    <row r="407" spans="1:5" s="776" customFormat="1" x14ac:dyDescent="0.2">
      <c r="A407" s="777" t="s">
        <v>3063</v>
      </c>
      <c r="B407" s="778">
        <f>'Part 2'!$V$57</f>
        <v>0</v>
      </c>
      <c r="C407" s="778"/>
      <c r="D407" s="778"/>
      <c r="E407" s="778"/>
    </row>
    <row r="408" spans="1:5" s="776" customFormat="1" x14ac:dyDescent="0.2">
      <c r="A408" s="777" t="s">
        <v>3064</v>
      </c>
      <c r="B408" s="778">
        <f>'Part 2'!$Y$57</f>
        <v>0</v>
      </c>
      <c r="C408" s="778"/>
      <c r="D408" s="778"/>
      <c r="E408" s="778"/>
    </row>
    <row r="409" spans="1:5" s="776" customFormat="1" x14ac:dyDescent="0.2">
      <c r="A409" s="777" t="s">
        <v>3065</v>
      </c>
      <c r="B409" s="778">
        <f>'Part 2'!$S$59</f>
        <v>0</v>
      </c>
      <c r="C409" s="778"/>
      <c r="D409" s="778"/>
      <c r="E409" s="778"/>
    </row>
    <row r="410" spans="1:5" s="776" customFormat="1" x14ac:dyDescent="0.2">
      <c r="A410" s="777" t="s">
        <v>3066</v>
      </c>
      <c r="B410" s="778">
        <f>'Part 2'!$V$59</f>
        <v>0</v>
      </c>
      <c r="C410" s="778"/>
      <c r="D410" s="778"/>
      <c r="E410" s="778"/>
    </row>
    <row r="411" spans="1:5" s="776" customFormat="1" x14ac:dyDescent="0.2">
      <c r="A411" s="777" t="s">
        <v>3067</v>
      </c>
      <c r="B411" s="778">
        <f>'Part 2'!$Y$59</f>
        <v>0</v>
      </c>
      <c r="C411" s="778"/>
      <c r="D411" s="778"/>
      <c r="E411" s="778"/>
    </row>
    <row r="412" spans="1:5" s="776" customFormat="1" x14ac:dyDescent="0.2">
      <c r="A412" s="777" t="s">
        <v>3068</v>
      </c>
      <c r="B412" s="778">
        <f>'Part 2'!$S$63</f>
        <v>0</v>
      </c>
      <c r="C412" s="778"/>
      <c r="D412" s="778"/>
      <c r="E412" s="778"/>
    </row>
    <row r="413" spans="1:5" s="776" customFormat="1" x14ac:dyDescent="0.2">
      <c r="A413" s="777" t="s">
        <v>3069</v>
      </c>
      <c r="B413" s="778">
        <f>'Part 2'!$V$63</f>
        <v>0</v>
      </c>
      <c r="C413" s="778"/>
      <c r="D413" s="778"/>
      <c r="E413" s="778"/>
    </row>
    <row r="414" spans="1:5" s="776" customFormat="1" x14ac:dyDescent="0.2">
      <c r="A414" s="777" t="s">
        <v>3070</v>
      </c>
      <c r="B414" s="778">
        <f>'Part 2'!$Y$63</f>
        <v>0</v>
      </c>
      <c r="C414" s="778"/>
      <c r="D414" s="778"/>
      <c r="E414" s="778"/>
    </row>
    <row r="415" spans="1:5" s="776" customFormat="1" x14ac:dyDescent="0.2">
      <c r="A415" s="777" t="s">
        <v>3071</v>
      </c>
      <c r="B415" s="778">
        <f>'Part 2'!$S$66</f>
        <v>0</v>
      </c>
      <c r="C415" s="778"/>
      <c r="D415" s="778"/>
      <c r="E415" s="778"/>
    </row>
    <row r="416" spans="1:5" s="776" customFormat="1" x14ac:dyDescent="0.2">
      <c r="A416" s="777" t="s">
        <v>3072</v>
      </c>
      <c r="B416" s="778">
        <f>'Part 2'!$V$66</f>
        <v>0</v>
      </c>
      <c r="C416" s="778"/>
      <c r="D416" s="778"/>
      <c r="E416" s="778"/>
    </row>
    <row r="417" spans="1:5" s="776" customFormat="1" x14ac:dyDescent="0.2">
      <c r="A417" s="777" t="s">
        <v>3073</v>
      </c>
      <c r="B417" s="778">
        <f>'Part 2'!$Y$66</f>
        <v>0</v>
      </c>
      <c r="C417" s="778"/>
      <c r="D417" s="778"/>
      <c r="E417" s="778"/>
    </row>
    <row r="418" spans="1:5" s="776" customFormat="1" x14ac:dyDescent="0.2">
      <c r="A418" s="777" t="s">
        <v>3074</v>
      </c>
      <c r="B418" s="778">
        <f>'Part 2'!$S$69</f>
        <v>0</v>
      </c>
      <c r="C418" s="778"/>
      <c r="D418" s="778"/>
      <c r="E418" s="778"/>
    </row>
    <row r="419" spans="1:5" s="776" customFormat="1" x14ac:dyDescent="0.2">
      <c r="A419" s="777" t="s">
        <v>3075</v>
      </c>
      <c r="B419" s="778">
        <f>'Part 2'!$V$69</f>
        <v>0</v>
      </c>
      <c r="C419" s="778"/>
      <c r="D419" s="778"/>
      <c r="E419" s="778"/>
    </row>
    <row r="420" spans="1:5" s="776" customFormat="1" x14ac:dyDescent="0.2">
      <c r="A420" s="777" t="s">
        <v>3076</v>
      </c>
      <c r="B420" s="778">
        <f>'Part 2'!$Y$69</f>
        <v>0</v>
      </c>
      <c r="C420" s="778"/>
      <c r="D420" s="778"/>
      <c r="E420" s="778"/>
    </row>
    <row r="421" spans="1:5" s="776" customFormat="1" x14ac:dyDescent="0.2">
      <c r="A421" s="777" t="s">
        <v>3077</v>
      </c>
      <c r="B421" s="778">
        <f>'Part 2'!$S$72</f>
        <v>0</v>
      </c>
      <c r="C421" s="778"/>
      <c r="D421" s="778"/>
      <c r="E421" s="778"/>
    </row>
    <row r="422" spans="1:5" s="776" customFormat="1" x14ac:dyDescent="0.2">
      <c r="A422" s="777" t="s">
        <v>3078</v>
      </c>
      <c r="B422" s="778">
        <f>'Part 2'!$V$72</f>
        <v>0</v>
      </c>
      <c r="C422" s="778"/>
      <c r="D422" s="778"/>
      <c r="E422" s="778"/>
    </row>
    <row r="423" spans="1:5" s="776" customFormat="1" x14ac:dyDescent="0.2">
      <c r="A423" s="777" t="s">
        <v>3079</v>
      </c>
      <c r="B423" s="778">
        <f>'Part 2'!$Y$72</f>
        <v>0</v>
      </c>
      <c r="C423" s="778"/>
      <c r="D423" s="778"/>
      <c r="E423" s="778"/>
    </row>
    <row r="424" spans="1:5" s="776" customFormat="1" x14ac:dyDescent="0.2">
      <c r="A424" s="777" t="s">
        <v>3140</v>
      </c>
      <c r="B424" s="778">
        <f>'Part 2'!$S$75</f>
        <v>0</v>
      </c>
      <c r="C424" s="778"/>
      <c r="D424" s="778"/>
      <c r="E424" s="778"/>
    </row>
    <row r="425" spans="1:5" s="776" customFormat="1" x14ac:dyDescent="0.2">
      <c r="A425" s="777" t="s">
        <v>3141</v>
      </c>
      <c r="B425" s="778">
        <f>'Part 2'!$V$75</f>
        <v>0</v>
      </c>
      <c r="C425" s="778"/>
      <c r="D425" s="778"/>
      <c r="E425" s="778"/>
    </row>
    <row r="426" spans="1:5" s="776" customFormat="1" x14ac:dyDescent="0.2">
      <c r="A426" s="777" t="s">
        <v>3142</v>
      </c>
      <c r="B426" s="778">
        <f>'Part 2'!$Y$75</f>
        <v>0</v>
      </c>
      <c r="C426" s="778"/>
      <c r="D426" s="778"/>
      <c r="E426" s="778"/>
    </row>
    <row r="427" spans="1:5" s="776" customFormat="1" x14ac:dyDescent="0.2">
      <c r="A427" s="1185" t="s">
        <v>3153</v>
      </c>
      <c r="B427" s="1178">
        <v>0</v>
      </c>
      <c r="C427" s="778"/>
      <c r="D427" s="778"/>
      <c r="E427" s="778"/>
    </row>
    <row r="428" spans="1:5" s="776" customFormat="1" x14ac:dyDescent="0.2">
      <c r="A428" s="1185" t="s">
        <v>3154</v>
      </c>
      <c r="B428" s="1178">
        <v>0</v>
      </c>
      <c r="C428" s="778"/>
      <c r="D428" s="778"/>
      <c r="E428" s="778"/>
    </row>
    <row r="429" spans="1:5" s="776" customFormat="1" x14ac:dyDescent="0.2">
      <c r="A429" s="1185" t="s">
        <v>3155</v>
      </c>
      <c r="B429" s="1178">
        <v>0</v>
      </c>
      <c r="C429" s="778"/>
      <c r="D429" s="778"/>
      <c r="E429" s="778"/>
    </row>
    <row r="430" spans="1:5" s="776" customFormat="1" x14ac:dyDescent="0.2">
      <c r="A430" s="777" t="s">
        <v>3080</v>
      </c>
      <c r="B430" s="778">
        <f>'Part 2'!$S$79</f>
        <v>0</v>
      </c>
      <c r="C430" s="778"/>
      <c r="D430" s="778"/>
      <c r="E430" s="778"/>
    </row>
    <row r="431" spans="1:5" s="776" customFormat="1" x14ac:dyDescent="0.2">
      <c r="A431" s="777" t="s">
        <v>3081</v>
      </c>
      <c r="B431" s="778">
        <f>'Part 2'!$V$79</f>
        <v>0</v>
      </c>
      <c r="C431" s="778"/>
      <c r="D431" s="778"/>
      <c r="E431" s="778"/>
    </row>
    <row r="432" spans="1:5" s="776" customFormat="1" x14ac:dyDescent="0.2">
      <c r="A432" s="777" t="s">
        <v>3082</v>
      </c>
      <c r="B432" s="778">
        <f>'Part 2'!$S$82</f>
        <v>0</v>
      </c>
      <c r="C432" s="778"/>
      <c r="D432" s="778"/>
      <c r="E432" s="778"/>
    </row>
    <row r="433" spans="1:5" s="776" customFormat="1" x14ac:dyDescent="0.2">
      <c r="A433" s="777" t="s">
        <v>3083</v>
      </c>
      <c r="B433" s="778">
        <f>'Part 2'!$V$82</f>
        <v>0</v>
      </c>
      <c r="C433" s="778"/>
      <c r="D433" s="778"/>
      <c r="E433" s="778"/>
    </row>
    <row r="434" spans="1:5" s="776" customFormat="1" x14ac:dyDescent="0.2">
      <c r="A434" s="777" t="s">
        <v>3084</v>
      </c>
      <c r="B434" s="778">
        <f>'Part 2'!$S$85</f>
        <v>0</v>
      </c>
      <c r="C434" s="778"/>
      <c r="D434" s="778"/>
      <c r="E434" s="778"/>
    </row>
    <row r="435" spans="1:5" s="776" customFormat="1" x14ac:dyDescent="0.2">
      <c r="A435" s="777" t="s">
        <v>3085</v>
      </c>
      <c r="B435" s="778">
        <f>'Part 2'!$V$85</f>
        <v>0</v>
      </c>
      <c r="C435" s="778"/>
      <c r="D435" s="778"/>
      <c r="E435" s="778"/>
    </row>
    <row r="436" spans="1:5" s="776" customFormat="1" x14ac:dyDescent="0.2">
      <c r="A436" s="777" t="s">
        <v>3086</v>
      </c>
      <c r="B436" s="778">
        <f>'Part 2'!$Y$85</f>
        <v>0</v>
      </c>
      <c r="C436" s="778"/>
      <c r="D436" s="778"/>
      <c r="E436" s="778"/>
    </row>
    <row r="437" spans="1:5" s="776" customFormat="1" x14ac:dyDescent="0.2">
      <c r="A437" s="777" t="s">
        <v>3087</v>
      </c>
      <c r="B437" s="778">
        <f>'Part 2'!$S$93</f>
        <v>0</v>
      </c>
      <c r="C437" s="778"/>
      <c r="D437" s="778"/>
      <c r="E437" s="778"/>
    </row>
    <row r="438" spans="1:5" s="776" customFormat="1" x14ac:dyDescent="0.2">
      <c r="A438" s="777" t="s">
        <v>3088</v>
      </c>
      <c r="B438" s="778">
        <f>'Part 2'!$V$93</f>
        <v>0</v>
      </c>
      <c r="C438" s="778"/>
      <c r="D438" s="778"/>
      <c r="E438" s="778"/>
    </row>
    <row r="439" spans="1:5" s="776" customFormat="1" x14ac:dyDescent="0.2">
      <c r="A439" s="777" t="s">
        <v>3089</v>
      </c>
      <c r="B439" s="778">
        <f>'Part 2'!$Y$93</f>
        <v>0</v>
      </c>
      <c r="C439" s="778"/>
      <c r="D439" s="778"/>
      <c r="E439" s="778"/>
    </row>
    <row r="440" spans="1:5" s="776" customFormat="1" x14ac:dyDescent="0.2">
      <c r="A440" s="777" t="s">
        <v>3090</v>
      </c>
      <c r="B440" s="778">
        <f>'Part 2'!$S$96</f>
        <v>0</v>
      </c>
      <c r="C440" s="778"/>
      <c r="D440" s="778"/>
      <c r="E440" s="778"/>
    </row>
    <row r="441" spans="1:5" s="776" customFormat="1" x14ac:dyDescent="0.2">
      <c r="A441" s="777" t="s">
        <v>3091</v>
      </c>
      <c r="B441" s="778">
        <f>'Part 2'!$V$96</f>
        <v>0</v>
      </c>
      <c r="C441" s="778"/>
      <c r="D441" s="778"/>
      <c r="E441" s="778"/>
    </row>
    <row r="442" spans="1:5" s="776" customFormat="1" x14ac:dyDescent="0.2">
      <c r="A442" s="777" t="s">
        <v>3092</v>
      </c>
      <c r="B442" s="778">
        <f>'Part 2'!$Y$96</f>
        <v>0</v>
      </c>
      <c r="C442" s="778"/>
      <c r="D442" s="778"/>
      <c r="E442" s="778"/>
    </row>
    <row r="443" spans="1:5" s="776" customFormat="1" x14ac:dyDescent="0.2">
      <c r="A443" s="777" t="s">
        <v>3093</v>
      </c>
      <c r="B443" s="778">
        <f>'Part 2'!$S$99</f>
        <v>0</v>
      </c>
      <c r="C443" s="778"/>
      <c r="D443" s="778"/>
      <c r="E443" s="778"/>
    </row>
    <row r="444" spans="1:5" s="776" customFormat="1" x14ac:dyDescent="0.2">
      <c r="A444" s="777" t="s">
        <v>3094</v>
      </c>
      <c r="B444" s="778">
        <f>'Part 2'!$V$99</f>
        <v>0</v>
      </c>
      <c r="C444" s="778"/>
      <c r="D444" s="778"/>
      <c r="E444" s="778"/>
    </row>
    <row r="445" spans="1:5" s="776" customFormat="1" x14ac:dyDescent="0.2">
      <c r="A445" s="777" t="s">
        <v>3095</v>
      </c>
      <c r="B445" s="778">
        <f>'Part 2'!$S$102</f>
        <v>0</v>
      </c>
      <c r="C445" s="778"/>
      <c r="D445" s="778"/>
      <c r="E445" s="778"/>
    </row>
    <row r="446" spans="1:5" s="776" customFormat="1" x14ac:dyDescent="0.2">
      <c r="A446" s="777" t="s">
        <v>3096</v>
      </c>
      <c r="B446" s="778">
        <f>'Part 2'!$V$102</f>
        <v>0</v>
      </c>
      <c r="C446" s="778"/>
      <c r="D446" s="778"/>
      <c r="E446" s="778"/>
    </row>
    <row r="447" spans="1:5" s="776" customFormat="1" x14ac:dyDescent="0.2">
      <c r="A447" s="779" t="s">
        <v>3097</v>
      </c>
      <c r="B447" s="778">
        <f>'Part 2'!$S$106</f>
        <v>0</v>
      </c>
      <c r="C447" s="778"/>
      <c r="D447" s="778"/>
      <c r="E447" s="778"/>
    </row>
    <row r="448" spans="1:5" s="776" customFormat="1" x14ac:dyDescent="0.2">
      <c r="A448" s="779" t="s">
        <v>3098</v>
      </c>
      <c r="B448" s="778">
        <f>'Part 2'!$V$106</f>
        <v>0</v>
      </c>
      <c r="C448" s="778"/>
      <c r="D448" s="778"/>
      <c r="E448" s="778"/>
    </row>
    <row r="449" spans="1:5" s="776" customFormat="1" x14ac:dyDescent="0.2">
      <c r="A449" s="779" t="s">
        <v>3099</v>
      </c>
      <c r="B449" s="778">
        <f>'Part 2'!$Y$106</f>
        <v>0</v>
      </c>
      <c r="C449" s="778"/>
      <c r="D449" s="778"/>
      <c r="E449" s="778"/>
    </row>
    <row r="450" spans="1:5" s="776" customFormat="1" x14ac:dyDescent="0.2">
      <c r="A450" s="777" t="s">
        <v>3100</v>
      </c>
      <c r="B450" s="778">
        <f>'Part 2'!$S$112</f>
        <v>0</v>
      </c>
      <c r="C450" s="778"/>
      <c r="D450" s="778"/>
      <c r="E450" s="778"/>
    </row>
    <row r="451" spans="1:5" s="776" customFormat="1" x14ac:dyDescent="0.2">
      <c r="A451" s="777" t="s">
        <v>3101</v>
      </c>
      <c r="B451" s="778">
        <f>'Part 2'!$V$112</f>
        <v>0</v>
      </c>
      <c r="C451" s="778"/>
      <c r="D451" s="778"/>
      <c r="E451" s="778"/>
    </row>
    <row r="452" spans="1:5" s="776" customFormat="1" x14ac:dyDescent="0.2">
      <c r="A452" s="777" t="s">
        <v>3102</v>
      </c>
      <c r="B452" s="778">
        <f>'Part 2'!$Y$112</f>
        <v>0</v>
      </c>
      <c r="C452" s="778"/>
      <c r="D452" s="778"/>
      <c r="E452" s="778"/>
    </row>
    <row r="453" spans="1:5" s="776" customFormat="1" x14ac:dyDescent="0.2">
      <c r="A453" s="777" t="s">
        <v>3103</v>
      </c>
      <c r="B453" s="778">
        <f>'Part 2'!$S$115</f>
        <v>0</v>
      </c>
      <c r="C453" s="778"/>
      <c r="D453" s="778"/>
      <c r="E453" s="778"/>
    </row>
    <row r="454" spans="1:5" s="776" customFormat="1" x14ac:dyDescent="0.2">
      <c r="A454" s="777" t="s">
        <v>3104</v>
      </c>
      <c r="B454" s="778">
        <f>'Part 2'!$V$115</f>
        <v>0</v>
      </c>
      <c r="C454" s="778"/>
      <c r="D454" s="778"/>
      <c r="E454" s="778"/>
    </row>
    <row r="455" spans="1:5" s="776" customFormat="1" x14ac:dyDescent="0.2">
      <c r="A455" s="777" t="s">
        <v>3105</v>
      </c>
      <c r="B455" s="778">
        <f>'Part 2'!$Y$115</f>
        <v>0</v>
      </c>
      <c r="C455" s="778"/>
      <c r="D455" s="778"/>
      <c r="E455" s="778"/>
    </row>
    <row r="456" spans="1:5" s="776" customFormat="1" x14ac:dyDescent="0.2">
      <c r="A456" s="777" t="s">
        <v>3106</v>
      </c>
      <c r="B456" s="778">
        <f>'Part 2'!$S$118</f>
        <v>0</v>
      </c>
      <c r="C456" s="778"/>
      <c r="D456" s="778"/>
      <c r="E456" s="778"/>
    </row>
    <row r="457" spans="1:5" s="776" customFormat="1" x14ac:dyDescent="0.2">
      <c r="A457" s="777" t="s">
        <v>3107</v>
      </c>
      <c r="B457" s="778">
        <f>'Part 2'!$V$118</f>
        <v>0</v>
      </c>
      <c r="C457" s="778"/>
      <c r="D457" s="778"/>
      <c r="E457" s="778"/>
    </row>
    <row r="458" spans="1:5" s="776" customFormat="1" x14ac:dyDescent="0.2">
      <c r="A458" s="777" t="s">
        <v>3108</v>
      </c>
      <c r="B458" s="778">
        <f>'Part 2'!$Y$118</f>
        <v>0</v>
      </c>
      <c r="C458" s="778"/>
      <c r="D458" s="778"/>
      <c r="E458" s="778"/>
    </row>
    <row r="459" spans="1:5" s="776" customFormat="1" x14ac:dyDescent="0.2">
      <c r="A459" s="1185" t="s">
        <v>3109</v>
      </c>
      <c r="B459" s="1178">
        <v>0</v>
      </c>
      <c r="C459" s="778"/>
      <c r="D459" s="778"/>
      <c r="E459" s="778"/>
    </row>
    <row r="460" spans="1:5" s="776" customFormat="1" x14ac:dyDescent="0.2">
      <c r="A460" s="1185" t="s">
        <v>3110</v>
      </c>
      <c r="B460" s="1178">
        <v>0</v>
      </c>
      <c r="C460" s="778"/>
      <c r="D460" s="778"/>
      <c r="E460" s="778"/>
    </row>
    <row r="461" spans="1:5" s="776" customFormat="1" x14ac:dyDescent="0.2">
      <c r="A461" s="1185" t="s">
        <v>3111</v>
      </c>
      <c r="B461" s="1178">
        <v>0</v>
      </c>
      <c r="C461" s="778"/>
      <c r="D461" s="778"/>
      <c r="E461" s="778"/>
    </row>
    <row r="462" spans="1:5" s="776" customFormat="1" x14ac:dyDescent="0.2">
      <c r="A462" s="777" t="s">
        <v>3112</v>
      </c>
      <c r="B462" s="778">
        <f>'Part 2'!$S$121</f>
        <v>0</v>
      </c>
      <c r="C462" s="778"/>
      <c r="D462" s="778"/>
      <c r="E462" s="778"/>
    </row>
    <row r="463" spans="1:5" s="776" customFormat="1" x14ac:dyDescent="0.2">
      <c r="A463" s="777" t="s">
        <v>3113</v>
      </c>
      <c r="B463" s="778">
        <f>'Part 2'!$V$121</f>
        <v>0</v>
      </c>
      <c r="C463" s="778"/>
      <c r="D463" s="778"/>
      <c r="E463" s="778"/>
    </row>
    <row r="464" spans="1:5" s="776" customFormat="1" x14ac:dyDescent="0.2">
      <c r="A464" s="777" t="s">
        <v>3114</v>
      </c>
      <c r="B464" s="778">
        <f>'Part 2'!$Y$121</f>
        <v>0</v>
      </c>
      <c r="C464" s="778"/>
      <c r="D464" s="778"/>
      <c r="E464" s="778"/>
    </row>
    <row r="465" spans="1:5" s="776" customFormat="1" x14ac:dyDescent="0.2">
      <c r="A465" s="779" t="s">
        <v>3115</v>
      </c>
      <c r="B465" s="778">
        <f>'Part 2'!$S$124</f>
        <v>0</v>
      </c>
      <c r="C465" s="778"/>
      <c r="D465" s="778"/>
      <c r="E465" s="778"/>
    </row>
    <row r="466" spans="1:5" s="776" customFormat="1" x14ac:dyDescent="0.2">
      <c r="A466" s="779" t="s">
        <v>3116</v>
      </c>
      <c r="B466" s="778">
        <f>'Part 2'!$V$124</f>
        <v>0</v>
      </c>
      <c r="C466" s="778"/>
      <c r="D466" s="778"/>
      <c r="E466" s="778"/>
    </row>
    <row r="467" spans="1:5" s="776" customFormat="1" x14ac:dyDescent="0.2">
      <c r="A467" s="779" t="s">
        <v>3117</v>
      </c>
      <c r="B467" s="778">
        <f>'Part 2'!$Y$124</f>
        <v>0</v>
      </c>
      <c r="C467" s="778"/>
      <c r="D467" s="778"/>
      <c r="E467" s="778"/>
    </row>
    <row r="468" spans="1:5" s="776" customFormat="1" x14ac:dyDescent="0.2">
      <c r="A468" s="777" t="s">
        <v>3118</v>
      </c>
      <c r="B468" s="778">
        <f>'Part 2'!$V$127</f>
        <v>0</v>
      </c>
      <c r="C468" s="778"/>
      <c r="D468" s="778"/>
      <c r="E468" s="778"/>
    </row>
    <row r="469" spans="1:5" s="776" customFormat="1" x14ac:dyDescent="0.2">
      <c r="A469" s="777" t="s">
        <v>3119</v>
      </c>
      <c r="B469" s="778">
        <f>'Part 2'!$S$129</f>
        <v>0</v>
      </c>
      <c r="C469" s="778"/>
      <c r="D469" s="778"/>
      <c r="E469" s="778"/>
    </row>
    <row r="470" spans="1:5" s="776" customFormat="1" x14ac:dyDescent="0.2">
      <c r="A470" s="777" t="s">
        <v>3120</v>
      </c>
      <c r="B470" s="778">
        <f>'Part 2'!$V$131</f>
        <v>0</v>
      </c>
      <c r="C470" s="778"/>
      <c r="D470" s="778"/>
      <c r="E470" s="778"/>
    </row>
    <row r="471" spans="1:5" s="776" customFormat="1" x14ac:dyDescent="0.2">
      <c r="A471" s="1224" t="s">
        <v>3310</v>
      </c>
      <c r="B471" s="1223">
        <f>'Part 2'!$S$133</f>
        <v>0</v>
      </c>
      <c r="C471" s="778"/>
      <c r="D471" s="778"/>
      <c r="E471" s="778"/>
    </row>
    <row r="472" spans="1:5" s="776" customFormat="1" x14ac:dyDescent="0.2">
      <c r="A472" s="1224" t="s">
        <v>3311</v>
      </c>
      <c r="B472" s="1223">
        <f>'Part 2'!$V$133</f>
        <v>0</v>
      </c>
      <c r="C472" s="778"/>
      <c r="D472" s="778"/>
      <c r="E472" s="778"/>
    </row>
    <row r="473" spans="1:5" s="776" customFormat="1" x14ac:dyDescent="0.2">
      <c r="A473" s="1224" t="s">
        <v>3312</v>
      </c>
      <c r="B473" s="1223">
        <f>'Part 2'!$Y$133</f>
        <v>0</v>
      </c>
      <c r="C473" s="778"/>
      <c r="D473" s="778"/>
      <c r="E473" s="778"/>
    </row>
    <row r="474" spans="1:5" s="776" customFormat="1" x14ac:dyDescent="0.2">
      <c r="A474" s="777" t="s">
        <v>3121</v>
      </c>
      <c r="B474" s="778">
        <f>'Part 2'!$S$137</f>
        <v>0</v>
      </c>
      <c r="C474" s="778"/>
      <c r="D474" s="778"/>
      <c r="E474" s="778"/>
    </row>
    <row r="475" spans="1:5" s="776" customFormat="1" x14ac:dyDescent="0.2">
      <c r="A475" s="777" t="s">
        <v>3122</v>
      </c>
      <c r="B475" s="778">
        <f>'Part 2'!$V$137</f>
        <v>0</v>
      </c>
      <c r="C475" s="778"/>
      <c r="D475" s="778"/>
      <c r="E475" s="778"/>
    </row>
    <row r="476" spans="1:5" s="776" customFormat="1" x14ac:dyDescent="0.2">
      <c r="A476" s="777" t="s">
        <v>3123</v>
      </c>
      <c r="B476" s="778">
        <f>'Part 2'!$S$140</f>
        <v>0</v>
      </c>
      <c r="C476" s="778"/>
      <c r="D476" s="778"/>
      <c r="E476" s="778"/>
    </row>
    <row r="477" spans="1:5" s="776" customFormat="1" x14ac:dyDescent="0.2">
      <c r="A477" s="777" t="s">
        <v>3124</v>
      </c>
      <c r="B477" s="778">
        <f>'Part 2'!$V$140</f>
        <v>0</v>
      </c>
      <c r="C477" s="778"/>
      <c r="D477" s="778"/>
      <c r="E477" s="778"/>
    </row>
    <row r="478" spans="1:5" s="776" customFormat="1" x14ac:dyDescent="0.2">
      <c r="A478" s="777" t="s">
        <v>3125</v>
      </c>
      <c r="B478" s="778">
        <f>'Part 2'!$S$144</f>
        <v>0</v>
      </c>
      <c r="C478" s="778"/>
      <c r="D478" s="778"/>
      <c r="E478" s="778"/>
    </row>
    <row r="479" spans="1:5" s="776" customFormat="1" x14ac:dyDescent="0.2">
      <c r="A479" s="777" t="s">
        <v>3126</v>
      </c>
      <c r="B479" s="778">
        <f>'Part 2'!$V$144</f>
        <v>0</v>
      </c>
      <c r="C479" s="778"/>
      <c r="D479" s="778"/>
      <c r="E479" s="778"/>
    </row>
    <row r="480" spans="1:5" s="776" customFormat="1" x14ac:dyDescent="0.2">
      <c r="A480" s="777" t="s">
        <v>3127</v>
      </c>
      <c r="B480" s="778">
        <f>'Part 2'!$Y$144</f>
        <v>0</v>
      </c>
      <c r="C480" s="778"/>
      <c r="D480" s="778"/>
      <c r="E480" s="778"/>
    </row>
    <row r="481" spans="1:11" s="776" customFormat="1" x14ac:dyDescent="0.2">
      <c r="A481" s="1186" t="s">
        <v>3128</v>
      </c>
      <c r="B481" s="1178">
        <v>0</v>
      </c>
      <c r="C481" s="778"/>
      <c r="D481" s="778"/>
      <c r="E481" s="778"/>
    </row>
    <row r="482" spans="1:11" s="776" customFormat="1" x14ac:dyDescent="0.2">
      <c r="A482" s="1186" t="s">
        <v>3129</v>
      </c>
      <c r="B482" s="1178">
        <v>0</v>
      </c>
      <c r="C482" s="778"/>
      <c r="D482" s="778"/>
      <c r="E482" s="778"/>
    </row>
    <row r="483" spans="1:11" s="776" customFormat="1" x14ac:dyDescent="0.2">
      <c r="A483" s="1186" t="s">
        <v>3130</v>
      </c>
      <c r="B483" s="1178">
        <v>0</v>
      </c>
      <c r="C483" s="778"/>
      <c r="D483" s="778"/>
      <c r="E483" s="778"/>
    </row>
    <row r="484" spans="1:11" s="776" customFormat="1" x14ac:dyDescent="0.2">
      <c r="A484" s="777" t="s">
        <v>3131</v>
      </c>
      <c r="B484" s="778">
        <f>'Part 2'!$S$151</f>
        <v>0</v>
      </c>
      <c r="C484" s="778"/>
      <c r="D484" s="778"/>
      <c r="E484" s="778"/>
    </row>
    <row r="485" spans="1:11" s="776" customFormat="1" x14ac:dyDescent="0.2">
      <c r="A485" s="777" t="s">
        <v>3132</v>
      </c>
      <c r="B485" s="778">
        <f>'Part 2'!$V$151</f>
        <v>0</v>
      </c>
      <c r="C485" s="778"/>
      <c r="D485" s="778"/>
      <c r="E485" s="778"/>
    </row>
    <row r="486" spans="1:11" s="776" customFormat="1" x14ac:dyDescent="0.2">
      <c r="A486" s="777" t="s">
        <v>3133</v>
      </c>
      <c r="B486" s="778">
        <f>'Part 2'!$Y$151</f>
        <v>0</v>
      </c>
      <c r="C486" s="778"/>
      <c r="D486" s="778"/>
      <c r="E486" s="778"/>
    </row>
    <row r="487" spans="1:11" s="776" customFormat="1" x14ac:dyDescent="0.2">
      <c r="A487" s="777" t="s">
        <v>3134</v>
      </c>
      <c r="B487" s="778">
        <f>'Part 2'!$S$154</f>
        <v>0</v>
      </c>
      <c r="C487" s="778"/>
      <c r="D487" s="778"/>
      <c r="E487" s="778"/>
    </row>
    <row r="488" spans="1:11" s="776" customFormat="1" x14ac:dyDescent="0.2">
      <c r="A488" s="777" t="s">
        <v>3135</v>
      </c>
      <c r="B488" s="778">
        <f>'Part 2'!$V$154</f>
        <v>0</v>
      </c>
      <c r="C488" s="778"/>
      <c r="D488" s="778"/>
      <c r="E488" s="778"/>
    </row>
    <row r="489" spans="1:11" s="776" customFormat="1" x14ac:dyDescent="0.2">
      <c r="A489" s="777" t="s">
        <v>3136</v>
      </c>
      <c r="B489" s="778">
        <f>'Part 2'!$Y$154</f>
        <v>0</v>
      </c>
      <c r="C489" s="778"/>
      <c r="D489" s="778"/>
      <c r="E489" s="778"/>
    </row>
    <row r="490" spans="1:11" s="776" customFormat="1" x14ac:dyDescent="0.2">
      <c r="A490" s="777" t="s">
        <v>3137</v>
      </c>
      <c r="B490" s="778">
        <f>'Part 2'!$S$157</f>
        <v>0</v>
      </c>
      <c r="C490" s="778"/>
      <c r="D490" s="778"/>
      <c r="E490" s="778"/>
    </row>
    <row r="491" spans="1:11" s="776" customFormat="1" x14ac:dyDescent="0.2">
      <c r="A491" s="777" t="s">
        <v>3138</v>
      </c>
      <c r="B491" s="778">
        <f>'Part 2'!$V$157</f>
        <v>0</v>
      </c>
      <c r="C491" s="778"/>
      <c r="D491" s="778"/>
      <c r="E491" s="778"/>
    </row>
    <row r="492" spans="1:11" s="776" customFormat="1" x14ac:dyDescent="0.2">
      <c r="A492" s="777" t="s">
        <v>3139</v>
      </c>
      <c r="B492" s="778">
        <f>'Part 2'!$Y$157</f>
        <v>0</v>
      </c>
      <c r="C492" s="778"/>
      <c r="D492" s="778"/>
      <c r="E492" s="778"/>
    </row>
    <row r="493" spans="1:11" s="776" customFormat="1" x14ac:dyDescent="0.2">
      <c r="A493" s="1185" t="s">
        <v>3143</v>
      </c>
      <c r="B493" s="1178">
        <v>0</v>
      </c>
      <c r="C493" s="778"/>
      <c r="D493" s="778"/>
      <c r="E493" s="778"/>
    </row>
    <row r="494" spans="1:11" s="776" customFormat="1" x14ac:dyDescent="0.2">
      <c r="A494" s="1185" t="s">
        <v>3144</v>
      </c>
      <c r="B494" s="1178">
        <v>0</v>
      </c>
      <c r="C494" s="778"/>
      <c r="D494" s="778"/>
      <c r="E494" s="778"/>
    </row>
    <row r="495" spans="1:11" s="776" customFormat="1" x14ac:dyDescent="0.2">
      <c r="A495" s="1185" t="s">
        <v>3145</v>
      </c>
      <c r="B495" s="1178">
        <v>0</v>
      </c>
      <c r="C495" s="778"/>
      <c r="D495" s="778"/>
      <c r="E495" s="778"/>
    </row>
    <row r="496" spans="1:11" s="776" customFormat="1" x14ac:dyDescent="0.2">
      <c r="A496" s="777" t="s">
        <v>3146</v>
      </c>
      <c r="B496" s="778">
        <f>'Part 2'!$S$160</f>
        <v>0</v>
      </c>
      <c r="C496" s="778"/>
      <c r="D496" s="778"/>
      <c r="E496" s="778"/>
      <c r="K496" s="781"/>
    </row>
    <row r="497" spans="1:5" s="776" customFormat="1" x14ac:dyDescent="0.2">
      <c r="A497" s="777" t="s">
        <v>3147</v>
      </c>
      <c r="B497" s="778">
        <f>'Part 2'!$V$160</f>
        <v>0</v>
      </c>
      <c r="C497" s="778"/>
      <c r="D497" s="778"/>
      <c r="E497" s="778"/>
    </row>
    <row r="498" spans="1:5" s="776" customFormat="1" x14ac:dyDescent="0.2">
      <c r="A498" s="777" t="s">
        <v>3148</v>
      </c>
      <c r="B498" s="778">
        <f>'Part 2'!$S$164</f>
        <v>0</v>
      </c>
      <c r="C498" s="778"/>
      <c r="D498" s="778"/>
      <c r="E498" s="778"/>
    </row>
    <row r="499" spans="1:5" s="776" customFormat="1" x14ac:dyDescent="0.2">
      <c r="A499" s="777" t="s">
        <v>3149</v>
      </c>
      <c r="B499" s="778">
        <f>'Part 2'!$V$164</f>
        <v>0</v>
      </c>
      <c r="C499" s="778"/>
      <c r="D499" s="778"/>
      <c r="E499" s="778"/>
    </row>
    <row r="500" spans="1:5" s="776" customFormat="1" x14ac:dyDescent="0.2">
      <c r="A500" s="779" t="s">
        <v>3150</v>
      </c>
      <c r="B500" s="778">
        <f>'Part 2'!$S$168</f>
        <v>0</v>
      </c>
      <c r="C500" s="778"/>
      <c r="D500" s="778"/>
      <c r="E500" s="778"/>
    </row>
    <row r="501" spans="1:5" s="776" customFormat="1" x14ac:dyDescent="0.2">
      <c r="A501" s="779" t="s">
        <v>3151</v>
      </c>
      <c r="B501" s="778">
        <f>'Part 2'!$V$168</f>
        <v>0</v>
      </c>
      <c r="C501" s="778"/>
      <c r="D501" s="778"/>
      <c r="E501" s="778"/>
    </row>
    <row r="502" spans="1:5" s="776" customFormat="1" x14ac:dyDescent="0.2">
      <c r="A502" s="779" t="s">
        <v>3152</v>
      </c>
      <c r="B502" s="778">
        <f>'Part 2'!$Y$168</f>
        <v>0</v>
      </c>
      <c r="C502" s="778"/>
      <c r="D502" s="778"/>
      <c r="E502" s="778"/>
    </row>
    <row r="503" spans="1:5" s="776" customFormat="1" x14ac:dyDescent="0.2">
      <c r="A503" s="777" t="s">
        <v>3040</v>
      </c>
      <c r="B503" s="778">
        <f>'Part 2'!$S$176</f>
        <v>0</v>
      </c>
      <c r="C503" s="778"/>
      <c r="D503" s="778"/>
      <c r="E503" s="778"/>
    </row>
    <row r="504" spans="1:5" s="776" customFormat="1" x14ac:dyDescent="0.2">
      <c r="A504" s="777" t="s">
        <v>3041</v>
      </c>
      <c r="B504" s="778">
        <f>'Part 2'!$V$176</f>
        <v>0</v>
      </c>
      <c r="C504" s="778"/>
      <c r="D504" s="778"/>
      <c r="E504" s="778"/>
    </row>
    <row r="505" spans="1:5" s="776" customFormat="1" x14ac:dyDescent="0.2">
      <c r="A505" s="777" t="s">
        <v>3042</v>
      </c>
      <c r="B505" s="778">
        <f>'Part 2'!$Y$176</f>
        <v>0</v>
      </c>
      <c r="C505" s="778"/>
      <c r="D505" s="778"/>
      <c r="E505" s="778"/>
    </row>
    <row r="506" spans="1:5" x14ac:dyDescent="0.2">
      <c r="A506" s="782" t="s">
        <v>1576</v>
      </c>
      <c r="B506" s="783">
        <f>'Part 3'!$G$14</f>
        <v>0</v>
      </c>
      <c r="C506" s="783"/>
      <c r="D506" s="783"/>
      <c r="E506" s="783"/>
    </row>
    <row r="507" spans="1:5" x14ac:dyDescent="0.2">
      <c r="A507" s="782" t="s">
        <v>1577</v>
      </c>
      <c r="B507" s="783">
        <f>'Part 3'!$J$14</f>
        <v>0</v>
      </c>
      <c r="C507" s="783"/>
      <c r="D507" s="783"/>
      <c r="E507" s="783"/>
    </row>
    <row r="508" spans="1:5" x14ac:dyDescent="0.2">
      <c r="A508" s="782" t="s">
        <v>1578</v>
      </c>
      <c r="B508" s="783">
        <f>'Part 3'!$M$14</f>
        <v>0</v>
      </c>
      <c r="C508" s="783"/>
      <c r="D508" s="783"/>
      <c r="E508" s="783"/>
    </row>
    <row r="509" spans="1:5" x14ac:dyDescent="0.2">
      <c r="A509" s="782" t="s">
        <v>1579</v>
      </c>
      <c r="B509" s="783">
        <f>'Part 3'!$G$19</f>
        <v>0</v>
      </c>
      <c r="C509" s="783"/>
      <c r="D509" s="783"/>
      <c r="E509" s="783"/>
    </row>
    <row r="510" spans="1:5" x14ac:dyDescent="0.2">
      <c r="A510" s="782" t="s">
        <v>1580</v>
      </c>
      <c r="B510" s="783">
        <f>'Part 3'!$J$19</f>
        <v>0</v>
      </c>
      <c r="C510" s="783"/>
      <c r="D510" s="783"/>
      <c r="E510" s="783"/>
    </row>
    <row r="511" spans="1:5" x14ac:dyDescent="0.2">
      <c r="A511" s="782" t="s">
        <v>1581</v>
      </c>
      <c r="B511" s="783">
        <f>'Part 3'!$M$19</f>
        <v>0</v>
      </c>
      <c r="C511" s="783"/>
      <c r="D511" s="783"/>
      <c r="E511" s="783"/>
    </row>
    <row r="512" spans="1:5" x14ac:dyDescent="0.2">
      <c r="A512" s="782" t="s">
        <v>1582</v>
      </c>
      <c r="B512" s="783">
        <f>'Part 3'!$G$22</f>
        <v>0</v>
      </c>
      <c r="C512" s="783"/>
      <c r="D512" s="783"/>
      <c r="E512" s="783"/>
    </row>
    <row r="513" spans="1:5" x14ac:dyDescent="0.2">
      <c r="A513" s="782" t="s">
        <v>1583</v>
      </c>
      <c r="B513" s="783">
        <f>'Part 3'!$J$22</f>
        <v>0</v>
      </c>
      <c r="C513" s="783"/>
      <c r="D513" s="783"/>
      <c r="E513" s="783"/>
    </row>
    <row r="514" spans="1:5" x14ac:dyDescent="0.2">
      <c r="A514" s="782" t="s">
        <v>1584</v>
      </c>
      <c r="B514" s="783">
        <f>'Part 3'!$M$22</f>
        <v>0</v>
      </c>
      <c r="C514" s="783"/>
      <c r="D514" s="783"/>
      <c r="E514" s="783"/>
    </row>
    <row r="515" spans="1:5" x14ac:dyDescent="0.2">
      <c r="A515" s="782" t="s">
        <v>1585</v>
      </c>
      <c r="B515" s="783">
        <f>'Part 3'!$G$27</f>
        <v>0</v>
      </c>
      <c r="C515" s="783"/>
      <c r="D515" s="783"/>
      <c r="E515" s="783"/>
    </row>
    <row r="516" spans="1:5" x14ac:dyDescent="0.2">
      <c r="A516" s="782" t="s">
        <v>1586</v>
      </c>
      <c r="B516" s="783">
        <f>'Part 3'!$J$27</f>
        <v>0</v>
      </c>
      <c r="C516" s="783"/>
      <c r="D516" s="783"/>
      <c r="E516" s="783"/>
    </row>
    <row r="517" spans="1:5" x14ac:dyDescent="0.2">
      <c r="A517" s="782" t="s">
        <v>1587</v>
      </c>
      <c r="B517" s="783">
        <f>'Part 3'!$M$27</f>
        <v>0</v>
      </c>
      <c r="C517" s="783"/>
      <c r="D517" s="783"/>
      <c r="E517" s="783"/>
    </row>
    <row r="518" spans="1:5" x14ac:dyDescent="0.2">
      <c r="A518" s="782" t="s">
        <v>3162</v>
      </c>
      <c r="B518" s="783">
        <v>0</v>
      </c>
      <c r="C518" s="783"/>
      <c r="D518" s="783"/>
      <c r="E518" s="783"/>
    </row>
    <row r="519" spans="1:5" x14ac:dyDescent="0.2">
      <c r="A519" s="782" t="s">
        <v>3163</v>
      </c>
      <c r="B519" s="783">
        <v>0</v>
      </c>
      <c r="C519" s="783"/>
      <c r="D519" s="783"/>
      <c r="E519" s="783"/>
    </row>
    <row r="520" spans="1:5" x14ac:dyDescent="0.2">
      <c r="A520" s="782" t="s">
        <v>3164</v>
      </c>
      <c r="B520" s="783">
        <v>0</v>
      </c>
      <c r="C520" s="783"/>
      <c r="D520" s="783"/>
      <c r="E520" s="783"/>
    </row>
    <row r="521" spans="1:5" x14ac:dyDescent="0.2">
      <c r="A521" s="782" t="s">
        <v>3165</v>
      </c>
      <c r="B521" s="783">
        <v>0</v>
      </c>
      <c r="C521" s="783"/>
      <c r="D521" s="783"/>
      <c r="E521" s="783"/>
    </row>
    <row r="522" spans="1:5" x14ac:dyDescent="0.2">
      <c r="A522" s="782" t="s">
        <v>3166</v>
      </c>
      <c r="B522" s="783">
        <v>0</v>
      </c>
      <c r="C522" s="783"/>
      <c r="D522" s="783"/>
      <c r="E522" s="783"/>
    </row>
    <row r="523" spans="1:5" x14ac:dyDescent="0.2">
      <c r="A523" s="782" t="s">
        <v>3167</v>
      </c>
      <c r="B523" s="783">
        <v>0</v>
      </c>
      <c r="C523" s="783"/>
      <c r="D523" s="783"/>
      <c r="E523" s="783"/>
    </row>
    <row r="524" spans="1:5" x14ac:dyDescent="0.2">
      <c r="A524" s="782" t="s">
        <v>3168</v>
      </c>
      <c r="B524" s="783">
        <v>0</v>
      </c>
      <c r="C524" s="783"/>
      <c r="D524" s="783"/>
      <c r="E524" s="783"/>
    </row>
    <row r="525" spans="1:5" x14ac:dyDescent="0.2">
      <c r="A525" s="782" t="s">
        <v>3169</v>
      </c>
      <c r="B525" s="783">
        <v>0</v>
      </c>
      <c r="C525" s="783"/>
      <c r="D525" s="783"/>
      <c r="E525" s="783"/>
    </row>
    <row r="526" spans="1:5" x14ac:dyDescent="0.2">
      <c r="A526" s="782" t="s">
        <v>3170</v>
      </c>
      <c r="B526" s="783">
        <v>0</v>
      </c>
      <c r="C526" s="783"/>
      <c r="D526" s="783"/>
      <c r="E526" s="783"/>
    </row>
    <row r="527" spans="1:5" x14ac:dyDescent="0.2">
      <c r="A527" s="782" t="s">
        <v>3171</v>
      </c>
      <c r="B527" s="783">
        <v>0</v>
      </c>
      <c r="C527" s="783"/>
      <c r="D527" s="783"/>
      <c r="E527" s="783"/>
    </row>
    <row r="528" spans="1:5" x14ac:dyDescent="0.2">
      <c r="A528" s="782" t="s">
        <v>3172</v>
      </c>
      <c r="B528" s="783">
        <v>0</v>
      </c>
      <c r="C528" s="783"/>
      <c r="D528" s="783"/>
      <c r="E528" s="783"/>
    </row>
    <row r="529" spans="1:5" x14ac:dyDescent="0.2">
      <c r="A529" s="782" t="s">
        <v>3173</v>
      </c>
      <c r="B529" s="783">
        <v>0</v>
      </c>
      <c r="C529" s="783"/>
      <c r="D529" s="783"/>
      <c r="E529" s="783"/>
    </row>
    <row r="530" spans="1:5" x14ac:dyDescent="0.2">
      <c r="A530" s="782" t="s">
        <v>3174</v>
      </c>
      <c r="B530" s="783">
        <v>0</v>
      </c>
      <c r="C530" s="783"/>
      <c r="D530" s="783"/>
      <c r="E530" s="783"/>
    </row>
    <row r="531" spans="1:5" x14ac:dyDescent="0.2">
      <c r="A531" s="782" t="s">
        <v>3175</v>
      </c>
      <c r="B531" s="783">
        <v>0</v>
      </c>
      <c r="C531" s="783"/>
      <c r="D531" s="783"/>
      <c r="E531" s="783"/>
    </row>
    <row r="532" spans="1:5" x14ac:dyDescent="0.2">
      <c r="A532" s="782" t="s">
        <v>3176</v>
      </c>
      <c r="B532" s="783">
        <v>0</v>
      </c>
      <c r="C532" s="783"/>
      <c r="D532" s="783"/>
      <c r="E532" s="783"/>
    </row>
    <row r="533" spans="1:5" x14ac:dyDescent="0.2">
      <c r="A533" s="782" t="s">
        <v>3177</v>
      </c>
      <c r="B533" s="783">
        <v>0</v>
      </c>
      <c r="C533" s="783"/>
      <c r="D533" s="783"/>
      <c r="E533" s="783"/>
    </row>
    <row r="534" spans="1:5" x14ac:dyDescent="0.2">
      <c r="A534" s="782" t="s">
        <v>3178</v>
      </c>
      <c r="B534" s="783">
        <v>0</v>
      </c>
      <c r="C534" s="783"/>
      <c r="D534" s="783"/>
      <c r="E534" s="783"/>
    </row>
    <row r="535" spans="1:5" x14ac:dyDescent="0.2">
      <c r="A535" s="782" t="s">
        <v>3179</v>
      </c>
      <c r="B535" s="783">
        <v>0</v>
      </c>
      <c r="C535" s="783"/>
      <c r="D535" s="783"/>
      <c r="E535" s="783"/>
    </row>
    <row r="536" spans="1:5" x14ac:dyDescent="0.2">
      <c r="A536" s="782" t="s">
        <v>3180</v>
      </c>
      <c r="B536" s="783">
        <v>0</v>
      </c>
      <c r="C536" s="783"/>
      <c r="D536" s="783"/>
      <c r="E536" s="783"/>
    </row>
    <row r="537" spans="1:5" x14ac:dyDescent="0.2">
      <c r="A537" s="782" t="s">
        <v>3181</v>
      </c>
      <c r="B537" s="783">
        <v>0</v>
      </c>
      <c r="C537" s="783"/>
      <c r="D537" s="783"/>
      <c r="E537" s="783"/>
    </row>
    <row r="538" spans="1:5" x14ac:dyDescent="0.2">
      <c r="A538" s="782" t="s">
        <v>3182</v>
      </c>
      <c r="B538" s="783">
        <v>0</v>
      </c>
      <c r="C538" s="783"/>
      <c r="D538" s="783"/>
      <c r="E538" s="783"/>
    </row>
    <row r="539" spans="1:5" x14ac:dyDescent="0.2">
      <c r="A539" s="782" t="s">
        <v>3183</v>
      </c>
      <c r="B539" s="783">
        <v>0</v>
      </c>
      <c r="C539" s="783"/>
      <c r="D539" s="783"/>
      <c r="E539" s="783"/>
    </row>
    <row r="540" spans="1:5" x14ac:dyDescent="0.2">
      <c r="A540" s="782" t="s">
        <v>3184</v>
      </c>
      <c r="B540" s="783">
        <v>0</v>
      </c>
      <c r="C540" s="783"/>
      <c r="D540" s="783"/>
      <c r="E540" s="783"/>
    </row>
    <row r="541" spans="1:5" x14ac:dyDescent="0.2">
      <c r="A541" s="782" t="s">
        <v>3185</v>
      </c>
      <c r="B541" s="783">
        <v>0</v>
      </c>
      <c r="C541" s="783"/>
      <c r="D541" s="783"/>
      <c r="E541" s="783"/>
    </row>
    <row r="542" spans="1:5" x14ac:dyDescent="0.2">
      <c r="A542" s="782" t="s">
        <v>1588</v>
      </c>
      <c r="B542" s="783">
        <f>'Part 3'!$G$35</f>
        <v>0</v>
      </c>
      <c r="C542" s="783"/>
      <c r="D542" s="783"/>
      <c r="E542" s="783"/>
    </row>
    <row r="543" spans="1:5" x14ac:dyDescent="0.2">
      <c r="A543" s="782" t="s">
        <v>1589</v>
      </c>
      <c r="B543" s="783">
        <f>'Part 3'!$J$35</f>
        <v>0</v>
      </c>
      <c r="C543" s="783"/>
      <c r="D543" s="783"/>
      <c r="E543" s="783"/>
    </row>
    <row r="544" spans="1:5" x14ac:dyDescent="0.2">
      <c r="A544" s="782" t="s">
        <v>1590</v>
      </c>
      <c r="B544" s="783">
        <f>'Part 3'!$M$35</f>
        <v>0</v>
      </c>
      <c r="C544" s="783"/>
      <c r="D544" s="783"/>
      <c r="E544" s="783"/>
    </row>
    <row r="545" spans="1:5" x14ac:dyDescent="0.2">
      <c r="A545" s="784" t="s">
        <v>1591</v>
      </c>
      <c r="B545" s="783">
        <f>'Part 3'!$G$37</f>
        <v>0</v>
      </c>
      <c r="C545" s="783"/>
      <c r="D545" s="783"/>
      <c r="E545" s="783"/>
    </row>
    <row r="546" spans="1:5" x14ac:dyDescent="0.2">
      <c r="A546" s="784" t="s">
        <v>1592</v>
      </c>
      <c r="B546" s="783">
        <f>'Part 3'!$J$37</f>
        <v>0</v>
      </c>
      <c r="C546" s="783"/>
      <c r="D546" s="783"/>
      <c r="E546" s="783"/>
    </row>
    <row r="547" spans="1:5" x14ac:dyDescent="0.2">
      <c r="A547" s="784" t="s">
        <v>1593</v>
      </c>
      <c r="B547" s="783">
        <f>'Part 3'!$M$37</f>
        <v>0</v>
      </c>
      <c r="C547" s="783"/>
      <c r="D547" s="783"/>
      <c r="E547" s="783"/>
    </row>
    <row r="548" spans="1:5" x14ac:dyDescent="0.2">
      <c r="A548" s="782" t="s">
        <v>1594</v>
      </c>
      <c r="B548" s="783">
        <f>'Part 3'!$J$39</f>
        <v>0</v>
      </c>
      <c r="C548" s="783"/>
      <c r="D548" s="783"/>
      <c r="E548" s="783"/>
    </row>
    <row r="549" spans="1:5" x14ac:dyDescent="0.2">
      <c r="A549" s="782" t="s">
        <v>1595</v>
      </c>
      <c r="B549" s="783">
        <f>'Part 3'!$J$41</f>
        <v>0</v>
      </c>
      <c r="C549" s="783"/>
      <c r="D549" s="783"/>
      <c r="E549" s="783"/>
    </row>
    <row r="550" spans="1:5" x14ac:dyDescent="0.2">
      <c r="A550" s="784" t="s">
        <v>1596</v>
      </c>
      <c r="B550" s="783">
        <f>'Part 3'!$J$45</f>
        <v>0</v>
      </c>
      <c r="C550" s="783"/>
      <c r="D550" s="783"/>
      <c r="E550" s="783"/>
    </row>
    <row r="551" spans="1:5" x14ac:dyDescent="0.2">
      <c r="A551" s="784" t="s">
        <v>1597</v>
      </c>
      <c r="B551" s="783">
        <f>'Part 3'!$M$45</f>
        <v>0</v>
      </c>
      <c r="C551" s="783"/>
      <c r="D551" s="783"/>
      <c r="E551" s="783"/>
    </row>
    <row r="552" spans="1:5" x14ac:dyDescent="0.2">
      <c r="A552" s="785" t="s">
        <v>1598</v>
      </c>
      <c r="B552" s="783" t="e">
        <f>'Part 3'!$G$50</f>
        <v>#N/A</v>
      </c>
      <c r="C552" s="783"/>
      <c r="D552" s="783"/>
      <c r="E552" s="783"/>
    </row>
    <row r="553" spans="1:5" x14ac:dyDescent="0.2">
      <c r="A553" s="785" t="s">
        <v>1599</v>
      </c>
      <c r="B553" s="783" t="e">
        <f>'Part 3'!$J$50</f>
        <v>#N/A</v>
      </c>
      <c r="C553" s="783"/>
      <c r="D553" s="783"/>
      <c r="E553" s="783"/>
    </row>
    <row r="554" spans="1:5" x14ac:dyDescent="0.2">
      <c r="A554" s="785" t="s">
        <v>1600</v>
      </c>
      <c r="B554" s="783" t="e">
        <f>'Part 3'!$M$50</f>
        <v>#N/A</v>
      </c>
      <c r="C554" s="783"/>
      <c r="D554" s="783"/>
      <c r="E554" s="783"/>
    </row>
    <row r="555" spans="1:5" x14ac:dyDescent="0.2">
      <c r="A555" s="785" t="s">
        <v>1601</v>
      </c>
      <c r="B555" s="783" t="e">
        <f>'Part 3'!$G$55</f>
        <v>#N/A</v>
      </c>
      <c r="C555" s="783"/>
      <c r="D555" s="783"/>
      <c r="E555" s="783"/>
    </row>
    <row r="556" spans="1:5" x14ac:dyDescent="0.2">
      <c r="A556" s="785" t="s">
        <v>1602</v>
      </c>
      <c r="B556" s="783" t="e">
        <f>'Part 3'!$J$55</f>
        <v>#N/A</v>
      </c>
      <c r="C556" s="783"/>
      <c r="D556" s="783"/>
      <c r="E556" s="783"/>
    </row>
    <row r="557" spans="1:5" x14ac:dyDescent="0.2">
      <c r="A557" s="785" t="s">
        <v>1603</v>
      </c>
      <c r="B557" s="783" t="e">
        <f>'Part 3'!$M$55</f>
        <v>#N/A</v>
      </c>
      <c r="C557" s="783"/>
      <c r="D557" s="783"/>
      <c r="E557" s="783"/>
    </row>
    <row r="558" spans="1:5" x14ac:dyDescent="0.2">
      <c r="A558" s="785" t="s">
        <v>1604</v>
      </c>
      <c r="B558" s="783">
        <f>'Part 3'!$G$58</f>
        <v>0</v>
      </c>
      <c r="C558" s="783"/>
      <c r="D558" s="783"/>
      <c r="E558" s="783"/>
    </row>
    <row r="559" spans="1:5" x14ac:dyDescent="0.2">
      <c r="A559" s="785" t="s">
        <v>1605</v>
      </c>
      <c r="B559" s="783">
        <f>'Part 3'!$M$58</f>
        <v>0</v>
      </c>
      <c r="C559" s="783"/>
      <c r="D559" s="783"/>
      <c r="E559" s="783"/>
    </row>
    <row r="560" spans="1:5" x14ac:dyDescent="0.2">
      <c r="A560" s="785" t="s">
        <v>1606</v>
      </c>
      <c r="B560" s="783" t="e">
        <f>'Part 3'!$G$62</f>
        <v>#N/A</v>
      </c>
      <c r="C560" s="783"/>
      <c r="D560" s="783"/>
      <c r="E560" s="783"/>
    </row>
    <row r="561" spans="1:5" x14ac:dyDescent="0.2">
      <c r="A561" s="785" t="s">
        <v>1607</v>
      </c>
      <c r="B561" s="783" t="e">
        <f>'Part 3'!$J$62</f>
        <v>#N/A</v>
      </c>
      <c r="C561" s="783"/>
      <c r="D561" s="783"/>
      <c r="E561" s="783"/>
    </row>
    <row r="562" spans="1:5" x14ac:dyDescent="0.2">
      <c r="A562" s="785" t="s">
        <v>1608</v>
      </c>
      <c r="B562" s="783" t="e">
        <f>'Part 3'!$M$62</f>
        <v>#N/A</v>
      </c>
      <c r="C562" s="783"/>
      <c r="D562" s="783"/>
      <c r="E562" s="783"/>
    </row>
    <row r="563" spans="1:5" s="554" customFormat="1" x14ac:dyDescent="0.2">
      <c r="A563" s="786" t="s">
        <v>1282</v>
      </c>
      <c r="B563" s="787" t="e">
        <f>'Part 4'!$J$7</f>
        <v>#N/A</v>
      </c>
      <c r="C563" s="787"/>
      <c r="D563" s="787"/>
      <c r="E563" s="787"/>
    </row>
    <row r="564" spans="1:5" s="554" customFormat="1" x14ac:dyDescent="0.2">
      <c r="A564" s="786" t="s">
        <v>1609</v>
      </c>
      <c r="B564" s="787">
        <f>'Part 4'!$H$10</f>
        <v>0</v>
      </c>
      <c r="C564" s="787"/>
      <c r="D564" s="787"/>
      <c r="E564" s="787"/>
    </row>
    <row r="565" spans="1:5" s="554" customFormat="1" x14ac:dyDescent="0.2">
      <c r="A565" s="786" t="s">
        <v>1610</v>
      </c>
      <c r="B565" s="787">
        <f>'Part 4'!$H$12</f>
        <v>0</v>
      </c>
      <c r="C565" s="787"/>
      <c r="D565" s="787"/>
      <c r="E565" s="787"/>
    </row>
    <row r="566" spans="1:5" s="554" customFormat="1" x14ac:dyDescent="0.2">
      <c r="A566" s="786" t="s">
        <v>1611</v>
      </c>
      <c r="B566" s="787">
        <f>'Part 4'!$H$14</f>
        <v>0</v>
      </c>
      <c r="C566" s="787"/>
      <c r="D566" s="787"/>
      <c r="E566" s="787"/>
    </row>
    <row r="567" spans="1:5" s="554" customFormat="1" x14ac:dyDescent="0.2">
      <c r="A567" s="786" t="s">
        <v>1612</v>
      </c>
      <c r="B567" s="787">
        <f>'Part 4'!$H$16</f>
        <v>0</v>
      </c>
      <c r="C567" s="787"/>
      <c r="D567" s="787"/>
      <c r="E567" s="787"/>
    </row>
    <row r="568" spans="1:5" s="554" customFormat="1" x14ac:dyDescent="0.2">
      <c r="A568" s="786" t="s">
        <v>1613</v>
      </c>
      <c r="B568" s="787">
        <f>'Part 4'!$H$18</f>
        <v>0</v>
      </c>
      <c r="C568" s="787"/>
      <c r="D568" s="787"/>
      <c r="E568" s="787"/>
    </row>
    <row r="569" spans="1:5" s="554" customFormat="1" x14ac:dyDescent="0.2">
      <c r="A569" s="786" t="s">
        <v>1614</v>
      </c>
      <c r="B569" s="787">
        <f>'Part 4'!$J$20</f>
        <v>0</v>
      </c>
      <c r="C569" s="787"/>
      <c r="D569" s="787"/>
      <c r="E569" s="787"/>
    </row>
    <row r="570" spans="1:5" s="554" customFormat="1" x14ac:dyDescent="0.2">
      <c r="A570" s="788" t="s">
        <v>1615</v>
      </c>
      <c r="B570" s="787">
        <f>'Part 4'!$H$23</f>
        <v>0</v>
      </c>
      <c r="C570" s="787"/>
      <c r="D570" s="787"/>
      <c r="E570" s="787"/>
    </row>
    <row r="571" spans="1:5" s="554" customFormat="1" x14ac:dyDescent="0.2">
      <c r="A571" s="788" t="s">
        <v>1616</v>
      </c>
      <c r="B571" s="787">
        <f>'Part 4'!$H$25</f>
        <v>0</v>
      </c>
      <c r="C571" s="787"/>
      <c r="D571" s="787"/>
      <c r="E571" s="787"/>
    </row>
    <row r="572" spans="1:5" s="554" customFormat="1" x14ac:dyDescent="0.2">
      <c r="A572" s="788" t="s">
        <v>1617</v>
      </c>
      <c r="B572" s="787" t="e">
        <f>'Part 4'!$H$27</f>
        <v>#N/A</v>
      </c>
      <c r="C572" s="787"/>
      <c r="D572" s="787"/>
      <c r="E572" s="787"/>
    </row>
    <row r="573" spans="1:5" s="554" customFormat="1" x14ac:dyDescent="0.2">
      <c r="A573" s="788" t="s">
        <v>1618</v>
      </c>
      <c r="B573" s="787" t="e">
        <f>'Part 4'!$J$29</f>
        <v>#N/A</v>
      </c>
      <c r="C573" s="787"/>
      <c r="D573" s="787"/>
      <c r="E573" s="787"/>
    </row>
    <row r="574" spans="1:5" s="554" customFormat="1" x14ac:dyDescent="0.2">
      <c r="A574" s="788" t="s">
        <v>1619</v>
      </c>
      <c r="B574" s="787">
        <f>'Part 4'!$H$32</f>
        <v>0</v>
      </c>
      <c r="C574" s="787"/>
      <c r="D574" s="787"/>
      <c r="E574" s="787"/>
    </row>
    <row r="575" spans="1:5" s="554" customFormat="1" x14ac:dyDescent="0.2">
      <c r="A575" s="788" t="s">
        <v>1620</v>
      </c>
      <c r="B575" s="787">
        <f>'Part 4'!$H$34</f>
        <v>0</v>
      </c>
      <c r="C575" s="787"/>
      <c r="D575" s="787"/>
      <c r="E575" s="787"/>
    </row>
    <row r="576" spans="1:5" s="554" customFormat="1" x14ac:dyDescent="0.2">
      <c r="A576" s="786" t="s">
        <v>1621</v>
      </c>
      <c r="B576" s="787">
        <f>'Part 4'!$H$37</f>
        <v>0</v>
      </c>
      <c r="C576" s="787"/>
      <c r="D576" s="787"/>
      <c r="E576" s="787"/>
    </row>
    <row r="577" spans="1:5" s="554" customFormat="1" x14ac:dyDescent="0.2">
      <c r="A577" s="788" t="s">
        <v>1622</v>
      </c>
      <c r="B577" s="787">
        <f>'Part 4'!$H$40</f>
        <v>0</v>
      </c>
      <c r="C577" s="787"/>
      <c r="D577" s="787"/>
      <c r="E577" s="787"/>
    </row>
    <row r="578" spans="1:5" s="554" customFormat="1" x14ac:dyDescent="0.2">
      <c r="A578" s="788" t="s">
        <v>1623</v>
      </c>
      <c r="B578" s="787">
        <f>'Part 4'!$H$43</f>
        <v>0</v>
      </c>
      <c r="C578" s="787"/>
      <c r="D578" s="787"/>
      <c r="E578" s="787"/>
    </row>
    <row r="579" spans="1:5" s="554" customFormat="1" x14ac:dyDescent="0.2">
      <c r="A579" s="788" t="s">
        <v>1624</v>
      </c>
      <c r="B579" s="787">
        <f>'Part 4'!$H$46</f>
        <v>0</v>
      </c>
      <c r="C579" s="787"/>
      <c r="D579" s="787"/>
      <c r="E579" s="787"/>
    </row>
    <row r="580" spans="1:5" s="554" customFormat="1" x14ac:dyDescent="0.2">
      <c r="A580" s="788" t="s">
        <v>1625</v>
      </c>
      <c r="B580" s="787" t="e">
        <f>'Part 4'!$H$48</f>
        <v>#N/A</v>
      </c>
      <c r="C580" s="787"/>
      <c r="D580" s="787"/>
      <c r="E580" s="787"/>
    </row>
    <row r="581" spans="1:5" s="554" customFormat="1" x14ac:dyDescent="0.2">
      <c r="A581" s="788" t="s">
        <v>1626</v>
      </c>
      <c r="B581" s="787" t="e">
        <f>'Part 4'!$J$50</f>
        <v>#N/A</v>
      </c>
      <c r="C581" s="787"/>
      <c r="D581" s="787"/>
      <c r="E581" s="787"/>
    </row>
    <row r="582" spans="1:5" s="554" customFormat="1" x14ac:dyDescent="0.2">
      <c r="A582" s="786" t="s">
        <v>1283</v>
      </c>
      <c r="B582" s="787" t="e">
        <f>'Part 4'!$J$55</f>
        <v>#N/A</v>
      </c>
      <c r="C582" s="787"/>
      <c r="D582" s="787"/>
      <c r="E582" s="787"/>
    </row>
    <row r="583" spans="1:5" s="554" customFormat="1" x14ac:dyDescent="0.2">
      <c r="A583" s="786" t="s">
        <v>2353</v>
      </c>
      <c r="B583" s="1187" t="e">
        <f>'Part 4'!F62</f>
        <v>#N/A</v>
      </c>
      <c r="C583" s="787"/>
      <c r="D583" s="787"/>
      <c r="E583" s="787"/>
    </row>
    <row r="584" spans="1:5" s="554" customFormat="1" x14ac:dyDescent="0.2">
      <c r="A584" s="786" t="s">
        <v>2354</v>
      </c>
      <c r="B584" s="1187" t="e">
        <f>'Part 4'!H62</f>
        <v>#N/A</v>
      </c>
      <c r="C584" s="787"/>
      <c r="D584" s="787"/>
      <c r="E584" s="787"/>
    </row>
    <row r="585" spans="1:5" s="554" customFormat="1" x14ac:dyDescent="0.2">
      <c r="A585" s="786" t="s">
        <v>2355</v>
      </c>
      <c r="B585" s="1187" t="e">
        <f>'Part 4'!J62</f>
        <v>#N/A</v>
      </c>
      <c r="C585" s="787"/>
      <c r="D585" s="787"/>
      <c r="E585" s="787"/>
    </row>
    <row r="586" spans="1:5" s="554" customFormat="1" x14ac:dyDescent="0.2">
      <c r="A586" s="786" t="s">
        <v>2356</v>
      </c>
      <c r="B586" s="1187" t="e">
        <f>'Part 4'!L62</f>
        <v>#N/A</v>
      </c>
      <c r="C586" s="787"/>
      <c r="D586" s="787"/>
      <c r="E586" s="787"/>
    </row>
    <row r="587" spans="1:5" s="554" customFormat="1" x14ac:dyDescent="0.2">
      <c r="A587" s="786" t="s">
        <v>2357</v>
      </c>
      <c r="B587" s="1187">
        <f>'Part 4'!N62</f>
        <v>1</v>
      </c>
      <c r="C587" s="787"/>
      <c r="D587" s="787"/>
      <c r="E587" s="787"/>
    </row>
    <row r="588" spans="1:5" s="554" customFormat="1" x14ac:dyDescent="0.2">
      <c r="A588" s="786" t="s">
        <v>2358</v>
      </c>
      <c r="B588" s="787" t="e">
        <f>'Part 4'!F64</f>
        <v>#N/A</v>
      </c>
      <c r="C588" s="787"/>
      <c r="D588" s="787"/>
      <c r="E588" s="787"/>
    </row>
    <row r="589" spans="1:5" s="554" customFormat="1" x14ac:dyDescent="0.2">
      <c r="A589" s="786" t="s">
        <v>2359</v>
      </c>
      <c r="B589" s="787" t="e">
        <f>'Part 4'!H64</f>
        <v>#N/A</v>
      </c>
      <c r="C589" s="787"/>
      <c r="D589" s="787"/>
      <c r="E589" s="787"/>
    </row>
    <row r="590" spans="1:5" s="554" customFormat="1" x14ac:dyDescent="0.2">
      <c r="A590" s="786" t="s">
        <v>2360</v>
      </c>
      <c r="B590" s="787" t="e">
        <f>'Part 4'!J64</f>
        <v>#N/A</v>
      </c>
      <c r="C590" s="787"/>
      <c r="D590" s="787"/>
      <c r="E590" s="787"/>
    </row>
    <row r="591" spans="1:5" s="554" customFormat="1" x14ac:dyDescent="0.2">
      <c r="A591" s="786" t="s">
        <v>2361</v>
      </c>
      <c r="B591" s="787" t="e">
        <f>'Part 4'!L64</f>
        <v>#N/A</v>
      </c>
      <c r="C591" s="787"/>
      <c r="D591" s="787"/>
      <c r="E591" s="787"/>
    </row>
    <row r="592" spans="1:5" s="554" customFormat="1" x14ac:dyDescent="0.2">
      <c r="A592" s="786" t="s">
        <v>2362</v>
      </c>
      <c r="B592" s="787" t="e">
        <f>'Part 4'!N64</f>
        <v>#N/A</v>
      </c>
      <c r="C592" s="787"/>
      <c r="D592" s="787"/>
      <c r="E592" s="787"/>
    </row>
    <row r="593" spans="1:5" s="554" customFormat="1" x14ac:dyDescent="0.2">
      <c r="A593" s="786" t="s">
        <v>2363</v>
      </c>
      <c r="B593" s="1187" t="e">
        <f>'Part 4'!F66</f>
        <v>#N/A</v>
      </c>
      <c r="C593" s="787"/>
      <c r="D593" s="787"/>
      <c r="E593" s="787"/>
    </row>
    <row r="594" spans="1:5" s="554" customFormat="1" x14ac:dyDescent="0.2">
      <c r="A594" s="786" t="s">
        <v>2364</v>
      </c>
      <c r="B594" s="1187" t="e">
        <f>'Part 4'!H66</f>
        <v>#N/A</v>
      </c>
      <c r="C594" s="787"/>
      <c r="D594" s="787"/>
      <c r="E594" s="787"/>
    </row>
    <row r="595" spans="1:5" s="554" customFormat="1" x14ac:dyDescent="0.2">
      <c r="A595" s="786" t="s">
        <v>2365</v>
      </c>
      <c r="B595" s="1187" t="e">
        <f>'Part 4'!J66</f>
        <v>#N/A</v>
      </c>
      <c r="C595" s="787"/>
      <c r="D595" s="787"/>
      <c r="E595" s="787"/>
    </row>
    <row r="596" spans="1:5" s="554" customFormat="1" x14ac:dyDescent="0.2">
      <c r="A596" s="786" t="s">
        <v>2366</v>
      </c>
      <c r="B596" s="1187" t="e">
        <f>'Part 4'!L66</f>
        <v>#N/A</v>
      </c>
      <c r="C596" s="787"/>
      <c r="D596" s="787"/>
      <c r="E596" s="787"/>
    </row>
    <row r="597" spans="1:5" s="554" customFormat="1" x14ac:dyDescent="0.2">
      <c r="A597" s="786" t="s">
        <v>2367</v>
      </c>
      <c r="B597" s="1187">
        <f>'Part 4'!N66</f>
        <v>1</v>
      </c>
      <c r="C597" s="787"/>
      <c r="D597" s="787"/>
      <c r="E597" s="787"/>
    </row>
    <row r="598" spans="1:5" s="554" customFormat="1" x14ac:dyDescent="0.2">
      <c r="A598" s="786" t="s">
        <v>2368</v>
      </c>
      <c r="B598" s="787" t="e">
        <f>'Part 4'!F68</f>
        <v>#N/A</v>
      </c>
      <c r="C598" s="787"/>
      <c r="D598" s="787"/>
      <c r="E598" s="787"/>
    </row>
    <row r="599" spans="1:5" s="554" customFormat="1" x14ac:dyDescent="0.2">
      <c r="A599" s="786" t="s">
        <v>2369</v>
      </c>
      <c r="B599" s="787" t="e">
        <f>'Part 4'!H68</f>
        <v>#N/A</v>
      </c>
      <c r="C599" s="787"/>
      <c r="D599" s="787"/>
      <c r="E599" s="787"/>
    </row>
    <row r="600" spans="1:5" s="554" customFormat="1" x14ac:dyDescent="0.2">
      <c r="A600" s="786" t="s">
        <v>2370</v>
      </c>
      <c r="B600" s="787" t="e">
        <f>'Part 4'!J68</f>
        <v>#N/A</v>
      </c>
      <c r="C600" s="787"/>
      <c r="D600" s="787"/>
      <c r="E600" s="787"/>
    </row>
    <row r="601" spans="1:5" s="554" customFormat="1" x14ac:dyDescent="0.2">
      <c r="A601" s="786" t="s">
        <v>2371</v>
      </c>
      <c r="B601" s="787" t="e">
        <f>'Part 4'!L68</f>
        <v>#N/A</v>
      </c>
      <c r="C601" s="787"/>
      <c r="D601" s="787"/>
      <c r="E601" s="787"/>
    </row>
    <row r="602" spans="1:5" s="554" customFormat="1" x14ac:dyDescent="0.2">
      <c r="A602" s="786" t="s">
        <v>2372</v>
      </c>
      <c r="B602" s="787" t="e">
        <f>'Part 4'!N68</f>
        <v>#N/A</v>
      </c>
      <c r="C602" s="787"/>
      <c r="D602" s="787"/>
      <c r="E602" s="787"/>
    </row>
    <row r="603" spans="1:5" s="554" customFormat="1" x14ac:dyDescent="0.2">
      <c r="A603" s="786" t="s">
        <v>2373</v>
      </c>
      <c r="B603" s="787" t="e">
        <f>'Part 4'!F70</f>
        <v>#N/A</v>
      </c>
      <c r="C603" s="787"/>
      <c r="D603" s="787"/>
      <c r="E603" s="787"/>
    </row>
    <row r="604" spans="1:5" s="554" customFormat="1" x14ac:dyDescent="0.2">
      <c r="A604" s="786" t="s">
        <v>2374</v>
      </c>
      <c r="B604" s="787" t="e">
        <f>'Part 4'!H70</f>
        <v>#N/A</v>
      </c>
      <c r="C604" s="787"/>
      <c r="D604" s="787"/>
      <c r="E604" s="787"/>
    </row>
    <row r="605" spans="1:5" s="554" customFormat="1" x14ac:dyDescent="0.2">
      <c r="A605" s="786" t="s">
        <v>2375</v>
      </c>
      <c r="B605" s="787" t="e">
        <f>'Part 4'!J70</f>
        <v>#N/A</v>
      </c>
      <c r="C605" s="787"/>
      <c r="D605" s="787"/>
      <c r="E605" s="787"/>
    </row>
    <row r="606" spans="1:5" s="554" customFormat="1" x14ac:dyDescent="0.2">
      <c r="A606" s="786" t="s">
        <v>2376</v>
      </c>
      <c r="B606" s="787" t="e">
        <f>'Part 4'!L70</f>
        <v>#N/A</v>
      </c>
      <c r="C606" s="787"/>
      <c r="D606" s="787"/>
      <c r="E606" s="787"/>
    </row>
    <row r="607" spans="1:5" s="554" customFormat="1" x14ac:dyDescent="0.2">
      <c r="A607" s="786" t="s">
        <v>2377</v>
      </c>
      <c r="B607" s="787" t="e">
        <f>'Part 4'!N70</f>
        <v>#N/A</v>
      </c>
      <c r="C607" s="787"/>
      <c r="D607" s="787"/>
      <c r="E607" s="787"/>
    </row>
    <row r="608" spans="1:5" s="554" customFormat="1" x14ac:dyDescent="0.2">
      <c r="A608" s="786" t="s">
        <v>1627</v>
      </c>
      <c r="B608" s="787" t="e">
        <f>'Part 4'!C73</f>
        <v>#N/A</v>
      </c>
      <c r="C608" s="787"/>
      <c r="D608" s="787"/>
      <c r="E608" s="787"/>
    </row>
    <row r="609" spans="1:5" s="554" customFormat="1" x14ac:dyDescent="0.2">
      <c r="A609" s="786" t="s">
        <v>1628</v>
      </c>
      <c r="B609" s="787" t="e">
        <f>'Part 4'!C74</f>
        <v>#N/A</v>
      </c>
      <c r="C609" s="787"/>
      <c r="D609" s="787"/>
      <c r="E609" s="787"/>
    </row>
    <row r="610" spans="1:5" s="554" customFormat="1" x14ac:dyDescent="0.2">
      <c r="A610" s="786" t="s">
        <v>1629</v>
      </c>
      <c r="B610" s="787" t="e">
        <f>'Part 4'!C75</f>
        <v>#N/A</v>
      </c>
      <c r="C610" s="787"/>
      <c r="D610" s="787"/>
      <c r="E610" s="787"/>
    </row>
    <row r="611" spans="1:5" s="554" customFormat="1" x14ac:dyDescent="0.2">
      <c r="A611" s="786" t="s">
        <v>1630</v>
      </c>
      <c r="B611" s="787" t="str">
        <f>'Part 4'!C76</f>
        <v>Please enter comments here</v>
      </c>
      <c r="C611" s="787"/>
      <c r="D611" s="787"/>
      <c r="E611" s="787"/>
    </row>
    <row r="612" spans="1:5" s="273" customFormat="1" x14ac:dyDescent="0.2">
      <c r="A612" s="1000" t="s">
        <v>3186</v>
      </c>
      <c r="B612" s="1003">
        <f>adj_factor</f>
        <v>0.24849699398797595</v>
      </c>
      <c r="C612" s="1001"/>
      <c r="D612" s="1001"/>
      <c r="E612" s="1001"/>
    </row>
    <row r="613" spans="1:5" s="273" customFormat="1" x14ac:dyDescent="0.2">
      <c r="A613" s="1000" t="s">
        <v>3187</v>
      </c>
      <c r="B613" s="1003">
        <f>adj_factor_supp</f>
        <v>0.16666666666666666</v>
      </c>
      <c r="C613" s="1001"/>
      <c r="D613" s="1001"/>
      <c r="E613" s="1001"/>
    </row>
    <row r="614" spans="1:5" s="273" customFormat="1" x14ac:dyDescent="0.2">
      <c r="A614" s="1000" t="s">
        <v>2411</v>
      </c>
      <c r="B614" s="724" t="e">
        <f>INDEX(TierSplit!CF:CF,MATCH(Import_LA_Code,Ref_LA_Codes2,0))</f>
        <v>#N/A</v>
      </c>
      <c r="C614" s="1001"/>
      <c r="D614" s="1001"/>
      <c r="E614" s="1001"/>
    </row>
    <row r="615" spans="1:5" s="273" customFormat="1" x14ac:dyDescent="0.2">
      <c r="A615" s="1000" t="s">
        <v>2412</v>
      </c>
      <c r="B615" s="724" t="e">
        <f>INDEX(TierSplit!CI:CI,MATCH(Import_LA_Code,Ref_LA_Codes2,0))</f>
        <v>#N/A</v>
      </c>
      <c r="C615" s="1001"/>
      <c r="D615" s="1001"/>
      <c r="E615" s="1001"/>
    </row>
    <row r="616" spans="1:5" s="273" customFormat="1" x14ac:dyDescent="0.2">
      <c r="A616" s="1000" t="s">
        <v>2413</v>
      </c>
      <c r="B616" s="724" t="e">
        <f>Local_Share_Total</f>
        <v>#N/A</v>
      </c>
      <c r="C616" s="1001"/>
      <c r="D616" s="1001"/>
      <c r="E616" s="1001"/>
    </row>
    <row r="617" spans="1:5" s="273" customFormat="1" x14ac:dyDescent="0.2">
      <c r="A617" s="1000" t="s">
        <v>2414</v>
      </c>
      <c r="B617" s="1002" t="e">
        <f>INDEX(TierSplit!CB:CB,MATCH(Import_LA_Code,Ref_LA_Codes2,0))</f>
        <v>#N/A</v>
      </c>
      <c r="C617" s="1001"/>
      <c r="D617" s="1001"/>
      <c r="E617" s="1001"/>
    </row>
    <row r="618" spans="1:5" s="273" customFormat="1" x14ac:dyDescent="0.2">
      <c r="A618" s="1000" t="s">
        <v>2415</v>
      </c>
      <c r="B618" s="1001" t="e">
        <f>INDEX(Data!BG:BG,MATCH(Import_LA_Code,Ref_LA_Codes,0))</f>
        <v>#N/A</v>
      </c>
      <c r="C618" s="1001"/>
      <c r="D618" s="1001"/>
      <c r="E618" s="1001"/>
    </row>
    <row r="619" spans="1:5" s="273" customFormat="1" x14ac:dyDescent="0.2">
      <c r="A619" s="1000" t="s">
        <v>2416</v>
      </c>
      <c r="B619" s="1001" t="e">
        <f>INDEX(Data!BH:BH,MATCH(Import_LA_Code,Ref_LA_Codes,0))</f>
        <v>#N/A</v>
      </c>
      <c r="C619" s="1001"/>
      <c r="D619" s="1001"/>
      <c r="E619" s="1001"/>
    </row>
    <row r="620" spans="1:5" s="273" customFormat="1" x14ac:dyDescent="0.2">
      <c r="A620" s="1000" t="s">
        <v>2417</v>
      </c>
      <c r="B620" s="724" t="e">
        <f>VLOOKUP(Import_LA_Code,TierSplit!$A$6:$CI$302,3,FALSE)</f>
        <v>#N/A</v>
      </c>
      <c r="C620" s="1001"/>
      <c r="D620" s="1001"/>
      <c r="E620" s="1001"/>
    </row>
    <row r="621" spans="1:5" s="273" customFormat="1" x14ac:dyDescent="0.2">
      <c r="A621" s="1000" t="s">
        <v>2422</v>
      </c>
      <c r="B621" s="724" t="e">
        <f>VLOOKUP(Import_LA_Code,TierSplit!$A$6:$CI$302,6,FALSE)</f>
        <v>#N/A</v>
      </c>
      <c r="C621" s="1001"/>
      <c r="D621" s="1001"/>
      <c r="E621" s="1001"/>
    </row>
    <row r="622" spans="1:5" s="273" customFormat="1" x14ac:dyDescent="0.2">
      <c r="A622" s="1000" t="s">
        <v>2418</v>
      </c>
      <c r="B622" s="724" t="e">
        <f>VLOOKUP(Import_LA_Code,TierSplit!$A$6:$CI$302,9,FALSE)</f>
        <v>#N/A</v>
      </c>
      <c r="C622" s="1001"/>
      <c r="D622" s="1001"/>
      <c r="E622" s="1001"/>
    </row>
    <row r="623" spans="1:5" s="273" customFormat="1" x14ac:dyDescent="0.2">
      <c r="A623" s="1000" t="s">
        <v>2419</v>
      </c>
      <c r="B623" s="724" t="e">
        <f>1-B616</f>
        <v>#N/A</v>
      </c>
      <c r="C623" s="1001"/>
      <c r="D623" s="1001"/>
      <c r="E623" s="1001"/>
    </row>
    <row r="624" spans="1:5" s="273" customFormat="1" x14ac:dyDescent="0.2">
      <c r="A624" s="1000" t="s">
        <v>2766</v>
      </c>
      <c r="B624" s="724" t="e">
        <f>VLOOKUP(Import_LA_Code,TierSplit!$A$6:$CI$302,11,FALSE)</f>
        <v>#N/A</v>
      </c>
      <c r="C624" s="1001"/>
      <c r="D624" s="1001"/>
      <c r="E624" s="1001"/>
    </row>
    <row r="625" spans="1:5" s="273" customFormat="1" x14ac:dyDescent="0.2">
      <c r="A625" s="1000" t="s">
        <v>2767</v>
      </c>
      <c r="B625" s="724" t="e">
        <f>VLOOKUP(Import_LA_Code,TierSplit!$A$6:$CI$302,14,FALSE)</f>
        <v>#N/A</v>
      </c>
      <c r="C625" s="1001"/>
      <c r="D625" s="1001"/>
      <c r="E625" s="1001"/>
    </row>
    <row r="626" spans="1:5" s="273" customFormat="1" x14ac:dyDescent="0.2">
      <c r="A626" s="1000" t="s">
        <v>2768</v>
      </c>
      <c r="B626" s="724" t="e">
        <f>VLOOKUP(Import_LA_Code,TierSplit!$A$6:$CI$302,17,FALSE)</f>
        <v>#N/A</v>
      </c>
      <c r="C626" s="1001"/>
      <c r="D626" s="1001"/>
      <c r="E626" s="1001"/>
    </row>
    <row r="627" spans="1:5" s="273" customFormat="1" x14ac:dyDescent="0.2">
      <c r="A627" s="1000" t="s">
        <v>2769</v>
      </c>
      <c r="B627" s="724" t="e">
        <f>1-B624-B625-B626</f>
        <v>#N/A</v>
      </c>
      <c r="C627" s="1001"/>
      <c r="D627" s="1001"/>
      <c r="E627" s="1001"/>
    </row>
    <row r="628" spans="1:5" s="273" customFormat="1" x14ac:dyDescent="0.2">
      <c r="A628" s="1000" t="s">
        <v>2420</v>
      </c>
      <c r="B628" s="1001" t="e">
        <f>INDEX(Data!D:D,MATCH(Import_LA_Code,Ref_LA_Codes,0))</f>
        <v>#N/A</v>
      </c>
      <c r="C628" s="1001"/>
      <c r="D628" s="1001"/>
      <c r="E628" s="1001"/>
    </row>
    <row r="629" spans="1:5" s="273" customFormat="1" x14ac:dyDescent="0.2">
      <c r="A629" s="1000" t="s">
        <v>2421</v>
      </c>
      <c r="B629" s="1001" t="e">
        <f>'Part 1'!W253</f>
        <v>#N/A</v>
      </c>
      <c r="C629" s="1001"/>
      <c r="D629" s="1001"/>
      <c r="E629" s="1001"/>
    </row>
    <row r="630" spans="1:5" s="273" customFormat="1" x14ac:dyDescent="0.2">
      <c r="A630" s="1000" t="s">
        <v>2765</v>
      </c>
      <c r="B630" s="1001">
        <f>'Supplementary Information'!$K$72</f>
        <v>0</v>
      </c>
      <c r="C630" s="1001"/>
      <c r="D630" s="1001"/>
      <c r="E630" s="1001"/>
    </row>
    <row r="631" spans="1:5" s="273" customFormat="1" x14ac:dyDescent="0.2">
      <c r="A631" s="1000" t="s">
        <v>2781</v>
      </c>
      <c r="B631" s="1002">
        <f>SBRR_Supplement</f>
        <v>4.7E-2</v>
      </c>
      <c r="C631" s="1001"/>
      <c r="D631" s="1001"/>
      <c r="E631" s="1001"/>
    </row>
    <row r="632" spans="1:5" x14ac:dyDescent="0.2">
      <c r="A632" s="914" t="s">
        <v>3410</v>
      </c>
      <c r="B632" s="1002">
        <f>SBRR_supp_historic</f>
        <v>1.2999999999999999E-2</v>
      </c>
      <c r="C632" s="783"/>
      <c r="D632" s="783"/>
      <c r="E632" s="783"/>
    </row>
    <row r="633" spans="1:5" s="273" customFormat="1" x14ac:dyDescent="0.2">
      <c r="A633" s="1000" t="s">
        <v>3269</v>
      </c>
      <c r="B633" s="1002">
        <f>small_share_baa</f>
        <v>0</v>
      </c>
      <c r="C633" s="1001"/>
      <c r="D633" s="1001"/>
      <c r="E633" s="1001"/>
    </row>
    <row r="634" spans="1:5" s="273" customFormat="1" x14ac:dyDescent="0.2">
      <c r="A634" s="1000" t="s">
        <v>3270</v>
      </c>
      <c r="B634" s="1002">
        <f>small_share_da</f>
        <v>0</v>
      </c>
      <c r="C634" s="1001"/>
      <c r="D634" s="1001"/>
      <c r="E634" s="1001"/>
    </row>
    <row r="635" spans="1:5" s="273" customFormat="1" x14ac:dyDescent="0.2">
      <c r="A635" s="1000" t="s">
        <v>3271</v>
      </c>
      <c r="B635" s="1002">
        <f>small_share_total</f>
        <v>0</v>
      </c>
      <c r="C635" s="1001"/>
      <c r="D635" s="1001"/>
      <c r="E635" s="1001"/>
    </row>
    <row r="636" spans="1:5" s="273" customFormat="1" x14ac:dyDescent="0.2">
      <c r="A636" s="1000" t="s">
        <v>3272</v>
      </c>
      <c r="B636" s="1002">
        <f>standard_share_baa</f>
        <v>0</v>
      </c>
      <c r="C636" s="1001"/>
      <c r="D636" s="1001"/>
      <c r="E636" s="1001"/>
    </row>
    <row r="637" spans="1:5" s="273" customFormat="1" x14ac:dyDescent="0.2">
      <c r="A637" s="1000" t="s">
        <v>3273</v>
      </c>
      <c r="B637" s="1002">
        <f>standard_share_da</f>
        <v>0</v>
      </c>
      <c r="C637" s="1001"/>
      <c r="D637" s="1001"/>
      <c r="E637" s="1001"/>
    </row>
    <row r="638" spans="1:5" s="273" customFormat="1" x14ac:dyDescent="0.2">
      <c r="A638" s="1000" t="s">
        <v>3274</v>
      </c>
      <c r="B638" s="1002">
        <f>standard_share_total</f>
        <v>0</v>
      </c>
      <c r="C638" s="1001"/>
      <c r="D638" s="1001"/>
      <c r="E638" s="1001"/>
    </row>
    <row r="639" spans="1:5" s="791" customFormat="1" x14ac:dyDescent="0.2">
      <c r="A639" s="789" t="s">
        <v>1631</v>
      </c>
      <c r="B639" s="790">
        <f>'Supplementary Information'!$H$24</f>
        <v>0</v>
      </c>
      <c r="C639" s="790"/>
      <c r="D639" s="790"/>
      <c r="E639" s="790"/>
    </row>
    <row r="640" spans="1:5" s="791" customFormat="1" x14ac:dyDescent="0.2">
      <c r="A640" s="789" t="s">
        <v>1632</v>
      </c>
      <c r="B640" s="790">
        <f>'Supplementary Information'!$H$26</f>
        <v>0</v>
      </c>
      <c r="C640" s="790"/>
      <c r="D640" s="790"/>
      <c r="E640" s="790"/>
    </row>
    <row r="641" spans="1:5" s="791" customFormat="1" x14ac:dyDescent="0.2">
      <c r="A641" s="789" t="s">
        <v>1633</v>
      </c>
      <c r="B641" s="790">
        <f>'Supplementary Information'!$H$28</f>
        <v>0</v>
      </c>
      <c r="C641" s="790"/>
      <c r="D641" s="790"/>
      <c r="E641" s="790"/>
    </row>
    <row r="642" spans="1:5" s="791" customFormat="1" x14ac:dyDescent="0.2">
      <c r="A642" s="789" t="s">
        <v>2306</v>
      </c>
      <c r="B642" s="790">
        <f>'Supplementary Information'!H31</f>
        <v>0</v>
      </c>
      <c r="C642" s="790"/>
      <c r="D642" s="790"/>
      <c r="E642" s="790"/>
    </row>
    <row r="643" spans="1:5" s="791" customFormat="1" x14ac:dyDescent="0.2">
      <c r="A643" s="789" t="s">
        <v>1635</v>
      </c>
      <c r="B643" s="790">
        <f>'Supplementary Information'!$H$33</f>
        <v>0</v>
      </c>
      <c r="C643" s="790"/>
      <c r="D643" s="790"/>
      <c r="E643" s="790"/>
    </row>
    <row r="644" spans="1:5" s="791" customFormat="1" x14ac:dyDescent="0.2">
      <c r="A644" s="789" t="s">
        <v>1636</v>
      </c>
      <c r="B644" s="790">
        <f>'Supplementary Information'!$H$35</f>
        <v>0</v>
      </c>
      <c r="C644" s="790"/>
      <c r="D644" s="790"/>
      <c r="E644" s="790"/>
    </row>
    <row r="645" spans="1:5" s="791" customFormat="1" x14ac:dyDescent="0.2">
      <c r="A645" s="789" t="s">
        <v>1637</v>
      </c>
      <c r="B645" s="790">
        <f>'Supplementary Information'!$H$37</f>
        <v>0</v>
      </c>
      <c r="C645" s="790"/>
      <c r="D645" s="790"/>
      <c r="E645" s="790"/>
    </row>
    <row r="646" spans="1:5" s="791" customFormat="1" x14ac:dyDescent="0.2">
      <c r="A646" s="789" t="s">
        <v>1638</v>
      </c>
      <c r="B646" s="790">
        <f>'Supplementary Information'!$H$39</f>
        <v>0</v>
      </c>
      <c r="C646" s="790"/>
      <c r="D646" s="790"/>
      <c r="E646" s="790"/>
    </row>
    <row r="647" spans="1:5" s="791" customFormat="1" x14ac:dyDescent="0.2">
      <c r="A647" s="789" t="s">
        <v>1639</v>
      </c>
      <c r="B647" s="790">
        <f>'Supplementary Information'!$H$41</f>
        <v>0</v>
      </c>
      <c r="C647" s="790"/>
      <c r="D647" s="790"/>
      <c r="E647" s="790"/>
    </row>
    <row r="648" spans="1:5" s="791" customFormat="1" x14ac:dyDescent="0.2">
      <c r="A648" s="789" t="s">
        <v>1640</v>
      </c>
      <c r="B648" s="790">
        <f>'Supplementary Information'!$H$43</f>
        <v>0</v>
      </c>
      <c r="C648" s="790"/>
      <c r="D648" s="790"/>
      <c r="E648" s="790"/>
    </row>
    <row r="649" spans="1:5" s="791" customFormat="1" x14ac:dyDescent="0.2">
      <c r="A649" s="789" t="s">
        <v>1641</v>
      </c>
      <c r="B649" s="790">
        <f>'Supplementary Information'!$H$45</f>
        <v>0</v>
      </c>
      <c r="C649" s="790"/>
      <c r="D649" s="790"/>
      <c r="E649" s="790"/>
    </row>
    <row r="650" spans="1:5" s="791" customFormat="1" x14ac:dyDescent="0.2">
      <c r="A650" s="789" t="s">
        <v>1642</v>
      </c>
      <c r="B650" s="790">
        <f>'Supplementary Information'!$H$47</f>
        <v>0</v>
      </c>
      <c r="C650" s="790"/>
      <c r="D650" s="790"/>
      <c r="E650" s="790"/>
    </row>
    <row r="651" spans="1:5" s="791" customFormat="1" x14ac:dyDescent="0.2">
      <c r="A651" s="789" t="s">
        <v>1644</v>
      </c>
      <c r="B651" s="790">
        <f>'Supplementary Information'!$H$50</f>
        <v>0</v>
      </c>
      <c r="C651" s="790"/>
      <c r="D651" s="790"/>
      <c r="E651" s="790"/>
    </row>
    <row r="652" spans="1:5" s="791" customFormat="1" x14ac:dyDescent="0.2">
      <c r="A652" s="789" t="s">
        <v>1645</v>
      </c>
      <c r="B652" s="790">
        <f>'Supplementary Information'!$H$52</f>
        <v>0</v>
      </c>
      <c r="C652" s="790"/>
      <c r="D652" s="790"/>
      <c r="E652" s="790"/>
    </row>
    <row r="653" spans="1:5" s="791" customFormat="1" x14ac:dyDescent="0.2">
      <c r="A653" s="789" t="s">
        <v>1646</v>
      </c>
      <c r="B653" s="790">
        <f>'Supplementary Information'!$H$54</f>
        <v>0</v>
      </c>
      <c r="C653" s="790"/>
      <c r="D653" s="790"/>
      <c r="E653" s="790"/>
    </row>
    <row r="654" spans="1:5" s="791" customFormat="1" x14ac:dyDescent="0.2">
      <c r="A654" s="789" t="s">
        <v>1647</v>
      </c>
      <c r="B654" s="790">
        <f>'Supplementary Information'!$H$56</f>
        <v>0</v>
      </c>
      <c r="C654" s="790"/>
      <c r="D654" s="790"/>
      <c r="E654" s="790"/>
    </row>
    <row r="655" spans="1:5" s="791" customFormat="1" x14ac:dyDescent="0.2">
      <c r="A655" s="789" t="s">
        <v>1648</v>
      </c>
      <c r="B655" s="790">
        <f>'Supplementary Information'!$H$58</f>
        <v>0</v>
      </c>
      <c r="C655" s="790"/>
      <c r="D655" s="790"/>
      <c r="E655" s="790"/>
    </row>
    <row r="656" spans="1:5" s="791" customFormat="1" x14ac:dyDescent="0.2">
      <c r="A656" s="789" t="s">
        <v>1649</v>
      </c>
      <c r="B656" s="790">
        <f>'Supplementary Information'!$H$60</f>
        <v>0</v>
      </c>
      <c r="C656" s="790"/>
      <c r="D656" s="790"/>
      <c r="E656" s="790"/>
    </row>
    <row r="657" spans="1:5" s="791" customFormat="1" x14ac:dyDescent="0.2">
      <c r="A657" s="789" t="s">
        <v>1650</v>
      </c>
      <c r="B657" s="790">
        <f>'Supplementary Information'!$H$62</f>
        <v>0</v>
      </c>
      <c r="C657" s="790"/>
      <c r="D657" s="790"/>
      <c r="E657" s="790"/>
    </row>
    <row r="658" spans="1:5" s="791" customFormat="1" x14ac:dyDescent="0.2">
      <c r="A658" s="789" t="s">
        <v>1651</v>
      </c>
      <c r="B658" s="790">
        <f>'Supplementary Information'!$H$66</f>
        <v>0</v>
      </c>
      <c r="C658" s="790"/>
      <c r="D658" s="790"/>
      <c r="E658" s="790"/>
    </row>
    <row r="659" spans="1:5" s="791" customFormat="1" x14ac:dyDescent="0.2">
      <c r="A659" s="789" t="s">
        <v>1652</v>
      </c>
      <c r="B659" s="790">
        <f>'Supplementary Information'!$H$68</f>
        <v>0</v>
      </c>
      <c r="C659" s="790"/>
      <c r="D659" s="790"/>
      <c r="E659" s="790"/>
    </row>
    <row r="660" spans="1:5" s="791" customFormat="1" x14ac:dyDescent="0.2">
      <c r="A660" s="789" t="s">
        <v>1653</v>
      </c>
      <c r="B660" s="790">
        <f>'Supplementary Information'!$H$70</f>
        <v>0</v>
      </c>
      <c r="C660" s="790"/>
      <c r="D660" s="790"/>
      <c r="E660" s="790"/>
    </row>
    <row r="661" spans="1:5" s="791" customFormat="1" x14ac:dyDescent="0.2">
      <c r="A661" s="789" t="s">
        <v>1643</v>
      </c>
      <c r="B661" s="790">
        <f>'Supplementary Information'!$H$72</f>
        <v>0</v>
      </c>
      <c r="C661" s="790"/>
      <c r="D661" s="790"/>
      <c r="E661" s="790"/>
    </row>
    <row r="662" spans="1:5" s="791" customFormat="1" x14ac:dyDescent="0.2">
      <c r="A662" s="789" t="s">
        <v>3188</v>
      </c>
      <c r="B662" s="790">
        <f>'Supplementary Information'!$H$74</f>
        <v>0</v>
      </c>
      <c r="C662" s="790"/>
      <c r="D662" s="790"/>
      <c r="E662" s="790"/>
    </row>
    <row r="663" spans="1:5" s="791" customFormat="1" x14ac:dyDescent="0.2">
      <c r="A663" s="789" t="s">
        <v>1654</v>
      </c>
      <c r="B663" s="790">
        <f>'Supplementary Information'!$H$77</f>
        <v>0</v>
      </c>
      <c r="C663" s="790"/>
      <c r="D663" s="790"/>
      <c r="E663" s="790"/>
    </row>
    <row r="664" spans="1:5" s="791" customFormat="1" x14ac:dyDescent="0.2">
      <c r="A664" s="789" t="s">
        <v>1655</v>
      </c>
      <c r="B664" s="790">
        <f>'Supplementary Information'!$H$79</f>
        <v>0</v>
      </c>
      <c r="C664" s="790"/>
      <c r="D664" s="790"/>
      <c r="E664" s="790"/>
    </row>
    <row r="665" spans="1:5" s="791" customFormat="1" x14ac:dyDescent="0.2">
      <c r="A665" s="789" t="s">
        <v>1656</v>
      </c>
      <c r="B665" s="790">
        <f>'Supplementary Information'!$H$82</f>
        <v>0</v>
      </c>
      <c r="C665" s="790"/>
      <c r="D665" s="790"/>
      <c r="E665" s="790"/>
    </row>
    <row r="666" spans="1:5" s="791" customFormat="1" x14ac:dyDescent="0.2">
      <c r="A666" s="789" t="s">
        <v>1657</v>
      </c>
      <c r="B666" s="790">
        <f>'Supplementary Information'!$H$84</f>
        <v>0</v>
      </c>
      <c r="C666" s="790"/>
      <c r="D666" s="790"/>
      <c r="E666" s="790"/>
    </row>
    <row r="667" spans="1:5" s="791" customFormat="1" x14ac:dyDescent="0.2">
      <c r="A667" s="789" t="s">
        <v>1658</v>
      </c>
      <c r="B667" s="790">
        <f>'Supplementary Information'!$H$86</f>
        <v>0</v>
      </c>
      <c r="C667" s="790"/>
      <c r="D667" s="790"/>
      <c r="E667" s="790"/>
    </row>
    <row r="668" spans="1:5" s="791" customFormat="1" x14ac:dyDescent="0.2">
      <c r="A668" s="789" t="s">
        <v>3189</v>
      </c>
      <c r="B668" s="790">
        <v>0</v>
      </c>
      <c r="C668" s="790"/>
      <c r="D668" s="790"/>
      <c r="E668" s="790"/>
    </row>
    <row r="669" spans="1:5" s="791" customFormat="1" x14ac:dyDescent="0.2">
      <c r="A669" s="789" t="s">
        <v>3190</v>
      </c>
      <c r="B669" s="790">
        <v>0</v>
      </c>
      <c r="C669" s="790"/>
      <c r="D669" s="790"/>
      <c r="E669" s="790"/>
    </row>
    <row r="670" spans="1:5" s="791" customFormat="1" x14ac:dyDescent="0.2">
      <c r="A670" s="789" t="s">
        <v>3191</v>
      </c>
      <c r="B670" s="790">
        <v>0</v>
      </c>
      <c r="C670" s="790"/>
      <c r="D670" s="790"/>
      <c r="E670" s="790"/>
    </row>
    <row r="671" spans="1:5" s="791" customFormat="1" x14ac:dyDescent="0.2">
      <c r="A671" s="789" t="s">
        <v>3192</v>
      </c>
      <c r="B671" s="790">
        <v>0</v>
      </c>
      <c r="C671" s="790"/>
      <c r="D671" s="790"/>
      <c r="E671" s="790"/>
    </row>
    <row r="672" spans="1:5" s="791" customFormat="1" x14ac:dyDescent="0.2">
      <c r="A672" s="789" t="s">
        <v>3193</v>
      </c>
      <c r="B672" s="790">
        <v>0</v>
      </c>
      <c r="C672" s="790"/>
      <c r="D672" s="790"/>
      <c r="E672" s="790"/>
    </row>
    <row r="673" spans="1:5" s="791" customFormat="1" x14ac:dyDescent="0.2">
      <c r="A673" s="789" t="s">
        <v>1659</v>
      </c>
      <c r="B673" s="790">
        <f>'Supplementary Information'!$H$95</f>
        <v>0</v>
      </c>
      <c r="C673" s="790"/>
      <c r="D673" s="790"/>
      <c r="E673" s="790"/>
    </row>
    <row r="674" spans="1:5" s="791" customFormat="1" x14ac:dyDescent="0.2">
      <c r="A674" s="789" t="s">
        <v>1660</v>
      </c>
      <c r="B674" s="790">
        <f>'Supplementary Information'!$H$98</f>
        <v>0</v>
      </c>
      <c r="C674" s="790"/>
      <c r="D674" s="790"/>
      <c r="E674" s="790"/>
    </row>
    <row r="675" spans="1:5" s="791" customFormat="1" x14ac:dyDescent="0.2">
      <c r="A675" s="789" t="s">
        <v>1661</v>
      </c>
      <c r="B675" s="790">
        <f>'Supplementary Information'!$H$100</f>
        <v>0</v>
      </c>
      <c r="C675" s="790"/>
      <c r="D675" s="790"/>
      <c r="E675" s="790"/>
    </row>
    <row r="676" spans="1:5" s="791" customFormat="1" x14ac:dyDescent="0.2">
      <c r="A676" s="789" t="s">
        <v>1662</v>
      </c>
      <c r="B676" s="790">
        <f>'Supplementary Information'!$H$102</f>
        <v>0</v>
      </c>
      <c r="C676" s="790"/>
      <c r="D676" s="790"/>
      <c r="E676" s="790"/>
    </row>
    <row r="677" spans="1:5" s="791" customFormat="1" x14ac:dyDescent="0.2">
      <c r="A677" s="789" t="s">
        <v>1663</v>
      </c>
      <c r="B677" s="790">
        <f>'Supplementary Information'!$H$104</f>
        <v>0</v>
      </c>
      <c r="C677" s="790"/>
      <c r="D677" s="790"/>
      <c r="E677" s="790"/>
    </row>
    <row r="678" spans="1:5" s="791" customFormat="1" x14ac:dyDescent="0.2">
      <c r="A678" s="789" t="s">
        <v>1664</v>
      </c>
      <c r="B678" s="790">
        <f>'Supplementary Information'!$H$106</f>
        <v>0</v>
      </c>
      <c r="C678" s="790"/>
      <c r="D678" s="790"/>
      <c r="E678" s="790"/>
    </row>
    <row r="679" spans="1:5" s="791" customFormat="1" x14ac:dyDescent="0.2">
      <c r="A679" s="789" t="s">
        <v>1665</v>
      </c>
      <c r="B679" s="790">
        <f>'Supplementary Information'!$H$108</f>
        <v>0</v>
      </c>
      <c r="C679" s="790"/>
      <c r="D679" s="790"/>
      <c r="E679" s="790"/>
    </row>
    <row r="680" spans="1:5" s="791" customFormat="1" x14ac:dyDescent="0.2">
      <c r="A680" s="789" t="s">
        <v>1666</v>
      </c>
      <c r="B680" s="790">
        <f>'Supplementary Information'!$H$111</f>
        <v>0</v>
      </c>
      <c r="C680" s="790"/>
      <c r="D680" s="790"/>
      <c r="E680" s="790"/>
    </row>
    <row r="681" spans="1:5" s="791" customFormat="1" x14ac:dyDescent="0.2">
      <c r="A681" s="789" t="s">
        <v>1667</v>
      </c>
      <c r="B681" s="790">
        <f>'Supplementary Information'!$H$113</f>
        <v>0</v>
      </c>
      <c r="C681" s="790"/>
      <c r="D681" s="790"/>
      <c r="E681" s="790"/>
    </row>
    <row r="682" spans="1:5" s="791" customFormat="1" x14ac:dyDescent="0.2">
      <c r="A682" s="789" t="s">
        <v>1668</v>
      </c>
      <c r="B682" s="790">
        <f>'Supplementary Information'!$H$115</f>
        <v>0</v>
      </c>
      <c r="C682" s="790"/>
      <c r="D682" s="790"/>
      <c r="E682" s="790"/>
    </row>
    <row r="683" spans="1:5" s="791" customFormat="1" x14ac:dyDescent="0.2">
      <c r="A683" s="789" t="s">
        <v>3296</v>
      </c>
      <c r="B683" s="790">
        <f>'Supplementary Information'!$H$119</f>
        <v>0</v>
      </c>
      <c r="C683" s="790"/>
      <c r="D683" s="790"/>
      <c r="E683" s="790"/>
    </row>
    <row r="684" spans="1:5" s="791" customFormat="1" x14ac:dyDescent="0.2">
      <c r="A684" s="789" t="s">
        <v>3297</v>
      </c>
      <c r="B684" s="790">
        <f>'Supplementary Information'!$H$122</f>
        <v>0</v>
      </c>
      <c r="C684" s="790"/>
      <c r="D684" s="790"/>
      <c r="E684" s="790"/>
    </row>
    <row r="685" spans="1:5" s="791" customFormat="1" x14ac:dyDescent="0.2">
      <c r="A685" s="789" t="s">
        <v>3298</v>
      </c>
      <c r="B685" s="790">
        <f>'Supplementary Information'!$H$125</f>
        <v>0</v>
      </c>
      <c r="C685" s="790"/>
      <c r="D685" s="790"/>
      <c r="E685" s="790"/>
    </row>
    <row r="686" spans="1:5" s="791" customFormat="1" x14ac:dyDescent="0.2">
      <c r="A686" s="789" t="s">
        <v>1284</v>
      </c>
      <c r="B686" s="793">
        <f>'Supplementary Information'!$H$128</f>
        <v>0</v>
      </c>
      <c r="C686" s="793"/>
      <c r="D686" s="793"/>
      <c r="E686" s="793"/>
    </row>
    <row r="687" spans="1:5" s="791" customFormat="1" x14ac:dyDescent="0.2">
      <c r="A687" s="789" t="s">
        <v>1285</v>
      </c>
      <c r="B687" s="792">
        <f>'Supplementary Information'!B132</f>
        <v>0</v>
      </c>
      <c r="C687" s="793"/>
      <c r="D687" s="793"/>
      <c r="E687" s="793"/>
    </row>
    <row r="688" spans="1:5" x14ac:dyDescent="0.2">
      <c r="A688" s="142" t="s">
        <v>1286</v>
      </c>
      <c r="B688">
        <f>IF('Part 3 DA summary'!$C13="",0,'Part 3 DA summary'!$C13)</f>
        <v>0</v>
      </c>
    </row>
    <row r="689" spans="1:2" x14ac:dyDescent="0.2">
      <c r="A689" s="142" t="s">
        <v>1287</v>
      </c>
      <c r="B689">
        <f>IF('Part 3 DA summary'!$C14="",0,'Part 3 DA summary'!$C14)</f>
        <v>0</v>
      </c>
    </row>
    <row r="690" spans="1:2" x14ac:dyDescent="0.2">
      <c r="A690" s="142" t="s">
        <v>1288</v>
      </c>
      <c r="B690">
        <f>IF('Part 3 DA summary'!$C15="",0,'Part 3 DA summary'!$C15)</f>
        <v>0</v>
      </c>
    </row>
    <row r="691" spans="1:2" x14ac:dyDescent="0.2">
      <c r="A691" s="142" t="s">
        <v>1289</v>
      </c>
      <c r="B691">
        <f>IF('Part 3 DA summary'!$C16="",0,'Part 3 DA summary'!$C16)</f>
        <v>0</v>
      </c>
    </row>
    <row r="692" spans="1:2" x14ac:dyDescent="0.2">
      <c r="A692" s="142" t="s">
        <v>1290</v>
      </c>
      <c r="B692">
        <f>IF('Part 3 DA summary'!$C17="",0,'Part 3 DA summary'!$C17)</f>
        <v>0</v>
      </c>
    </row>
    <row r="693" spans="1:2" x14ac:dyDescent="0.2">
      <c r="A693" s="142" t="s">
        <v>1291</v>
      </c>
      <c r="B693">
        <f>IF('Part 3 DA summary'!$C18="",0,'Part 3 DA summary'!$C18)</f>
        <v>0</v>
      </c>
    </row>
    <row r="694" spans="1:2" x14ac:dyDescent="0.2">
      <c r="A694" s="142" t="s">
        <v>1292</v>
      </c>
      <c r="B694">
        <f>IF('Part 3 DA summary'!$C19="",0,'Part 3 DA summary'!$C19)</f>
        <v>0</v>
      </c>
    </row>
    <row r="695" spans="1:2" x14ac:dyDescent="0.2">
      <c r="A695" s="142" t="s">
        <v>1293</v>
      </c>
      <c r="B695">
        <f>IF('Part 3 DA summary'!$C20="",0,'Part 3 DA summary'!$C20)</f>
        <v>0</v>
      </c>
    </row>
    <row r="696" spans="1:2" x14ac:dyDescent="0.2">
      <c r="A696" s="142" t="s">
        <v>1294</v>
      </c>
      <c r="B696">
        <f>IF('Part 3 DA summary'!$C21="",0,'Part 3 DA summary'!$C21)</f>
        <v>0</v>
      </c>
    </row>
    <row r="697" spans="1:2" x14ac:dyDescent="0.2">
      <c r="A697" s="142" t="s">
        <v>1295</v>
      </c>
      <c r="B697">
        <f>IF('Part 3 DA summary'!$C22="",0,'Part 3 DA summary'!$C22)</f>
        <v>0</v>
      </c>
    </row>
    <row r="698" spans="1:2" x14ac:dyDescent="0.2">
      <c r="A698" s="142" t="s">
        <v>1296</v>
      </c>
      <c r="B698">
        <f>IF('Part 3 DA summary'!$C23="",0,'Part 3 DA summary'!$C23)</f>
        <v>0</v>
      </c>
    </row>
    <row r="699" spans="1:2" x14ac:dyDescent="0.2">
      <c r="A699" s="142" t="s">
        <v>1297</v>
      </c>
      <c r="B699">
        <f>IF('Part 3 DA summary'!$C24="",0,'Part 3 DA summary'!$C24)</f>
        <v>0</v>
      </c>
    </row>
    <row r="700" spans="1:2" x14ac:dyDescent="0.2">
      <c r="A700" s="142" t="s">
        <v>1298</v>
      </c>
      <c r="B700">
        <f>IF('Part 3 DA summary'!$C25="",0,'Part 3 DA summary'!$C25)</f>
        <v>0</v>
      </c>
    </row>
    <row r="701" spans="1:2" x14ac:dyDescent="0.2">
      <c r="A701" s="142" t="s">
        <v>1299</v>
      </c>
      <c r="B701">
        <f>IF('Part 3 DA summary'!$C26="",0,'Part 3 DA summary'!$C26)</f>
        <v>0</v>
      </c>
    </row>
    <row r="702" spans="1:2" x14ac:dyDescent="0.2">
      <c r="A702" s="142" t="s">
        <v>1300</v>
      </c>
      <c r="B702">
        <f>IF('Part 3 DA summary'!$C27="",0,'Part 3 DA summary'!$C27)</f>
        <v>0</v>
      </c>
    </row>
    <row r="703" spans="1:2" x14ac:dyDescent="0.2">
      <c r="A703" s="142" t="s">
        <v>1301</v>
      </c>
      <c r="B703">
        <f>IF('Part 3 DA summary'!$C28="",0,'Part 3 DA summary'!$C28)</f>
        <v>0</v>
      </c>
    </row>
    <row r="704" spans="1:2" x14ac:dyDescent="0.2">
      <c r="A704" s="142" t="s">
        <v>1302</v>
      </c>
      <c r="B704">
        <f>IF('Part 3 DA summary'!$C29="",0,'Part 3 DA summary'!$C29)</f>
        <v>0</v>
      </c>
    </row>
    <row r="705" spans="1:2" x14ac:dyDescent="0.2">
      <c r="A705" s="142" t="s">
        <v>1303</v>
      </c>
      <c r="B705">
        <f>IF('Part 3 DA summary'!$C30="",0,'Part 3 DA summary'!$C30)</f>
        <v>0</v>
      </c>
    </row>
    <row r="706" spans="1:2" x14ac:dyDescent="0.2">
      <c r="A706" s="142" t="s">
        <v>1304</v>
      </c>
      <c r="B706">
        <f>IF('Part 3 DA summary'!$C31="",0,'Part 3 DA summary'!$C31)</f>
        <v>0</v>
      </c>
    </row>
    <row r="707" spans="1:2" x14ac:dyDescent="0.2">
      <c r="A707" s="142" t="s">
        <v>1305</v>
      </c>
      <c r="B707">
        <f>IF('Part 3 DA summary'!$C32="",0,'Part 3 DA summary'!$C32)</f>
        <v>0</v>
      </c>
    </row>
    <row r="708" spans="1:2" x14ac:dyDescent="0.2">
      <c r="A708" s="142" t="s">
        <v>1306</v>
      </c>
      <c r="B708">
        <f>IF('Part 3 DA summary'!$C33="",0,'Part 3 DA summary'!$C33)</f>
        <v>0</v>
      </c>
    </row>
    <row r="709" spans="1:2" x14ac:dyDescent="0.2">
      <c r="A709" s="142" t="s">
        <v>1307</v>
      </c>
      <c r="B709">
        <f>IF('Part 3 DA summary'!$C34="",0,'Part 3 DA summary'!$C34)</f>
        <v>0</v>
      </c>
    </row>
    <row r="710" spans="1:2" x14ac:dyDescent="0.2">
      <c r="A710" s="142" t="s">
        <v>1308</v>
      </c>
      <c r="B710">
        <f>IF('Part 3 DA summary'!$C35="",0,'Part 3 DA summary'!$C35)</f>
        <v>0</v>
      </c>
    </row>
    <row r="711" spans="1:2" x14ac:dyDescent="0.2">
      <c r="A711" s="142" t="s">
        <v>1309</v>
      </c>
      <c r="B711">
        <f>IF('Part 3 DA summary'!$C36="",0,'Part 3 DA summary'!$C36)</f>
        <v>0</v>
      </c>
    </row>
    <row r="712" spans="1:2" x14ac:dyDescent="0.2">
      <c r="A712" s="142" t="s">
        <v>1310</v>
      </c>
      <c r="B712">
        <f>IF('Part 3 DA summary'!$C37="",0,'Part 3 DA summary'!$C37)</f>
        <v>0</v>
      </c>
    </row>
    <row r="713" spans="1:2" x14ac:dyDescent="0.2">
      <c r="A713" s="142" t="s">
        <v>1311</v>
      </c>
      <c r="B713">
        <f>IF('Part 3 DA summary'!$C38="",0,'Part 3 DA summary'!$C38)</f>
        <v>0</v>
      </c>
    </row>
    <row r="714" spans="1:2" x14ac:dyDescent="0.2">
      <c r="A714" s="142" t="s">
        <v>1312</v>
      </c>
      <c r="B714">
        <f>IF('Part 3 DA summary'!$C39="",0,'Part 3 DA summary'!$C39)</f>
        <v>0</v>
      </c>
    </row>
    <row r="715" spans="1:2" x14ac:dyDescent="0.2">
      <c r="A715" s="142" t="s">
        <v>1313</v>
      </c>
      <c r="B715">
        <f>IF('Part 3 DA summary'!$C40="",0,'Part 3 DA summary'!$C40)</f>
        <v>0</v>
      </c>
    </row>
    <row r="716" spans="1:2" x14ac:dyDescent="0.2">
      <c r="A716" s="142" t="s">
        <v>1314</v>
      </c>
      <c r="B716">
        <f>IF('Part 3 DA summary'!$C41="",0,'Part 3 DA summary'!$C41)</f>
        <v>0</v>
      </c>
    </row>
    <row r="717" spans="1:2" x14ac:dyDescent="0.2">
      <c r="A717" s="142" t="s">
        <v>1315</v>
      </c>
      <c r="B717">
        <f>IF('Part 3 DA summary'!$C42="",0,'Part 3 DA summary'!$C42)</f>
        <v>0</v>
      </c>
    </row>
    <row r="718" spans="1:2" x14ac:dyDescent="0.2">
      <c r="A718" s="142" t="s">
        <v>1316</v>
      </c>
      <c r="B718">
        <f>IF('Part 3 DA summary'!$C43="",0,'Part 3 DA summary'!$C43)</f>
        <v>0</v>
      </c>
    </row>
    <row r="719" spans="1:2" x14ac:dyDescent="0.2">
      <c r="A719" s="142" t="s">
        <v>1317</v>
      </c>
      <c r="B719">
        <f>IF('Part 3 DA summary'!$C44="",0,'Part 3 DA summary'!$C44)</f>
        <v>0</v>
      </c>
    </row>
    <row r="720" spans="1:2" x14ac:dyDescent="0.2">
      <c r="A720" s="142" t="s">
        <v>1318</v>
      </c>
      <c r="B720">
        <f>IF('Part 3 DA summary'!$C45="",0,'Part 3 DA summary'!$C45)</f>
        <v>0</v>
      </c>
    </row>
    <row r="721" spans="1:5" x14ac:dyDescent="0.2">
      <c r="A721" s="142" t="s">
        <v>1319</v>
      </c>
      <c r="B721">
        <f>IF('Part 3 DA summary'!$C46="",0,'Part 3 DA summary'!$C46)</f>
        <v>0</v>
      </c>
    </row>
    <row r="722" spans="1:5" x14ac:dyDescent="0.2">
      <c r="A722" s="142" t="s">
        <v>1320</v>
      </c>
      <c r="B722">
        <f>IF('Part 3 DA summary'!$C47="",0,'Part 3 DA summary'!$C47)</f>
        <v>0</v>
      </c>
    </row>
    <row r="723" spans="1:5" x14ac:dyDescent="0.2">
      <c r="A723" s="142" t="s">
        <v>1321</v>
      </c>
      <c r="B723">
        <f>IF('Part 3 DA summary'!$C48="",0,'Part 3 DA summary'!$C48)</f>
        <v>0</v>
      </c>
    </row>
    <row r="724" spans="1:5" x14ac:dyDescent="0.2">
      <c r="A724" s="142" t="s">
        <v>1322</v>
      </c>
      <c r="B724">
        <f>IF('Part 3 DA summary'!$C49="",0,'Part 3 DA summary'!$C49)</f>
        <v>0</v>
      </c>
    </row>
    <row r="725" spans="1:5" x14ac:dyDescent="0.2">
      <c r="A725" s="142" t="s">
        <v>1323</v>
      </c>
      <c r="B725">
        <f>IF('Part 3 DA summary'!$C50="",0,'Part 3 DA summary'!$C50)</f>
        <v>0</v>
      </c>
    </row>
    <row r="726" spans="1:5" x14ac:dyDescent="0.2">
      <c r="A726" s="142" t="s">
        <v>1324</v>
      </c>
      <c r="B726">
        <f>IF('Part 3 DA summary'!$C51="",0,'Part 3 DA summary'!$C51)</f>
        <v>0</v>
      </c>
    </row>
    <row r="727" spans="1:5" x14ac:dyDescent="0.2">
      <c r="A727" s="142" t="s">
        <v>1325</v>
      </c>
      <c r="B727">
        <f>IF('Part 3 DA summary'!$C52="",0,'Part 3 DA summary'!$C52)</f>
        <v>0</v>
      </c>
    </row>
    <row r="728" spans="1:5" x14ac:dyDescent="0.2">
      <c r="A728" s="142" t="s">
        <v>1326</v>
      </c>
      <c r="B728">
        <f>IF('Part 3 DA summary'!$C53="",0,'Part 3 DA summary'!$C53)</f>
        <v>0</v>
      </c>
    </row>
    <row r="729" spans="1:5" x14ac:dyDescent="0.2">
      <c r="A729" s="794" t="s">
        <v>1669</v>
      </c>
      <c r="B729" s="396">
        <f>'Part 3 DA summary'!$E6</f>
        <v>0</v>
      </c>
      <c r="C729" s="396"/>
      <c r="D729" s="396"/>
      <c r="E729" s="396"/>
    </row>
    <row r="730" spans="1:5" x14ac:dyDescent="0.2">
      <c r="A730" s="142" t="s">
        <v>1670</v>
      </c>
      <c r="B730" s="795">
        <f>'Part 3 DA summary'!$E13</f>
        <v>0</v>
      </c>
    </row>
    <row r="731" spans="1:5" x14ac:dyDescent="0.2">
      <c r="A731" s="142" t="s">
        <v>1671</v>
      </c>
      <c r="B731" s="795">
        <f>'Part 3 DA summary'!$E14</f>
        <v>0</v>
      </c>
    </row>
    <row r="732" spans="1:5" x14ac:dyDescent="0.2">
      <c r="A732" s="142" t="s">
        <v>1672</v>
      </c>
      <c r="B732" s="795">
        <f>'Part 3 DA summary'!$E15</f>
        <v>0</v>
      </c>
    </row>
    <row r="733" spans="1:5" x14ac:dyDescent="0.2">
      <c r="A733" s="142" t="s">
        <v>1673</v>
      </c>
      <c r="B733" s="795">
        <f>'Part 3 DA summary'!$E16</f>
        <v>0</v>
      </c>
    </row>
    <row r="734" spans="1:5" x14ac:dyDescent="0.2">
      <c r="A734" s="142" t="s">
        <v>1674</v>
      </c>
      <c r="B734" s="795">
        <f>'Part 3 DA summary'!$E17</f>
        <v>0</v>
      </c>
    </row>
    <row r="735" spans="1:5" x14ac:dyDescent="0.2">
      <c r="A735" s="142" t="s">
        <v>1675</v>
      </c>
      <c r="B735" s="795">
        <f>'Part 3 DA summary'!$E18</f>
        <v>0</v>
      </c>
    </row>
    <row r="736" spans="1:5" x14ac:dyDescent="0.2">
      <c r="A736" s="142" t="s">
        <v>1676</v>
      </c>
      <c r="B736" s="795">
        <f>'Part 3 DA summary'!$E19</f>
        <v>0</v>
      </c>
    </row>
    <row r="737" spans="1:2" x14ac:dyDescent="0.2">
      <c r="A737" s="142" t="s">
        <v>1677</v>
      </c>
      <c r="B737" s="795">
        <f>'Part 3 DA summary'!$E20</f>
        <v>0</v>
      </c>
    </row>
    <row r="738" spans="1:2" x14ac:dyDescent="0.2">
      <c r="A738" s="142" t="s">
        <v>1678</v>
      </c>
      <c r="B738" s="795">
        <f>'Part 3 DA summary'!$E21</f>
        <v>0</v>
      </c>
    </row>
    <row r="739" spans="1:2" x14ac:dyDescent="0.2">
      <c r="A739" s="142" t="s">
        <v>1679</v>
      </c>
      <c r="B739" s="795">
        <f>'Part 3 DA summary'!$E22</f>
        <v>0</v>
      </c>
    </row>
    <row r="740" spans="1:2" x14ac:dyDescent="0.2">
      <c r="A740" s="142" t="s">
        <v>1680</v>
      </c>
      <c r="B740" s="795">
        <f>'Part 3 DA summary'!$E23</f>
        <v>0</v>
      </c>
    </row>
    <row r="741" spans="1:2" x14ac:dyDescent="0.2">
      <c r="A741" s="142" t="s">
        <v>1681</v>
      </c>
      <c r="B741" s="795">
        <f>'Part 3 DA summary'!$E24</f>
        <v>0</v>
      </c>
    </row>
    <row r="742" spans="1:2" x14ac:dyDescent="0.2">
      <c r="A742" s="142" t="s">
        <v>1682</v>
      </c>
      <c r="B742" s="795">
        <f>'Part 3 DA summary'!$E25</f>
        <v>0</v>
      </c>
    </row>
    <row r="743" spans="1:2" x14ac:dyDescent="0.2">
      <c r="A743" s="142" t="s">
        <v>1683</v>
      </c>
      <c r="B743" s="795">
        <f>'Part 3 DA summary'!$E26</f>
        <v>0</v>
      </c>
    </row>
    <row r="744" spans="1:2" x14ac:dyDescent="0.2">
      <c r="A744" s="142" t="s">
        <v>1684</v>
      </c>
      <c r="B744" s="795">
        <f>'Part 3 DA summary'!$E27</f>
        <v>0</v>
      </c>
    </row>
    <row r="745" spans="1:2" x14ac:dyDescent="0.2">
      <c r="A745" s="142" t="s">
        <v>1685</v>
      </c>
      <c r="B745" s="795">
        <f>'Part 3 DA summary'!$E28</f>
        <v>0</v>
      </c>
    </row>
    <row r="746" spans="1:2" x14ac:dyDescent="0.2">
      <c r="A746" s="142" t="s">
        <v>1686</v>
      </c>
      <c r="B746" s="795">
        <f>'Part 3 DA summary'!$E29</f>
        <v>0</v>
      </c>
    </row>
    <row r="747" spans="1:2" x14ac:dyDescent="0.2">
      <c r="A747" s="142" t="s">
        <v>1687</v>
      </c>
      <c r="B747" s="795">
        <f>'Part 3 DA summary'!$E30</f>
        <v>0</v>
      </c>
    </row>
    <row r="748" spans="1:2" x14ac:dyDescent="0.2">
      <c r="A748" s="142" t="s">
        <v>1688</v>
      </c>
      <c r="B748" s="795">
        <f>'Part 3 DA summary'!$E31</f>
        <v>0</v>
      </c>
    </row>
    <row r="749" spans="1:2" x14ac:dyDescent="0.2">
      <c r="A749" s="142" t="s">
        <v>1689</v>
      </c>
      <c r="B749" s="795">
        <f>'Part 3 DA summary'!$E32</f>
        <v>0</v>
      </c>
    </row>
    <row r="750" spans="1:2" x14ac:dyDescent="0.2">
      <c r="A750" s="142" t="s">
        <v>1690</v>
      </c>
      <c r="B750" s="795">
        <f>'Part 3 DA summary'!$E33</f>
        <v>0</v>
      </c>
    </row>
    <row r="751" spans="1:2" x14ac:dyDescent="0.2">
      <c r="A751" s="142" t="s">
        <v>1691</v>
      </c>
      <c r="B751" s="795">
        <f>'Part 3 DA summary'!$E34</f>
        <v>0</v>
      </c>
    </row>
    <row r="752" spans="1:2" x14ac:dyDescent="0.2">
      <c r="A752" s="142" t="s">
        <v>1692</v>
      </c>
      <c r="B752" s="795">
        <f>'Part 3 DA summary'!$E35</f>
        <v>0</v>
      </c>
    </row>
    <row r="753" spans="1:2" x14ac:dyDescent="0.2">
      <c r="A753" s="142" t="s">
        <v>1693</v>
      </c>
      <c r="B753" s="795">
        <f>'Part 3 DA summary'!$E36</f>
        <v>0</v>
      </c>
    </row>
    <row r="754" spans="1:2" x14ac:dyDescent="0.2">
      <c r="A754" s="142" t="s">
        <v>1694</v>
      </c>
      <c r="B754" s="795">
        <f>'Part 3 DA summary'!$E37</f>
        <v>0</v>
      </c>
    </row>
    <row r="755" spans="1:2" x14ac:dyDescent="0.2">
      <c r="A755" s="142" t="s">
        <v>1695</v>
      </c>
      <c r="B755" s="795">
        <f>'Part 3 DA summary'!$E38</f>
        <v>0</v>
      </c>
    </row>
    <row r="756" spans="1:2" x14ac:dyDescent="0.2">
      <c r="A756" s="142" t="s">
        <v>1696</v>
      </c>
      <c r="B756" s="795">
        <f>'Part 3 DA summary'!$E39</f>
        <v>0</v>
      </c>
    </row>
    <row r="757" spans="1:2" x14ac:dyDescent="0.2">
      <c r="A757" s="142" t="s">
        <v>1697</v>
      </c>
      <c r="B757" s="795">
        <f>'Part 3 DA summary'!$E40</f>
        <v>0</v>
      </c>
    </row>
    <row r="758" spans="1:2" x14ac:dyDescent="0.2">
      <c r="A758" s="142" t="s">
        <v>1698</v>
      </c>
      <c r="B758" s="795">
        <f>'Part 3 DA summary'!$E41</f>
        <v>0</v>
      </c>
    </row>
    <row r="759" spans="1:2" x14ac:dyDescent="0.2">
      <c r="A759" s="142" t="s">
        <v>1699</v>
      </c>
      <c r="B759" s="795">
        <f>'Part 3 DA summary'!$E42</f>
        <v>0</v>
      </c>
    </row>
    <row r="760" spans="1:2" x14ac:dyDescent="0.2">
      <c r="A760" s="142" t="s">
        <v>1700</v>
      </c>
      <c r="B760" s="795">
        <f>'Part 3 DA summary'!$E43</f>
        <v>0</v>
      </c>
    </row>
    <row r="761" spans="1:2" x14ac:dyDescent="0.2">
      <c r="A761" s="142" t="s">
        <v>1701</v>
      </c>
      <c r="B761" s="795">
        <f>'Part 3 DA summary'!$E44</f>
        <v>0</v>
      </c>
    </row>
    <row r="762" spans="1:2" x14ac:dyDescent="0.2">
      <c r="A762" s="142" t="s">
        <v>1702</v>
      </c>
      <c r="B762" s="795">
        <f>'Part 3 DA summary'!$E45</f>
        <v>0</v>
      </c>
    </row>
    <row r="763" spans="1:2" x14ac:dyDescent="0.2">
      <c r="A763" s="142" t="s">
        <v>1703</v>
      </c>
      <c r="B763" s="795">
        <f>'Part 3 DA summary'!$E46</f>
        <v>0</v>
      </c>
    </row>
    <row r="764" spans="1:2" x14ac:dyDescent="0.2">
      <c r="A764" s="142" t="s">
        <v>1704</v>
      </c>
      <c r="B764" s="795">
        <f>'Part 3 DA summary'!$E47</f>
        <v>0</v>
      </c>
    </row>
    <row r="765" spans="1:2" x14ac:dyDescent="0.2">
      <c r="A765" s="142" t="s">
        <v>1705</v>
      </c>
      <c r="B765" s="795">
        <f>'Part 3 DA summary'!$E48</f>
        <v>0</v>
      </c>
    </row>
    <row r="766" spans="1:2" x14ac:dyDescent="0.2">
      <c r="A766" s="142" t="s">
        <v>1706</v>
      </c>
      <c r="B766" s="795">
        <f>'Part 3 DA summary'!$E49</f>
        <v>0</v>
      </c>
    </row>
    <row r="767" spans="1:2" x14ac:dyDescent="0.2">
      <c r="A767" s="142" t="s">
        <v>1707</v>
      </c>
      <c r="B767" s="795">
        <f>'Part 3 DA summary'!$E50</f>
        <v>0</v>
      </c>
    </row>
    <row r="768" spans="1:2" x14ac:dyDescent="0.2">
      <c r="A768" s="142" t="s">
        <v>1708</v>
      </c>
      <c r="B768" s="795">
        <f>'Part 3 DA summary'!$E51</f>
        <v>0</v>
      </c>
    </row>
    <row r="769" spans="1:5" x14ac:dyDescent="0.2">
      <c r="A769" s="142" t="s">
        <v>1709</v>
      </c>
      <c r="B769" s="795">
        <f>'Part 3 DA summary'!$E52</f>
        <v>0</v>
      </c>
    </row>
    <row r="770" spans="1:5" x14ac:dyDescent="0.2">
      <c r="A770" s="142" t="s">
        <v>1710</v>
      </c>
      <c r="B770" s="795">
        <f>'Part 3 DA summary'!$E53</f>
        <v>0</v>
      </c>
    </row>
    <row r="771" spans="1:5" x14ac:dyDescent="0.2">
      <c r="A771" s="397" t="s">
        <v>1711</v>
      </c>
      <c r="B771" s="1062">
        <f>'Part 3 DA summary'!$G6</f>
        <v>0</v>
      </c>
      <c r="C771" s="396"/>
      <c r="D771" s="396"/>
      <c r="E771" s="396"/>
    </row>
    <row r="772" spans="1:5" x14ac:dyDescent="0.2">
      <c r="A772" s="142" t="s">
        <v>1712</v>
      </c>
      <c r="B772" s="795">
        <f>'Part 3 DA summary'!$G13</f>
        <v>0</v>
      </c>
    </row>
    <row r="773" spans="1:5" x14ac:dyDescent="0.2">
      <c r="A773" s="142" t="s">
        <v>1713</v>
      </c>
      <c r="B773" s="795">
        <f>'Part 3 DA summary'!$G14</f>
        <v>0</v>
      </c>
    </row>
    <row r="774" spans="1:5" x14ac:dyDescent="0.2">
      <c r="A774" s="142" t="s">
        <v>1714</v>
      </c>
      <c r="B774" s="795">
        <f>'Part 3 DA summary'!$G15</f>
        <v>0</v>
      </c>
    </row>
    <row r="775" spans="1:5" x14ac:dyDescent="0.2">
      <c r="A775" s="142" t="s">
        <v>1715</v>
      </c>
      <c r="B775" s="795">
        <f>'Part 3 DA summary'!$G16</f>
        <v>0</v>
      </c>
    </row>
    <row r="776" spans="1:5" x14ac:dyDescent="0.2">
      <c r="A776" s="142" t="s">
        <v>1716</v>
      </c>
      <c r="B776" s="795">
        <f>'Part 3 DA summary'!$G17</f>
        <v>0</v>
      </c>
    </row>
    <row r="777" spans="1:5" x14ac:dyDescent="0.2">
      <c r="A777" s="142" t="s">
        <v>1717</v>
      </c>
      <c r="B777" s="795">
        <f>'Part 3 DA summary'!$G18</f>
        <v>0</v>
      </c>
    </row>
    <row r="778" spans="1:5" x14ac:dyDescent="0.2">
      <c r="A778" s="142" t="s">
        <v>1718</v>
      </c>
      <c r="B778" s="795">
        <f>'Part 3 DA summary'!$G19</f>
        <v>0</v>
      </c>
    </row>
    <row r="779" spans="1:5" x14ac:dyDescent="0.2">
      <c r="A779" s="142" t="s">
        <v>1719</v>
      </c>
      <c r="B779" s="795">
        <f>'Part 3 DA summary'!$G20</f>
        <v>0</v>
      </c>
    </row>
    <row r="780" spans="1:5" x14ac:dyDescent="0.2">
      <c r="A780" s="142" t="s">
        <v>1720</v>
      </c>
      <c r="B780" s="795">
        <f>'Part 3 DA summary'!$G21</f>
        <v>0</v>
      </c>
    </row>
    <row r="781" spans="1:5" x14ac:dyDescent="0.2">
      <c r="A781" s="142" t="s">
        <v>1721</v>
      </c>
      <c r="B781" s="795">
        <f>'Part 3 DA summary'!$G22</f>
        <v>0</v>
      </c>
    </row>
    <row r="782" spans="1:5" x14ac:dyDescent="0.2">
      <c r="A782" s="142" t="s">
        <v>1722</v>
      </c>
      <c r="B782" s="795">
        <f>'Part 3 DA summary'!$G23</f>
        <v>0</v>
      </c>
    </row>
    <row r="783" spans="1:5" x14ac:dyDescent="0.2">
      <c r="A783" s="142" t="s">
        <v>1723</v>
      </c>
      <c r="B783" s="795">
        <f>'Part 3 DA summary'!$G24</f>
        <v>0</v>
      </c>
    </row>
    <row r="784" spans="1:5" x14ac:dyDescent="0.2">
      <c r="A784" s="142" t="s">
        <v>1724</v>
      </c>
      <c r="B784" s="795">
        <f>'Part 3 DA summary'!$G25</f>
        <v>0</v>
      </c>
    </row>
    <row r="785" spans="1:2" x14ac:dyDescent="0.2">
      <c r="A785" s="142" t="s">
        <v>1725</v>
      </c>
      <c r="B785" s="795">
        <f>'Part 3 DA summary'!$G26</f>
        <v>0</v>
      </c>
    </row>
    <row r="786" spans="1:2" x14ac:dyDescent="0.2">
      <c r="A786" s="142" t="s">
        <v>1726</v>
      </c>
      <c r="B786" s="795">
        <f>'Part 3 DA summary'!$G27</f>
        <v>0</v>
      </c>
    </row>
    <row r="787" spans="1:2" x14ac:dyDescent="0.2">
      <c r="A787" s="142" t="s">
        <v>1727</v>
      </c>
      <c r="B787" s="795">
        <f>'Part 3 DA summary'!$G28</f>
        <v>0</v>
      </c>
    </row>
    <row r="788" spans="1:2" x14ac:dyDescent="0.2">
      <c r="A788" s="142" t="s">
        <v>1728</v>
      </c>
      <c r="B788" s="795">
        <f>'Part 3 DA summary'!$G29</f>
        <v>0</v>
      </c>
    </row>
    <row r="789" spans="1:2" x14ac:dyDescent="0.2">
      <c r="A789" s="142" t="s">
        <v>1729</v>
      </c>
      <c r="B789" s="795">
        <f>'Part 3 DA summary'!$G30</f>
        <v>0</v>
      </c>
    </row>
    <row r="790" spans="1:2" x14ac:dyDescent="0.2">
      <c r="A790" s="142" t="s">
        <v>1730</v>
      </c>
      <c r="B790" s="795">
        <f>'Part 3 DA summary'!$G31</f>
        <v>0</v>
      </c>
    </row>
    <row r="791" spans="1:2" x14ac:dyDescent="0.2">
      <c r="A791" s="142" t="s">
        <v>1731</v>
      </c>
      <c r="B791" s="795">
        <f>'Part 3 DA summary'!$G32</f>
        <v>0</v>
      </c>
    </row>
    <row r="792" spans="1:2" x14ac:dyDescent="0.2">
      <c r="A792" s="142" t="s">
        <v>1732</v>
      </c>
      <c r="B792" s="795">
        <f>'Part 3 DA summary'!$G33</f>
        <v>0</v>
      </c>
    </row>
    <row r="793" spans="1:2" x14ac:dyDescent="0.2">
      <c r="A793" s="142" t="s">
        <v>1733</v>
      </c>
      <c r="B793" s="795">
        <f>'Part 3 DA summary'!$G34</f>
        <v>0</v>
      </c>
    </row>
    <row r="794" spans="1:2" x14ac:dyDescent="0.2">
      <c r="A794" s="142" t="s">
        <v>1734</v>
      </c>
      <c r="B794" s="795">
        <f>'Part 3 DA summary'!$G35</f>
        <v>0</v>
      </c>
    </row>
    <row r="795" spans="1:2" x14ac:dyDescent="0.2">
      <c r="A795" s="142" t="s">
        <v>1735</v>
      </c>
      <c r="B795" s="795">
        <f>'Part 3 DA summary'!$G36</f>
        <v>0</v>
      </c>
    </row>
    <row r="796" spans="1:2" x14ac:dyDescent="0.2">
      <c r="A796" s="142" t="s">
        <v>1736</v>
      </c>
      <c r="B796" s="795">
        <f>'Part 3 DA summary'!$G37</f>
        <v>0</v>
      </c>
    </row>
    <row r="797" spans="1:2" x14ac:dyDescent="0.2">
      <c r="A797" s="142" t="s">
        <v>1737</v>
      </c>
      <c r="B797" s="795">
        <f>'Part 3 DA summary'!$G38</f>
        <v>0</v>
      </c>
    </row>
    <row r="798" spans="1:2" x14ac:dyDescent="0.2">
      <c r="A798" s="142" t="s">
        <v>1738</v>
      </c>
      <c r="B798" s="795">
        <f>'Part 3 DA summary'!$G39</f>
        <v>0</v>
      </c>
    </row>
    <row r="799" spans="1:2" x14ac:dyDescent="0.2">
      <c r="A799" s="142" t="s">
        <v>1739</v>
      </c>
      <c r="B799" s="795">
        <f>'Part 3 DA summary'!$G40</f>
        <v>0</v>
      </c>
    </row>
    <row r="800" spans="1:2" x14ac:dyDescent="0.2">
      <c r="A800" s="142" t="s">
        <v>1740</v>
      </c>
      <c r="B800" s="795">
        <f>'Part 3 DA summary'!$G41</f>
        <v>0</v>
      </c>
    </row>
    <row r="801" spans="1:5" x14ac:dyDescent="0.2">
      <c r="A801" s="142" t="s">
        <v>1741</v>
      </c>
      <c r="B801" s="795">
        <f>'Part 3 DA summary'!$G42</f>
        <v>0</v>
      </c>
    </row>
    <row r="802" spans="1:5" x14ac:dyDescent="0.2">
      <c r="A802" s="142" t="s">
        <v>1742</v>
      </c>
      <c r="B802" s="795">
        <f>'Part 3 DA summary'!$G43</f>
        <v>0</v>
      </c>
    </row>
    <row r="803" spans="1:5" x14ac:dyDescent="0.2">
      <c r="A803" s="142" t="s">
        <v>1743</v>
      </c>
      <c r="B803" s="795">
        <f>'Part 3 DA summary'!$G44</f>
        <v>0</v>
      </c>
    </row>
    <row r="804" spans="1:5" x14ac:dyDescent="0.2">
      <c r="A804" s="142" t="s">
        <v>1744</v>
      </c>
      <c r="B804" s="795">
        <f>'Part 3 DA summary'!$G45</f>
        <v>0</v>
      </c>
    </row>
    <row r="805" spans="1:5" x14ac:dyDescent="0.2">
      <c r="A805" s="142" t="s">
        <v>1745</v>
      </c>
      <c r="B805" s="795">
        <f>'Part 3 DA summary'!$G46</f>
        <v>0</v>
      </c>
    </row>
    <row r="806" spans="1:5" x14ac:dyDescent="0.2">
      <c r="A806" s="142" t="s">
        <v>1746</v>
      </c>
      <c r="B806" s="795">
        <f>'Part 3 DA summary'!$G47</f>
        <v>0</v>
      </c>
    </row>
    <row r="807" spans="1:5" x14ac:dyDescent="0.2">
      <c r="A807" s="142" t="s">
        <v>1747</v>
      </c>
      <c r="B807" s="795">
        <f>'Part 3 DA summary'!$G48</f>
        <v>0</v>
      </c>
    </row>
    <row r="808" spans="1:5" x14ac:dyDescent="0.2">
      <c r="A808" s="142" t="s">
        <v>1748</v>
      </c>
      <c r="B808" s="795">
        <f>'Part 3 DA summary'!$G49</f>
        <v>0</v>
      </c>
    </row>
    <row r="809" spans="1:5" x14ac:dyDescent="0.2">
      <c r="A809" s="142" t="s">
        <v>1749</v>
      </c>
      <c r="B809" s="795">
        <f>'Part 3 DA summary'!$G50</f>
        <v>0</v>
      </c>
    </row>
    <row r="810" spans="1:5" x14ac:dyDescent="0.2">
      <c r="A810" s="142" t="s">
        <v>1750</v>
      </c>
      <c r="B810" s="795">
        <f>'Part 3 DA summary'!$G51</f>
        <v>0</v>
      </c>
    </row>
    <row r="811" spans="1:5" x14ac:dyDescent="0.2">
      <c r="A811" s="142" t="s">
        <v>1751</v>
      </c>
      <c r="B811" s="795">
        <f>'Part 3 DA summary'!$G52</f>
        <v>0</v>
      </c>
    </row>
    <row r="812" spans="1:5" x14ac:dyDescent="0.2">
      <c r="A812" s="142" t="s">
        <v>1752</v>
      </c>
      <c r="B812" s="795">
        <f>'Part 3 DA summary'!$G53</f>
        <v>0</v>
      </c>
    </row>
    <row r="813" spans="1:5" x14ac:dyDescent="0.2">
      <c r="A813" s="397" t="s">
        <v>1753</v>
      </c>
      <c r="B813" s="1062">
        <f>'Part 3 DA summary'!$I6</f>
        <v>0</v>
      </c>
      <c r="C813" s="396"/>
      <c r="D813" s="396"/>
      <c r="E813" s="396"/>
    </row>
    <row r="814" spans="1:5" x14ac:dyDescent="0.2">
      <c r="A814" s="142" t="s">
        <v>1754</v>
      </c>
      <c r="B814" s="795">
        <f>'Part 3 DA summary'!$I13</f>
        <v>0</v>
      </c>
    </row>
    <row r="815" spans="1:5" x14ac:dyDescent="0.2">
      <c r="A815" s="142" t="s">
        <v>1755</v>
      </c>
      <c r="B815" s="795">
        <f>'Part 3 DA summary'!$I14</f>
        <v>0</v>
      </c>
    </row>
    <row r="816" spans="1:5" x14ac:dyDescent="0.2">
      <c r="A816" s="142" t="s">
        <v>1756</v>
      </c>
      <c r="B816" s="795">
        <f>'Part 3 DA summary'!$I15</f>
        <v>0</v>
      </c>
    </row>
    <row r="817" spans="1:2" x14ac:dyDescent="0.2">
      <c r="A817" s="142" t="s">
        <v>1757</v>
      </c>
      <c r="B817" s="795">
        <f>'Part 3 DA summary'!$I16</f>
        <v>0</v>
      </c>
    </row>
    <row r="818" spans="1:2" x14ac:dyDescent="0.2">
      <c r="A818" s="142" t="s">
        <v>1758</v>
      </c>
      <c r="B818" s="795">
        <f>'Part 3 DA summary'!$I17</f>
        <v>0</v>
      </c>
    </row>
    <row r="819" spans="1:2" x14ac:dyDescent="0.2">
      <c r="A819" s="142" t="s">
        <v>1759</v>
      </c>
      <c r="B819" s="795">
        <f>'Part 3 DA summary'!$I18</f>
        <v>0</v>
      </c>
    </row>
    <row r="820" spans="1:2" x14ac:dyDescent="0.2">
      <c r="A820" s="142" t="s">
        <v>1760</v>
      </c>
      <c r="B820" s="795">
        <f>'Part 3 DA summary'!$I19</f>
        <v>0</v>
      </c>
    </row>
    <row r="821" spans="1:2" x14ac:dyDescent="0.2">
      <c r="A821" s="142" t="s">
        <v>1761</v>
      </c>
      <c r="B821" s="795">
        <f>'Part 3 DA summary'!$I20</f>
        <v>0</v>
      </c>
    </row>
    <row r="822" spans="1:2" x14ac:dyDescent="0.2">
      <c r="A822" s="142" t="s">
        <v>1762</v>
      </c>
      <c r="B822" s="795">
        <f>'Part 3 DA summary'!$I21</f>
        <v>0</v>
      </c>
    </row>
    <row r="823" spans="1:2" x14ac:dyDescent="0.2">
      <c r="A823" s="142" t="s">
        <v>1763</v>
      </c>
      <c r="B823" s="795">
        <f>'Part 3 DA summary'!$I22</f>
        <v>0</v>
      </c>
    </row>
    <row r="824" spans="1:2" x14ac:dyDescent="0.2">
      <c r="A824" s="142" t="s">
        <v>1764</v>
      </c>
      <c r="B824" s="795">
        <f>'Part 3 DA summary'!$I23</f>
        <v>0</v>
      </c>
    </row>
    <row r="825" spans="1:2" x14ac:dyDescent="0.2">
      <c r="A825" s="142" t="s">
        <v>1765</v>
      </c>
      <c r="B825" s="795">
        <f>'Part 3 DA summary'!$I24</f>
        <v>0</v>
      </c>
    </row>
    <row r="826" spans="1:2" x14ac:dyDescent="0.2">
      <c r="A826" s="142" t="s">
        <v>1766</v>
      </c>
      <c r="B826" s="795">
        <f>'Part 3 DA summary'!$I25</f>
        <v>0</v>
      </c>
    </row>
    <row r="827" spans="1:2" x14ac:dyDescent="0.2">
      <c r="A827" s="142" t="s">
        <v>1767</v>
      </c>
      <c r="B827" s="795">
        <f>'Part 3 DA summary'!$I26</f>
        <v>0</v>
      </c>
    </row>
    <row r="828" spans="1:2" x14ac:dyDescent="0.2">
      <c r="A828" s="142" t="s">
        <v>1768</v>
      </c>
      <c r="B828" s="795">
        <f>'Part 3 DA summary'!$I27</f>
        <v>0</v>
      </c>
    </row>
    <row r="829" spans="1:2" x14ac:dyDescent="0.2">
      <c r="A829" s="142" t="s">
        <v>1769</v>
      </c>
      <c r="B829" s="795">
        <f>'Part 3 DA summary'!$I28</f>
        <v>0</v>
      </c>
    </row>
    <row r="830" spans="1:2" x14ac:dyDescent="0.2">
      <c r="A830" s="142" t="s">
        <v>1770</v>
      </c>
      <c r="B830" s="795">
        <f>'Part 3 DA summary'!$I29</f>
        <v>0</v>
      </c>
    </row>
    <row r="831" spans="1:2" x14ac:dyDescent="0.2">
      <c r="A831" s="142" t="s">
        <v>1771</v>
      </c>
      <c r="B831" s="795">
        <f>'Part 3 DA summary'!$I30</f>
        <v>0</v>
      </c>
    </row>
    <row r="832" spans="1:2" x14ac:dyDescent="0.2">
      <c r="A832" s="142" t="s">
        <v>1772</v>
      </c>
      <c r="B832" s="795">
        <f>'Part 3 DA summary'!$I31</f>
        <v>0</v>
      </c>
    </row>
    <row r="833" spans="1:2" x14ac:dyDescent="0.2">
      <c r="A833" s="142" t="s">
        <v>1773</v>
      </c>
      <c r="B833" s="795">
        <f>'Part 3 DA summary'!$I32</f>
        <v>0</v>
      </c>
    </row>
    <row r="834" spans="1:2" x14ac:dyDescent="0.2">
      <c r="A834" s="142" t="s">
        <v>1774</v>
      </c>
      <c r="B834" s="795">
        <f>'Part 3 DA summary'!$I33</f>
        <v>0</v>
      </c>
    </row>
    <row r="835" spans="1:2" x14ac:dyDescent="0.2">
      <c r="A835" s="142" t="s">
        <v>1775</v>
      </c>
      <c r="B835" s="795">
        <f>'Part 3 DA summary'!$I34</f>
        <v>0</v>
      </c>
    </row>
    <row r="836" spans="1:2" x14ac:dyDescent="0.2">
      <c r="A836" s="142" t="s">
        <v>1776</v>
      </c>
      <c r="B836" s="795">
        <f>'Part 3 DA summary'!$I35</f>
        <v>0</v>
      </c>
    </row>
    <row r="837" spans="1:2" x14ac:dyDescent="0.2">
      <c r="A837" s="142" t="s">
        <v>1777</v>
      </c>
      <c r="B837" s="795">
        <f>'Part 3 DA summary'!$I36</f>
        <v>0</v>
      </c>
    </row>
    <row r="838" spans="1:2" x14ac:dyDescent="0.2">
      <c r="A838" s="142" t="s">
        <v>1778</v>
      </c>
      <c r="B838" s="795">
        <f>'Part 3 DA summary'!$I37</f>
        <v>0</v>
      </c>
    </row>
    <row r="839" spans="1:2" x14ac:dyDescent="0.2">
      <c r="A839" s="142" t="s">
        <v>1779</v>
      </c>
      <c r="B839" s="795">
        <f>'Part 3 DA summary'!$I38</f>
        <v>0</v>
      </c>
    </row>
    <row r="840" spans="1:2" x14ac:dyDescent="0.2">
      <c r="A840" s="142" t="s">
        <v>1780</v>
      </c>
      <c r="B840" s="795">
        <f>'Part 3 DA summary'!$I39</f>
        <v>0</v>
      </c>
    </row>
    <row r="841" spans="1:2" x14ac:dyDescent="0.2">
      <c r="A841" s="142" t="s">
        <v>1781</v>
      </c>
      <c r="B841" s="795">
        <f>'Part 3 DA summary'!$I40</f>
        <v>0</v>
      </c>
    </row>
    <row r="842" spans="1:2" x14ac:dyDescent="0.2">
      <c r="A842" s="142" t="s">
        <v>1782</v>
      </c>
      <c r="B842" s="795">
        <f>'Part 3 DA summary'!$I41</f>
        <v>0</v>
      </c>
    </row>
    <row r="843" spans="1:2" x14ac:dyDescent="0.2">
      <c r="A843" s="142" t="s">
        <v>1783</v>
      </c>
      <c r="B843" s="795">
        <f>'Part 3 DA summary'!$I42</f>
        <v>0</v>
      </c>
    </row>
    <row r="844" spans="1:2" x14ac:dyDescent="0.2">
      <c r="A844" s="142" t="s">
        <v>1784</v>
      </c>
      <c r="B844" s="795">
        <f>'Part 3 DA summary'!$I43</f>
        <v>0</v>
      </c>
    </row>
    <row r="845" spans="1:2" x14ac:dyDescent="0.2">
      <c r="A845" s="142" t="s">
        <v>1785</v>
      </c>
      <c r="B845" s="795">
        <f>'Part 3 DA summary'!$I44</f>
        <v>0</v>
      </c>
    </row>
    <row r="846" spans="1:2" x14ac:dyDescent="0.2">
      <c r="A846" s="142" t="s">
        <v>1786</v>
      </c>
      <c r="B846" s="795">
        <f>'Part 3 DA summary'!$I45</f>
        <v>0</v>
      </c>
    </row>
    <row r="847" spans="1:2" x14ac:dyDescent="0.2">
      <c r="A847" s="142" t="s">
        <v>1787</v>
      </c>
      <c r="B847" s="795">
        <f>'Part 3 DA summary'!$I46</f>
        <v>0</v>
      </c>
    </row>
    <row r="848" spans="1:2" x14ac:dyDescent="0.2">
      <c r="A848" s="142" t="s">
        <v>1788</v>
      </c>
      <c r="B848" s="795">
        <f>'Part 3 DA summary'!$I47</f>
        <v>0</v>
      </c>
    </row>
    <row r="849" spans="1:5" x14ac:dyDescent="0.2">
      <c r="A849" s="142" t="s">
        <v>1789</v>
      </c>
      <c r="B849" s="795">
        <f>'Part 3 DA summary'!$I48</f>
        <v>0</v>
      </c>
    </row>
    <row r="850" spans="1:5" x14ac:dyDescent="0.2">
      <c r="A850" s="142" t="s">
        <v>1790</v>
      </c>
      <c r="B850" s="795">
        <f>'Part 3 DA summary'!$I49</f>
        <v>0</v>
      </c>
    </row>
    <row r="851" spans="1:5" x14ac:dyDescent="0.2">
      <c r="A851" s="142" t="s">
        <v>1791</v>
      </c>
      <c r="B851" s="795">
        <f>'Part 3 DA summary'!$I50</f>
        <v>0</v>
      </c>
    </row>
    <row r="852" spans="1:5" x14ac:dyDescent="0.2">
      <c r="A852" s="142" t="s">
        <v>1792</v>
      </c>
      <c r="B852" s="795">
        <f>'Part 3 DA summary'!$I51</f>
        <v>0</v>
      </c>
    </row>
    <row r="853" spans="1:5" x14ac:dyDescent="0.2">
      <c r="A853" s="142" t="s">
        <v>1793</v>
      </c>
      <c r="B853" s="795">
        <f>'Part 3 DA summary'!$I52</f>
        <v>0</v>
      </c>
    </row>
    <row r="854" spans="1:5" x14ac:dyDescent="0.2">
      <c r="A854" s="142" t="s">
        <v>1794</v>
      </c>
      <c r="B854" s="795">
        <f>'Part 3 DA summary'!$I53</f>
        <v>0</v>
      </c>
    </row>
    <row r="855" spans="1:5" x14ac:dyDescent="0.2">
      <c r="A855" s="397" t="s">
        <v>1795</v>
      </c>
      <c r="B855" s="1062">
        <f>'Part 3 DA summary'!$K6</f>
        <v>0</v>
      </c>
      <c r="C855" s="396"/>
      <c r="D855" s="396"/>
      <c r="E855" s="396"/>
    </row>
    <row r="856" spans="1:5" x14ac:dyDescent="0.2">
      <c r="A856" s="142" t="s">
        <v>1796</v>
      </c>
      <c r="B856" s="795" t="str">
        <f>'Part 3 DA summary'!$K13</f>
        <v/>
      </c>
    </row>
    <row r="857" spans="1:5" x14ac:dyDescent="0.2">
      <c r="A857" s="142" t="s">
        <v>1797</v>
      </c>
      <c r="B857" s="795" t="str">
        <f>'Part 3 DA summary'!$K14</f>
        <v/>
      </c>
    </row>
    <row r="858" spans="1:5" x14ac:dyDescent="0.2">
      <c r="A858" s="142" t="s">
        <v>1798</v>
      </c>
      <c r="B858" s="795" t="str">
        <f>'Part 3 DA summary'!$K15</f>
        <v/>
      </c>
    </row>
    <row r="859" spans="1:5" x14ac:dyDescent="0.2">
      <c r="A859" s="142" t="s">
        <v>1799</v>
      </c>
      <c r="B859" s="795" t="str">
        <f>'Part 3 DA summary'!$K16</f>
        <v/>
      </c>
    </row>
    <row r="860" spans="1:5" x14ac:dyDescent="0.2">
      <c r="A860" s="142" t="s">
        <v>1800</v>
      </c>
      <c r="B860" s="795" t="str">
        <f>'Part 3 DA summary'!$K17</f>
        <v/>
      </c>
    </row>
    <row r="861" spans="1:5" x14ac:dyDescent="0.2">
      <c r="A861" s="142" t="s">
        <v>1801</v>
      </c>
      <c r="B861" s="795" t="str">
        <f>'Part 3 DA summary'!$K18</f>
        <v/>
      </c>
    </row>
    <row r="862" spans="1:5" x14ac:dyDescent="0.2">
      <c r="A862" s="142" t="s">
        <v>1802</v>
      </c>
      <c r="B862" s="795" t="str">
        <f>'Part 3 DA summary'!$K19</f>
        <v/>
      </c>
    </row>
    <row r="863" spans="1:5" x14ac:dyDescent="0.2">
      <c r="A863" s="142" t="s">
        <v>1803</v>
      </c>
      <c r="B863" s="795" t="str">
        <f>'Part 3 DA summary'!$K20</f>
        <v/>
      </c>
    </row>
    <row r="864" spans="1:5" x14ac:dyDescent="0.2">
      <c r="A864" s="142" t="s">
        <v>1804</v>
      </c>
      <c r="B864" s="795" t="str">
        <f>'Part 3 DA summary'!$K21</f>
        <v/>
      </c>
    </row>
    <row r="865" spans="1:2" x14ac:dyDescent="0.2">
      <c r="A865" s="142" t="s">
        <v>1805</v>
      </c>
      <c r="B865" s="795" t="str">
        <f>'Part 3 DA summary'!$K22</f>
        <v/>
      </c>
    </row>
    <row r="866" spans="1:2" x14ac:dyDescent="0.2">
      <c r="A866" s="142" t="s">
        <v>1806</v>
      </c>
      <c r="B866" s="795" t="str">
        <f>'Part 3 DA summary'!$K23</f>
        <v/>
      </c>
    </row>
    <row r="867" spans="1:2" x14ac:dyDescent="0.2">
      <c r="A867" s="142" t="s">
        <v>1807</v>
      </c>
      <c r="B867" s="795" t="str">
        <f>'Part 3 DA summary'!$K24</f>
        <v/>
      </c>
    </row>
    <row r="868" spans="1:2" x14ac:dyDescent="0.2">
      <c r="A868" s="142" t="s">
        <v>1808</v>
      </c>
      <c r="B868" s="795" t="str">
        <f>'Part 3 DA summary'!$K25</f>
        <v/>
      </c>
    </row>
    <row r="869" spans="1:2" x14ac:dyDescent="0.2">
      <c r="A869" s="142" t="s">
        <v>1809</v>
      </c>
      <c r="B869" s="795" t="str">
        <f>'Part 3 DA summary'!$K26</f>
        <v/>
      </c>
    </row>
    <row r="870" spans="1:2" x14ac:dyDescent="0.2">
      <c r="A870" s="142" t="s">
        <v>1810</v>
      </c>
      <c r="B870" s="795" t="str">
        <f>'Part 3 DA summary'!$K27</f>
        <v/>
      </c>
    </row>
    <row r="871" spans="1:2" x14ac:dyDescent="0.2">
      <c r="A871" s="142" t="s">
        <v>1811</v>
      </c>
      <c r="B871" s="795" t="str">
        <f>'Part 3 DA summary'!$K28</f>
        <v/>
      </c>
    </row>
    <row r="872" spans="1:2" x14ac:dyDescent="0.2">
      <c r="A872" s="142" t="s">
        <v>1812</v>
      </c>
      <c r="B872" s="795" t="str">
        <f>'Part 3 DA summary'!$K29</f>
        <v/>
      </c>
    </row>
    <row r="873" spans="1:2" x14ac:dyDescent="0.2">
      <c r="A873" s="142" t="s">
        <v>1813</v>
      </c>
      <c r="B873" s="795" t="str">
        <f>'Part 3 DA summary'!$K30</f>
        <v/>
      </c>
    </row>
    <row r="874" spans="1:2" x14ac:dyDescent="0.2">
      <c r="A874" s="142" t="s">
        <v>1814</v>
      </c>
      <c r="B874" s="795" t="str">
        <f>'Part 3 DA summary'!$K31</f>
        <v/>
      </c>
    </row>
    <row r="875" spans="1:2" x14ac:dyDescent="0.2">
      <c r="A875" s="142" t="s">
        <v>1815</v>
      </c>
      <c r="B875" s="795" t="str">
        <f>'Part 3 DA summary'!$K32</f>
        <v/>
      </c>
    </row>
    <row r="876" spans="1:2" x14ac:dyDescent="0.2">
      <c r="A876" s="142" t="s">
        <v>1816</v>
      </c>
      <c r="B876" s="795" t="str">
        <f>'Part 3 DA summary'!$K33</f>
        <v/>
      </c>
    </row>
    <row r="877" spans="1:2" x14ac:dyDescent="0.2">
      <c r="A877" s="142" t="s">
        <v>1817</v>
      </c>
      <c r="B877" s="795" t="str">
        <f>'Part 3 DA summary'!$K34</f>
        <v/>
      </c>
    </row>
    <row r="878" spans="1:2" x14ac:dyDescent="0.2">
      <c r="A878" s="142" t="s">
        <v>1818</v>
      </c>
      <c r="B878" s="795" t="str">
        <f>'Part 3 DA summary'!$K35</f>
        <v/>
      </c>
    </row>
    <row r="879" spans="1:2" x14ac:dyDescent="0.2">
      <c r="A879" s="142" t="s">
        <v>1819</v>
      </c>
      <c r="B879" s="795" t="str">
        <f>'Part 3 DA summary'!$K36</f>
        <v/>
      </c>
    </row>
    <row r="880" spans="1:2" x14ac:dyDescent="0.2">
      <c r="A880" s="142" t="s">
        <v>1820</v>
      </c>
      <c r="B880" s="795" t="str">
        <f>'Part 3 DA summary'!$K37</f>
        <v/>
      </c>
    </row>
    <row r="881" spans="1:2" x14ac:dyDescent="0.2">
      <c r="A881" s="142" t="s">
        <v>1821</v>
      </c>
      <c r="B881" s="795" t="str">
        <f>'Part 3 DA summary'!$K38</f>
        <v/>
      </c>
    </row>
    <row r="882" spans="1:2" x14ac:dyDescent="0.2">
      <c r="A882" s="142" t="s">
        <v>1822</v>
      </c>
      <c r="B882" s="795" t="str">
        <f>'Part 3 DA summary'!$K39</f>
        <v/>
      </c>
    </row>
    <row r="883" spans="1:2" x14ac:dyDescent="0.2">
      <c r="A883" s="142" t="s">
        <v>1823</v>
      </c>
      <c r="B883" s="795" t="str">
        <f>'Part 3 DA summary'!$K40</f>
        <v/>
      </c>
    </row>
    <row r="884" spans="1:2" x14ac:dyDescent="0.2">
      <c r="A884" s="142" t="s">
        <v>1824</v>
      </c>
      <c r="B884" s="795" t="str">
        <f>'Part 3 DA summary'!$K41</f>
        <v/>
      </c>
    </row>
    <row r="885" spans="1:2" x14ac:dyDescent="0.2">
      <c r="A885" s="142" t="s">
        <v>1825</v>
      </c>
      <c r="B885" s="795" t="str">
        <f>'Part 3 DA summary'!$K42</f>
        <v/>
      </c>
    </row>
    <row r="886" spans="1:2" x14ac:dyDescent="0.2">
      <c r="A886" s="142" t="s">
        <v>1826</v>
      </c>
      <c r="B886" s="783" t="str">
        <f>'Part 3 DA summary'!$K43</f>
        <v/>
      </c>
    </row>
    <row r="887" spans="1:2" x14ac:dyDescent="0.2">
      <c r="A887" s="142" t="s">
        <v>1827</v>
      </c>
      <c r="B887" s="783" t="str">
        <f>'Part 3 DA summary'!$K44</f>
        <v/>
      </c>
    </row>
    <row r="888" spans="1:2" x14ac:dyDescent="0.2">
      <c r="A888" s="142" t="s">
        <v>1828</v>
      </c>
      <c r="B888" s="783" t="str">
        <f>'Part 3 DA summary'!$K45</f>
        <v/>
      </c>
    </row>
    <row r="889" spans="1:2" x14ac:dyDescent="0.2">
      <c r="A889" s="142" t="s">
        <v>1829</v>
      </c>
      <c r="B889" s="783" t="str">
        <f>'Part 3 DA summary'!$K46</f>
        <v/>
      </c>
    </row>
    <row r="890" spans="1:2" x14ac:dyDescent="0.2">
      <c r="A890" s="142" t="s">
        <v>1830</v>
      </c>
      <c r="B890" s="783" t="str">
        <f>'Part 3 DA summary'!$K47</f>
        <v/>
      </c>
    </row>
    <row r="891" spans="1:2" x14ac:dyDescent="0.2">
      <c r="A891" s="142" t="s">
        <v>1831</v>
      </c>
      <c r="B891" s="783" t="str">
        <f>'Part 3 DA summary'!$K48</f>
        <v/>
      </c>
    </row>
    <row r="892" spans="1:2" x14ac:dyDescent="0.2">
      <c r="A892" s="142" t="s">
        <v>1832</v>
      </c>
      <c r="B892" s="783" t="str">
        <f>'Part 3 DA summary'!$K49</f>
        <v/>
      </c>
    </row>
    <row r="893" spans="1:2" x14ac:dyDescent="0.2">
      <c r="A893" s="142" t="s">
        <v>1833</v>
      </c>
      <c r="B893" s="783" t="str">
        <f>'Part 3 DA summary'!$K50</f>
        <v/>
      </c>
    </row>
    <row r="894" spans="1:2" x14ac:dyDescent="0.2">
      <c r="A894" s="142" t="s">
        <v>1834</v>
      </c>
      <c r="B894" s="783" t="str">
        <f>'Part 3 DA summary'!$K51</f>
        <v/>
      </c>
    </row>
    <row r="895" spans="1:2" x14ac:dyDescent="0.2">
      <c r="A895" s="142" t="s">
        <v>1835</v>
      </c>
      <c r="B895" s="783" t="str">
        <f>'Part 3 DA summary'!$K52</f>
        <v/>
      </c>
    </row>
    <row r="896" spans="1:2" x14ac:dyDescent="0.2">
      <c r="A896" s="142" t="s">
        <v>1836</v>
      </c>
      <c r="B896" s="783" t="str">
        <f>'Part 3 DA summary'!$K53</f>
        <v/>
      </c>
    </row>
    <row r="897" spans="1:5" x14ac:dyDescent="0.2">
      <c r="A897" s="397" t="s">
        <v>1837</v>
      </c>
      <c r="B897" s="1062">
        <f>'Part 3 DA summary'!$M6</f>
        <v>0</v>
      </c>
      <c r="C897" s="396"/>
      <c r="D897" s="396"/>
      <c r="E897" s="396"/>
    </row>
    <row r="898" spans="1:5" x14ac:dyDescent="0.2">
      <c r="A898" s="142" t="s">
        <v>1838</v>
      </c>
      <c r="B898" s="795">
        <f>'Part 3 DA summary'!$M13</f>
        <v>0</v>
      </c>
    </row>
    <row r="899" spans="1:5" x14ac:dyDescent="0.2">
      <c r="A899" s="142" t="s">
        <v>1839</v>
      </c>
      <c r="B899" s="795">
        <f>'Part 3 DA summary'!$M14</f>
        <v>0</v>
      </c>
    </row>
    <row r="900" spans="1:5" x14ac:dyDescent="0.2">
      <c r="A900" s="142" t="s">
        <v>1840</v>
      </c>
      <c r="B900" s="795">
        <f>'Part 3 DA summary'!$M15</f>
        <v>0</v>
      </c>
    </row>
    <row r="901" spans="1:5" x14ac:dyDescent="0.2">
      <c r="A901" s="142" t="s">
        <v>1841</v>
      </c>
      <c r="B901" s="795">
        <f>'Part 3 DA summary'!$M16</f>
        <v>0</v>
      </c>
    </row>
    <row r="902" spans="1:5" x14ac:dyDescent="0.2">
      <c r="A902" s="142" t="s">
        <v>1842</v>
      </c>
      <c r="B902" s="795">
        <f>'Part 3 DA summary'!$M17</f>
        <v>0</v>
      </c>
    </row>
    <row r="903" spans="1:5" x14ac:dyDescent="0.2">
      <c r="A903" s="142" t="s">
        <v>1843</v>
      </c>
      <c r="B903" s="795">
        <f>'Part 3 DA summary'!$M18</f>
        <v>0</v>
      </c>
    </row>
    <row r="904" spans="1:5" x14ac:dyDescent="0.2">
      <c r="A904" s="142" t="s">
        <v>1844</v>
      </c>
      <c r="B904" s="795">
        <f>'Part 3 DA summary'!$M19</f>
        <v>0</v>
      </c>
    </row>
    <row r="905" spans="1:5" x14ac:dyDescent="0.2">
      <c r="A905" s="142" t="s">
        <v>1845</v>
      </c>
      <c r="B905" s="795">
        <f>'Part 3 DA summary'!$M20</f>
        <v>0</v>
      </c>
    </row>
    <row r="906" spans="1:5" x14ac:dyDescent="0.2">
      <c r="A906" s="142" t="s">
        <v>1846</v>
      </c>
      <c r="B906" s="795">
        <f>'Part 3 DA summary'!$M21</f>
        <v>0</v>
      </c>
    </row>
    <row r="907" spans="1:5" x14ac:dyDescent="0.2">
      <c r="A907" s="142" t="s">
        <v>1847</v>
      </c>
      <c r="B907" s="795">
        <f>'Part 3 DA summary'!$M22</f>
        <v>0</v>
      </c>
    </row>
    <row r="908" spans="1:5" x14ac:dyDescent="0.2">
      <c r="A908" s="142" t="s">
        <v>1848</v>
      </c>
      <c r="B908" s="795">
        <f>'Part 3 DA summary'!$M23</f>
        <v>0</v>
      </c>
    </row>
    <row r="909" spans="1:5" x14ac:dyDescent="0.2">
      <c r="A909" s="142" t="s">
        <v>1849</v>
      </c>
      <c r="B909" s="795">
        <f>'Part 3 DA summary'!$M24</f>
        <v>0</v>
      </c>
    </row>
    <row r="910" spans="1:5" x14ac:dyDescent="0.2">
      <c r="A910" s="142" t="s">
        <v>1850</v>
      </c>
      <c r="B910" s="795">
        <f>'Part 3 DA summary'!$M25</f>
        <v>0</v>
      </c>
    </row>
    <row r="911" spans="1:5" x14ac:dyDescent="0.2">
      <c r="A911" s="142" t="s">
        <v>1851</v>
      </c>
      <c r="B911" s="795">
        <f>'Part 3 DA summary'!$M26</f>
        <v>0</v>
      </c>
    </row>
    <row r="912" spans="1:5" x14ac:dyDescent="0.2">
      <c r="A912" s="142" t="s">
        <v>1852</v>
      </c>
      <c r="B912" s="795">
        <f>'Part 3 DA summary'!$M27</f>
        <v>0</v>
      </c>
    </row>
    <row r="913" spans="1:2" x14ac:dyDescent="0.2">
      <c r="A913" s="142" t="s">
        <v>1853</v>
      </c>
      <c r="B913" s="795">
        <f>'Part 3 DA summary'!$M28</f>
        <v>0</v>
      </c>
    </row>
    <row r="914" spans="1:2" x14ac:dyDescent="0.2">
      <c r="A914" s="142" t="s">
        <v>1854</v>
      </c>
      <c r="B914" s="795">
        <f>'Part 3 DA summary'!$M29</f>
        <v>0</v>
      </c>
    </row>
    <row r="915" spans="1:2" x14ac:dyDescent="0.2">
      <c r="A915" s="142" t="s">
        <v>1855</v>
      </c>
      <c r="B915" s="795">
        <f>'Part 3 DA summary'!$M30</f>
        <v>0</v>
      </c>
    </row>
    <row r="916" spans="1:2" x14ac:dyDescent="0.2">
      <c r="A916" s="142" t="s">
        <v>1856</v>
      </c>
      <c r="B916" s="795">
        <f>'Part 3 DA summary'!$M31</f>
        <v>0</v>
      </c>
    </row>
    <row r="917" spans="1:2" x14ac:dyDescent="0.2">
      <c r="A917" s="142" t="s">
        <v>1857</v>
      </c>
      <c r="B917" s="795">
        <f>'Part 3 DA summary'!$M32</f>
        <v>0</v>
      </c>
    </row>
    <row r="918" spans="1:2" x14ac:dyDescent="0.2">
      <c r="A918" s="142" t="s">
        <v>1858</v>
      </c>
      <c r="B918" s="795">
        <f>'Part 3 DA summary'!$M33</f>
        <v>0</v>
      </c>
    </row>
    <row r="919" spans="1:2" x14ac:dyDescent="0.2">
      <c r="A919" s="142" t="s">
        <v>1859</v>
      </c>
      <c r="B919" s="795">
        <f>'Part 3 DA summary'!$M34</f>
        <v>0</v>
      </c>
    </row>
    <row r="920" spans="1:2" x14ac:dyDescent="0.2">
      <c r="A920" s="142" t="s">
        <v>1860</v>
      </c>
      <c r="B920" s="795">
        <f>'Part 3 DA summary'!$M35</f>
        <v>0</v>
      </c>
    </row>
    <row r="921" spans="1:2" x14ac:dyDescent="0.2">
      <c r="A921" s="142" t="s">
        <v>1861</v>
      </c>
      <c r="B921" s="795">
        <f>'Part 3 DA summary'!$M36</f>
        <v>0</v>
      </c>
    </row>
    <row r="922" spans="1:2" x14ac:dyDescent="0.2">
      <c r="A922" s="142" t="s">
        <v>1862</v>
      </c>
      <c r="B922" s="795">
        <f>'Part 3 DA summary'!$M37</f>
        <v>0</v>
      </c>
    </row>
    <row r="923" spans="1:2" x14ac:dyDescent="0.2">
      <c r="A923" s="142" t="s">
        <v>1863</v>
      </c>
      <c r="B923" s="795">
        <f>'Part 3 DA summary'!$M38</f>
        <v>0</v>
      </c>
    </row>
    <row r="924" spans="1:2" x14ac:dyDescent="0.2">
      <c r="A924" s="142" t="s">
        <v>1864</v>
      </c>
      <c r="B924" s="795">
        <f>'Part 3 DA summary'!$M39</f>
        <v>0</v>
      </c>
    </row>
    <row r="925" spans="1:2" x14ac:dyDescent="0.2">
      <c r="A925" s="142" t="s">
        <v>1865</v>
      </c>
      <c r="B925" s="795">
        <f>'Part 3 DA summary'!$M40</f>
        <v>0</v>
      </c>
    </row>
    <row r="926" spans="1:2" x14ac:dyDescent="0.2">
      <c r="A926" s="142" t="s">
        <v>1866</v>
      </c>
      <c r="B926" s="795">
        <f>'Part 3 DA summary'!$M41</f>
        <v>0</v>
      </c>
    </row>
    <row r="927" spans="1:2" x14ac:dyDescent="0.2">
      <c r="A927" s="142" t="s">
        <v>1867</v>
      </c>
      <c r="B927" s="795">
        <f>'Part 3 DA summary'!$M42</f>
        <v>0</v>
      </c>
    </row>
    <row r="928" spans="1:2" x14ac:dyDescent="0.2">
      <c r="A928" s="142" t="s">
        <v>1868</v>
      </c>
      <c r="B928" s="795">
        <f>'Part 3 DA summary'!$M43</f>
        <v>0</v>
      </c>
    </row>
    <row r="929" spans="1:5" x14ac:dyDescent="0.2">
      <c r="A929" s="142" t="s">
        <v>1869</v>
      </c>
      <c r="B929" s="795">
        <f>'Part 3 DA summary'!$M44</f>
        <v>0</v>
      </c>
    </row>
    <row r="930" spans="1:5" x14ac:dyDescent="0.2">
      <c r="A930" s="142" t="s">
        <v>1870</v>
      </c>
      <c r="B930" s="795">
        <f>'Part 3 DA summary'!$M45</f>
        <v>0</v>
      </c>
    </row>
    <row r="931" spans="1:5" x14ac:dyDescent="0.2">
      <c r="A931" s="142" t="s">
        <v>1871</v>
      </c>
      <c r="B931" s="795">
        <f>'Part 3 DA summary'!$M46</f>
        <v>0</v>
      </c>
    </row>
    <row r="932" spans="1:5" x14ac:dyDescent="0.2">
      <c r="A932" s="142" t="s">
        <v>1872</v>
      </c>
      <c r="B932" s="795">
        <f>'Part 3 DA summary'!$M47</f>
        <v>0</v>
      </c>
    </row>
    <row r="933" spans="1:5" x14ac:dyDescent="0.2">
      <c r="A933" s="142" t="s">
        <v>1873</v>
      </c>
      <c r="B933" s="795">
        <f>'Part 3 DA summary'!$M48</f>
        <v>0</v>
      </c>
    </row>
    <row r="934" spans="1:5" x14ac:dyDescent="0.2">
      <c r="A934" s="142" t="s">
        <v>1874</v>
      </c>
      <c r="B934" s="795">
        <f>'Part 3 DA summary'!$M49</f>
        <v>0</v>
      </c>
    </row>
    <row r="935" spans="1:5" x14ac:dyDescent="0.2">
      <c r="A935" s="142" t="s">
        <v>1875</v>
      </c>
      <c r="B935" s="795">
        <f>'Part 3 DA summary'!$M50</f>
        <v>0</v>
      </c>
    </row>
    <row r="936" spans="1:5" x14ac:dyDescent="0.2">
      <c r="A936" s="142" t="s">
        <v>1876</v>
      </c>
      <c r="B936" s="795">
        <f>'Part 3 DA summary'!$M51</f>
        <v>0</v>
      </c>
    </row>
    <row r="937" spans="1:5" x14ac:dyDescent="0.2">
      <c r="A937" s="142" t="s">
        <v>1877</v>
      </c>
      <c r="B937" s="795">
        <f>'Part 3 DA summary'!$M52</f>
        <v>0</v>
      </c>
    </row>
    <row r="938" spans="1:5" x14ac:dyDescent="0.2">
      <c r="A938" s="142" t="s">
        <v>1878</v>
      </c>
      <c r="B938" s="795">
        <f>'Part 3 DA summary'!$M53</f>
        <v>0</v>
      </c>
    </row>
    <row r="939" spans="1:5" x14ac:dyDescent="0.2">
      <c r="A939" s="397" t="s">
        <v>1879</v>
      </c>
      <c r="B939" s="1062">
        <f>'Part 3 DA summary'!$O6</f>
        <v>0</v>
      </c>
      <c r="C939" s="396"/>
      <c r="D939" s="396"/>
      <c r="E939" s="396"/>
    </row>
    <row r="940" spans="1:5" x14ac:dyDescent="0.2">
      <c r="A940" s="142" t="s">
        <v>1880</v>
      </c>
      <c r="B940" s="795">
        <f>'Part 3 DA summary'!$O13</f>
        <v>0</v>
      </c>
    </row>
    <row r="941" spans="1:5" x14ac:dyDescent="0.2">
      <c r="A941" s="142" t="s">
        <v>1881</v>
      </c>
      <c r="B941" s="795">
        <f>'Part 3 DA summary'!$O14</f>
        <v>0</v>
      </c>
    </row>
    <row r="942" spans="1:5" x14ac:dyDescent="0.2">
      <c r="A942" s="142" t="s">
        <v>1882</v>
      </c>
      <c r="B942" s="795">
        <f>'Part 3 DA summary'!$O15</f>
        <v>0</v>
      </c>
    </row>
    <row r="943" spans="1:5" x14ac:dyDescent="0.2">
      <c r="A943" s="142" t="s">
        <v>1883</v>
      </c>
      <c r="B943" s="795">
        <f>'Part 3 DA summary'!$O16</f>
        <v>0</v>
      </c>
    </row>
    <row r="944" spans="1:5" x14ac:dyDescent="0.2">
      <c r="A944" s="142" t="s">
        <v>1884</v>
      </c>
      <c r="B944" s="795">
        <f>'Part 3 DA summary'!$O17</f>
        <v>0</v>
      </c>
    </row>
    <row r="945" spans="1:2" x14ac:dyDescent="0.2">
      <c r="A945" s="142" t="s">
        <v>1885</v>
      </c>
      <c r="B945" s="795">
        <f>'Part 3 DA summary'!$O18</f>
        <v>0</v>
      </c>
    </row>
    <row r="946" spans="1:2" x14ac:dyDescent="0.2">
      <c r="A946" s="142" t="s">
        <v>1886</v>
      </c>
      <c r="B946" s="795">
        <f>'Part 3 DA summary'!$O19</f>
        <v>0</v>
      </c>
    </row>
    <row r="947" spans="1:2" x14ac:dyDescent="0.2">
      <c r="A947" s="142" t="s">
        <v>1887</v>
      </c>
      <c r="B947" s="795">
        <f>'Part 3 DA summary'!$O20</f>
        <v>0</v>
      </c>
    </row>
    <row r="948" spans="1:2" x14ac:dyDescent="0.2">
      <c r="A948" s="142" t="s">
        <v>1888</v>
      </c>
      <c r="B948" s="795">
        <f>'Part 3 DA summary'!$O21</f>
        <v>0</v>
      </c>
    </row>
    <row r="949" spans="1:2" x14ac:dyDescent="0.2">
      <c r="A949" s="142" t="s">
        <v>1889</v>
      </c>
      <c r="B949" s="795">
        <f>'Part 3 DA summary'!$O22</f>
        <v>0</v>
      </c>
    </row>
    <row r="950" spans="1:2" x14ac:dyDescent="0.2">
      <c r="A950" s="142" t="s">
        <v>1890</v>
      </c>
      <c r="B950" s="795">
        <f>'Part 3 DA summary'!$O23</f>
        <v>0</v>
      </c>
    </row>
    <row r="951" spans="1:2" x14ac:dyDescent="0.2">
      <c r="A951" s="142" t="s">
        <v>1891</v>
      </c>
      <c r="B951" s="795">
        <f>'Part 3 DA summary'!$O24</f>
        <v>0</v>
      </c>
    </row>
    <row r="952" spans="1:2" x14ac:dyDescent="0.2">
      <c r="A952" s="142" t="s">
        <v>1892</v>
      </c>
      <c r="B952" s="795">
        <f>'Part 3 DA summary'!$O25</f>
        <v>0</v>
      </c>
    </row>
    <row r="953" spans="1:2" x14ac:dyDescent="0.2">
      <c r="A953" s="142" t="s">
        <v>1893</v>
      </c>
      <c r="B953" s="795">
        <f>'Part 3 DA summary'!$O26</f>
        <v>0</v>
      </c>
    </row>
    <row r="954" spans="1:2" x14ac:dyDescent="0.2">
      <c r="A954" s="142" t="s">
        <v>1894</v>
      </c>
      <c r="B954" s="795">
        <f>'Part 3 DA summary'!$O27</f>
        <v>0</v>
      </c>
    </row>
    <row r="955" spans="1:2" x14ac:dyDescent="0.2">
      <c r="A955" s="142" t="s">
        <v>1895</v>
      </c>
      <c r="B955" s="795">
        <f>'Part 3 DA summary'!$O28</f>
        <v>0</v>
      </c>
    </row>
    <row r="956" spans="1:2" x14ac:dyDescent="0.2">
      <c r="A956" s="142" t="s">
        <v>1896</v>
      </c>
      <c r="B956" s="795">
        <f>'Part 3 DA summary'!$O29</f>
        <v>0</v>
      </c>
    </row>
    <row r="957" spans="1:2" x14ac:dyDescent="0.2">
      <c r="A957" s="142" t="s">
        <v>1897</v>
      </c>
      <c r="B957" s="795">
        <f>'Part 3 DA summary'!$O30</f>
        <v>0</v>
      </c>
    </row>
    <row r="958" spans="1:2" x14ac:dyDescent="0.2">
      <c r="A958" s="142" t="s">
        <v>1898</v>
      </c>
      <c r="B958" s="795">
        <f>'Part 3 DA summary'!$O31</f>
        <v>0</v>
      </c>
    </row>
    <row r="959" spans="1:2" x14ac:dyDescent="0.2">
      <c r="A959" s="142" t="s">
        <v>1899</v>
      </c>
      <c r="B959" s="795">
        <f>'Part 3 DA summary'!$O32</f>
        <v>0</v>
      </c>
    </row>
    <row r="960" spans="1:2" x14ac:dyDescent="0.2">
      <c r="A960" s="142" t="s">
        <v>1900</v>
      </c>
      <c r="B960" s="795">
        <f>'Part 3 DA summary'!$O33</f>
        <v>0</v>
      </c>
    </row>
    <row r="961" spans="1:2" x14ac:dyDescent="0.2">
      <c r="A961" s="142" t="s">
        <v>1901</v>
      </c>
      <c r="B961" s="795">
        <f>'Part 3 DA summary'!$O34</f>
        <v>0</v>
      </c>
    </row>
    <row r="962" spans="1:2" x14ac:dyDescent="0.2">
      <c r="A962" s="142" t="s">
        <v>1902</v>
      </c>
      <c r="B962" s="795">
        <f>'Part 3 DA summary'!$O35</f>
        <v>0</v>
      </c>
    </row>
    <row r="963" spans="1:2" x14ac:dyDescent="0.2">
      <c r="A963" s="142" t="s">
        <v>1903</v>
      </c>
      <c r="B963" s="795">
        <f>'Part 3 DA summary'!$O36</f>
        <v>0</v>
      </c>
    </row>
    <row r="964" spans="1:2" x14ac:dyDescent="0.2">
      <c r="A964" s="142" t="s">
        <v>1904</v>
      </c>
      <c r="B964" s="795">
        <f>'Part 3 DA summary'!$O37</f>
        <v>0</v>
      </c>
    </row>
    <row r="965" spans="1:2" x14ac:dyDescent="0.2">
      <c r="A965" s="142" t="s">
        <v>1905</v>
      </c>
      <c r="B965" s="795">
        <f>'Part 3 DA summary'!$O38</f>
        <v>0</v>
      </c>
    </row>
    <row r="966" spans="1:2" x14ac:dyDescent="0.2">
      <c r="A966" s="142" t="s">
        <v>1906</v>
      </c>
      <c r="B966" s="795">
        <f>'Part 3 DA summary'!$O39</f>
        <v>0</v>
      </c>
    </row>
    <row r="967" spans="1:2" x14ac:dyDescent="0.2">
      <c r="A967" s="142" t="s">
        <v>1907</v>
      </c>
      <c r="B967" s="795">
        <f>'Part 3 DA summary'!$O40</f>
        <v>0</v>
      </c>
    </row>
    <row r="968" spans="1:2" x14ac:dyDescent="0.2">
      <c r="A968" s="142" t="s">
        <v>1908</v>
      </c>
      <c r="B968" s="795">
        <f>'Part 3 DA summary'!$O41</f>
        <v>0</v>
      </c>
    </row>
    <row r="969" spans="1:2" x14ac:dyDescent="0.2">
      <c r="A969" s="142" t="s">
        <v>1909</v>
      </c>
      <c r="B969" s="795">
        <f>'Part 3 DA summary'!$O42</f>
        <v>0</v>
      </c>
    </row>
    <row r="970" spans="1:2" x14ac:dyDescent="0.2">
      <c r="A970" s="142" t="s">
        <v>1910</v>
      </c>
      <c r="B970" s="795">
        <f>'Part 3 DA summary'!$O43</f>
        <v>0</v>
      </c>
    </row>
    <row r="971" spans="1:2" x14ac:dyDescent="0.2">
      <c r="A971" s="142" t="s">
        <v>1911</v>
      </c>
      <c r="B971" s="795">
        <f>'Part 3 DA summary'!$O44</f>
        <v>0</v>
      </c>
    </row>
    <row r="972" spans="1:2" x14ac:dyDescent="0.2">
      <c r="A972" s="142" t="s">
        <v>1912</v>
      </c>
      <c r="B972" s="795">
        <f>'Part 3 DA summary'!$O45</f>
        <v>0</v>
      </c>
    </row>
    <row r="973" spans="1:2" x14ac:dyDescent="0.2">
      <c r="A973" s="142" t="s">
        <v>1913</v>
      </c>
      <c r="B973" s="795">
        <f>'Part 3 DA summary'!$O46</f>
        <v>0</v>
      </c>
    </row>
    <row r="974" spans="1:2" x14ac:dyDescent="0.2">
      <c r="A974" s="142" t="s">
        <v>1914</v>
      </c>
      <c r="B974" s="795">
        <f>'Part 3 DA summary'!$O47</f>
        <v>0</v>
      </c>
    </row>
    <row r="975" spans="1:2" x14ac:dyDescent="0.2">
      <c r="A975" s="142" t="s">
        <v>1915</v>
      </c>
      <c r="B975" s="795">
        <f>'Part 3 DA summary'!$O48</f>
        <v>0</v>
      </c>
    </row>
    <row r="976" spans="1:2" x14ac:dyDescent="0.2">
      <c r="A976" s="142" t="s">
        <v>1916</v>
      </c>
      <c r="B976" s="795">
        <f>'Part 3 DA summary'!$O49</f>
        <v>0</v>
      </c>
    </row>
    <row r="977" spans="1:5" x14ac:dyDescent="0.2">
      <c r="A977" s="142" t="s">
        <v>1917</v>
      </c>
      <c r="B977" s="795">
        <f>'Part 3 DA summary'!$O50</f>
        <v>0</v>
      </c>
    </row>
    <row r="978" spans="1:5" x14ac:dyDescent="0.2">
      <c r="A978" s="142" t="s">
        <v>1918</v>
      </c>
      <c r="B978" s="795">
        <f>'Part 3 DA summary'!$O51</f>
        <v>0</v>
      </c>
    </row>
    <row r="979" spans="1:5" x14ac:dyDescent="0.2">
      <c r="A979" s="142" t="s">
        <v>1919</v>
      </c>
      <c r="B979" s="795">
        <f>'Part 3 DA summary'!$O52</f>
        <v>0</v>
      </c>
    </row>
    <row r="980" spans="1:5" x14ac:dyDescent="0.2">
      <c r="A980" s="142" t="s">
        <v>1920</v>
      </c>
      <c r="B980" s="795">
        <f>'Part 3 DA summary'!$O53</f>
        <v>0</v>
      </c>
    </row>
    <row r="981" spans="1:5" x14ac:dyDescent="0.2">
      <c r="A981" s="397" t="s">
        <v>1921</v>
      </c>
      <c r="B981" s="1062">
        <f>'Part 3 DA summary'!$Q6</f>
        <v>0</v>
      </c>
      <c r="C981" s="396"/>
      <c r="D981" s="396"/>
      <c r="E981" s="396"/>
    </row>
    <row r="982" spans="1:5" x14ac:dyDescent="0.2">
      <c r="A982" s="142" t="s">
        <v>1922</v>
      </c>
      <c r="B982" s="795">
        <f>'Part 3 DA summary'!$Q13</f>
        <v>0</v>
      </c>
    </row>
    <row r="983" spans="1:5" x14ac:dyDescent="0.2">
      <c r="A983" s="142" t="s">
        <v>1923</v>
      </c>
      <c r="B983" s="795">
        <f>'Part 3 DA summary'!$Q14</f>
        <v>0</v>
      </c>
    </row>
    <row r="984" spans="1:5" x14ac:dyDescent="0.2">
      <c r="A984" s="142" t="s">
        <v>1924</v>
      </c>
      <c r="B984" s="795">
        <f>'Part 3 DA summary'!$Q15</f>
        <v>0</v>
      </c>
    </row>
    <row r="985" spans="1:5" x14ac:dyDescent="0.2">
      <c r="A985" s="142" t="s">
        <v>1925</v>
      </c>
      <c r="B985" s="795">
        <f>'Part 3 DA summary'!$Q16</f>
        <v>0</v>
      </c>
    </row>
    <row r="986" spans="1:5" x14ac:dyDescent="0.2">
      <c r="A986" s="142" t="s">
        <v>1926</v>
      </c>
      <c r="B986" s="795">
        <f>'Part 3 DA summary'!$Q17</f>
        <v>0</v>
      </c>
    </row>
    <row r="987" spans="1:5" x14ac:dyDescent="0.2">
      <c r="A987" s="142" t="s">
        <v>1927</v>
      </c>
      <c r="B987" s="795">
        <f>'Part 3 DA summary'!$Q18</f>
        <v>0</v>
      </c>
    </row>
    <row r="988" spans="1:5" x14ac:dyDescent="0.2">
      <c r="A988" s="142" t="s">
        <v>1928</v>
      </c>
      <c r="B988" s="795">
        <f>'Part 3 DA summary'!$Q19</f>
        <v>0</v>
      </c>
    </row>
    <row r="989" spans="1:5" x14ac:dyDescent="0.2">
      <c r="A989" s="142" t="s">
        <v>1929</v>
      </c>
      <c r="B989" s="795">
        <f>'Part 3 DA summary'!$Q20</f>
        <v>0</v>
      </c>
    </row>
    <row r="990" spans="1:5" x14ac:dyDescent="0.2">
      <c r="A990" s="142" t="s">
        <v>1930</v>
      </c>
      <c r="B990" s="795">
        <f>'Part 3 DA summary'!$Q21</f>
        <v>0</v>
      </c>
    </row>
    <row r="991" spans="1:5" x14ac:dyDescent="0.2">
      <c r="A991" s="142" t="s">
        <v>1931</v>
      </c>
      <c r="B991" s="795">
        <f>'Part 3 DA summary'!$Q22</f>
        <v>0</v>
      </c>
    </row>
    <row r="992" spans="1:5" x14ac:dyDescent="0.2">
      <c r="A992" s="142" t="s">
        <v>1932</v>
      </c>
      <c r="B992" s="795">
        <f>'Part 3 DA summary'!$Q23</f>
        <v>0</v>
      </c>
    </row>
    <row r="993" spans="1:2" x14ac:dyDescent="0.2">
      <c r="A993" s="142" t="s">
        <v>1933</v>
      </c>
      <c r="B993" s="795">
        <f>'Part 3 DA summary'!$Q24</f>
        <v>0</v>
      </c>
    </row>
    <row r="994" spans="1:2" x14ac:dyDescent="0.2">
      <c r="A994" s="142" t="s">
        <v>1934</v>
      </c>
      <c r="B994" s="795">
        <f>'Part 3 DA summary'!$Q25</f>
        <v>0</v>
      </c>
    </row>
    <row r="995" spans="1:2" x14ac:dyDescent="0.2">
      <c r="A995" s="142" t="s">
        <v>1935</v>
      </c>
      <c r="B995" s="795">
        <f>'Part 3 DA summary'!$Q26</f>
        <v>0</v>
      </c>
    </row>
    <row r="996" spans="1:2" x14ac:dyDescent="0.2">
      <c r="A996" s="142" t="s">
        <v>1936</v>
      </c>
      <c r="B996" s="795">
        <f>'Part 3 DA summary'!$Q27</f>
        <v>0</v>
      </c>
    </row>
    <row r="997" spans="1:2" x14ac:dyDescent="0.2">
      <c r="A997" s="142" t="s">
        <v>1937</v>
      </c>
      <c r="B997" s="795">
        <f>'Part 3 DA summary'!$Q28</f>
        <v>0</v>
      </c>
    </row>
    <row r="998" spans="1:2" x14ac:dyDescent="0.2">
      <c r="A998" s="142" t="s">
        <v>1938</v>
      </c>
      <c r="B998" s="795">
        <f>'Part 3 DA summary'!$Q29</f>
        <v>0</v>
      </c>
    </row>
    <row r="999" spans="1:2" x14ac:dyDescent="0.2">
      <c r="A999" s="142" t="s">
        <v>1939</v>
      </c>
      <c r="B999" s="795">
        <f>'Part 3 DA summary'!$Q30</f>
        <v>0</v>
      </c>
    </row>
    <row r="1000" spans="1:2" x14ac:dyDescent="0.2">
      <c r="A1000" s="142" t="s">
        <v>1940</v>
      </c>
      <c r="B1000" s="795">
        <f>'Part 3 DA summary'!$Q31</f>
        <v>0</v>
      </c>
    </row>
    <row r="1001" spans="1:2" x14ac:dyDescent="0.2">
      <c r="A1001" s="142" t="s">
        <v>1941</v>
      </c>
      <c r="B1001" s="795">
        <f>'Part 3 DA summary'!$Q32</f>
        <v>0</v>
      </c>
    </row>
    <row r="1002" spans="1:2" x14ac:dyDescent="0.2">
      <c r="A1002" s="142" t="s">
        <v>1942</v>
      </c>
      <c r="B1002" s="795">
        <f>'Part 3 DA summary'!$Q33</f>
        <v>0</v>
      </c>
    </row>
    <row r="1003" spans="1:2" x14ac:dyDescent="0.2">
      <c r="A1003" s="142" t="s">
        <v>1943</v>
      </c>
      <c r="B1003" s="795">
        <f>'Part 3 DA summary'!$Q34</f>
        <v>0</v>
      </c>
    </row>
    <row r="1004" spans="1:2" x14ac:dyDescent="0.2">
      <c r="A1004" s="142" t="s">
        <v>1944</v>
      </c>
      <c r="B1004" s="795">
        <f>'Part 3 DA summary'!$Q35</f>
        <v>0</v>
      </c>
    </row>
    <row r="1005" spans="1:2" x14ac:dyDescent="0.2">
      <c r="A1005" s="142" t="s">
        <v>1945</v>
      </c>
      <c r="B1005" s="795">
        <f>'Part 3 DA summary'!$Q36</f>
        <v>0</v>
      </c>
    </row>
    <row r="1006" spans="1:2" x14ac:dyDescent="0.2">
      <c r="A1006" s="142" t="s">
        <v>1946</v>
      </c>
      <c r="B1006" s="795">
        <f>'Part 3 DA summary'!$Q37</f>
        <v>0</v>
      </c>
    </row>
    <row r="1007" spans="1:2" x14ac:dyDescent="0.2">
      <c r="A1007" s="142" t="s">
        <v>1947</v>
      </c>
      <c r="B1007" s="795">
        <f>'Part 3 DA summary'!$Q38</f>
        <v>0</v>
      </c>
    </row>
    <row r="1008" spans="1:2" x14ac:dyDescent="0.2">
      <c r="A1008" s="142" t="s">
        <v>1948</v>
      </c>
      <c r="B1008" s="795">
        <f>'Part 3 DA summary'!$Q39</f>
        <v>0</v>
      </c>
    </row>
    <row r="1009" spans="1:5" x14ac:dyDescent="0.2">
      <c r="A1009" s="142" t="s">
        <v>1949</v>
      </c>
      <c r="B1009" s="795">
        <f>'Part 3 DA summary'!$Q40</f>
        <v>0</v>
      </c>
    </row>
    <row r="1010" spans="1:5" x14ac:dyDescent="0.2">
      <c r="A1010" s="142" t="s">
        <v>1950</v>
      </c>
      <c r="B1010" s="795">
        <f>'Part 3 DA summary'!$Q41</f>
        <v>0</v>
      </c>
    </row>
    <row r="1011" spans="1:5" x14ac:dyDescent="0.2">
      <c r="A1011" s="142" t="s">
        <v>1951</v>
      </c>
      <c r="B1011" s="795">
        <f>'Part 3 DA summary'!$Q42</f>
        <v>0</v>
      </c>
    </row>
    <row r="1012" spans="1:5" x14ac:dyDescent="0.2">
      <c r="A1012" s="142" t="s">
        <v>1952</v>
      </c>
      <c r="B1012" s="795">
        <f>'Part 3 DA summary'!$Q43</f>
        <v>0</v>
      </c>
    </row>
    <row r="1013" spans="1:5" x14ac:dyDescent="0.2">
      <c r="A1013" s="142" t="s">
        <v>1953</v>
      </c>
      <c r="B1013" s="795">
        <f>'Part 3 DA summary'!$Q44</f>
        <v>0</v>
      </c>
    </row>
    <row r="1014" spans="1:5" x14ac:dyDescent="0.2">
      <c r="A1014" s="142" t="s">
        <v>1954</v>
      </c>
      <c r="B1014" s="795">
        <f>'Part 3 DA summary'!$Q45</f>
        <v>0</v>
      </c>
    </row>
    <row r="1015" spans="1:5" x14ac:dyDescent="0.2">
      <c r="A1015" s="142" t="s">
        <v>1955</v>
      </c>
      <c r="B1015" s="795">
        <f>'Part 3 DA summary'!$Q46</f>
        <v>0</v>
      </c>
    </row>
    <row r="1016" spans="1:5" x14ac:dyDescent="0.2">
      <c r="A1016" s="142" t="s">
        <v>1956</v>
      </c>
      <c r="B1016" s="795">
        <f>'Part 3 DA summary'!$Q47</f>
        <v>0</v>
      </c>
    </row>
    <row r="1017" spans="1:5" x14ac:dyDescent="0.2">
      <c r="A1017" s="142" t="s">
        <v>1957</v>
      </c>
      <c r="B1017" s="795">
        <f>'Part 3 DA summary'!$Q48</f>
        <v>0</v>
      </c>
    </row>
    <row r="1018" spans="1:5" x14ac:dyDescent="0.2">
      <c r="A1018" s="142" t="s">
        <v>1958</v>
      </c>
      <c r="B1018" s="795">
        <f>'Part 3 DA summary'!$Q49</f>
        <v>0</v>
      </c>
    </row>
    <row r="1019" spans="1:5" x14ac:dyDescent="0.2">
      <c r="A1019" s="142" t="s">
        <v>1959</v>
      </c>
      <c r="B1019" s="795">
        <f>'Part 3 DA summary'!$Q50</f>
        <v>0</v>
      </c>
    </row>
    <row r="1020" spans="1:5" x14ac:dyDescent="0.2">
      <c r="A1020" s="142" t="s">
        <v>1960</v>
      </c>
      <c r="B1020" s="795">
        <f>'Part 3 DA summary'!$Q51</f>
        <v>0</v>
      </c>
    </row>
    <row r="1021" spans="1:5" x14ac:dyDescent="0.2">
      <c r="A1021" s="142" t="s">
        <v>1961</v>
      </c>
      <c r="B1021" s="795">
        <f>'Part 3 DA summary'!$Q52</f>
        <v>0</v>
      </c>
    </row>
    <row r="1022" spans="1:5" x14ac:dyDescent="0.2">
      <c r="A1022" s="142" t="s">
        <v>1962</v>
      </c>
      <c r="B1022" s="795">
        <f>'Part 3 DA summary'!$Q53</f>
        <v>0</v>
      </c>
    </row>
    <row r="1023" spans="1:5" x14ac:dyDescent="0.2">
      <c r="A1023" s="397" t="s">
        <v>1963</v>
      </c>
      <c r="B1023" s="1062">
        <f>'Part 3 DA summary'!$S6</f>
        <v>0</v>
      </c>
      <c r="C1023" s="396"/>
      <c r="D1023" s="396"/>
      <c r="E1023" s="396"/>
    </row>
    <row r="1024" spans="1:5" x14ac:dyDescent="0.2">
      <c r="A1024" s="142" t="s">
        <v>1964</v>
      </c>
      <c r="B1024" s="795" t="str">
        <f>'Part 3 DA summary'!$S13</f>
        <v/>
      </c>
      <c r="C1024" s="795"/>
      <c r="D1024" s="795"/>
      <c r="E1024" s="795"/>
    </row>
    <row r="1025" spans="1:5" x14ac:dyDescent="0.2">
      <c r="A1025" s="142" t="s">
        <v>1965</v>
      </c>
      <c r="B1025" s="795" t="str">
        <f>'Part 3 DA summary'!$S14</f>
        <v/>
      </c>
      <c r="C1025" s="795"/>
      <c r="D1025" s="795"/>
      <c r="E1025" s="795"/>
    </row>
    <row r="1026" spans="1:5" x14ac:dyDescent="0.2">
      <c r="A1026" s="142" t="s">
        <v>1966</v>
      </c>
      <c r="B1026" s="795" t="str">
        <f>'Part 3 DA summary'!$S15</f>
        <v/>
      </c>
      <c r="C1026" s="795"/>
      <c r="D1026" s="795"/>
      <c r="E1026" s="795"/>
    </row>
    <row r="1027" spans="1:5" x14ac:dyDescent="0.2">
      <c r="A1027" s="142" t="s">
        <v>1967</v>
      </c>
      <c r="B1027" s="795" t="str">
        <f>'Part 3 DA summary'!$S16</f>
        <v/>
      </c>
      <c r="C1027" s="795"/>
      <c r="D1027" s="795"/>
      <c r="E1027" s="795"/>
    </row>
    <row r="1028" spans="1:5" x14ac:dyDescent="0.2">
      <c r="A1028" s="142" t="s">
        <v>1968</v>
      </c>
      <c r="B1028" s="795" t="str">
        <f>'Part 3 DA summary'!$S17</f>
        <v/>
      </c>
      <c r="C1028" s="795"/>
      <c r="D1028" s="795"/>
      <c r="E1028" s="795"/>
    </row>
    <row r="1029" spans="1:5" x14ac:dyDescent="0.2">
      <c r="A1029" s="142" t="s">
        <v>1969</v>
      </c>
      <c r="B1029" s="795" t="str">
        <f>'Part 3 DA summary'!$S18</f>
        <v/>
      </c>
      <c r="C1029" s="795"/>
      <c r="D1029" s="795"/>
      <c r="E1029" s="795"/>
    </row>
    <row r="1030" spans="1:5" x14ac:dyDescent="0.2">
      <c r="A1030" s="142" t="s">
        <v>1970</v>
      </c>
      <c r="B1030" s="795" t="str">
        <f>'Part 3 DA summary'!$S19</f>
        <v/>
      </c>
      <c r="C1030" s="795"/>
      <c r="D1030" s="795"/>
      <c r="E1030" s="795"/>
    </row>
    <row r="1031" spans="1:5" x14ac:dyDescent="0.2">
      <c r="A1031" s="142" t="s">
        <v>1971</v>
      </c>
      <c r="B1031" s="795" t="str">
        <f>'Part 3 DA summary'!$S20</f>
        <v/>
      </c>
      <c r="C1031" s="795"/>
      <c r="D1031" s="795"/>
      <c r="E1031" s="795"/>
    </row>
    <row r="1032" spans="1:5" x14ac:dyDescent="0.2">
      <c r="A1032" s="142" t="s">
        <v>1972</v>
      </c>
      <c r="B1032" s="795" t="str">
        <f>'Part 3 DA summary'!$S21</f>
        <v/>
      </c>
      <c r="C1032" s="795"/>
      <c r="D1032" s="795"/>
      <c r="E1032" s="795"/>
    </row>
    <row r="1033" spans="1:5" x14ac:dyDescent="0.2">
      <c r="A1033" s="142" t="s">
        <v>1973</v>
      </c>
      <c r="B1033" s="795" t="str">
        <f>'Part 3 DA summary'!$S22</f>
        <v/>
      </c>
      <c r="C1033" s="795"/>
      <c r="D1033" s="795"/>
      <c r="E1033" s="795"/>
    </row>
    <row r="1034" spans="1:5" x14ac:dyDescent="0.2">
      <c r="A1034" s="142" t="s">
        <v>1974</v>
      </c>
      <c r="B1034" s="795" t="str">
        <f>'Part 3 DA summary'!$S23</f>
        <v/>
      </c>
      <c r="C1034" s="795"/>
      <c r="D1034" s="795"/>
      <c r="E1034" s="795"/>
    </row>
    <row r="1035" spans="1:5" x14ac:dyDescent="0.2">
      <c r="A1035" s="142" t="s">
        <v>1975</v>
      </c>
      <c r="B1035" s="795" t="str">
        <f>'Part 3 DA summary'!$S24</f>
        <v/>
      </c>
      <c r="C1035" s="795"/>
      <c r="D1035" s="795"/>
      <c r="E1035" s="795"/>
    </row>
    <row r="1036" spans="1:5" x14ac:dyDescent="0.2">
      <c r="A1036" s="142" t="s">
        <v>1976</v>
      </c>
      <c r="B1036" s="795" t="str">
        <f>'Part 3 DA summary'!$S25</f>
        <v/>
      </c>
      <c r="C1036" s="795"/>
      <c r="D1036" s="795"/>
      <c r="E1036" s="795"/>
    </row>
    <row r="1037" spans="1:5" x14ac:dyDescent="0.2">
      <c r="A1037" s="142" t="s">
        <v>1977</v>
      </c>
      <c r="B1037" s="795" t="str">
        <f>'Part 3 DA summary'!$S26</f>
        <v/>
      </c>
      <c r="C1037" s="795"/>
      <c r="D1037" s="795"/>
      <c r="E1037" s="795"/>
    </row>
    <row r="1038" spans="1:5" x14ac:dyDescent="0.2">
      <c r="A1038" s="142" t="s">
        <v>1978</v>
      </c>
      <c r="B1038" s="795" t="str">
        <f>'Part 3 DA summary'!$S27</f>
        <v/>
      </c>
      <c r="C1038" s="795"/>
      <c r="D1038" s="795"/>
      <c r="E1038" s="795"/>
    </row>
    <row r="1039" spans="1:5" x14ac:dyDescent="0.2">
      <c r="A1039" s="142" t="s">
        <v>1979</v>
      </c>
      <c r="B1039" s="795" t="str">
        <f>'Part 3 DA summary'!$S28</f>
        <v/>
      </c>
      <c r="C1039" s="795"/>
      <c r="D1039" s="795"/>
      <c r="E1039" s="795"/>
    </row>
    <row r="1040" spans="1:5" x14ac:dyDescent="0.2">
      <c r="A1040" s="142" t="s">
        <v>1980</v>
      </c>
      <c r="B1040" s="795" t="str">
        <f>'Part 3 DA summary'!$S29</f>
        <v/>
      </c>
      <c r="C1040" s="795"/>
      <c r="D1040" s="795"/>
      <c r="E1040" s="795"/>
    </row>
    <row r="1041" spans="1:5" x14ac:dyDescent="0.2">
      <c r="A1041" s="142" t="s">
        <v>1981</v>
      </c>
      <c r="B1041" s="795" t="str">
        <f>'Part 3 DA summary'!$S30</f>
        <v/>
      </c>
      <c r="C1041" s="795"/>
      <c r="D1041" s="795"/>
      <c r="E1041" s="795"/>
    </row>
    <row r="1042" spans="1:5" x14ac:dyDescent="0.2">
      <c r="A1042" s="142" t="s">
        <v>1982</v>
      </c>
      <c r="B1042" s="795" t="str">
        <f>'Part 3 DA summary'!$S31</f>
        <v/>
      </c>
      <c r="C1042" s="795"/>
      <c r="D1042" s="795"/>
      <c r="E1042" s="795"/>
    </row>
    <row r="1043" spans="1:5" x14ac:dyDescent="0.2">
      <c r="A1043" s="142" t="s">
        <v>1983</v>
      </c>
      <c r="B1043" s="795" t="str">
        <f>'Part 3 DA summary'!$S32</f>
        <v/>
      </c>
      <c r="C1043" s="795"/>
      <c r="D1043" s="795"/>
      <c r="E1043" s="795"/>
    </row>
    <row r="1044" spans="1:5" x14ac:dyDescent="0.2">
      <c r="A1044" s="142" t="s">
        <v>1984</v>
      </c>
      <c r="B1044" s="795" t="str">
        <f>'Part 3 DA summary'!$S33</f>
        <v/>
      </c>
      <c r="C1044" s="795"/>
      <c r="D1044" s="795"/>
      <c r="E1044" s="795"/>
    </row>
    <row r="1045" spans="1:5" x14ac:dyDescent="0.2">
      <c r="A1045" s="142" t="s">
        <v>1985</v>
      </c>
      <c r="B1045" s="795" t="str">
        <f>'Part 3 DA summary'!$S34</f>
        <v/>
      </c>
      <c r="C1045" s="795"/>
      <c r="D1045" s="795"/>
      <c r="E1045" s="795"/>
    </row>
    <row r="1046" spans="1:5" x14ac:dyDescent="0.2">
      <c r="A1046" s="142" t="s">
        <v>1986</v>
      </c>
      <c r="B1046" s="795" t="str">
        <f>'Part 3 DA summary'!$S35</f>
        <v/>
      </c>
      <c r="C1046" s="795"/>
      <c r="D1046" s="795"/>
      <c r="E1046" s="795"/>
    </row>
    <row r="1047" spans="1:5" x14ac:dyDescent="0.2">
      <c r="A1047" s="142" t="s">
        <v>1987</v>
      </c>
      <c r="B1047" s="795" t="str">
        <f>'Part 3 DA summary'!$S36</f>
        <v/>
      </c>
      <c r="C1047" s="795"/>
      <c r="D1047" s="795"/>
      <c r="E1047" s="795"/>
    </row>
    <row r="1048" spans="1:5" x14ac:dyDescent="0.2">
      <c r="A1048" s="142" t="s">
        <v>1988</v>
      </c>
      <c r="B1048" s="795" t="str">
        <f>'Part 3 DA summary'!$S37</f>
        <v/>
      </c>
      <c r="C1048" s="795"/>
      <c r="D1048" s="795"/>
      <c r="E1048" s="795"/>
    </row>
    <row r="1049" spans="1:5" x14ac:dyDescent="0.2">
      <c r="A1049" s="142" t="s">
        <v>1989</v>
      </c>
      <c r="B1049" s="795" t="str">
        <f>'Part 3 DA summary'!$S38</f>
        <v/>
      </c>
      <c r="C1049" s="795"/>
      <c r="D1049" s="795"/>
      <c r="E1049" s="795"/>
    </row>
    <row r="1050" spans="1:5" x14ac:dyDescent="0.2">
      <c r="A1050" s="142" t="s">
        <v>1990</v>
      </c>
      <c r="B1050" s="795" t="str">
        <f>'Part 3 DA summary'!$S39</f>
        <v/>
      </c>
      <c r="C1050" s="795"/>
      <c r="D1050" s="795"/>
      <c r="E1050" s="795"/>
    </row>
    <row r="1051" spans="1:5" x14ac:dyDescent="0.2">
      <c r="A1051" s="142" t="s">
        <v>1991</v>
      </c>
      <c r="B1051" s="795" t="str">
        <f>'Part 3 DA summary'!$S40</f>
        <v/>
      </c>
      <c r="C1051" s="795"/>
      <c r="D1051" s="795"/>
      <c r="E1051" s="795"/>
    </row>
    <row r="1052" spans="1:5" x14ac:dyDescent="0.2">
      <c r="A1052" s="142" t="s">
        <v>1992</v>
      </c>
      <c r="B1052" s="795" t="str">
        <f>'Part 3 DA summary'!$S41</f>
        <v/>
      </c>
      <c r="C1052" s="795"/>
      <c r="D1052" s="795"/>
      <c r="E1052" s="795"/>
    </row>
    <row r="1053" spans="1:5" x14ac:dyDescent="0.2">
      <c r="A1053" s="142" t="s">
        <v>1993</v>
      </c>
      <c r="B1053" s="795" t="str">
        <f>'Part 3 DA summary'!$S42</f>
        <v/>
      </c>
      <c r="C1053" s="795"/>
      <c r="D1053" s="795"/>
      <c r="E1053" s="795"/>
    </row>
    <row r="1054" spans="1:5" x14ac:dyDescent="0.2">
      <c r="A1054" s="142" t="s">
        <v>1994</v>
      </c>
      <c r="B1054" s="795" t="str">
        <f>'Part 3 DA summary'!$S43</f>
        <v/>
      </c>
      <c r="C1054" s="795"/>
      <c r="D1054" s="795"/>
      <c r="E1054" s="795"/>
    </row>
    <row r="1055" spans="1:5" x14ac:dyDescent="0.2">
      <c r="A1055" s="142" t="s">
        <v>1995</v>
      </c>
      <c r="B1055" s="795" t="str">
        <f>'Part 3 DA summary'!$S44</f>
        <v/>
      </c>
      <c r="C1055" s="795"/>
      <c r="D1055" s="795"/>
      <c r="E1055" s="795"/>
    </row>
    <row r="1056" spans="1:5" x14ac:dyDescent="0.2">
      <c r="A1056" s="142" t="s">
        <v>1996</v>
      </c>
      <c r="B1056" s="795" t="str">
        <f>'Part 3 DA summary'!$S45</f>
        <v/>
      </c>
      <c r="C1056" s="795"/>
      <c r="D1056" s="795"/>
      <c r="E1056" s="795"/>
    </row>
    <row r="1057" spans="1:5" x14ac:dyDescent="0.2">
      <c r="A1057" s="142" t="s">
        <v>1997</v>
      </c>
      <c r="B1057" s="795" t="str">
        <f>'Part 3 DA summary'!$S46</f>
        <v/>
      </c>
      <c r="C1057" s="795"/>
      <c r="D1057" s="795"/>
      <c r="E1057" s="795"/>
    </row>
    <row r="1058" spans="1:5" x14ac:dyDescent="0.2">
      <c r="A1058" s="142" t="s">
        <v>1998</v>
      </c>
      <c r="B1058" s="795" t="str">
        <f>'Part 3 DA summary'!$S47</f>
        <v/>
      </c>
      <c r="C1058" s="795"/>
      <c r="D1058" s="795"/>
      <c r="E1058" s="795"/>
    </row>
    <row r="1059" spans="1:5" x14ac:dyDescent="0.2">
      <c r="A1059" s="142" t="s">
        <v>1999</v>
      </c>
      <c r="B1059" s="795" t="str">
        <f>'Part 3 DA summary'!$S48</f>
        <v/>
      </c>
      <c r="C1059" s="795"/>
      <c r="D1059" s="795"/>
      <c r="E1059" s="795"/>
    </row>
    <row r="1060" spans="1:5" x14ac:dyDescent="0.2">
      <c r="A1060" s="142" t="s">
        <v>2000</v>
      </c>
      <c r="B1060" s="795" t="str">
        <f>'Part 3 DA summary'!$S49</f>
        <v/>
      </c>
      <c r="C1060" s="795"/>
      <c r="D1060" s="795"/>
      <c r="E1060" s="795"/>
    </row>
    <row r="1061" spans="1:5" x14ac:dyDescent="0.2">
      <c r="A1061" s="142" t="s">
        <v>2001</v>
      </c>
      <c r="B1061" s="795" t="str">
        <f>'Part 3 DA summary'!$S50</f>
        <v/>
      </c>
      <c r="C1061" s="795"/>
      <c r="D1061" s="795"/>
      <c r="E1061" s="795"/>
    </row>
    <row r="1062" spans="1:5" x14ac:dyDescent="0.2">
      <c r="A1062" s="142" t="s">
        <v>2002</v>
      </c>
      <c r="B1062" s="795" t="str">
        <f>'Part 3 DA summary'!$S51</f>
        <v/>
      </c>
      <c r="C1062" s="795"/>
      <c r="D1062" s="795"/>
      <c r="E1062" s="795"/>
    </row>
    <row r="1063" spans="1:5" x14ac:dyDescent="0.2">
      <c r="A1063" s="142" t="s">
        <v>2003</v>
      </c>
      <c r="B1063" s="795" t="str">
        <f>'Part 3 DA summary'!$S52</f>
        <v/>
      </c>
      <c r="C1063" s="795"/>
      <c r="D1063" s="795"/>
      <c r="E1063" s="795"/>
    </row>
    <row r="1064" spans="1:5" x14ac:dyDescent="0.2">
      <c r="A1064" s="142" t="s">
        <v>2004</v>
      </c>
      <c r="B1064" s="795" t="str">
        <f>'Part 3 DA summary'!$S53</f>
        <v/>
      </c>
      <c r="C1064" s="795"/>
      <c r="D1064" s="795"/>
      <c r="E1064" s="795"/>
    </row>
    <row r="1065" spans="1:5" x14ac:dyDescent="0.2">
      <c r="A1065" s="397" t="s">
        <v>2005</v>
      </c>
      <c r="B1065" s="1062">
        <f>'Part 3 DA summary'!$U6</f>
        <v>0</v>
      </c>
      <c r="C1065" s="396"/>
      <c r="D1065" s="396"/>
      <c r="E1065" s="396"/>
    </row>
    <row r="1066" spans="1:5" x14ac:dyDescent="0.2">
      <c r="A1066" s="142" t="s">
        <v>2006</v>
      </c>
      <c r="B1066" s="795" t="str">
        <f>'Part 3 DA summary'!$U13</f>
        <v/>
      </c>
    </row>
    <row r="1067" spans="1:5" x14ac:dyDescent="0.2">
      <c r="A1067" s="142" t="s">
        <v>2007</v>
      </c>
      <c r="B1067" s="795" t="str">
        <f>'Part 3 DA summary'!$U14</f>
        <v/>
      </c>
    </row>
    <row r="1068" spans="1:5" x14ac:dyDescent="0.2">
      <c r="A1068" s="142" t="s">
        <v>2008</v>
      </c>
      <c r="B1068" s="795" t="str">
        <f>'Part 3 DA summary'!$U15</f>
        <v/>
      </c>
    </row>
    <row r="1069" spans="1:5" x14ac:dyDescent="0.2">
      <c r="A1069" s="142" t="s">
        <v>2009</v>
      </c>
      <c r="B1069" s="795" t="str">
        <f>'Part 3 DA summary'!$U16</f>
        <v/>
      </c>
    </row>
    <row r="1070" spans="1:5" x14ac:dyDescent="0.2">
      <c r="A1070" s="142" t="s">
        <v>2010</v>
      </c>
      <c r="B1070" s="795" t="str">
        <f>'Part 3 DA summary'!$U17</f>
        <v/>
      </c>
    </row>
    <row r="1071" spans="1:5" x14ac:dyDescent="0.2">
      <c r="A1071" s="142" t="s">
        <v>2011</v>
      </c>
      <c r="B1071" s="795" t="str">
        <f>'Part 3 DA summary'!$U18</f>
        <v/>
      </c>
    </row>
    <row r="1072" spans="1:5" x14ac:dyDescent="0.2">
      <c r="A1072" s="142" t="s">
        <v>2012</v>
      </c>
      <c r="B1072" s="795" t="str">
        <f>'Part 3 DA summary'!$U19</f>
        <v/>
      </c>
    </row>
    <row r="1073" spans="1:2" x14ac:dyDescent="0.2">
      <c r="A1073" s="142" t="s">
        <v>2013</v>
      </c>
      <c r="B1073" s="795" t="str">
        <f>'Part 3 DA summary'!$U20</f>
        <v/>
      </c>
    </row>
    <row r="1074" spans="1:2" x14ac:dyDescent="0.2">
      <c r="A1074" s="142" t="s">
        <v>2014</v>
      </c>
      <c r="B1074" s="795" t="str">
        <f>'Part 3 DA summary'!$U21</f>
        <v/>
      </c>
    </row>
    <row r="1075" spans="1:2" x14ac:dyDescent="0.2">
      <c r="A1075" s="142" t="s">
        <v>2015</v>
      </c>
      <c r="B1075" s="795" t="str">
        <f>'Part 3 DA summary'!$U22</f>
        <v/>
      </c>
    </row>
    <row r="1076" spans="1:2" x14ac:dyDescent="0.2">
      <c r="A1076" s="142" t="s">
        <v>2016</v>
      </c>
      <c r="B1076" s="795" t="str">
        <f>'Part 3 DA summary'!$U23</f>
        <v/>
      </c>
    </row>
    <row r="1077" spans="1:2" x14ac:dyDescent="0.2">
      <c r="A1077" s="142" t="s">
        <v>2017</v>
      </c>
      <c r="B1077" s="795" t="str">
        <f>'Part 3 DA summary'!$U24</f>
        <v/>
      </c>
    </row>
    <row r="1078" spans="1:2" x14ac:dyDescent="0.2">
      <c r="A1078" s="142" t="s">
        <v>2018</v>
      </c>
      <c r="B1078" s="795" t="str">
        <f>'Part 3 DA summary'!$U25</f>
        <v/>
      </c>
    </row>
    <row r="1079" spans="1:2" x14ac:dyDescent="0.2">
      <c r="A1079" s="142" t="s">
        <v>2019</v>
      </c>
      <c r="B1079" s="795" t="str">
        <f>'Part 3 DA summary'!$U26</f>
        <v/>
      </c>
    </row>
    <row r="1080" spans="1:2" x14ac:dyDescent="0.2">
      <c r="A1080" s="142" t="s">
        <v>2020</v>
      </c>
      <c r="B1080" s="795" t="str">
        <f>'Part 3 DA summary'!$U27</f>
        <v/>
      </c>
    </row>
    <row r="1081" spans="1:2" x14ac:dyDescent="0.2">
      <c r="A1081" s="142" t="s">
        <v>2021</v>
      </c>
      <c r="B1081" s="795" t="str">
        <f>'Part 3 DA summary'!$U28</f>
        <v/>
      </c>
    </row>
    <row r="1082" spans="1:2" x14ac:dyDescent="0.2">
      <c r="A1082" s="142" t="s">
        <v>2022</v>
      </c>
      <c r="B1082" s="795" t="str">
        <f>'Part 3 DA summary'!$U29</f>
        <v/>
      </c>
    </row>
    <row r="1083" spans="1:2" x14ac:dyDescent="0.2">
      <c r="A1083" s="142" t="s">
        <v>2023</v>
      </c>
      <c r="B1083" s="795" t="str">
        <f>'Part 3 DA summary'!$U30</f>
        <v/>
      </c>
    </row>
    <row r="1084" spans="1:2" x14ac:dyDescent="0.2">
      <c r="A1084" s="142" t="s">
        <v>2024</v>
      </c>
      <c r="B1084" s="795" t="str">
        <f>'Part 3 DA summary'!$U31</f>
        <v/>
      </c>
    </row>
    <row r="1085" spans="1:2" x14ac:dyDescent="0.2">
      <c r="A1085" s="142" t="s">
        <v>2025</v>
      </c>
      <c r="B1085" s="795" t="str">
        <f>'Part 3 DA summary'!$U32</f>
        <v/>
      </c>
    </row>
    <row r="1086" spans="1:2" x14ac:dyDescent="0.2">
      <c r="A1086" s="142" t="s">
        <v>2026</v>
      </c>
      <c r="B1086" s="795" t="str">
        <f>'Part 3 DA summary'!$U33</f>
        <v/>
      </c>
    </row>
    <row r="1087" spans="1:2" x14ac:dyDescent="0.2">
      <c r="A1087" s="142" t="s">
        <v>2027</v>
      </c>
      <c r="B1087" s="795" t="str">
        <f>'Part 3 DA summary'!$U34</f>
        <v/>
      </c>
    </row>
    <row r="1088" spans="1:2" x14ac:dyDescent="0.2">
      <c r="A1088" s="142" t="s">
        <v>2028</v>
      </c>
      <c r="B1088" s="795" t="str">
        <f>'Part 3 DA summary'!$U35</f>
        <v/>
      </c>
    </row>
    <row r="1089" spans="1:2" x14ac:dyDescent="0.2">
      <c r="A1089" s="142" t="s">
        <v>2029</v>
      </c>
      <c r="B1089" s="795" t="str">
        <f>'Part 3 DA summary'!$U36</f>
        <v/>
      </c>
    </row>
    <row r="1090" spans="1:2" x14ac:dyDescent="0.2">
      <c r="A1090" s="142" t="s">
        <v>2030</v>
      </c>
      <c r="B1090" s="795" t="str">
        <f>'Part 3 DA summary'!$U37</f>
        <v/>
      </c>
    </row>
    <row r="1091" spans="1:2" x14ac:dyDescent="0.2">
      <c r="A1091" s="142" t="s">
        <v>2031</v>
      </c>
      <c r="B1091" s="795" t="str">
        <f>'Part 3 DA summary'!$U38</f>
        <v/>
      </c>
    </row>
    <row r="1092" spans="1:2" x14ac:dyDescent="0.2">
      <c r="A1092" s="142" t="s">
        <v>2032</v>
      </c>
      <c r="B1092" s="795" t="str">
        <f>'Part 3 DA summary'!$U39</f>
        <v/>
      </c>
    </row>
    <row r="1093" spans="1:2" x14ac:dyDescent="0.2">
      <c r="A1093" s="142" t="s">
        <v>2033</v>
      </c>
      <c r="B1093" s="795" t="str">
        <f>'Part 3 DA summary'!$U40</f>
        <v/>
      </c>
    </row>
    <row r="1094" spans="1:2" x14ac:dyDescent="0.2">
      <c r="A1094" s="142" t="s">
        <v>2034</v>
      </c>
      <c r="B1094" s="795" t="str">
        <f>'Part 3 DA summary'!$U41</f>
        <v/>
      </c>
    </row>
    <row r="1095" spans="1:2" x14ac:dyDescent="0.2">
      <c r="A1095" s="142" t="s">
        <v>2035</v>
      </c>
      <c r="B1095" s="795" t="str">
        <f>'Part 3 DA summary'!$U42</f>
        <v/>
      </c>
    </row>
    <row r="1096" spans="1:2" x14ac:dyDescent="0.2">
      <c r="A1096" s="142" t="s">
        <v>2036</v>
      </c>
      <c r="B1096" s="795" t="str">
        <f>'Part 3 DA summary'!$U43</f>
        <v/>
      </c>
    </row>
    <row r="1097" spans="1:2" x14ac:dyDescent="0.2">
      <c r="A1097" s="142" t="s">
        <v>2037</v>
      </c>
      <c r="B1097" s="795" t="str">
        <f>'Part 3 DA summary'!$U44</f>
        <v/>
      </c>
    </row>
    <row r="1098" spans="1:2" x14ac:dyDescent="0.2">
      <c r="A1098" s="142" t="s">
        <v>2038</v>
      </c>
      <c r="B1098" s="795" t="str">
        <f>'Part 3 DA summary'!$U45</f>
        <v/>
      </c>
    </row>
    <row r="1099" spans="1:2" x14ac:dyDescent="0.2">
      <c r="A1099" s="142" t="s">
        <v>2039</v>
      </c>
      <c r="B1099" s="795" t="str">
        <f>'Part 3 DA summary'!$U46</f>
        <v/>
      </c>
    </row>
    <row r="1100" spans="1:2" x14ac:dyDescent="0.2">
      <c r="A1100" s="142" t="s">
        <v>2040</v>
      </c>
      <c r="B1100" s="795" t="str">
        <f>'Part 3 DA summary'!$U47</f>
        <v/>
      </c>
    </row>
    <row r="1101" spans="1:2" x14ac:dyDescent="0.2">
      <c r="A1101" s="142" t="s">
        <v>2041</v>
      </c>
      <c r="B1101" s="795" t="str">
        <f>'Part 3 DA summary'!$U48</f>
        <v/>
      </c>
    </row>
    <row r="1102" spans="1:2" x14ac:dyDescent="0.2">
      <c r="A1102" s="142" t="s">
        <v>2042</v>
      </c>
      <c r="B1102" s="795" t="str">
        <f>'Part 3 DA summary'!$U49</f>
        <v/>
      </c>
    </row>
    <row r="1103" spans="1:2" x14ac:dyDescent="0.2">
      <c r="A1103" s="142" t="s">
        <v>2043</v>
      </c>
      <c r="B1103" s="795" t="str">
        <f>'Part 3 DA summary'!$U50</f>
        <v/>
      </c>
    </row>
    <row r="1104" spans="1:2" x14ac:dyDescent="0.2">
      <c r="A1104" s="142" t="s">
        <v>2044</v>
      </c>
      <c r="B1104" s="795" t="str">
        <f>'Part 3 DA summary'!$U51</f>
        <v/>
      </c>
    </row>
    <row r="1105" spans="1:5" x14ac:dyDescent="0.2">
      <c r="A1105" s="142" t="s">
        <v>2045</v>
      </c>
      <c r="B1105" s="795" t="str">
        <f>'Part 3 DA summary'!$U52</f>
        <v/>
      </c>
    </row>
    <row r="1106" spans="1:5" x14ac:dyDescent="0.2">
      <c r="A1106" s="142" t="s">
        <v>2046</v>
      </c>
      <c r="B1106" s="795" t="str">
        <f>'Part 3 DA summary'!$U53</f>
        <v/>
      </c>
    </row>
    <row r="1107" spans="1:5" x14ac:dyDescent="0.2">
      <c r="A1107" s="397" t="s">
        <v>2047</v>
      </c>
      <c r="B1107" s="1062">
        <f>'Part 3 DA summary'!$W6</f>
        <v>0</v>
      </c>
      <c r="C1107" s="396"/>
      <c r="D1107" s="396"/>
      <c r="E1107" s="396"/>
    </row>
    <row r="1108" spans="1:5" x14ac:dyDescent="0.2">
      <c r="A1108" s="142" t="s">
        <v>2048</v>
      </c>
      <c r="B1108" s="795">
        <f>'Part 3 DA summary'!$W13</f>
        <v>0</v>
      </c>
    </row>
    <row r="1109" spans="1:5" x14ac:dyDescent="0.2">
      <c r="A1109" s="142" t="s">
        <v>2049</v>
      </c>
      <c r="B1109" s="795">
        <f>'Part 3 DA summary'!$W14</f>
        <v>0</v>
      </c>
    </row>
    <row r="1110" spans="1:5" x14ac:dyDescent="0.2">
      <c r="A1110" s="142" t="s">
        <v>2050</v>
      </c>
      <c r="B1110" s="795">
        <f>'Part 3 DA summary'!$W15</f>
        <v>0</v>
      </c>
    </row>
    <row r="1111" spans="1:5" x14ac:dyDescent="0.2">
      <c r="A1111" s="142" t="s">
        <v>2051</v>
      </c>
      <c r="B1111" s="795">
        <f>'Part 3 DA summary'!$W16</f>
        <v>0</v>
      </c>
    </row>
    <row r="1112" spans="1:5" x14ac:dyDescent="0.2">
      <c r="A1112" s="142" t="s">
        <v>2052</v>
      </c>
      <c r="B1112" s="795">
        <f>'Part 3 DA summary'!$W17</f>
        <v>0</v>
      </c>
    </row>
    <row r="1113" spans="1:5" x14ac:dyDescent="0.2">
      <c r="A1113" s="142" t="s">
        <v>2053</v>
      </c>
      <c r="B1113" s="795">
        <f>'Part 3 DA summary'!$W18</f>
        <v>0</v>
      </c>
    </row>
    <row r="1114" spans="1:5" x14ac:dyDescent="0.2">
      <c r="A1114" s="142" t="s">
        <v>2054</v>
      </c>
      <c r="B1114" s="795">
        <f>'Part 3 DA summary'!$W19</f>
        <v>0</v>
      </c>
    </row>
    <row r="1115" spans="1:5" x14ac:dyDescent="0.2">
      <c r="A1115" s="142" t="s">
        <v>2055</v>
      </c>
      <c r="B1115" s="795">
        <f>'Part 3 DA summary'!$W20</f>
        <v>0</v>
      </c>
    </row>
    <row r="1116" spans="1:5" x14ac:dyDescent="0.2">
      <c r="A1116" s="142" t="s">
        <v>2056</v>
      </c>
      <c r="B1116" s="795">
        <f>'Part 3 DA summary'!$W21</f>
        <v>0</v>
      </c>
    </row>
    <row r="1117" spans="1:5" x14ac:dyDescent="0.2">
      <c r="A1117" s="142" t="s">
        <v>2057</v>
      </c>
      <c r="B1117" s="795">
        <f>'Part 3 DA summary'!$W22</f>
        <v>0</v>
      </c>
    </row>
    <row r="1118" spans="1:5" x14ac:dyDescent="0.2">
      <c r="A1118" s="142" t="s">
        <v>2058</v>
      </c>
      <c r="B1118" s="795">
        <f>'Part 3 DA summary'!$W23</f>
        <v>0</v>
      </c>
    </row>
    <row r="1119" spans="1:5" x14ac:dyDescent="0.2">
      <c r="A1119" s="142" t="s">
        <v>2059</v>
      </c>
      <c r="B1119" s="795">
        <f>'Part 3 DA summary'!$W24</f>
        <v>0</v>
      </c>
    </row>
    <row r="1120" spans="1:5" x14ac:dyDescent="0.2">
      <c r="A1120" s="142" t="s">
        <v>2060</v>
      </c>
      <c r="B1120" s="795">
        <f>'Part 3 DA summary'!$W25</f>
        <v>0</v>
      </c>
    </row>
    <row r="1121" spans="1:2" x14ac:dyDescent="0.2">
      <c r="A1121" s="142" t="s">
        <v>2061</v>
      </c>
      <c r="B1121" s="795">
        <f>'Part 3 DA summary'!$W26</f>
        <v>0</v>
      </c>
    </row>
    <row r="1122" spans="1:2" x14ac:dyDescent="0.2">
      <c r="A1122" s="142" t="s">
        <v>2062</v>
      </c>
      <c r="B1122" s="795">
        <f>'Part 3 DA summary'!$W27</f>
        <v>0</v>
      </c>
    </row>
    <row r="1123" spans="1:2" x14ac:dyDescent="0.2">
      <c r="A1123" s="142" t="s">
        <v>2063</v>
      </c>
      <c r="B1123" s="795">
        <f>'Part 3 DA summary'!$W28</f>
        <v>0</v>
      </c>
    </row>
    <row r="1124" spans="1:2" x14ac:dyDescent="0.2">
      <c r="A1124" s="142" t="s">
        <v>2064</v>
      </c>
      <c r="B1124" s="795">
        <f>'Part 3 DA summary'!$W29</f>
        <v>0</v>
      </c>
    </row>
    <row r="1125" spans="1:2" x14ac:dyDescent="0.2">
      <c r="A1125" s="142" t="s">
        <v>2065</v>
      </c>
      <c r="B1125" s="795">
        <f>'Part 3 DA summary'!$W30</f>
        <v>0</v>
      </c>
    </row>
    <row r="1126" spans="1:2" x14ac:dyDescent="0.2">
      <c r="A1126" s="142" t="s">
        <v>2066</v>
      </c>
      <c r="B1126" s="795">
        <f>'Part 3 DA summary'!$W31</f>
        <v>0</v>
      </c>
    </row>
    <row r="1127" spans="1:2" x14ac:dyDescent="0.2">
      <c r="A1127" s="142" t="s">
        <v>2067</v>
      </c>
      <c r="B1127" s="795">
        <f>'Part 3 DA summary'!$W32</f>
        <v>0</v>
      </c>
    </row>
    <row r="1128" spans="1:2" x14ac:dyDescent="0.2">
      <c r="A1128" s="142" t="s">
        <v>2068</v>
      </c>
      <c r="B1128" s="795">
        <f>'Part 3 DA summary'!$W33</f>
        <v>0</v>
      </c>
    </row>
    <row r="1129" spans="1:2" x14ac:dyDescent="0.2">
      <c r="A1129" s="142" t="s">
        <v>2069</v>
      </c>
      <c r="B1129" s="795">
        <f>'Part 3 DA summary'!$W34</f>
        <v>0</v>
      </c>
    </row>
    <row r="1130" spans="1:2" x14ac:dyDescent="0.2">
      <c r="A1130" s="142" t="s">
        <v>2070</v>
      </c>
      <c r="B1130" s="795">
        <f>'Part 3 DA summary'!$W35</f>
        <v>0</v>
      </c>
    </row>
    <row r="1131" spans="1:2" x14ac:dyDescent="0.2">
      <c r="A1131" s="142" t="s">
        <v>2071</v>
      </c>
      <c r="B1131" s="795">
        <f>'Part 3 DA summary'!$W36</f>
        <v>0</v>
      </c>
    </row>
    <row r="1132" spans="1:2" x14ac:dyDescent="0.2">
      <c r="A1132" s="142" t="s">
        <v>2072</v>
      </c>
      <c r="B1132" s="795">
        <f>'Part 3 DA summary'!$W37</f>
        <v>0</v>
      </c>
    </row>
    <row r="1133" spans="1:2" x14ac:dyDescent="0.2">
      <c r="A1133" s="142" t="s">
        <v>2073</v>
      </c>
      <c r="B1133" s="795">
        <f>'Part 3 DA summary'!$W38</f>
        <v>0</v>
      </c>
    </row>
    <row r="1134" spans="1:2" x14ac:dyDescent="0.2">
      <c r="A1134" s="142" t="s">
        <v>2074</v>
      </c>
      <c r="B1134" s="795">
        <f>'Part 3 DA summary'!$W39</f>
        <v>0</v>
      </c>
    </row>
    <row r="1135" spans="1:2" x14ac:dyDescent="0.2">
      <c r="A1135" s="142" t="s">
        <v>2075</v>
      </c>
      <c r="B1135" s="795">
        <f>'Part 3 DA summary'!$W40</f>
        <v>0</v>
      </c>
    </row>
    <row r="1136" spans="1:2" x14ac:dyDescent="0.2">
      <c r="A1136" s="142" t="s">
        <v>2076</v>
      </c>
      <c r="B1136" s="795">
        <f>'Part 3 DA summary'!$W41</f>
        <v>0</v>
      </c>
    </row>
    <row r="1137" spans="1:5" x14ac:dyDescent="0.2">
      <c r="A1137" s="142" t="s">
        <v>2077</v>
      </c>
      <c r="B1137" s="795">
        <f>'Part 3 DA summary'!$W42</f>
        <v>0</v>
      </c>
    </row>
    <row r="1138" spans="1:5" x14ac:dyDescent="0.2">
      <c r="A1138" s="142" t="s">
        <v>2078</v>
      </c>
      <c r="B1138" s="795">
        <f>'Part 3 DA summary'!$W43</f>
        <v>0</v>
      </c>
    </row>
    <row r="1139" spans="1:5" x14ac:dyDescent="0.2">
      <c r="A1139" s="142" t="s">
        <v>2079</v>
      </c>
      <c r="B1139" s="795">
        <f>'Part 3 DA summary'!$W44</f>
        <v>0</v>
      </c>
    </row>
    <row r="1140" spans="1:5" x14ac:dyDescent="0.2">
      <c r="A1140" s="142" t="s">
        <v>2080</v>
      </c>
      <c r="B1140" s="795">
        <f>'Part 3 DA summary'!$W45</f>
        <v>0</v>
      </c>
    </row>
    <row r="1141" spans="1:5" x14ac:dyDescent="0.2">
      <c r="A1141" s="142" t="s">
        <v>2081</v>
      </c>
      <c r="B1141" s="795">
        <f>'Part 3 DA summary'!$W46</f>
        <v>0</v>
      </c>
    </row>
    <row r="1142" spans="1:5" x14ac:dyDescent="0.2">
      <c r="A1142" s="142" t="s">
        <v>2082</v>
      </c>
      <c r="B1142" s="795">
        <f>'Part 3 DA summary'!$W47</f>
        <v>0</v>
      </c>
    </row>
    <row r="1143" spans="1:5" x14ac:dyDescent="0.2">
      <c r="A1143" s="142" t="s">
        <v>2083</v>
      </c>
      <c r="B1143" s="795">
        <f>'Part 3 DA summary'!$W48</f>
        <v>0</v>
      </c>
    </row>
    <row r="1144" spans="1:5" x14ac:dyDescent="0.2">
      <c r="A1144" s="142" t="s">
        <v>2084</v>
      </c>
      <c r="B1144" s="795">
        <f>'Part 3 DA summary'!$W49</f>
        <v>0</v>
      </c>
    </row>
    <row r="1145" spans="1:5" x14ac:dyDescent="0.2">
      <c r="A1145" s="142" t="s">
        <v>2085</v>
      </c>
      <c r="B1145" s="795">
        <f>'Part 3 DA summary'!$W50</f>
        <v>0</v>
      </c>
    </row>
    <row r="1146" spans="1:5" x14ac:dyDescent="0.2">
      <c r="A1146" s="142" t="s">
        <v>2086</v>
      </c>
      <c r="B1146" s="795">
        <f>'Part 3 DA summary'!$W51</f>
        <v>0</v>
      </c>
    </row>
    <row r="1147" spans="1:5" x14ac:dyDescent="0.2">
      <c r="A1147" s="142" t="s">
        <v>2087</v>
      </c>
      <c r="B1147" s="795">
        <f>'Part 3 DA summary'!$W52</f>
        <v>0</v>
      </c>
    </row>
    <row r="1148" spans="1:5" x14ac:dyDescent="0.2">
      <c r="A1148" s="142" t="s">
        <v>2088</v>
      </c>
      <c r="B1148" s="795">
        <f>'Part 3 DA summary'!$W53</f>
        <v>0</v>
      </c>
    </row>
    <row r="1149" spans="1:5" x14ac:dyDescent="0.2">
      <c r="A1149" s="397" t="s">
        <v>2089</v>
      </c>
      <c r="B1149" s="1062">
        <f>'Part 3 DA summary'!$AA6</f>
        <v>0</v>
      </c>
      <c r="C1149" s="396"/>
      <c r="D1149" s="396"/>
      <c r="E1149" s="396"/>
    </row>
    <row r="1150" spans="1:5" x14ac:dyDescent="0.2">
      <c r="A1150" s="142" t="s">
        <v>2090</v>
      </c>
      <c r="B1150" s="795" t="str">
        <f>'Part 3 DA summary'!$AA13</f>
        <v/>
      </c>
    </row>
    <row r="1151" spans="1:5" x14ac:dyDescent="0.2">
      <c r="A1151" s="142" t="s">
        <v>2091</v>
      </c>
      <c r="B1151" s="795" t="str">
        <f>'Part 3 DA summary'!$AA14</f>
        <v/>
      </c>
    </row>
    <row r="1152" spans="1:5" x14ac:dyDescent="0.2">
      <c r="A1152" s="142" t="s">
        <v>2092</v>
      </c>
      <c r="B1152" s="795" t="str">
        <f>'Part 3 DA summary'!$AA15</f>
        <v/>
      </c>
    </row>
    <row r="1153" spans="1:2" x14ac:dyDescent="0.2">
      <c r="A1153" s="142" t="s">
        <v>2093</v>
      </c>
      <c r="B1153" s="795" t="str">
        <f>'Part 3 DA summary'!$AA16</f>
        <v/>
      </c>
    </row>
    <row r="1154" spans="1:2" x14ac:dyDescent="0.2">
      <c r="A1154" s="142" t="s">
        <v>2094</v>
      </c>
      <c r="B1154" s="795" t="str">
        <f>'Part 3 DA summary'!$AA17</f>
        <v/>
      </c>
    </row>
    <row r="1155" spans="1:2" x14ac:dyDescent="0.2">
      <c r="A1155" s="142" t="s">
        <v>2095</v>
      </c>
      <c r="B1155" s="795" t="str">
        <f>'Part 3 DA summary'!$AA18</f>
        <v/>
      </c>
    </row>
    <row r="1156" spans="1:2" x14ac:dyDescent="0.2">
      <c r="A1156" s="142" t="s">
        <v>2096</v>
      </c>
      <c r="B1156" s="795" t="str">
        <f>'Part 3 DA summary'!$AA19</f>
        <v/>
      </c>
    </row>
    <row r="1157" spans="1:2" x14ac:dyDescent="0.2">
      <c r="A1157" s="142" t="s">
        <v>2097</v>
      </c>
      <c r="B1157" s="795" t="str">
        <f>'Part 3 DA summary'!$AA20</f>
        <v/>
      </c>
    </row>
    <row r="1158" spans="1:2" x14ac:dyDescent="0.2">
      <c r="A1158" s="142" t="s">
        <v>2098</v>
      </c>
      <c r="B1158" s="795" t="str">
        <f>'Part 3 DA summary'!$AA21</f>
        <v/>
      </c>
    </row>
    <row r="1159" spans="1:2" x14ac:dyDescent="0.2">
      <c r="A1159" s="142" t="s">
        <v>2099</v>
      </c>
      <c r="B1159" s="795" t="str">
        <f>'Part 3 DA summary'!$AA22</f>
        <v/>
      </c>
    </row>
    <row r="1160" spans="1:2" x14ac:dyDescent="0.2">
      <c r="A1160" s="142" t="s">
        <v>2100</v>
      </c>
      <c r="B1160" s="795" t="str">
        <f>'Part 3 DA summary'!$AA23</f>
        <v/>
      </c>
    </row>
    <row r="1161" spans="1:2" x14ac:dyDescent="0.2">
      <c r="A1161" s="142" t="s">
        <v>2101</v>
      </c>
      <c r="B1161" s="795" t="str">
        <f>'Part 3 DA summary'!$AA24</f>
        <v/>
      </c>
    </row>
    <row r="1162" spans="1:2" x14ac:dyDescent="0.2">
      <c r="A1162" s="142" t="s">
        <v>2102</v>
      </c>
      <c r="B1162" s="795" t="str">
        <f>'Part 3 DA summary'!$AA25</f>
        <v/>
      </c>
    </row>
    <row r="1163" spans="1:2" x14ac:dyDescent="0.2">
      <c r="A1163" s="142" t="s">
        <v>2103</v>
      </c>
      <c r="B1163" s="795" t="str">
        <f>'Part 3 DA summary'!$AA26</f>
        <v/>
      </c>
    </row>
    <row r="1164" spans="1:2" x14ac:dyDescent="0.2">
      <c r="A1164" s="142" t="s">
        <v>2104</v>
      </c>
      <c r="B1164" s="795" t="str">
        <f>'Part 3 DA summary'!$AA27</f>
        <v/>
      </c>
    </row>
    <row r="1165" spans="1:2" x14ac:dyDescent="0.2">
      <c r="A1165" s="142" t="s">
        <v>2105</v>
      </c>
      <c r="B1165" s="795" t="str">
        <f>'Part 3 DA summary'!$AA28</f>
        <v/>
      </c>
    </row>
    <row r="1166" spans="1:2" x14ac:dyDescent="0.2">
      <c r="A1166" s="142" t="s">
        <v>2106</v>
      </c>
      <c r="B1166" s="795" t="str">
        <f>'Part 3 DA summary'!$AA29</f>
        <v/>
      </c>
    </row>
    <row r="1167" spans="1:2" x14ac:dyDescent="0.2">
      <c r="A1167" s="142" t="s">
        <v>2107</v>
      </c>
      <c r="B1167" s="795" t="str">
        <f>'Part 3 DA summary'!$AA30</f>
        <v/>
      </c>
    </row>
    <row r="1168" spans="1:2" x14ac:dyDescent="0.2">
      <c r="A1168" s="142" t="s">
        <v>2108</v>
      </c>
      <c r="B1168" s="795" t="str">
        <f>'Part 3 DA summary'!$AA31</f>
        <v/>
      </c>
    </row>
    <row r="1169" spans="1:2" x14ac:dyDescent="0.2">
      <c r="A1169" s="142" t="s">
        <v>2109</v>
      </c>
      <c r="B1169" s="795" t="str">
        <f>'Part 3 DA summary'!$AA32</f>
        <v/>
      </c>
    </row>
    <row r="1170" spans="1:2" x14ac:dyDescent="0.2">
      <c r="A1170" s="142" t="s">
        <v>2110</v>
      </c>
      <c r="B1170" s="795" t="str">
        <f>'Part 3 DA summary'!$AA33</f>
        <v/>
      </c>
    </row>
    <row r="1171" spans="1:2" x14ac:dyDescent="0.2">
      <c r="A1171" s="142" t="s">
        <v>2111</v>
      </c>
      <c r="B1171" s="795" t="str">
        <f>'Part 3 DA summary'!$AA34</f>
        <v/>
      </c>
    </row>
    <row r="1172" spans="1:2" x14ac:dyDescent="0.2">
      <c r="A1172" s="142" t="s">
        <v>2112</v>
      </c>
      <c r="B1172" s="795" t="str">
        <f>'Part 3 DA summary'!$AA35</f>
        <v/>
      </c>
    </row>
    <row r="1173" spans="1:2" x14ac:dyDescent="0.2">
      <c r="A1173" s="142" t="s">
        <v>2113</v>
      </c>
      <c r="B1173" s="795" t="str">
        <f>'Part 3 DA summary'!$AA36</f>
        <v/>
      </c>
    </row>
    <row r="1174" spans="1:2" x14ac:dyDescent="0.2">
      <c r="A1174" s="142" t="s">
        <v>2114</v>
      </c>
      <c r="B1174" s="795" t="str">
        <f>'Part 3 DA summary'!$AA37</f>
        <v/>
      </c>
    </row>
    <row r="1175" spans="1:2" x14ac:dyDescent="0.2">
      <c r="A1175" s="142" t="s">
        <v>2115</v>
      </c>
      <c r="B1175" s="795" t="str">
        <f>'Part 3 DA summary'!$AA38</f>
        <v/>
      </c>
    </row>
    <row r="1176" spans="1:2" x14ac:dyDescent="0.2">
      <c r="A1176" s="142" t="s">
        <v>2116</v>
      </c>
      <c r="B1176" s="795" t="str">
        <f>'Part 3 DA summary'!$AA39</f>
        <v/>
      </c>
    </row>
    <row r="1177" spans="1:2" x14ac:dyDescent="0.2">
      <c r="A1177" s="142" t="s">
        <v>2117</v>
      </c>
      <c r="B1177" s="795" t="str">
        <f>'Part 3 DA summary'!$AA40</f>
        <v/>
      </c>
    </row>
    <row r="1178" spans="1:2" x14ac:dyDescent="0.2">
      <c r="A1178" s="142" t="s">
        <v>2118</v>
      </c>
      <c r="B1178" s="795" t="str">
        <f>'Part 3 DA summary'!$AA41</f>
        <v/>
      </c>
    </row>
    <row r="1179" spans="1:2" x14ac:dyDescent="0.2">
      <c r="A1179" s="142" t="s">
        <v>2119</v>
      </c>
      <c r="B1179" s="795" t="str">
        <f>'Part 3 DA summary'!$AA42</f>
        <v/>
      </c>
    </row>
    <row r="1180" spans="1:2" x14ac:dyDescent="0.2">
      <c r="A1180" s="142" t="s">
        <v>2120</v>
      </c>
      <c r="B1180" s="795" t="str">
        <f>'Part 3 DA summary'!$AA43</f>
        <v/>
      </c>
    </row>
    <row r="1181" spans="1:2" x14ac:dyDescent="0.2">
      <c r="A1181" s="142" t="s">
        <v>2121</v>
      </c>
      <c r="B1181" s="795" t="str">
        <f>'Part 3 DA summary'!$AA44</f>
        <v/>
      </c>
    </row>
    <row r="1182" spans="1:2" x14ac:dyDescent="0.2">
      <c r="A1182" s="142" t="s">
        <v>2122</v>
      </c>
      <c r="B1182" s="795" t="str">
        <f>'Part 3 DA summary'!$AA45</f>
        <v/>
      </c>
    </row>
    <row r="1183" spans="1:2" x14ac:dyDescent="0.2">
      <c r="A1183" s="142" t="s">
        <v>2123</v>
      </c>
      <c r="B1183" s="795" t="str">
        <f>'Part 3 DA summary'!$AA46</f>
        <v/>
      </c>
    </row>
    <row r="1184" spans="1:2" x14ac:dyDescent="0.2">
      <c r="A1184" s="142" t="s">
        <v>2124</v>
      </c>
      <c r="B1184" s="795" t="str">
        <f>'Part 3 DA summary'!$AA47</f>
        <v/>
      </c>
    </row>
    <row r="1185" spans="1:5" x14ac:dyDescent="0.2">
      <c r="A1185" s="142" t="s">
        <v>2125</v>
      </c>
      <c r="B1185" s="795" t="str">
        <f>'Part 3 DA summary'!$AA48</f>
        <v/>
      </c>
    </row>
    <row r="1186" spans="1:5" x14ac:dyDescent="0.2">
      <c r="A1186" s="142" t="s">
        <v>2126</v>
      </c>
      <c r="B1186" s="795" t="str">
        <f>'Part 3 DA summary'!$AA49</f>
        <v/>
      </c>
    </row>
    <row r="1187" spans="1:5" x14ac:dyDescent="0.2">
      <c r="A1187" s="142" t="s">
        <v>2127</v>
      </c>
      <c r="B1187" s="795" t="str">
        <f>'Part 3 DA summary'!$AA50</f>
        <v/>
      </c>
    </row>
    <row r="1188" spans="1:5" x14ac:dyDescent="0.2">
      <c r="A1188" s="142" t="s">
        <v>2128</v>
      </c>
      <c r="B1188" s="795" t="str">
        <f>'Part 3 DA summary'!$AA51</f>
        <v/>
      </c>
    </row>
    <row r="1189" spans="1:5" x14ac:dyDescent="0.2">
      <c r="A1189" s="142" t="s">
        <v>2129</v>
      </c>
      <c r="B1189" s="795" t="str">
        <f>'Part 3 DA summary'!$AA52</f>
        <v/>
      </c>
    </row>
    <row r="1190" spans="1:5" x14ac:dyDescent="0.2">
      <c r="A1190" s="142" t="s">
        <v>2130</v>
      </c>
      <c r="B1190" s="795" t="str">
        <f>'Part 3 DA summary'!$AA53</f>
        <v/>
      </c>
    </row>
    <row r="1191" spans="1:5" x14ac:dyDescent="0.2">
      <c r="A1191" s="142" t="s">
        <v>2282</v>
      </c>
      <c r="B1191" s="166">
        <f>'Part 3 DA summary'!AG54</f>
        <v>0</v>
      </c>
    </row>
    <row r="1192" spans="1:5" x14ac:dyDescent="0.2">
      <c r="A1192" s="796" t="s">
        <v>2131</v>
      </c>
      <c r="B1192" s="908" t="e">
        <f>'Main Validation'!G19</f>
        <v>#N/A</v>
      </c>
      <c r="C1192" s="909"/>
      <c r="D1192" s="908"/>
      <c r="E1192" s="908"/>
    </row>
    <row r="1193" spans="1:5" x14ac:dyDescent="0.2">
      <c r="A1193" s="797" t="s">
        <v>2132</v>
      </c>
      <c r="B1193" s="908" t="e">
        <f>'Main Validation'!G22</f>
        <v>#N/A</v>
      </c>
      <c r="C1193" s="908"/>
      <c r="D1193" s="908"/>
      <c r="E1193" s="908"/>
    </row>
    <row r="1194" spans="1:5" x14ac:dyDescent="0.2">
      <c r="A1194" s="796" t="s">
        <v>2133</v>
      </c>
      <c r="B1194" s="908" t="e">
        <f>'Main Validation'!G23</f>
        <v>#N/A</v>
      </c>
      <c r="C1194" s="908"/>
      <c r="D1194" s="908"/>
      <c r="E1194" s="908"/>
    </row>
    <row r="1195" spans="1:5" x14ac:dyDescent="0.2">
      <c r="A1195" s="796" t="s">
        <v>2134</v>
      </c>
      <c r="B1195" s="908" t="e">
        <f>'Main Validation'!G24</f>
        <v>#N/A</v>
      </c>
      <c r="C1195" s="908"/>
      <c r="D1195" s="908"/>
      <c r="E1195" s="908"/>
    </row>
    <row r="1196" spans="1:5" x14ac:dyDescent="0.2">
      <c r="A1196" s="796" t="s">
        <v>2135</v>
      </c>
      <c r="B1196" s="908" t="e">
        <f>'Main Validation'!G25</f>
        <v>#N/A</v>
      </c>
      <c r="C1196" s="908"/>
      <c r="D1196" s="908"/>
      <c r="E1196" s="908"/>
    </row>
    <row r="1197" spans="1:5" x14ac:dyDescent="0.2">
      <c r="A1197" s="796" t="s">
        <v>2425</v>
      </c>
      <c r="B1197" s="908" t="e">
        <f>'Main Validation'!G26</f>
        <v>#N/A</v>
      </c>
      <c r="C1197" s="908"/>
      <c r="D1197" s="908"/>
      <c r="E1197" s="908"/>
    </row>
    <row r="1198" spans="1:5" x14ac:dyDescent="0.2">
      <c r="A1198" s="796" t="s">
        <v>2136</v>
      </c>
      <c r="B1198" s="908" t="e">
        <f>'Main Validation'!G27</f>
        <v>#N/A</v>
      </c>
      <c r="C1198" s="908"/>
      <c r="D1198" s="908"/>
      <c r="E1198" s="908"/>
    </row>
    <row r="1199" spans="1:5" x14ac:dyDescent="0.2">
      <c r="A1199" s="796" t="s">
        <v>2137</v>
      </c>
      <c r="B1199" s="908" t="e">
        <f>'Main Validation'!G28</f>
        <v>#N/A</v>
      </c>
      <c r="C1199" s="908"/>
      <c r="D1199" s="908"/>
      <c r="E1199" s="908"/>
    </row>
    <row r="1200" spans="1:5" x14ac:dyDescent="0.2">
      <c r="A1200" s="796" t="s">
        <v>2138</v>
      </c>
      <c r="B1200" s="908" t="e">
        <f>'Main Validation'!G32</f>
        <v>#N/A</v>
      </c>
      <c r="C1200" s="908"/>
      <c r="D1200" s="908"/>
      <c r="E1200" s="908"/>
    </row>
    <row r="1201" spans="1:5" x14ac:dyDescent="0.2">
      <c r="A1201" s="796" t="s">
        <v>2139</v>
      </c>
      <c r="B1201" s="908" t="e">
        <f>'Main Validation'!G33</f>
        <v>#N/A</v>
      </c>
      <c r="C1201" s="908"/>
      <c r="D1201" s="908"/>
      <c r="E1201" s="908"/>
    </row>
    <row r="1202" spans="1:5" x14ac:dyDescent="0.2">
      <c r="A1202" s="796" t="s">
        <v>2140</v>
      </c>
      <c r="B1202" s="908" t="e">
        <f>'Main Validation'!G34</f>
        <v>#N/A</v>
      </c>
      <c r="C1202" s="908"/>
      <c r="D1202" s="908"/>
      <c r="E1202" s="908"/>
    </row>
    <row r="1203" spans="1:5" x14ac:dyDescent="0.2">
      <c r="A1203" s="542" t="s">
        <v>2141</v>
      </c>
      <c r="B1203" s="908">
        <v>0</v>
      </c>
      <c r="C1203" s="908"/>
      <c r="D1203" s="908"/>
      <c r="E1203" s="908"/>
    </row>
    <row r="1204" spans="1:5" x14ac:dyDescent="0.2">
      <c r="A1204" s="796" t="s">
        <v>2142</v>
      </c>
      <c r="B1204" s="908" t="e">
        <f>'Main Validation'!G35</f>
        <v>#N/A</v>
      </c>
      <c r="C1204" s="908"/>
      <c r="D1204" s="908"/>
      <c r="E1204" s="908"/>
    </row>
    <row r="1205" spans="1:5" x14ac:dyDescent="0.2">
      <c r="A1205" s="796" t="s">
        <v>2143</v>
      </c>
      <c r="B1205" s="908" t="e">
        <f>'Main Validation'!G36</f>
        <v>#N/A</v>
      </c>
      <c r="C1205" s="908"/>
      <c r="D1205" s="908"/>
      <c r="E1205" s="908"/>
    </row>
    <row r="1206" spans="1:5" x14ac:dyDescent="0.2">
      <c r="A1206" s="796" t="s">
        <v>2144</v>
      </c>
      <c r="B1206" s="908" t="e">
        <f>'Main Validation'!G37</f>
        <v>#N/A</v>
      </c>
      <c r="C1206" s="908"/>
      <c r="D1206" s="908"/>
      <c r="E1206" s="908"/>
    </row>
    <row r="1207" spans="1:5" x14ac:dyDescent="0.2">
      <c r="A1207" s="796" t="s">
        <v>2145</v>
      </c>
      <c r="B1207" s="908" t="e">
        <f>'Main Validation'!G38</f>
        <v>#N/A</v>
      </c>
      <c r="C1207" s="908"/>
      <c r="D1207" s="908"/>
      <c r="E1207" s="908"/>
    </row>
    <row r="1208" spans="1:5" x14ac:dyDescent="0.2">
      <c r="A1208" s="796" t="s">
        <v>2787</v>
      </c>
      <c r="B1208" s="908" t="e">
        <f>'Main Validation'!G39</f>
        <v>#N/A</v>
      </c>
      <c r="C1208" s="908"/>
      <c r="D1208" s="908"/>
      <c r="E1208" s="908"/>
    </row>
    <row r="1209" spans="1:5" x14ac:dyDescent="0.2">
      <c r="A1209" s="796" t="s">
        <v>2146</v>
      </c>
      <c r="B1209" s="908" t="e">
        <f>'Main Validation'!G41</f>
        <v>#N/A</v>
      </c>
      <c r="C1209" s="908"/>
      <c r="D1209" s="908"/>
      <c r="E1209" s="908"/>
    </row>
    <row r="1210" spans="1:5" x14ac:dyDescent="0.2">
      <c r="A1210" s="796" t="s">
        <v>2147</v>
      </c>
      <c r="B1210" s="908" t="e">
        <f>'Main Validation'!G44</f>
        <v>#N/A</v>
      </c>
      <c r="C1210" s="908"/>
      <c r="D1210" s="908"/>
      <c r="E1210" s="908"/>
    </row>
    <row r="1211" spans="1:5" x14ac:dyDescent="0.2">
      <c r="A1211" s="796" t="s">
        <v>2148</v>
      </c>
      <c r="B1211" s="908" t="e">
        <f>'Main Validation'!E45</f>
        <v>#N/A</v>
      </c>
      <c r="C1211" s="908"/>
      <c r="D1211" s="908"/>
      <c r="E1211" s="908"/>
    </row>
    <row r="1212" spans="1:5" x14ac:dyDescent="0.2">
      <c r="A1212" s="796" t="s">
        <v>2149</v>
      </c>
      <c r="B1212" s="908" t="e">
        <f>'Main Validation'!G48</f>
        <v>#N/A</v>
      </c>
      <c r="C1212" s="908"/>
      <c r="D1212" s="908"/>
      <c r="E1212" s="908"/>
    </row>
    <row r="1213" spans="1:5" x14ac:dyDescent="0.2">
      <c r="A1213" s="796" t="s">
        <v>2150</v>
      </c>
      <c r="B1213" s="911" t="e">
        <f>'Main Validation'!H19</f>
        <v>#N/A</v>
      </c>
      <c r="C1213" s="911"/>
      <c r="D1213" s="911"/>
      <c r="E1213" s="911"/>
    </row>
    <row r="1214" spans="1:5" x14ac:dyDescent="0.2">
      <c r="A1214" s="797" t="s">
        <v>2151</v>
      </c>
      <c r="B1214" s="911" t="e">
        <f>'Main Validation'!H22</f>
        <v>#N/A</v>
      </c>
      <c r="C1214" s="911"/>
      <c r="D1214" s="911"/>
      <c r="E1214" s="911"/>
    </row>
    <row r="1215" spans="1:5" x14ac:dyDescent="0.2">
      <c r="A1215" s="796" t="s">
        <v>2152</v>
      </c>
      <c r="B1215" s="911" t="e">
        <f>'Main Validation'!H23</f>
        <v>#N/A</v>
      </c>
      <c r="C1215" s="911"/>
      <c r="D1215" s="911"/>
      <c r="E1215" s="911"/>
    </row>
    <row r="1216" spans="1:5" x14ac:dyDescent="0.2">
      <c r="A1216" s="796" t="s">
        <v>2153</v>
      </c>
      <c r="B1216" s="911" t="e">
        <f>'Main Validation'!H24</f>
        <v>#N/A</v>
      </c>
      <c r="C1216" s="911"/>
      <c r="D1216" s="911"/>
      <c r="E1216" s="911"/>
    </row>
    <row r="1217" spans="1:5" x14ac:dyDescent="0.2">
      <c r="A1217" s="796" t="s">
        <v>2154</v>
      </c>
      <c r="B1217" s="911" t="e">
        <f>'Main Validation'!H25</f>
        <v>#N/A</v>
      </c>
      <c r="C1217" s="911"/>
      <c r="D1217" s="911"/>
      <c r="E1217" s="911"/>
    </row>
    <row r="1218" spans="1:5" x14ac:dyDescent="0.2">
      <c r="A1218" s="796" t="s">
        <v>2426</v>
      </c>
      <c r="B1218" s="911" t="e">
        <f>'Main Validation'!H26</f>
        <v>#N/A</v>
      </c>
      <c r="C1218" s="911"/>
      <c r="D1218" s="911"/>
      <c r="E1218" s="911"/>
    </row>
    <row r="1219" spans="1:5" x14ac:dyDescent="0.2">
      <c r="A1219" s="796" t="s">
        <v>2155</v>
      </c>
      <c r="B1219" s="911" t="e">
        <f>'Main Validation'!H27</f>
        <v>#N/A</v>
      </c>
      <c r="C1219" s="911"/>
      <c r="D1219" s="911"/>
      <c r="E1219" s="911"/>
    </row>
    <row r="1220" spans="1:5" x14ac:dyDescent="0.2">
      <c r="A1220" s="796" t="s">
        <v>2156</v>
      </c>
      <c r="B1220" s="911" t="e">
        <f>'Main Validation'!H28</f>
        <v>#N/A</v>
      </c>
      <c r="C1220" s="911"/>
      <c r="D1220" s="911"/>
      <c r="E1220" s="911"/>
    </row>
    <row r="1221" spans="1:5" x14ac:dyDescent="0.2">
      <c r="A1221" s="796" t="s">
        <v>2157</v>
      </c>
      <c r="B1221" s="911" t="e">
        <f>'Main Validation'!H32</f>
        <v>#N/A</v>
      </c>
      <c r="C1221" s="911"/>
      <c r="D1221" s="911"/>
      <c r="E1221" s="911"/>
    </row>
    <row r="1222" spans="1:5" x14ac:dyDescent="0.2">
      <c r="A1222" s="796" t="s">
        <v>2158</v>
      </c>
      <c r="B1222" s="911" t="e">
        <f>'Main Validation'!H33</f>
        <v>#N/A</v>
      </c>
      <c r="C1222" s="911"/>
      <c r="D1222" s="911"/>
      <c r="E1222" s="911"/>
    </row>
    <row r="1223" spans="1:5" x14ac:dyDescent="0.2">
      <c r="A1223" s="796" t="s">
        <v>2159</v>
      </c>
      <c r="B1223" s="911" t="e">
        <f>'Main Validation'!H34</f>
        <v>#N/A</v>
      </c>
      <c r="C1223" s="911"/>
      <c r="D1223" s="911"/>
      <c r="E1223" s="911"/>
    </row>
    <row r="1224" spans="1:5" x14ac:dyDescent="0.2">
      <c r="A1224" s="542" t="s">
        <v>2160</v>
      </c>
      <c r="B1224" s="911">
        <v>0</v>
      </c>
      <c r="C1224" s="911"/>
      <c r="D1224" s="911"/>
      <c r="E1224" s="911"/>
    </row>
    <row r="1225" spans="1:5" x14ac:dyDescent="0.2">
      <c r="A1225" s="796" t="s">
        <v>2161</v>
      </c>
      <c r="B1225" s="911" t="e">
        <f>'Main Validation'!H35</f>
        <v>#N/A</v>
      </c>
      <c r="C1225" s="911"/>
      <c r="D1225" s="911"/>
      <c r="E1225" s="911"/>
    </row>
    <row r="1226" spans="1:5" x14ac:dyDescent="0.2">
      <c r="A1226" s="796" t="s">
        <v>2162</v>
      </c>
      <c r="B1226" s="911" t="e">
        <f>'Main Validation'!H36</f>
        <v>#N/A</v>
      </c>
      <c r="C1226" s="911"/>
      <c r="D1226" s="911"/>
      <c r="E1226" s="911"/>
    </row>
    <row r="1227" spans="1:5" x14ac:dyDescent="0.2">
      <c r="A1227" s="796" t="s">
        <v>2163</v>
      </c>
      <c r="B1227" s="911" t="e">
        <f>'Main Validation'!H37</f>
        <v>#N/A</v>
      </c>
      <c r="C1227" s="911"/>
      <c r="D1227" s="911"/>
      <c r="E1227" s="911"/>
    </row>
    <row r="1228" spans="1:5" x14ac:dyDescent="0.2">
      <c r="A1228" s="796" t="s">
        <v>2164</v>
      </c>
      <c r="B1228" s="911" t="e">
        <f>'Main Validation'!H38</f>
        <v>#N/A</v>
      </c>
      <c r="C1228" s="911"/>
      <c r="D1228" s="911"/>
      <c r="E1228" s="911"/>
    </row>
    <row r="1229" spans="1:5" x14ac:dyDescent="0.2">
      <c r="A1229" s="796" t="s">
        <v>2788</v>
      </c>
      <c r="B1229" s="911" t="e">
        <f>'Main Validation'!H39</f>
        <v>#N/A</v>
      </c>
      <c r="C1229" s="911"/>
      <c r="D1229" s="911"/>
      <c r="E1229" s="911"/>
    </row>
    <row r="1230" spans="1:5" x14ac:dyDescent="0.2">
      <c r="A1230" s="796" t="s">
        <v>2165</v>
      </c>
      <c r="B1230" s="911" t="e">
        <f>'Main Validation'!H41</f>
        <v>#N/A</v>
      </c>
      <c r="C1230" s="911"/>
      <c r="D1230" s="911"/>
      <c r="E1230" s="911"/>
    </row>
    <row r="1231" spans="1:5" x14ac:dyDescent="0.2">
      <c r="A1231" s="796" t="s">
        <v>2166</v>
      </c>
      <c r="B1231" s="911" t="e">
        <f>'Main Validation'!H44</f>
        <v>#N/A</v>
      </c>
      <c r="C1231" s="911"/>
      <c r="D1231" s="911"/>
      <c r="E1231" s="911"/>
    </row>
    <row r="1232" spans="1:5" x14ac:dyDescent="0.2">
      <c r="A1232" s="796" t="s">
        <v>2167</v>
      </c>
      <c r="B1232" s="910">
        <f>'Main Validation'!M50</f>
        <v>0</v>
      </c>
      <c r="C1232" s="910"/>
      <c r="D1232" s="910"/>
      <c r="E1232" s="910"/>
    </row>
    <row r="1233" spans="1:5" x14ac:dyDescent="0.2">
      <c r="A1233" s="798" t="s">
        <v>2168</v>
      </c>
      <c r="B1233" s="912" t="e">
        <f>'Main Validation'!M19</f>
        <v>#N/A</v>
      </c>
      <c r="C1233" s="910"/>
      <c r="D1233" s="912"/>
      <c r="E1233" s="913"/>
    </row>
    <row r="1234" spans="1:5" x14ac:dyDescent="0.2">
      <c r="A1234" s="797" t="s">
        <v>2169</v>
      </c>
      <c r="B1234" s="912" t="e">
        <f>'Main Validation'!M22</f>
        <v>#N/A</v>
      </c>
      <c r="C1234" s="910"/>
      <c r="D1234" s="912"/>
      <c r="E1234" s="913"/>
    </row>
    <row r="1235" spans="1:5" x14ac:dyDescent="0.2">
      <c r="A1235" s="796" t="s">
        <v>2170</v>
      </c>
      <c r="B1235" s="912" t="e">
        <f>'Main Validation'!M23</f>
        <v>#N/A</v>
      </c>
      <c r="C1235" s="910"/>
      <c r="D1235" s="912"/>
      <c r="E1235" s="913"/>
    </row>
    <row r="1236" spans="1:5" x14ac:dyDescent="0.2">
      <c r="A1236" s="796" t="s">
        <v>2171</v>
      </c>
      <c r="B1236" s="912" t="e">
        <f>'Main Validation'!M24</f>
        <v>#N/A</v>
      </c>
      <c r="C1236" s="910"/>
      <c r="D1236" s="912"/>
      <c r="E1236" s="913"/>
    </row>
    <row r="1237" spans="1:5" x14ac:dyDescent="0.2">
      <c r="A1237" s="796" t="s">
        <v>2172</v>
      </c>
      <c r="B1237" s="912" t="e">
        <f>'Main Validation'!M25</f>
        <v>#N/A</v>
      </c>
      <c r="C1237" s="910"/>
      <c r="D1237" s="912"/>
      <c r="E1237" s="913"/>
    </row>
    <row r="1238" spans="1:5" x14ac:dyDescent="0.2">
      <c r="A1238" s="796" t="s">
        <v>2427</v>
      </c>
      <c r="B1238" s="912" t="e">
        <f>'Main Validation'!M26</f>
        <v>#N/A</v>
      </c>
      <c r="C1238" s="910"/>
      <c r="D1238" s="912"/>
      <c r="E1238" s="913"/>
    </row>
    <row r="1239" spans="1:5" x14ac:dyDescent="0.2">
      <c r="A1239" s="796" t="s">
        <v>2173</v>
      </c>
      <c r="B1239" s="912" t="e">
        <f>'Main Validation'!M27</f>
        <v>#N/A</v>
      </c>
      <c r="C1239" s="910"/>
      <c r="D1239" s="912"/>
      <c r="E1239" s="913"/>
    </row>
    <row r="1240" spans="1:5" x14ac:dyDescent="0.2">
      <c r="A1240" s="796" t="s">
        <v>2174</v>
      </c>
      <c r="B1240" s="912" t="e">
        <f>'Main Validation'!M28</f>
        <v>#N/A</v>
      </c>
      <c r="C1240" s="910"/>
      <c r="D1240" s="912"/>
      <c r="E1240" s="913"/>
    </row>
    <row r="1241" spans="1:5" x14ac:dyDescent="0.2">
      <c r="A1241" s="796" t="s">
        <v>2175</v>
      </c>
      <c r="B1241" s="912" t="e">
        <f>'Main Validation'!M32</f>
        <v>#N/A</v>
      </c>
      <c r="C1241" s="910"/>
      <c r="D1241" s="912"/>
      <c r="E1241" s="913"/>
    </row>
    <row r="1242" spans="1:5" x14ac:dyDescent="0.2">
      <c r="A1242" s="796" t="s">
        <v>2176</v>
      </c>
      <c r="B1242" s="912" t="e">
        <f>'Main Validation'!M33</f>
        <v>#N/A</v>
      </c>
      <c r="C1242" s="910"/>
      <c r="D1242" s="912"/>
      <c r="E1242" s="913"/>
    </row>
    <row r="1243" spans="1:5" x14ac:dyDescent="0.2">
      <c r="A1243" s="796" t="s">
        <v>2177</v>
      </c>
      <c r="B1243" s="912" t="e">
        <f>'Main Validation'!M34</f>
        <v>#N/A</v>
      </c>
      <c r="C1243" s="910"/>
      <c r="D1243" s="912"/>
      <c r="E1243" s="913"/>
    </row>
    <row r="1244" spans="1:5" x14ac:dyDescent="0.2">
      <c r="A1244" s="542" t="s">
        <v>2178</v>
      </c>
      <c r="B1244" s="912" t="s">
        <v>708</v>
      </c>
      <c r="C1244" s="910"/>
      <c r="D1244" s="912"/>
      <c r="E1244" s="913"/>
    </row>
    <row r="1245" spans="1:5" x14ac:dyDescent="0.2">
      <c r="A1245" s="796" t="s">
        <v>2179</v>
      </c>
      <c r="B1245" s="912" t="e">
        <f>'Main Validation'!M35</f>
        <v>#N/A</v>
      </c>
      <c r="C1245" s="910"/>
      <c r="D1245" s="912"/>
      <c r="E1245" s="913"/>
    </row>
    <row r="1246" spans="1:5" x14ac:dyDescent="0.2">
      <c r="A1246" s="796" t="s">
        <v>2180</v>
      </c>
      <c r="B1246" s="912" t="e">
        <f>'Main Validation'!M36</f>
        <v>#N/A</v>
      </c>
      <c r="C1246" s="910"/>
      <c r="D1246" s="912"/>
      <c r="E1246" s="913"/>
    </row>
    <row r="1247" spans="1:5" x14ac:dyDescent="0.2">
      <c r="A1247" s="796" t="s">
        <v>2181</v>
      </c>
      <c r="B1247" s="912" t="e">
        <f>'Main Validation'!M37</f>
        <v>#N/A</v>
      </c>
      <c r="C1247" s="910"/>
      <c r="D1247" s="912"/>
      <c r="E1247" s="913"/>
    </row>
    <row r="1248" spans="1:5" x14ac:dyDescent="0.2">
      <c r="A1248" s="796" t="s">
        <v>2182</v>
      </c>
      <c r="B1248" s="912" t="e">
        <f>'Main Validation'!M38</f>
        <v>#N/A</v>
      </c>
      <c r="C1248" s="910"/>
      <c r="D1248" s="912"/>
      <c r="E1248" s="913"/>
    </row>
    <row r="1249" spans="1:5" x14ac:dyDescent="0.2">
      <c r="A1249" s="796" t="s">
        <v>2789</v>
      </c>
      <c r="B1249" s="912" t="e">
        <f>'Main Validation'!M39</f>
        <v>#N/A</v>
      </c>
      <c r="C1249" s="910"/>
      <c r="D1249" s="912"/>
      <c r="E1249" s="913"/>
    </row>
    <row r="1250" spans="1:5" x14ac:dyDescent="0.2">
      <c r="A1250" s="796" t="s">
        <v>2183</v>
      </c>
      <c r="B1250" s="912" t="e">
        <f>'Main Validation'!M41</f>
        <v>#N/A</v>
      </c>
      <c r="C1250" s="910"/>
      <c r="D1250" s="912"/>
      <c r="E1250" s="913"/>
    </row>
    <row r="1251" spans="1:5" x14ac:dyDescent="0.2">
      <c r="A1251" s="796" t="s">
        <v>2184</v>
      </c>
      <c r="B1251" s="912" t="e">
        <f>'Main Validation'!M44</f>
        <v>#N/A</v>
      </c>
      <c r="C1251" s="910"/>
      <c r="D1251" s="912"/>
      <c r="E1251" s="913"/>
    </row>
    <row r="1252" spans="1:5" x14ac:dyDescent="0.2">
      <c r="A1252" s="796" t="s">
        <v>2185</v>
      </c>
      <c r="B1252" s="912" t="e">
        <f>'Main Validation'!M45</f>
        <v>#N/A</v>
      </c>
      <c r="C1252" s="910"/>
      <c r="D1252" s="912"/>
      <c r="E1252" s="913"/>
    </row>
    <row r="1253" spans="1:5" x14ac:dyDescent="0.2">
      <c r="A1253" s="796" t="s">
        <v>2186</v>
      </c>
      <c r="B1253" s="912" t="e">
        <f>'Main Validation'!M48</f>
        <v>#N/A</v>
      </c>
      <c r="C1253" s="910"/>
      <c r="D1253" s="912"/>
      <c r="E1253" s="913"/>
    </row>
    <row r="1254" spans="1:5" x14ac:dyDescent="0.2">
      <c r="A1254" s="798" t="s">
        <v>2187</v>
      </c>
      <c r="B1254" s="912">
        <f>'Main Validation'!O19</f>
        <v>0</v>
      </c>
      <c r="C1254" s="912"/>
      <c r="D1254" s="912"/>
      <c r="E1254" s="913"/>
    </row>
    <row r="1255" spans="1:5" x14ac:dyDescent="0.2">
      <c r="A1255" s="797" t="s">
        <v>2188</v>
      </c>
      <c r="B1255" s="912">
        <f>'Main Validation'!O22</f>
        <v>0</v>
      </c>
      <c r="C1255" s="912"/>
      <c r="D1255" s="912"/>
      <c r="E1255" s="913"/>
    </row>
    <row r="1256" spans="1:5" x14ac:dyDescent="0.2">
      <c r="A1256" s="796" t="s">
        <v>2189</v>
      </c>
      <c r="B1256" s="912">
        <f>'Main Validation'!O23</f>
        <v>0</v>
      </c>
      <c r="C1256" s="912"/>
      <c r="D1256" s="912"/>
      <c r="E1256" s="913"/>
    </row>
    <row r="1257" spans="1:5" x14ac:dyDescent="0.2">
      <c r="A1257" s="796" t="s">
        <v>2190</v>
      </c>
      <c r="B1257" s="912">
        <f>'Main Validation'!O24</f>
        <v>0</v>
      </c>
      <c r="C1257" s="912"/>
      <c r="D1257" s="912"/>
      <c r="E1257" s="913"/>
    </row>
    <row r="1258" spans="1:5" x14ac:dyDescent="0.2">
      <c r="A1258" s="796" t="s">
        <v>2191</v>
      </c>
      <c r="B1258" s="912">
        <f>'Main Validation'!O25</f>
        <v>0</v>
      </c>
      <c r="C1258" s="912"/>
      <c r="D1258" s="912"/>
      <c r="E1258" s="913"/>
    </row>
    <row r="1259" spans="1:5" x14ac:dyDescent="0.2">
      <c r="A1259" s="796" t="s">
        <v>2428</v>
      </c>
      <c r="B1259" s="912">
        <f>'Main Validation'!O26</f>
        <v>0</v>
      </c>
      <c r="C1259" s="912"/>
      <c r="D1259" s="912"/>
      <c r="E1259" s="913"/>
    </row>
    <row r="1260" spans="1:5" x14ac:dyDescent="0.2">
      <c r="A1260" s="796" t="s">
        <v>2192</v>
      </c>
      <c r="B1260" s="912">
        <f>'Main Validation'!O27</f>
        <v>0</v>
      </c>
      <c r="C1260" s="912"/>
      <c r="D1260" s="912"/>
      <c r="E1260" s="913"/>
    </row>
    <row r="1261" spans="1:5" x14ac:dyDescent="0.2">
      <c r="A1261" s="796" t="s">
        <v>2193</v>
      </c>
      <c r="B1261" s="912">
        <f>'Main Validation'!O28</f>
        <v>0</v>
      </c>
      <c r="C1261" s="912"/>
      <c r="D1261" s="912"/>
      <c r="E1261" s="913"/>
    </row>
    <row r="1262" spans="1:5" x14ac:dyDescent="0.2">
      <c r="A1262" s="796" t="s">
        <v>2194</v>
      </c>
      <c r="B1262" s="912">
        <f>'Main Validation'!O32</f>
        <v>0</v>
      </c>
      <c r="C1262" s="912"/>
      <c r="D1262" s="912"/>
      <c r="E1262" s="913"/>
    </row>
    <row r="1263" spans="1:5" x14ac:dyDescent="0.2">
      <c r="A1263" s="796" t="s">
        <v>2195</v>
      </c>
      <c r="B1263" s="912">
        <f>'Main Validation'!O33</f>
        <v>0</v>
      </c>
      <c r="C1263" s="912"/>
      <c r="D1263" s="912"/>
      <c r="E1263" s="913"/>
    </row>
    <row r="1264" spans="1:5" x14ac:dyDescent="0.2">
      <c r="A1264" s="796" t="s">
        <v>2196</v>
      </c>
      <c r="B1264" s="912">
        <f>'Main Validation'!O34</f>
        <v>0</v>
      </c>
      <c r="C1264" s="912"/>
      <c r="D1264" s="912"/>
      <c r="E1264" s="913"/>
    </row>
    <row r="1265" spans="1:5" x14ac:dyDescent="0.2">
      <c r="A1265" s="542" t="s">
        <v>2197</v>
      </c>
      <c r="B1265" s="912" t="s">
        <v>708</v>
      </c>
      <c r="C1265" s="912"/>
      <c r="D1265" s="912"/>
      <c r="E1265" s="913"/>
    </row>
    <row r="1266" spans="1:5" x14ac:dyDescent="0.2">
      <c r="A1266" s="796" t="s">
        <v>2198</v>
      </c>
      <c r="B1266" s="912">
        <f>'Main Validation'!O35</f>
        <v>0</v>
      </c>
      <c r="C1266" s="912"/>
      <c r="D1266" s="912"/>
      <c r="E1266" s="913"/>
    </row>
    <row r="1267" spans="1:5" x14ac:dyDescent="0.2">
      <c r="A1267" s="796" t="s">
        <v>2199</v>
      </c>
      <c r="B1267" s="912">
        <f>'Main Validation'!O36</f>
        <v>0</v>
      </c>
      <c r="C1267" s="912"/>
      <c r="D1267" s="912"/>
      <c r="E1267" s="913"/>
    </row>
    <row r="1268" spans="1:5" x14ac:dyDescent="0.2">
      <c r="A1268" s="796" t="s">
        <v>2200</v>
      </c>
      <c r="B1268" s="912">
        <f>'Main Validation'!O37</f>
        <v>0</v>
      </c>
      <c r="C1268" s="912"/>
      <c r="D1268" s="912"/>
      <c r="E1268" s="913"/>
    </row>
    <row r="1269" spans="1:5" x14ac:dyDescent="0.2">
      <c r="A1269" s="796" t="s">
        <v>2201</v>
      </c>
      <c r="B1269" s="912">
        <f>'Main Validation'!O38</f>
        <v>0</v>
      </c>
      <c r="C1269" s="912"/>
      <c r="D1269" s="912"/>
      <c r="E1269" s="913"/>
    </row>
    <row r="1270" spans="1:5" x14ac:dyDescent="0.2">
      <c r="A1270" s="796" t="s">
        <v>2790</v>
      </c>
      <c r="B1270" s="912">
        <f>'Main Validation'!O39</f>
        <v>0</v>
      </c>
      <c r="C1270" s="912"/>
      <c r="D1270" s="912"/>
      <c r="E1270" s="913"/>
    </row>
    <row r="1271" spans="1:5" x14ac:dyDescent="0.2">
      <c r="A1271" s="796" t="s">
        <v>2202</v>
      </c>
      <c r="B1271" s="912">
        <f>'Main Validation'!O41</f>
        <v>0</v>
      </c>
      <c r="C1271" s="912"/>
      <c r="D1271" s="912"/>
      <c r="E1271" s="913"/>
    </row>
    <row r="1272" spans="1:5" x14ac:dyDescent="0.2">
      <c r="A1272" s="796" t="s">
        <v>2203</v>
      </c>
      <c r="B1272" s="912">
        <f>'Main Validation'!O44</f>
        <v>0</v>
      </c>
      <c r="C1272" s="912"/>
      <c r="D1272" s="912"/>
      <c r="E1272" s="913"/>
    </row>
    <row r="1273" spans="1:5" x14ac:dyDescent="0.2">
      <c r="A1273" s="796" t="s">
        <v>2204</v>
      </c>
      <c r="B1273" s="912">
        <f>'Main Validation'!O45</f>
        <v>0</v>
      </c>
      <c r="C1273" s="912"/>
      <c r="D1273" s="912"/>
      <c r="E1273" s="913"/>
    </row>
    <row r="1274" spans="1:5" x14ac:dyDescent="0.2">
      <c r="A1274" s="796" t="s">
        <v>2205</v>
      </c>
      <c r="B1274" s="912">
        <f>'Main Validation'!O48</f>
        <v>0</v>
      </c>
      <c r="C1274" s="912"/>
      <c r="D1274" s="912"/>
      <c r="E1274" s="913"/>
    </row>
    <row r="1275" spans="1:5" x14ac:dyDescent="0.2">
      <c r="A1275" s="796" t="s">
        <v>2206</v>
      </c>
      <c r="B1275" s="912">
        <f>'Main Validation'!B52</f>
        <v>0</v>
      </c>
      <c r="C1275" s="912"/>
      <c r="D1275" s="912"/>
      <c r="E1275" s="913"/>
    </row>
    <row r="1276" spans="1:5" x14ac:dyDescent="0.2">
      <c r="A1276" s="914" t="s">
        <v>2207</v>
      </c>
      <c r="B1276" s="915" t="e">
        <f>'Supplementary Validation'!G20</f>
        <v>#N/A</v>
      </c>
      <c r="C1276" s="915"/>
      <c r="D1276" s="915"/>
      <c r="E1276" s="915"/>
    </row>
    <row r="1277" spans="1:5" x14ac:dyDescent="0.2">
      <c r="A1277" s="914" t="s">
        <v>2208</v>
      </c>
      <c r="B1277" s="915" t="e">
        <f>'Supplementary Validation'!G21</f>
        <v>#N/A</v>
      </c>
      <c r="C1277" s="915"/>
      <c r="D1277" s="915"/>
      <c r="E1277" s="915"/>
    </row>
    <row r="1278" spans="1:5" x14ac:dyDescent="0.2">
      <c r="A1278" s="914" t="s">
        <v>2209</v>
      </c>
      <c r="B1278" s="915" t="e">
        <f>'Supplementary Validation'!G22</f>
        <v>#N/A</v>
      </c>
      <c r="C1278" s="915"/>
      <c r="D1278" s="915"/>
      <c r="E1278" s="915"/>
    </row>
    <row r="1279" spans="1:5" x14ac:dyDescent="0.2">
      <c r="A1279" s="914" t="s">
        <v>2443</v>
      </c>
      <c r="B1279" s="915" t="e">
        <f>'Supplementary Validation'!G23</f>
        <v>#N/A</v>
      </c>
      <c r="C1279" s="915"/>
      <c r="D1279" s="915"/>
      <c r="E1279" s="915"/>
    </row>
    <row r="1280" spans="1:5" x14ac:dyDescent="0.2">
      <c r="A1280" s="914" t="s">
        <v>2210</v>
      </c>
      <c r="B1280" s="915" t="e">
        <f>'Supplementary Validation'!G24</f>
        <v>#N/A</v>
      </c>
      <c r="C1280" s="915"/>
      <c r="D1280" s="915"/>
      <c r="E1280" s="915"/>
    </row>
    <row r="1281" spans="1:5" x14ac:dyDescent="0.2">
      <c r="A1281" s="914" t="s">
        <v>2211</v>
      </c>
      <c r="B1281" s="915" t="e">
        <f>'Supplementary Validation'!G25</f>
        <v>#N/A</v>
      </c>
      <c r="C1281" s="915"/>
      <c r="D1281" s="915"/>
      <c r="E1281" s="915"/>
    </row>
    <row r="1282" spans="1:5" x14ac:dyDescent="0.2">
      <c r="A1282" s="914" t="s">
        <v>2212</v>
      </c>
      <c r="B1282" s="915" t="e">
        <f>'Supplementary Validation'!G28</f>
        <v>#N/A</v>
      </c>
      <c r="C1282" s="915"/>
      <c r="D1282" s="915"/>
      <c r="E1282" s="915"/>
    </row>
    <row r="1283" spans="1:5" x14ac:dyDescent="0.2">
      <c r="A1283" s="914" t="s">
        <v>2213</v>
      </c>
      <c r="B1283" s="915" t="e">
        <f>'Supplementary Validation'!G29</f>
        <v>#N/A</v>
      </c>
      <c r="C1283" s="915"/>
      <c r="D1283" s="915"/>
      <c r="E1283" s="915"/>
    </row>
    <row r="1284" spans="1:5" x14ac:dyDescent="0.2">
      <c r="A1284" s="914" t="s">
        <v>2214</v>
      </c>
      <c r="B1284" s="915" t="e">
        <f>'Supplementary Validation'!G30</f>
        <v>#N/A</v>
      </c>
      <c r="C1284" s="915"/>
      <c r="D1284" s="915"/>
      <c r="E1284" s="915"/>
    </row>
    <row r="1285" spans="1:5" x14ac:dyDescent="0.2">
      <c r="A1285" s="914" t="s">
        <v>2215</v>
      </c>
      <c r="B1285" s="915" t="e">
        <f>'Supplementary Validation'!G31</f>
        <v>#N/A</v>
      </c>
      <c r="C1285" s="915"/>
      <c r="D1285" s="915"/>
      <c r="E1285" s="915"/>
    </row>
    <row r="1286" spans="1:5" x14ac:dyDescent="0.2">
      <c r="A1286" s="914" t="s">
        <v>2216</v>
      </c>
      <c r="B1286" s="915" t="e">
        <f>'Supplementary Validation'!G32</f>
        <v>#N/A</v>
      </c>
      <c r="C1286" s="915"/>
      <c r="D1286" s="915"/>
      <c r="E1286" s="915"/>
    </row>
    <row r="1287" spans="1:5" x14ac:dyDescent="0.2">
      <c r="A1287" s="914" t="s">
        <v>2217</v>
      </c>
      <c r="B1287" s="915" t="e">
        <f>'Supplementary Validation'!G33</f>
        <v>#N/A</v>
      </c>
      <c r="C1287" s="915"/>
      <c r="D1287" s="915"/>
      <c r="E1287" s="915"/>
    </row>
    <row r="1288" spans="1:5" x14ac:dyDescent="0.2">
      <c r="A1288" s="914" t="s">
        <v>2218</v>
      </c>
      <c r="B1288" s="915" t="e">
        <f>'Supplementary Validation'!G34</f>
        <v>#N/A</v>
      </c>
      <c r="C1288" s="915"/>
      <c r="D1288" s="915"/>
      <c r="E1288" s="915"/>
    </row>
    <row r="1289" spans="1:5" x14ac:dyDescent="0.2">
      <c r="A1289" s="914" t="s">
        <v>2791</v>
      </c>
      <c r="B1289" s="915" t="e">
        <f>'Supplementary Validation'!G35</f>
        <v>#N/A</v>
      </c>
      <c r="C1289" s="915"/>
      <c r="D1289" s="915"/>
      <c r="E1289" s="915"/>
    </row>
    <row r="1290" spans="1:5" x14ac:dyDescent="0.2">
      <c r="A1290" s="914" t="s">
        <v>2219</v>
      </c>
      <c r="B1290" s="915" t="e">
        <f>'Supplementary Validation'!G38</f>
        <v>#N/A</v>
      </c>
      <c r="C1290" s="915"/>
      <c r="D1290" s="915"/>
      <c r="E1290" s="915"/>
    </row>
    <row r="1291" spans="1:5" x14ac:dyDescent="0.2">
      <c r="A1291" s="914" t="s">
        <v>2220</v>
      </c>
      <c r="B1291" s="915" t="e">
        <f>'Supplementary Validation'!G39</f>
        <v>#N/A</v>
      </c>
      <c r="C1291" s="915"/>
      <c r="D1291" s="915"/>
      <c r="E1291" s="915"/>
    </row>
    <row r="1292" spans="1:5" x14ac:dyDescent="0.2">
      <c r="A1292" s="914" t="s">
        <v>2221</v>
      </c>
      <c r="B1292" s="915" t="e">
        <f>'Supplementary Validation'!G40</f>
        <v>#N/A</v>
      </c>
      <c r="C1292" s="915"/>
      <c r="D1292" s="915"/>
      <c r="E1292" s="915"/>
    </row>
    <row r="1293" spans="1:5" x14ac:dyDescent="0.2">
      <c r="A1293" s="914" t="s">
        <v>2222</v>
      </c>
      <c r="B1293" s="915" t="e">
        <f>'Supplementary Validation'!G41</f>
        <v>#N/A</v>
      </c>
      <c r="C1293" s="915"/>
      <c r="D1293" s="915"/>
      <c r="E1293" s="915"/>
    </row>
    <row r="1294" spans="1:5" x14ac:dyDescent="0.2">
      <c r="A1294" s="914" t="s">
        <v>2223</v>
      </c>
      <c r="B1294" s="915" t="e">
        <f>'Supplementary Validation'!G42</f>
        <v>#N/A</v>
      </c>
      <c r="C1294" s="915"/>
      <c r="D1294" s="915"/>
      <c r="E1294" s="915"/>
    </row>
    <row r="1295" spans="1:5" x14ac:dyDescent="0.2">
      <c r="A1295" s="914" t="s">
        <v>2224</v>
      </c>
      <c r="B1295" s="915" t="e">
        <f>'Supplementary Validation'!G45</f>
        <v>#N/A</v>
      </c>
      <c r="C1295" s="915"/>
      <c r="D1295" s="915"/>
      <c r="E1295" s="915"/>
    </row>
    <row r="1296" spans="1:5" x14ac:dyDescent="0.2">
      <c r="A1296" s="914" t="s">
        <v>3194</v>
      </c>
      <c r="B1296" s="915" t="e">
        <f>'Supplementary Validation'!G48</f>
        <v>#N/A</v>
      </c>
      <c r="C1296" s="915"/>
      <c r="D1296" s="915"/>
      <c r="E1296" s="915"/>
    </row>
    <row r="1297" spans="1:5" x14ac:dyDescent="0.2">
      <c r="A1297" s="914" t="s">
        <v>3195</v>
      </c>
      <c r="B1297" s="915" t="e">
        <f>'Supplementary Validation'!G49</f>
        <v>#N/A</v>
      </c>
      <c r="C1297" s="915"/>
      <c r="D1297" s="915"/>
      <c r="E1297" s="915"/>
    </row>
    <row r="1298" spans="1:5" x14ac:dyDescent="0.2">
      <c r="A1298" s="914" t="s">
        <v>3196</v>
      </c>
      <c r="B1298" s="915" t="e">
        <f>'Supplementary Validation'!G50</f>
        <v>#N/A</v>
      </c>
      <c r="C1298" s="915"/>
      <c r="D1298" s="915"/>
      <c r="E1298" s="915"/>
    </row>
    <row r="1299" spans="1:5" x14ac:dyDescent="0.2">
      <c r="A1299" s="914" t="s">
        <v>3197</v>
      </c>
      <c r="B1299" s="915" t="e">
        <f>'Supplementary Validation'!G51</f>
        <v>#N/A</v>
      </c>
      <c r="C1299" s="915"/>
      <c r="D1299" s="915"/>
      <c r="E1299" s="915"/>
    </row>
    <row r="1300" spans="1:5" x14ac:dyDescent="0.2">
      <c r="A1300" s="914" t="s">
        <v>3198</v>
      </c>
      <c r="B1300" s="915" t="e">
        <f>'Supplementary Validation'!G52</f>
        <v>#N/A</v>
      </c>
      <c r="C1300" s="915"/>
      <c r="D1300" s="915"/>
      <c r="E1300" s="915"/>
    </row>
    <row r="1301" spans="1:5" x14ac:dyDescent="0.2">
      <c r="A1301" s="914" t="s">
        <v>3199</v>
      </c>
      <c r="B1301" s="915" t="e">
        <f>'Supplementary Validation'!G53</f>
        <v>#N/A</v>
      </c>
      <c r="C1301" s="915"/>
      <c r="D1301" s="915"/>
      <c r="E1301" s="915"/>
    </row>
    <row r="1302" spans="1:5" x14ac:dyDescent="0.2">
      <c r="A1302" s="914" t="s">
        <v>2225</v>
      </c>
      <c r="B1302" s="917" t="e">
        <f>'Supplementary Validation'!H20</f>
        <v>#N/A</v>
      </c>
      <c r="C1302" s="917"/>
      <c r="D1302" s="917"/>
      <c r="E1302" s="917"/>
    </row>
    <row r="1303" spans="1:5" x14ac:dyDescent="0.2">
      <c r="A1303" s="914" t="s">
        <v>2226</v>
      </c>
      <c r="B1303" s="917" t="e">
        <f>'Supplementary Validation'!H21</f>
        <v>#N/A</v>
      </c>
      <c r="C1303" s="917"/>
      <c r="D1303" s="917"/>
      <c r="E1303" s="917"/>
    </row>
    <row r="1304" spans="1:5" x14ac:dyDescent="0.2">
      <c r="A1304" s="914" t="s">
        <v>2227</v>
      </c>
      <c r="B1304" s="917" t="e">
        <f>'Supplementary Validation'!H22</f>
        <v>#N/A</v>
      </c>
      <c r="C1304" s="917"/>
      <c r="D1304" s="917"/>
      <c r="E1304" s="917"/>
    </row>
    <row r="1305" spans="1:5" x14ac:dyDescent="0.2">
      <c r="A1305" s="914" t="s">
        <v>2444</v>
      </c>
      <c r="B1305" s="917" t="e">
        <f>'Supplementary Validation'!H23</f>
        <v>#N/A</v>
      </c>
      <c r="C1305" s="917"/>
      <c r="D1305" s="917"/>
      <c r="E1305" s="917"/>
    </row>
    <row r="1306" spans="1:5" x14ac:dyDescent="0.2">
      <c r="A1306" s="914" t="s">
        <v>2228</v>
      </c>
      <c r="B1306" s="917" t="e">
        <f>'Supplementary Validation'!H24</f>
        <v>#N/A</v>
      </c>
      <c r="C1306" s="917"/>
      <c r="D1306" s="917"/>
      <c r="E1306" s="917"/>
    </row>
    <row r="1307" spans="1:5" x14ac:dyDescent="0.2">
      <c r="A1307" s="914" t="s">
        <v>2229</v>
      </c>
      <c r="B1307" s="917" t="e">
        <f>'Supplementary Validation'!H25</f>
        <v>#N/A</v>
      </c>
      <c r="C1307" s="917"/>
      <c r="D1307" s="917"/>
      <c r="E1307" s="917"/>
    </row>
    <row r="1308" spans="1:5" x14ac:dyDescent="0.2">
      <c r="A1308" s="914" t="s">
        <v>2230</v>
      </c>
      <c r="B1308" s="917" t="e">
        <f>'Supplementary Validation'!H28</f>
        <v>#N/A</v>
      </c>
      <c r="C1308" s="917"/>
      <c r="D1308" s="917"/>
      <c r="E1308" s="917"/>
    </row>
    <row r="1309" spans="1:5" x14ac:dyDescent="0.2">
      <c r="A1309" s="914" t="s">
        <v>2231</v>
      </c>
      <c r="B1309" s="917" t="e">
        <f>'Supplementary Validation'!H29</f>
        <v>#N/A</v>
      </c>
      <c r="C1309" s="917"/>
      <c r="D1309" s="917"/>
      <c r="E1309" s="917"/>
    </row>
    <row r="1310" spans="1:5" x14ac:dyDescent="0.2">
      <c r="A1310" s="914" t="s">
        <v>2232</v>
      </c>
      <c r="B1310" s="917" t="e">
        <f>'Supplementary Validation'!H30</f>
        <v>#N/A</v>
      </c>
      <c r="C1310" s="917"/>
      <c r="D1310" s="917"/>
      <c r="E1310" s="917"/>
    </row>
    <row r="1311" spans="1:5" x14ac:dyDescent="0.2">
      <c r="A1311" s="914" t="s">
        <v>2233</v>
      </c>
      <c r="B1311" s="917" t="e">
        <f>'Supplementary Validation'!H31</f>
        <v>#N/A</v>
      </c>
      <c r="C1311" s="917"/>
      <c r="D1311" s="917"/>
      <c r="E1311" s="917"/>
    </row>
    <row r="1312" spans="1:5" x14ac:dyDescent="0.2">
      <c r="A1312" s="914" t="s">
        <v>2234</v>
      </c>
      <c r="B1312" s="917" t="e">
        <f>'Supplementary Validation'!H32</f>
        <v>#N/A</v>
      </c>
      <c r="C1312" s="917"/>
      <c r="D1312" s="917"/>
      <c r="E1312" s="917"/>
    </row>
    <row r="1313" spans="1:5" x14ac:dyDescent="0.2">
      <c r="A1313" s="914" t="s">
        <v>2235</v>
      </c>
      <c r="B1313" s="917" t="e">
        <f>'Supplementary Validation'!H33</f>
        <v>#N/A</v>
      </c>
      <c r="C1313" s="917"/>
      <c r="D1313" s="917"/>
      <c r="E1313" s="917"/>
    </row>
    <row r="1314" spans="1:5" x14ac:dyDescent="0.2">
      <c r="A1314" s="914" t="s">
        <v>2236</v>
      </c>
      <c r="B1314" s="917" t="e">
        <f>'Supplementary Validation'!H34</f>
        <v>#N/A</v>
      </c>
      <c r="C1314" s="917"/>
      <c r="D1314" s="917"/>
      <c r="E1314" s="917"/>
    </row>
    <row r="1315" spans="1:5" x14ac:dyDescent="0.2">
      <c r="A1315" s="914" t="s">
        <v>2792</v>
      </c>
      <c r="B1315" s="917" t="e">
        <f>'Supplementary Validation'!H35</f>
        <v>#N/A</v>
      </c>
      <c r="C1315" s="917"/>
      <c r="D1315" s="917"/>
      <c r="E1315" s="917"/>
    </row>
    <row r="1316" spans="1:5" x14ac:dyDescent="0.2">
      <c r="A1316" s="914" t="s">
        <v>2237</v>
      </c>
      <c r="B1316" s="917" t="e">
        <f>'Supplementary Validation'!H38</f>
        <v>#N/A</v>
      </c>
      <c r="C1316" s="917"/>
      <c r="D1316" s="917"/>
      <c r="E1316" s="917"/>
    </row>
    <row r="1317" spans="1:5" x14ac:dyDescent="0.2">
      <c r="A1317" s="914" t="s">
        <v>2238</v>
      </c>
      <c r="B1317" s="917" t="e">
        <f>'Supplementary Validation'!H39</f>
        <v>#N/A</v>
      </c>
      <c r="C1317" s="917"/>
      <c r="D1317" s="917"/>
      <c r="E1317" s="917"/>
    </row>
    <row r="1318" spans="1:5" x14ac:dyDescent="0.2">
      <c r="A1318" s="914" t="s">
        <v>2239</v>
      </c>
      <c r="B1318" s="917" t="e">
        <f>'Supplementary Validation'!H40</f>
        <v>#N/A</v>
      </c>
      <c r="C1318" s="917"/>
      <c r="D1318" s="917"/>
      <c r="E1318" s="917"/>
    </row>
    <row r="1319" spans="1:5" x14ac:dyDescent="0.2">
      <c r="A1319" s="914" t="s">
        <v>2240</v>
      </c>
      <c r="B1319" s="917" t="e">
        <f>'Supplementary Validation'!H41</f>
        <v>#N/A</v>
      </c>
      <c r="C1319" s="917"/>
      <c r="D1319" s="917"/>
      <c r="E1319" s="917"/>
    </row>
    <row r="1320" spans="1:5" x14ac:dyDescent="0.2">
      <c r="A1320" s="914" t="s">
        <v>2241</v>
      </c>
      <c r="B1320" s="917" t="e">
        <f>'Supplementary Validation'!H42</f>
        <v>#N/A</v>
      </c>
      <c r="C1320" s="917"/>
      <c r="D1320" s="917"/>
      <c r="E1320" s="917"/>
    </row>
    <row r="1321" spans="1:5" x14ac:dyDescent="0.2">
      <c r="A1321" s="914" t="s">
        <v>2242</v>
      </c>
      <c r="B1321" s="917" t="e">
        <f>'Supplementary Validation'!H45</f>
        <v>#N/A</v>
      </c>
      <c r="C1321" s="917"/>
      <c r="D1321" s="917"/>
      <c r="E1321" s="917"/>
    </row>
    <row r="1322" spans="1:5" x14ac:dyDescent="0.2">
      <c r="A1322" s="914" t="s">
        <v>3200</v>
      </c>
      <c r="B1322" s="917" t="e">
        <f>'Supplementary Validation'!H48</f>
        <v>#N/A</v>
      </c>
      <c r="C1322" s="917"/>
      <c r="D1322" s="917"/>
      <c r="E1322" s="917"/>
    </row>
    <row r="1323" spans="1:5" x14ac:dyDescent="0.2">
      <c r="A1323" s="914" t="s">
        <v>3201</v>
      </c>
      <c r="B1323" s="917" t="e">
        <f>'Supplementary Validation'!H49</f>
        <v>#N/A</v>
      </c>
      <c r="C1323" s="917"/>
      <c r="D1323" s="917"/>
      <c r="E1323" s="917"/>
    </row>
    <row r="1324" spans="1:5" x14ac:dyDescent="0.2">
      <c r="A1324" s="914" t="s">
        <v>3202</v>
      </c>
      <c r="B1324" s="917" t="e">
        <f>'Supplementary Validation'!H50</f>
        <v>#N/A</v>
      </c>
      <c r="C1324" s="917"/>
      <c r="D1324" s="917"/>
      <c r="E1324" s="917"/>
    </row>
    <row r="1325" spans="1:5" x14ac:dyDescent="0.2">
      <c r="A1325" s="914" t="s">
        <v>3203</v>
      </c>
      <c r="B1325" s="917" t="e">
        <f>'Supplementary Validation'!H51</f>
        <v>#N/A</v>
      </c>
      <c r="C1325" s="917"/>
      <c r="D1325" s="917"/>
      <c r="E1325" s="917"/>
    </row>
    <row r="1326" spans="1:5" x14ac:dyDescent="0.2">
      <c r="A1326" s="914" t="s">
        <v>3204</v>
      </c>
      <c r="B1326" s="917" t="e">
        <f>'Supplementary Validation'!H52</f>
        <v>#N/A</v>
      </c>
      <c r="C1326" s="917"/>
      <c r="D1326" s="917"/>
      <c r="E1326" s="917"/>
    </row>
    <row r="1327" spans="1:5" x14ac:dyDescent="0.2">
      <c r="A1327" s="914" t="s">
        <v>3205</v>
      </c>
      <c r="B1327" s="917" t="e">
        <f>'Supplementary Validation'!H53</f>
        <v>#N/A</v>
      </c>
      <c r="C1327" s="917"/>
      <c r="D1327" s="917"/>
      <c r="E1327" s="917"/>
    </row>
    <row r="1328" spans="1:5" x14ac:dyDescent="0.2">
      <c r="A1328" s="914" t="s">
        <v>2243</v>
      </c>
      <c r="B1328" s="918">
        <f>'Supplementary Validation'!M55</f>
        <v>0</v>
      </c>
      <c r="C1328" s="918"/>
      <c r="D1328" s="918"/>
      <c r="E1328" s="919"/>
    </row>
    <row r="1329" spans="1:5" x14ac:dyDescent="0.2">
      <c r="A1329" s="914" t="s">
        <v>2244</v>
      </c>
      <c r="B1329" s="918" t="e">
        <f>'Supplementary Validation'!M20</f>
        <v>#N/A</v>
      </c>
      <c r="C1329" s="916"/>
      <c r="D1329" s="918"/>
      <c r="E1329" s="919"/>
    </row>
    <row r="1330" spans="1:5" x14ac:dyDescent="0.2">
      <c r="A1330" s="914" t="s">
        <v>2245</v>
      </c>
      <c r="B1330" s="918" t="e">
        <f>'Supplementary Validation'!M21</f>
        <v>#N/A</v>
      </c>
      <c r="C1330" s="916"/>
      <c r="D1330" s="918"/>
      <c r="E1330" s="919"/>
    </row>
    <row r="1331" spans="1:5" x14ac:dyDescent="0.2">
      <c r="A1331" s="914" t="s">
        <v>2246</v>
      </c>
      <c r="B1331" s="918" t="e">
        <f>'Supplementary Validation'!M22</f>
        <v>#N/A</v>
      </c>
      <c r="C1331" s="916"/>
      <c r="D1331" s="918"/>
      <c r="E1331" s="919"/>
    </row>
    <row r="1332" spans="1:5" x14ac:dyDescent="0.2">
      <c r="A1332" s="914" t="s">
        <v>2445</v>
      </c>
      <c r="B1332" s="918" t="e">
        <f>'Supplementary Validation'!M23</f>
        <v>#N/A</v>
      </c>
      <c r="C1332" s="916"/>
      <c r="D1332" s="918"/>
      <c r="E1332" s="919"/>
    </row>
    <row r="1333" spans="1:5" x14ac:dyDescent="0.2">
      <c r="A1333" s="914" t="s">
        <v>2247</v>
      </c>
      <c r="B1333" s="918" t="e">
        <f>'Supplementary Validation'!M24</f>
        <v>#N/A</v>
      </c>
      <c r="C1333" s="916"/>
      <c r="D1333" s="918"/>
      <c r="E1333" s="919"/>
    </row>
    <row r="1334" spans="1:5" x14ac:dyDescent="0.2">
      <c r="A1334" s="914" t="s">
        <v>2248</v>
      </c>
      <c r="B1334" s="918" t="e">
        <f>'Supplementary Validation'!M25</f>
        <v>#N/A</v>
      </c>
      <c r="C1334" s="916"/>
      <c r="D1334" s="918"/>
      <c r="E1334" s="919"/>
    </row>
    <row r="1335" spans="1:5" x14ac:dyDescent="0.2">
      <c r="A1335" s="914" t="s">
        <v>2249</v>
      </c>
      <c r="B1335" s="918" t="e">
        <f>'Supplementary Validation'!M28</f>
        <v>#N/A</v>
      </c>
      <c r="C1335" s="916"/>
      <c r="D1335" s="918"/>
      <c r="E1335" s="919"/>
    </row>
    <row r="1336" spans="1:5" x14ac:dyDescent="0.2">
      <c r="A1336" s="914" t="s">
        <v>2250</v>
      </c>
      <c r="B1336" s="918" t="e">
        <f>'Supplementary Validation'!M29</f>
        <v>#N/A</v>
      </c>
      <c r="C1336" s="916"/>
      <c r="D1336" s="918"/>
      <c r="E1336" s="919"/>
    </row>
    <row r="1337" spans="1:5" x14ac:dyDescent="0.2">
      <c r="A1337" s="914" t="s">
        <v>2251</v>
      </c>
      <c r="B1337" s="918" t="e">
        <f>'Supplementary Validation'!M30</f>
        <v>#N/A</v>
      </c>
      <c r="C1337" s="916"/>
      <c r="D1337" s="918"/>
      <c r="E1337" s="919"/>
    </row>
    <row r="1338" spans="1:5" x14ac:dyDescent="0.2">
      <c r="A1338" s="914" t="s">
        <v>2252</v>
      </c>
      <c r="B1338" s="918" t="e">
        <f>'Supplementary Validation'!M31</f>
        <v>#N/A</v>
      </c>
      <c r="C1338" s="916"/>
      <c r="D1338" s="918"/>
      <c r="E1338" s="919"/>
    </row>
    <row r="1339" spans="1:5" x14ac:dyDescent="0.2">
      <c r="A1339" s="914" t="s">
        <v>2253</v>
      </c>
      <c r="B1339" s="918" t="e">
        <f>'Supplementary Validation'!M32</f>
        <v>#N/A</v>
      </c>
      <c r="C1339" s="916"/>
      <c r="D1339" s="918"/>
      <c r="E1339" s="919"/>
    </row>
    <row r="1340" spans="1:5" x14ac:dyDescent="0.2">
      <c r="A1340" s="914" t="s">
        <v>2254</v>
      </c>
      <c r="B1340" s="918" t="e">
        <f>'Supplementary Validation'!M33</f>
        <v>#N/A</v>
      </c>
      <c r="C1340" s="916"/>
      <c r="D1340" s="918"/>
      <c r="E1340" s="919"/>
    </row>
    <row r="1341" spans="1:5" x14ac:dyDescent="0.2">
      <c r="A1341" s="914" t="s">
        <v>2255</v>
      </c>
      <c r="B1341" s="918" t="e">
        <f>'Supplementary Validation'!M34</f>
        <v>#N/A</v>
      </c>
      <c r="C1341" s="916"/>
      <c r="D1341" s="918"/>
      <c r="E1341" s="919"/>
    </row>
    <row r="1342" spans="1:5" x14ac:dyDescent="0.2">
      <c r="A1342" s="914" t="s">
        <v>2793</v>
      </c>
      <c r="B1342" s="918" t="e">
        <f>'Supplementary Validation'!M35</f>
        <v>#N/A</v>
      </c>
      <c r="C1342" s="916"/>
      <c r="D1342" s="918"/>
      <c r="E1342" s="919"/>
    </row>
    <row r="1343" spans="1:5" x14ac:dyDescent="0.2">
      <c r="A1343" s="914" t="s">
        <v>2256</v>
      </c>
      <c r="B1343" s="918" t="e">
        <f>'Supplementary Validation'!M38</f>
        <v>#N/A</v>
      </c>
      <c r="C1343" s="916"/>
      <c r="D1343" s="918"/>
      <c r="E1343" s="919"/>
    </row>
    <row r="1344" spans="1:5" x14ac:dyDescent="0.2">
      <c r="A1344" s="914" t="s">
        <v>2257</v>
      </c>
      <c r="B1344" s="918" t="e">
        <f>'Supplementary Validation'!M39</f>
        <v>#N/A</v>
      </c>
      <c r="C1344" s="916"/>
      <c r="D1344" s="918"/>
      <c r="E1344" s="919"/>
    </row>
    <row r="1345" spans="1:5" x14ac:dyDescent="0.2">
      <c r="A1345" s="914" t="s">
        <v>2258</v>
      </c>
      <c r="B1345" s="918" t="e">
        <f>'Supplementary Validation'!M40</f>
        <v>#N/A</v>
      </c>
      <c r="C1345" s="916"/>
      <c r="D1345" s="918"/>
      <c r="E1345" s="919"/>
    </row>
    <row r="1346" spans="1:5" x14ac:dyDescent="0.2">
      <c r="A1346" s="914" t="s">
        <v>2259</v>
      </c>
      <c r="B1346" s="918" t="e">
        <f>'Supplementary Validation'!M41</f>
        <v>#N/A</v>
      </c>
      <c r="C1346" s="916"/>
      <c r="D1346" s="918"/>
      <c r="E1346" s="919"/>
    </row>
    <row r="1347" spans="1:5" x14ac:dyDescent="0.2">
      <c r="A1347" s="914" t="s">
        <v>2260</v>
      </c>
      <c r="B1347" s="918" t="e">
        <f>'Supplementary Validation'!M42</f>
        <v>#N/A</v>
      </c>
      <c r="C1347" s="916"/>
      <c r="D1347" s="918"/>
      <c r="E1347" s="919"/>
    </row>
    <row r="1348" spans="1:5" x14ac:dyDescent="0.2">
      <c r="A1348" s="914" t="s">
        <v>2261</v>
      </c>
      <c r="B1348" s="918" t="e">
        <f>'Supplementary Validation'!M45</f>
        <v>#N/A</v>
      </c>
      <c r="C1348" s="916"/>
      <c r="D1348" s="918"/>
      <c r="E1348" s="919"/>
    </row>
    <row r="1349" spans="1:5" x14ac:dyDescent="0.2">
      <c r="A1349" s="914" t="s">
        <v>3206</v>
      </c>
      <c r="B1349" s="918" t="e">
        <f>'Supplementary Validation'!M48</f>
        <v>#N/A</v>
      </c>
      <c r="C1349" s="916"/>
      <c r="D1349" s="918"/>
      <c r="E1349" s="919"/>
    </row>
    <row r="1350" spans="1:5" x14ac:dyDescent="0.2">
      <c r="A1350" s="914" t="s">
        <v>3207</v>
      </c>
      <c r="B1350" s="918" t="e">
        <f>'Supplementary Validation'!M49</f>
        <v>#N/A</v>
      </c>
      <c r="C1350" s="916"/>
      <c r="D1350" s="918"/>
      <c r="E1350" s="919"/>
    </row>
    <row r="1351" spans="1:5" x14ac:dyDescent="0.2">
      <c r="A1351" s="914" t="s">
        <v>3208</v>
      </c>
      <c r="B1351" s="918" t="e">
        <f>'Supplementary Validation'!M50</f>
        <v>#N/A</v>
      </c>
      <c r="C1351" s="916"/>
      <c r="D1351" s="918"/>
      <c r="E1351" s="919"/>
    </row>
    <row r="1352" spans="1:5" x14ac:dyDescent="0.2">
      <c r="A1352" s="914" t="s">
        <v>3209</v>
      </c>
      <c r="B1352" s="918" t="e">
        <f>'Supplementary Validation'!M51</f>
        <v>#N/A</v>
      </c>
      <c r="C1352" s="916"/>
      <c r="D1352" s="918"/>
      <c r="E1352" s="919"/>
    </row>
    <row r="1353" spans="1:5" x14ac:dyDescent="0.2">
      <c r="A1353" s="914" t="s">
        <v>3210</v>
      </c>
      <c r="B1353" s="918" t="e">
        <f>'Supplementary Validation'!M52</f>
        <v>#N/A</v>
      </c>
      <c r="C1353" s="916"/>
      <c r="D1353" s="918"/>
      <c r="E1353" s="919"/>
    </row>
    <row r="1354" spans="1:5" x14ac:dyDescent="0.2">
      <c r="A1354" s="914" t="s">
        <v>3211</v>
      </c>
      <c r="B1354" s="918" t="e">
        <f>'Supplementary Validation'!M53</f>
        <v>#N/A</v>
      </c>
      <c r="C1354" s="916"/>
      <c r="D1354" s="918"/>
      <c r="E1354" s="919"/>
    </row>
    <row r="1355" spans="1:5" x14ac:dyDescent="0.2">
      <c r="A1355" s="914" t="s">
        <v>2262</v>
      </c>
      <c r="B1355" s="918">
        <f>'Supplementary Validation'!O20</f>
        <v>0</v>
      </c>
      <c r="C1355" s="918"/>
      <c r="D1355" s="918"/>
      <c r="E1355" s="919"/>
    </row>
    <row r="1356" spans="1:5" x14ac:dyDescent="0.2">
      <c r="A1356" s="914" t="s">
        <v>2263</v>
      </c>
      <c r="B1356" s="918">
        <f>'Supplementary Validation'!O21</f>
        <v>0</v>
      </c>
      <c r="C1356" s="918"/>
      <c r="D1356" s="918"/>
      <c r="E1356" s="919"/>
    </row>
    <row r="1357" spans="1:5" x14ac:dyDescent="0.2">
      <c r="A1357" s="914" t="s">
        <v>2264</v>
      </c>
      <c r="B1357" s="918">
        <f>'Supplementary Validation'!O22</f>
        <v>0</v>
      </c>
      <c r="C1357" s="918"/>
      <c r="D1357" s="918"/>
      <c r="E1357" s="919"/>
    </row>
    <row r="1358" spans="1:5" x14ac:dyDescent="0.2">
      <c r="A1358" s="914" t="s">
        <v>2446</v>
      </c>
      <c r="B1358" s="918">
        <f>'Supplementary Validation'!O23</f>
        <v>0</v>
      </c>
      <c r="C1358" s="918"/>
      <c r="D1358" s="918"/>
      <c r="E1358" s="919"/>
    </row>
    <row r="1359" spans="1:5" x14ac:dyDescent="0.2">
      <c r="A1359" s="914" t="s">
        <v>2265</v>
      </c>
      <c r="B1359" s="918">
        <f>'Supplementary Validation'!O24</f>
        <v>0</v>
      </c>
      <c r="C1359" s="918"/>
      <c r="D1359" s="918"/>
      <c r="E1359" s="919"/>
    </row>
    <row r="1360" spans="1:5" x14ac:dyDescent="0.2">
      <c r="A1360" s="914" t="s">
        <v>2266</v>
      </c>
      <c r="B1360" s="918">
        <f>'Supplementary Validation'!O25</f>
        <v>0</v>
      </c>
      <c r="C1360" s="918"/>
      <c r="D1360" s="918"/>
      <c r="E1360" s="919"/>
    </row>
    <row r="1361" spans="1:5" x14ac:dyDescent="0.2">
      <c r="A1361" s="914" t="s">
        <v>2267</v>
      </c>
      <c r="B1361" s="918">
        <f>'Supplementary Validation'!O28</f>
        <v>0</v>
      </c>
      <c r="C1361" s="918"/>
      <c r="D1361" s="918"/>
      <c r="E1361" s="919"/>
    </row>
    <row r="1362" spans="1:5" x14ac:dyDescent="0.2">
      <c r="A1362" s="914" t="s">
        <v>2268</v>
      </c>
      <c r="B1362" s="918">
        <f>'Supplementary Validation'!O29</f>
        <v>0</v>
      </c>
      <c r="C1362" s="918"/>
      <c r="D1362" s="918"/>
      <c r="E1362" s="919"/>
    </row>
    <row r="1363" spans="1:5" x14ac:dyDescent="0.2">
      <c r="A1363" s="914" t="s">
        <v>2269</v>
      </c>
      <c r="B1363" s="918">
        <f>'Supplementary Validation'!O30</f>
        <v>0</v>
      </c>
      <c r="C1363" s="918"/>
      <c r="D1363" s="918"/>
      <c r="E1363" s="919"/>
    </row>
    <row r="1364" spans="1:5" x14ac:dyDescent="0.2">
      <c r="A1364" s="914" t="s">
        <v>2270</v>
      </c>
      <c r="B1364" s="918">
        <f>'Supplementary Validation'!O31</f>
        <v>0</v>
      </c>
      <c r="C1364" s="918"/>
      <c r="D1364" s="918"/>
      <c r="E1364" s="919"/>
    </row>
    <row r="1365" spans="1:5" x14ac:dyDescent="0.2">
      <c r="A1365" s="914" t="s">
        <v>2271</v>
      </c>
      <c r="B1365" s="918">
        <f>'Supplementary Validation'!O32</f>
        <v>0</v>
      </c>
      <c r="C1365" s="918"/>
      <c r="D1365" s="918"/>
      <c r="E1365" s="919"/>
    </row>
    <row r="1366" spans="1:5" x14ac:dyDescent="0.2">
      <c r="A1366" s="914" t="s">
        <v>2272</v>
      </c>
      <c r="B1366" s="918">
        <f>'Supplementary Validation'!O33</f>
        <v>0</v>
      </c>
      <c r="C1366" s="918"/>
      <c r="D1366" s="918"/>
      <c r="E1366" s="919"/>
    </row>
    <row r="1367" spans="1:5" x14ac:dyDescent="0.2">
      <c r="A1367" s="914" t="s">
        <v>2273</v>
      </c>
      <c r="B1367" s="918">
        <f>'Supplementary Validation'!O34</f>
        <v>0</v>
      </c>
      <c r="C1367" s="918"/>
      <c r="D1367" s="918"/>
      <c r="E1367" s="919"/>
    </row>
    <row r="1368" spans="1:5" x14ac:dyDescent="0.2">
      <c r="A1368" s="914" t="s">
        <v>2794</v>
      </c>
      <c r="B1368" s="918">
        <f>'Supplementary Validation'!O35</f>
        <v>0</v>
      </c>
      <c r="C1368" s="918"/>
      <c r="D1368" s="918"/>
      <c r="E1368" s="919"/>
    </row>
    <row r="1369" spans="1:5" x14ac:dyDescent="0.2">
      <c r="A1369" s="914" t="s">
        <v>2274</v>
      </c>
      <c r="B1369" s="918">
        <f>'Supplementary Validation'!O38</f>
        <v>0</v>
      </c>
      <c r="C1369" s="918"/>
      <c r="D1369" s="918"/>
      <c r="E1369" s="919"/>
    </row>
    <row r="1370" spans="1:5" x14ac:dyDescent="0.2">
      <c r="A1370" s="914" t="s">
        <v>2275</v>
      </c>
      <c r="B1370" s="918">
        <f>'Supplementary Validation'!O39</f>
        <v>0</v>
      </c>
      <c r="C1370" s="918"/>
      <c r="D1370" s="918"/>
      <c r="E1370" s="919"/>
    </row>
    <row r="1371" spans="1:5" x14ac:dyDescent="0.2">
      <c r="A1371" s="914" t="s">
        <v>2276</v>
      </c>
      <c r="B1371" s="918">
        <f>'Supplementary Validation'!O40</f>
        <v>0</v>
      </c>
      <c r="C1371" s="918"/>
      <c r="D1371" s="918"/>
      <c r="E1371" s="919"/>
    </row>
    <row r="1372" spans="1:5" x14ac:dyDescent="0.2">
      <c r="A1372" s="914" t="s">
        <v>2277</v>
      </c>
      <c r="B1372" s="918">
        <f>'Supplementary Validation'!O41</f>
        <v>0</v>
      </c>
      <c r="C1372" s="918"/>
      <c r="D1372" s="918"/>
      <c r="E1372" s="919"/>
    </row>
    <row r="1373" spans="1:5" x14ac:dyDescent="0.2">
      <c r="A1373" s="914" t="s">
        <v>2278</v>
      </c>
      <c r="B1373" s="918">
        <f>'Supplementary Validation'!O42</f>
        <v>0</v>
      </c>
      <c r="C1373" s="918"/>
      <c r="D1373" s="918"/>
      <c r="E1373" s="919"/>
    </row>
    <row r="1374" spans="1:5" x14ac:dyDescent="0.2">
      <c r="A1374" s="914" t="s">
        <v>2279</v>
      </c>
      <c r="B1374" s="918">
        <f>'Supplementary Validation'!O45</f>
        <v>0</v>
      </c>
      <c r="C1374" s="918"/>
      <c r="D1374" s="918"/>
      <c r="E1374" s="919"/>
    </row>
    <row r="1375" spans="1:5" x14ac:dyDescent="0.2">
      <c r="A1375" s="914" t="s">
        <v>3212</v>
      </c>
      <c r="B1375" s="918">
        <f>'Supplementary Validation'!O48</f>
        <v>0</v>
      </c>
      <c r="C1375" s="918"/>
      <c r="D1375" s="918"/>
      <c r="E1375" s="919"/>
    </row>
    <row r="1376" spans="1:5" x14ac:dyDescent="0.2">
      <c r="A1376" s="914" t="s">
        <v>3213</v>
      </c>
      <c r="B1376" s="918">
        <f>'Supplementary Validation'!O49</f>
        <v>0</v>
      </c>
      <c r="C1376" s="918"/>
      <c r="D1376" s="918"/>
      <c r="E1376" s="919"/>
    </row>
    <row r="1377" spans="1:5" x14ac:dyDescent="0.2">
      <c r="A1377" s="914" t="s">
        <v>3214</v>
      </c>
      <c r="B1377" s="918">
        <f>'Supplementary Validation'!O50</f>
        <v>0</v>
      </c>
      <c r="C1377" s="918"/>
      <c r="D1377" s="918"/>
      <c r="E1377" s="919"/>
    </row>
    <row r="1378" spans="1:5" x14ac:dyDescent="0.2">
      <c r="A1378" s="914" t="s">
        <v>3215</v>
      </c>
      <c r="B1378" s="918">
        <f>'Supplementary Validation'!O51</f>
        <v>0</v>
      </c>
      <c r="C1378" s="918"/>
      <c r="D1378" s="918"/>
      <c r="E1378" s="919"/>
    </row>
    <row r="1379" spans="1:5" x14ac:dyDescent="0.2">
      <c r="A1379" s="914" t="s">
        <v>3216</v>
      </c>
      <c r="B1379" s="918">
        <f>'Supplementary Validation'!O52</f>
        <v>0</v>
      </c>
      <c r="C1379" s="918"/>
      <c r="D1379" s="918"/>
      <c r="E1379" s="919"/>
    </row>
    <row r="1380" spans="1:5" x14ac:dyDescent="0.2">
      <c r="A1380" s="914" t="s">
        <v>3217</v>
      </c>
      <c r="B1380" s="918">
        <f>'Supplementary Validation'!O53</f>
        <v>0</v>
      </c>
      <c r="C1380" s="918"/>
      <c r="D1380" s="918"/>
      <c r="E1380" s="919"/>
    </row>
    <row r="1381" spans="1:5" x14ac:dyDescent="0.2">
      <c r="A1381" s="914" t="s">
        <v>2280</v>
      </c>
      <c r="B1381" s="918">
        <f>'Supplementary Validation'!B57</f>
        <v>0</v>
      </c>
      <c r="C1381" s="918"/>
      <c r="D1381" s="918"/>
      <c r="E1381" s="918"/>
    </row>
    <row r="1382" spans="1:5" s="799" customFormat="1" x14ac:dyDescent="0.2">
      <c r="B1382" s="800"/>
      <c r="C1382" s="800"/>
      <c r="D1382" s="800"/>
      <c r="E1382" s="800"/>
    </row>
  </sheetData>
  <sheetProtection sheet="1" objects="1" scenarios="1"/>
  <autoFilter ref="A1:K1381" xr:uid="{06441947-DC61-4DB2-AB31-3A3311C757B5}"/>
  <phoneticPr fontId="125" type="noConversion"/>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filterMode="1">
    <tabColor rgb="FF92D050"/>
    <pageSetUpPr autoPageBreaks="0" fitToPage="1"/>
  </sheetPr>
  <dimension ref="A1:CT306"/>
  <sheetViews>
    <sheetView zoomScaleNormal="100" workbookViewId="0">
      <pane xSplit="3" ySplit="7" topLeftCell="BA8" activePane="bottomRight" state="frozen"/>
      <selection activeCell="A186" sqref="A186"/>
      <selection pane="topRight" activeCell="A186" sqref="A186"/>
      <selection pane="bottomLeft" activeCell="A186" sqref="A186"/>
      <selection pane="bottomRight" activeCell="BQ5" sqref="A1:CT306"/>
    </sheetView>
  </sheetViews>
  <sheetFormatPr defaultColWidth="9.140625" defaultRowHeight="15" x14ac:dyDescent="0.2"/>
  <cols>
    <col min="1" max="1" width="8.42578125" style="26" customWidth="1"/>
    <col min="2" max="2" width="33.140625" style="26" customWidth="1"/>
    <col min="3" max="3" width="8.140625" style="26" bestFit="1" customWidth="1"/>
    <col min="4" max="4" width="14.7109375" style="26" bestFit="1" customWidth="1"/>
    <col min="5" max="5" width="18.28515625" customWidth="1"/>
    <col min="6" max="6" width="13.7109375" customWidth="1"/>
    <col min="7" max="13" width="18.28515625" customWidth="1"/>
    <col min="14" max="14" width="16.7109375" customWidth="1"/>
    <col min="15" max="17" width="18.28515625" customWidth="1"/>
    <col min="18" max="19" width="18.42578125" customWidth="1"/>
    <col min="20" max="20" width="15.140625" customWidth="1"/>
    <col min="21" max="21" width="16.85546875" customWidth="1"/>
    <col min="22" max="22" width="13.140625" customWidth="1"/>
    <col min="23" max="24" width="13.85546875" customWidth="1"/>
    <col min="25" max="29" width="13.7109375" customWidth="1"/>
    <col min="30" max="30" width="15" customWidth="1"/>
    <col min="31" max="31" width="13.7109375" customWidth="1"/>
    <col min="32" max="32" width="16" customWidth="1"/>
    <col min="33" max="34" width="17.7109375" customWidth="1"/>
    <col min="35" max="35" width="17.5703125" customWidth="1"/>
    <col min="36" max="36" width="17" customWidth="1"/>
    <col min="37" max="37" width="15.7109375" customWidth="1"/>
    <col min="38" max="38" width="15.140625" customWidth="1"/>
    <col min="39" max="39" width="16.42578125" customWidth="1"/>
    <col min="40" max="40" width="18" customWidth="1"/>
    <col min="41" max="55" width="13.7109375" customWidth="1"/>
    <col min="56" max="56" width="12.28515625" style="273" customWidth="1"/>
    <col min="57" max="57" width="14.140625" style="273" customWidth="1"/>
    <col min="58" max="58" width="15.85546875" style="273" bestFit="1" customWidth="1"/>
    <col min="59" max="60" width="18.42578125" style="273" customWidth="1"/>
    <col min="61" max="61" width="18.5703125" style="273" customWidth="1"/>
    <col min="62" max="64" width="17.140625" customWidth="1"/>
    <col min="65" max="66" width="9.7109375" style="273" bestFit="1" customWidth="1"/>
    <col min="67" max="97" width="9.140625" style="273"/>
  </cols>
  <sheetData>
    <row r="1" spans="1:97" ht="15.75" thickBot="1" x14ac:dyDescent="0.3">
      <c r="A1" s="617"/>
      <c r="B1" s="618"/>
      <c r="C1" s="619"/>
      <c r="D1" s="1856" t="s">
        <v>957</v>
      </c>
      <c r="E1" s="1857"/>
      <c r="F1" s="1858"/>
      <c r="G1" s="1854" t="s">
        <v>2839</v>
      </c>
      <c r="H1" s="1855"/>
      <c r="I1" s="1855"/>
      <c r="J1" s="1855"/>
      <c r="K1" s="1855"/>
      <c r="L1" s="1855"/>
      <c r="M1" s="1855"/>
      <c r="N1" s="1855"/>
      <c r="O1" s="1855"/>
      <c r="P1" s="1855"/>
      <c r="Q1" s="1855"/>
      <c r="R1" s="1855"/>
      <c r="S1" s="1855"/>
      <c r="T1" s="1855"/>
      <c r="U1" s="1855"/>
      <c r="V1" s="1855"/>
      <c r="W1" s="1855"/>
      <c r="X1" s="1855"/>
      <c r="Y1" s="1855"/>
      <c r="Z1" s="1855"/>
      <c r="AA1" s="1855"/>
      <c r="AB1" s="1055"/>
      <c r="AC1" s="1055"/>
      <c r="AD1" s="1859" t="s">
        <v>2840</v>
      </c>
      <c r="AE1" s="1859"/>
      <c r="AF1" s="1859"/>
      <c r="AG1" s="1859"/>
      <c r="AH1" s="1859"/>
      <c r="AI1" s="1859"/>
      <c r="AJ1" s="1859"/>
      <c r="AK1" s="1859"/>
      <c r="AL1" s="1859"/>
      <c r="AM1" s="1859"/>
      <c r="AN1" s="1859"/>
      <c r="AO1" s="1859"/>
      <c r="AP1" s="1859"/>
      <c r="AQ1" s="1859"/>
      <c r="AR1" s="1859"/>
      <c r="AS1" s="1859"/>
      <c r="AT1" s="1859"/>
      <c r="AU1" s="1859"/>
      <c r="AV1" s="1859"/>
      <c r="AW1" s="1860"/>
      <c r="AX1" s="1122"/>
      <c r="AY1" s="1122"/>
      <c r="AZ1" s="1122"/>
      <c r="BA1" s="1122"/>
      <c r="BB1" s="1122"/>
      <c r="BC1" s="1122"/>
      <c r="BD1" s="1861" t="s">
        <v>2841</v>
      </c>
      <c r="BE1" s="1862"/>
      <c r="BF1" s="1863"/>
      <c r="BG1" s="663" t="s">
        <v>1259</v>
      </c>
      <c r="BH1" s="663" t="s">
        <v>1259</v>
      </c>
      <c r="BI1" s="663" t="s">
        <v>3280</v>
      </c>
      <c r="BJ1" s="1853" t="s">
        <v>2450</v>
      </c>
      <c r="BK1" s="1853"/>
      <c r="BL1" s="1853"/>
      <c r="BM1" s="544"/>
      <c r="BN1" s="649"/>
      <c r="BO1" s="544"/>
      <c r="BY1" s="725" t="s">
        <v>1254</v>
      </c>
      <c r="CK1" s="643"/>
      <c r="CL1" s="643"/>
      <c r="CM1" s="643"/>
      <c r="CN1" s="643"/>
      <c r="CO1" s="643"/>
      <c r="CP1" s="643"/>
    </row>
    <row r="2" spans="1:97" ht="12.75" x14ac:dyDescent="0.2">
      <c r="A2" s="617"/>
      <c r="B2" s="618"/>
      <c r="C2" s="619"/>
      <c r="D2" s="620"/>
      <c r="E2" s="620"/>
      <c r="F2" s="620"/>
      <c r="G2" s="989"/>
      <c r="H2" s="989"/>
      <c r="I2" s="989"/>
      <c r="J2" s="989"/>
      <c r="K2" s="989"/>
      <c r="L2" s="989"/>
      <c r="M2" s="989"/>
      <c r="N2" s="990"/>
      <c r="O2" s="989"/>
      <c r="P2" s="989"/>
      <c r="Q2" s="989"/>
      <c r="R2" s="989"/>
      <c r="S2" s="989"/>
      <c r="T2" s="990"/>
      <c r="U2" s="990"/>
      <c r="V2" s="990"/>
      <c r="W2" s="990"/>
      <c r="X2" s="990"/>
      <c r="Y2" s="990"/>
      <c r="Z2" s="990"/>
      <c r="AA2" s="990"/>
      <c r="AB2" s="990"/>
      <c r="AC2" s="990"/>
      <c r="AD2" s="620"/>
      <c r="AE2" s="620"/>
      <c r="AF2" s="620"/>
      <c r="AG2" s="620"/>
      <c r="AH2" s="620"/>
      <c r="AI2" s="620"/>
      <c r="AJ2" s="620"/>
      <c r="AK2" s="620"/>
      <c r="AL2" s="620"/>
      <c r="AM2" s="620"/>
      <c r="AN2" s="620"/>
      <c r="AO2" s="620"/>
      <c r="AP2" s="620"/>
      <c r="AQ2" s="620"/>
      <c r="AR2" s="620"/>
      <c r="AS2" s="620"/>
      <c r="AT2" s="620"/>
      <c r="AU2" s="620"/>
      <c r="AV2" s="620"/>
      <c r="AW2" s="620"/>
      <c r="AX2" s="620"/>
      <c r="AY2" s="620"/>
      <c r="AZ2" s="620"/>
      <c r="BA2" s="620"/>
      <c r="BB2" s="620"/>
      <c r="BC2" s="620"/>
      <c r="BD2" s="990"/>
      <c r="BE2" s="990"/>
      <c r="BF2" s="990"/>
      <c r="BG2" s="620"/>
      <c r="BH2" s="620"/>
      <c r="BI2" s="620"/>
      <c r="BJ2" s="903"/>
      <c r="BK2" s="903"/>
      <c r="BL2" s="903"/>
      <c r="BM2" s="544"/>
      <c r="BN2" s="649"/>
      <c r="BO2" s="544"/>
      <c r="CK2" s="643"/>
      <c r="CL2" s="643"/>
      <c r="CM2" s="643"/>
      <c r="CN2" s="643"/>
      <c r="CO2" s="643"/>
      <c r="CP2" s="643"/>
    </row>
    <row r="3" spans="1:97" ht="12.75" x14ac:dyDescent="0.2">
      <c r="A3" s="621"/>
      <c r="B3" s="622">
        <v>2</v>
      </c>
      <c r="C3" s="623">
        <v>3</v>
      </c>
      <c r="D3" s="1123">
        <v>4</v>
      </c>
      <c r="E3" s="991">
        <v>5</v>
      </c>
      <c r="F3" s="1123">
        <v>6</v>
      </c>
      <c r="G3" s="991">
        <v>7</v>
      </c>
      <c r="H3" s="1123">
        <v>8</v>
      </c>
      <c r="I3" s="991">
        <v>9</v>
      </c>
      <c r="J3" s="1123">
        <v>10</v>
      </c>
      <c r="K3" s="991">
        <v>11</v>
      </c>
      <c r="L3" s="1123">
        <v>12</v>
      </c>
      <c r="M3" s="991">
        <v>13</v>
      </c>
      <c r="N3" s="1123">
        <v>14</v>
      </c>
      <c r="O3" s="991">
        <v>15</v>
      </c>
      <c r="P3" s="1123">
        <v>16</v>
      </c>
      <c r="Q3" s="991">
        <v>17</v>
      </c>
      <c r="R3" s="1123">
        <v>18</v>
      </c>
      <c r="S3" s="991">
        <v>19</v>
      </c>
      <c r="T3" s="1123">
        <v>20</v>
      </c>
      <c r="U3" s="991">
        <v>21</v>
      </c>
      <c r="V3" s="1123">
        <v>22</v>
      </c>
      <c r="W3" s="991">
        <v>23</v>
      </c>
      <c r="X3" s="1123">
        <v>24</v>
      </c>
      <c r="Y3" s="991">
        <v>25</v>
      </c>
      <c r="Z3" s="1123">
        <v>26</v>
      </c>
      <c r="AA3" s="991">
        <v>27</v>
      </c>
      <c r="AB3" s="991">
        <v>28</v>
      </c>
      <c r="AC3" s="1123">
        <v>29</v>
      </c>
      <c r="AD3" s="991">
        <v>30</v>
      </c>
      <c r="AE3" s="1123">
        <v>31</v>
      </c>
      <c r="AF3" s="991">
        <v>32</v>
      </c>
      <c r="AG3" s="1071">
        <v>33</v>
      </c>
      <c r="AH3" s="991">
        <v>34</v>
      </c>
      <c r="AI3" s="1123">
        <v>35</v>
      </c>
      <c r="AJ3" s="991">
        <v>36</v>
      </c>
      <c r="AK3" s="1123">
        <v>37</v>
      </c>
      <c r="AL3" s="991">
        <v>38</v>
      </c>
      <c r="AM3" s="1123">
        <v>39</v>
      </c>
      <c r="AN3" s="991">
        <v>40</v>
      </c>
      <c r="AO3" s="1123">
        <v>41</v>
      </c>
      <c r="AP3" s="991">
        <v>42</v>
      </c>
      <c r="AQ3" s="1123">
        <v>43</v>
      </c>
      <c r="AR3" s="991">
        <v>44</v>
      </c>
      <c r="AS3" s="1123">
        <v>45</v>
      </c>
      <c r="AT3" s="991">
        <v>46</v>
      </c>
      <c r="AU3" s="1123">
        <v>47</v>
      </c>
      <c r="AV3" s="991">
        <v>48</v>
      </c>
      <c r="AW3" s="1123">
        <v>49</v>
      </c>
      <c r="AX3" s="991">
        <v>50</v>
      </c>
      <c r="AY3" s="991">
        <v>51</v>
      </c>
      <c r="AZ3" s="991">
        <v>52</v>
      </c>
      <c r="BA3" s="991">
        <v>53</v>
      </c>
      <c r="BB3" s="991">
        <v>54</v>
      </c>
      <c r="BC3" s="991">
        <v>55</v>
      </c>
      <c r="BD3" s="991">
        <v>56</v>
      </c>
      <c r="BE3" s="1123">
        <v>57</v>
      </c>
      <c r="BF3" s="991">
        <v>58</v>
      </c>
      <c r="BG3" s="1123">
        <v>59</v>
      </c>
      <c r="BH3" s="991">
        <v>60</v>
      </c>
      <c r="BI3" s="1123">
        <v>61</v>
      </c>
      <c r="BJ3" s="991">
        <v>62</v>
      </c>
      <c r="BK3" s="621">
        <v>63</v>
      </c>
      <c r="BL3" s="991">
        <v>64</v>
      </c>
      <c r="BN3" s="649"/>
    </row>
    <row r="4" spans="1:97" ht="13.5" thickBot="1" x14ac:dyDescent="0.25">
      <c r="A4" s="624"/>
      <c r="B4" s="625"/>
      <c r="C4" s="626"/>
      <c r="D4" s="993"/>
      <c r="E4" s="993"/>
      <c r="F4" s="993"/>
      <c r="G4" s="992"/>
      <c r="H4" s="992"/>
      <c r="I4" s="992"/>
      <c r="J4" s="992"/>
      <c r="K4" s="992"/>
      <c r="L4" s="992"/>
      <c r="M4" s="992"/>
      <c r="N4" s="993"/>
      <c r="O4" s="992"/>
      <c r="P4" s="992"/>
      <c r="Q4" s="992"/>
      <c r="R4" s="992"/>
      <c r="S4" s="992"/>
      <c r="T4" s="993"/>
      <c r="U4" s="993"/>
      <c r="V4" s="993"/>
      <c r="W4" s="993"/>
      <c r="X4" s="993"/>
      <c r="Y4" s="993"/>
      <c r="Z4" s="993"/>
      <c r="AA4" s="993"/>
      <c r="AB4" s="993"/>
      <c r="AC4" s="993"/>
      <c r="AD4" s="993"/>
      <c r="AE4" s="993"/>
      <c r="AF4" s="993"/>
      <c r="AG4" s="993"/>
      <c r="AH4" s="993"/>
      <c r="AI4" s="993"/>
      <c r="AJ4" s="993"/>
      <c r="AK4" s="993"/>
      <c r="AL4" s="993"/>
      <c r="AM4" s="993"/>
      <c r="AN4" s="993"/>
      <c r="AO4" s="993"/>
      <c r="AP4" s="993"/>
      <c r="AQ4" s="993"/>
      <c r="AR4" s="993"/>
      <c r="AS4" s="993"/>
      <c r="AT4" s="993"/>
      <c r="AU4" s="993"/>
      <c r="AV4" s="993"/>
      <c r="AW4" s="993"/>
      <c r="AX4" s="993"/>
      <c r="AY4" s="993"/>
      <c r="AZ4" s="993"/>
      <c r="BA4" s="993"/>
      <c r="BB4" s="993"/>
      <c r="BC4" s="993"/>
      <c r="BD4" s="993"/>
      <c r="BE4" s="993"/>
      <c r="BF4" s="993"/>
      <c r="BG4" s="993"/>
      <c r="BH4" s="993"/>
      <c r="BI4" s="993"/>
      <c r="BJ4" s="1052"/>
      <c r="BK4" s="1052"/>
      <c r="BL4" s="1052"/>
      <c r="BN4" s="649"/>
    </row>
    <row r="5" spans="1:97" ht="179.25" thickBot="1" x14ac:dyDescent="0.25">
      <c r="A5" s="627" t="s">
        <v>728</v>
      </c>
      <c r="B5" s="628" t="s">
        <v>729</v>
      </c>
      <c r="C5" s="629" t="s">
        <v>730</v>
      </c>
      <c r="D5" s="272" t="s">
        <v>2815</v>
      </c>
      <c r="E5" s="630" t="s">
        <v>3251</v>
      </c>
      <c r="F5" s="630" t="s">
        <v>3252</v>
      </c>
      <c r="G5" s="631" t="s">
        <v>2842</v>
      </c>
      <c r="H5" s="631" t="s">
        <v>2843</v>
      </c>
      <c r="I5" s="631" t="s">
        <v>943</v>
      </c>
      <c r="J5" s="631" t="s">
        <v>944</v>
      </c>
      <c r="K5" s="631" t="s">
        <v>2844</v>
      </c>
      <c r="L5" s="631" t="s">
        <v>2845</v>
      </c>
      <c r="M5" s="631" t="s">
        <v>2846</v>
      </c>
      <c r="N5" s="631" t="s">
        <v>2847</v>
      </c>
      <c r="O5" s="631" t="s">
        <v>2848</v>
      </c>
      <c r="P5" s="631" t="s">
        <v>2849</v>
      </c>
      <c r="Q5" s="631" t="s">
        <v>2844</v>
      </c>
      <c r="R5" s="631" t="s">
        <v>2850</v>
      </c>
      <c r="S5" s="631" t="s">
        <v>2851</v>
      </c>
      <c r="T5" s="631" t="s">
        <v>2852</v>
      </c>
      <c r="U5" s="631" t="s">
        <v>2853</v>
      </c>
      <c r="V5" s="631" t="s">
        <v>2854</v>
      </c>
      <c r="W5" s="631" t="s">
        <v>896</v>
      </c>
      <c r="X5" s="631" t="s">
        <v>897</v>
      </c>
      <c r="Y5" s="631" t="s">
        <v>2855</v>
      </c>
      <c r="Z5" s="631" t="s">
        <v>945</v>
      </c>
      <c r="AA5" s="631" t="s">
        <v>2382</v>
      </c>
      <c r="AB5" s="631" t="s">
        <v>3285</v>
      </c>
      <c r="AC5" s="631" t="s">
        <v>2856</v>
      </c>
      <c r="AD5" s="632" t="s">
        <v>2383</v>
      </c>
      <c r="AE5" s="632" t="s">
        <v>2384</v>
      </c>
      <c r="AF5" s="632" t="s">
        <v>2385</v>
      </c>
      <c r="AG5" s="632" t="s">
        <v>1342</v>
      </c>
      <c r="AH5" s="632" t="s">
        <v>2442</v>
      </c>
      <c r="AI5" s="632" t="s">
        <v>2386</v>
      </c>
      <c r="AJ5" s="632" t="s">
        <v>2387</v>
      </c>
      <c r="AK5" s="632" t="s">
        <v>2388</v>
      </c>
      <c r="AL5" s="632" t="s">
        <v>2389</v>
      </c>
      <c r="AM5" s="632" t="s">
        <v>2390</v>
      </c>
      <c r="AN5" s="632" t="s">
        <v>2391</v>
      </c>
      <c r="AO5" s="632" t="s">
        <v>2392</v>
      </c>
      <c r="AP5" s="632" t="s">
        <v>2393</v>
      </c>
      <c r="AQ5" s="632" t="s">
        <v>2394</v>
      </c>
      <c r="AR5" s="632" t="s">
        <v>2785</v>
      </c>
      <c r="AS5" s="632" t="s">
        <v>2395</v>
      </c>
      <c r="AT5" s="632" t="s">
        <v>2396</v>
      </c>
      <c r="AU5" s="632" t="s">
        <v>1219</v>
      </c>
      <c r="AV5" s="632" t="s">
        <v>1183</v>
      </c>
      <c r="AW5" s="632" t="s">
        <v>2397</v>
      </c>
      <c r="AX5" s="632" t="s">
        <v>2899</v>
      </c>
      <c r="AY5" s="632" t="s">
        <v>2900</v>
      </c>
      <c r="AZ5" s="632" t="s">
        <v>2901</v>
      </c>
      <c r="BA5" s="632" t="s">
        <v>2902</v>
      </c>
      <c r="BB5" s="632" t="s">
        <v>2903</v>
      </c>
      <c r="BC5" s="632" t="s">
        <v>2904</v>
      </c>
      <c r="BD5" s="632" t="s">
        <v>2857</v>
      </c>
      <c r="BE5" s="632" t="s">
        <v>2867</v>
      </c>
      <c r="BF5" s="632" t="s">
        <v>2868</v>
      </c>
      <c r="BG5" s="632" t="s">
        <v>3278</v>
      </c>
      <c r="BH5" s="632" t="s">
        <v>3279</v>
      </c>
      <c r="BI5" s="632" t="s">
        <v>2869</v>
      </c>
      <c r="BJ5" s="631" t="s">
        <v>2451</v>
      </c>
      <c r="BK5" s="904" t="s">
        <v>2452</v>
      </c>
      <c r="BL5" s="631" t="s">
        <v>2453</v>
      </c>
      <c r="BN5" s="649"/>
    </row>
    <row r="6" spans="1:97" ht="15" customHeight="1" thickBot="1" x14ac:dyDescent="0.25">
      <c r="A6" s="633"/>
      <c r="B6" s="634"/>
      <c r="C6" s="634"/>
      <c r="D6" s="956" t="s">
        <v>1376</v>
      </c>
      <c r="E6" s="942" t="s">
        <v>2308</v>
      </c>
      <c r="F6" s="942" t="s">
        <v>2309</v>
      </c>
      <c r="G6" s="942" t="s">
        <v>1486</v>
      </c>
      <c r="H6" s="942" t="s">
        <v>1497</v>
      </c>
      <c r="I6" s="942" t="s">
        <v>1501</v>
      </c>
      <c r="J6" s="942" t="s">
        <v>1502</v>
      </c>
      <c r="K6" s="942" t="s">
        <v>1505</v>
      </c>
      <c r="L6" s="942" t="s">
        <v>1508</v>
      </c>
      <c r="M6" s="942" t="s">
        <v>1511</v>
      </c>
      <c r="N6" s="942" t="s">
        <v>2305</v>
      </c>
      <c r="O6" s="942" t="s">
        <v>1521</v>
      </c>
      <c r="P6" s="942" t="s">
        <v>1524</v>
      </c>
      <c r="Q6" s="942" t="s">
        <v>1534</v>
      </c>
      <c r="R6" s="942" t="s">
        <v>1537</v>
      </c>
      <c r="S6" s="942" t="s">
        <v>1540</v>
      </c>
      <c r="T6" s="1262" t="s">
        <v>1543</v>
      </c>
      <c r="U6" s="942" t="s">
        <v>1546</v>
      </c>
      <c r="V6" s="942" t="s">
        <v>1549</v>
      </c>
      <c r="W6" s="942" t="s">
        <v>1280</v>
      </c>
      <c r="X6" s="942" t="s">
        <v>1281</v>
      </c>
      <c r="Y6" s="943" t="s">
        <v>1559</v>
      </c>
      <c r="Z6" s="942" t="s">
        <v>1578</v>
      </c>
      <c r="AA6" s="943" t="s">
        <v>1584</v>
      </c>
      <c r="AB6" s="1273" t="s">
        <v>1559</v>
      </c>
      <c r="AC6" s="943" t="s">
        <v>2315</v>
      </c>
      <c r="AD6" s="943" t="s">
        <v>1631</v>
      </c>
      <c r="AE6" s="943" t="s">
        <v>1632</v>
      </c>
      <c r="AF6" s="943" t="s">
        <v>1633</v>
      </c>
      <c r="AG6" s="943" t="s">
        <v>1634</v>
      </c>
      <c r="AH6" s="943" t="s">
        <v>2306</v>
      </c>
      <c r="AI6" s="943" t="s">
        <v>1635</v>
      </c>
      <c r="AJ6" s="943" t="s">
        <v>1636</v>
      </c>
      <c r="AK6" s="943" t="s">
        <v>1644</v>
      </c>
      <c r="AL6" s="943" t="s">
        <v>1645</v>
      </c>
      <c r="AM6" s="943" t="s">
        <v>1647</v>
      </c>
      <c r="AN6" s="943" t="s">
        <v>1648</v>
      </c>
      <c r="AO6" s="943" t="s">
        <v>1646</v>
      </c>
      <c r="AP6" s="943" t="s">
        <v>1649</v>
      </c>
      <c r="AQ6" s="943" t="s">
        <v>1650</v>
      </c>
      <c r="AR6" s="943" t="s">
        <v>1643</v>
      </c>
      <c r="AS6" s="943" t="s">
        <v>1654</v>
      </c>
      <c r="AT6" s="943" t="s">
        <v>1655</v>
      </c>
      <c r="AU6" s="943" t="s">
        <v>1656</v>
      </c>
      <c r="AV6" s="943" t="s">
        <v>1657</v>
      </c>
      <c r="AW6" s="943" t="s">
        <v>1658</v>
      </c>
      <c r="AX6" s="942" t="s">
        <v>1660</v>
      </c>
      <c r="AY6" s="942" t="s">
        <v>1661</v>
      </c>
      <c r="AZ6" s="942" t="s">
        <v>1662</v>
      </c>
      <c r="BA6" s="942" t="s">
        <v>1663</v>
      </c>
      <c r="BB6" s="942" t="s">
        <v>1664</v>
      </c>
      <c r="BC6" s="942" t="s">
        <v>1665</v>
      </c>
      <c r="BD6" s="944" t="s">
        <v>1562</v>
      </c>
      <c r="BE6" s="944" t="s">
        <v>1283</v>
      </c>
      <c r="BF6" s="944" t="s">
        <v>2440</v>
      </c>
      <c r="BG6" s="966" t="s">
        <v>2310</v>
      </c>
      <c r="BH6" s="966" t="s">
        <v>2311</v>
      </c>
      <c r="BI6" s="964" t="s">
        <v>2770</v>
      </c>
      <c r="BJ6" s="946"/>
      <c r="BK6" s="946"/>
      <c r="BL6" s="946"/>
      <c r="BN6" s="635"/>
    </row>
    <row r="7" spans="1:97" ht="13.5" thickBot="1" x14ac:dyDescent="0.25">
      <c r="A7" s="633"/>
      <c r="B7" s="634"/>
      <c r="C7" s="634"/>
      <c r="D7" s="956"/>
      <c r="E7" s="942"/>
      <c r="F7" s="942"/>
      <c r="G7" s="942"/>
      <c r="H7" s="942"/>
      <c r="I7" s="942"/>
      <c r="J7" s="942"/>
      <c r="K7" s="942"/>
      <c r="L7" s="942"/>
      <c r="M7" s="942"/>
      <c r="N7" s="942"/>
      <c r="O7" s="942"/>
      <c r="P7" s="942"/>
      <c r="Q7" s="942"/>
      <c r="R7" s="942"/>
      <c r="S7" s="942"/>
      <c r="T7" s="942"/>
      <c r="U7" s="942"/>
      <c r="V7" s="942"/>
      <c r="W7" s="942"/>
      <c r="X7" s="942"/>
      <c r="Y7" s="942"/>
      <c r="Z7" s="942"/>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2"/>
      <c r="AY7" s="942"/>
      <c r="AZ7" s="942"/>
      <c r="BA7" s="942"/>
      <c r="BB7" s="942"/>
      <c r="BC7" s="942"/>
      <c r="BD7" s="945"/>
      <c r="BE7" s="945"/>
      <c r="BF7" s="945"/>
      <c r="BG7" s="967"/>
      <c r="BH7" s="967"/>
      <c r="BI7" s="965"/>
      <c r="BJ7" s="946"/>
      <c r="BK7" s="946"/>
      <c r="BL7" s="946"/>
      <c r="BN7" s="635"/>
    </row>
    <row r="8" spans="1:97" s="142" customFormat="1" ht="12.75" x14ac:dyDescent="0.2">
      <c r="A8" s="735">
        <v>1</v>
      </c>
      <c r="B8" s="736" t="s">
        <v>731</v>
      </c>
      <c r="C8" s="737" t="s">
        <v>732</v>
      </c>
      <c r="D8" s="905">
        <v>84463.064981050295</v>
      </c>
      <c r="E8" s="905">
        <v>52426754</v>
      </c>
      <c r="F8" s="905">
        <v>2298</v>
      </c>
      <c r="G8" s="166">
        <v>26225975</v>
      </c>
      <c r="H8" s="166">
        <v>-2033426</v>
      </c>
      <c r="I8" s="166">
        <v>468598</v>
      </c>
      <c r="J8" s="166">
        <v>-1564828</v>
      </c>
      <c r="K8" s="166">
        <v>-1835552</v>
      </c>
      <c r="L8" s="166">
        <v>-14616</v>
      </c>
      <c r="M8" s="166">
        <v>0</v>
      </c>
      <c r="N8" s="166">
        <v>0</v>
      </c>
      <c r="O8" s="166">
        <v>0</v>
      </c>
      <c r="P8" s="166">
        <v>-152509</v>
      </c>
      <c r="Q8" s="166">
        <v>-41870</v>
      </c>
      <c r="R8" s="166">
        <v>-12475</v>
      </c>
      <c r="S8" s="166">
        <v>0</v>
      </c>
      <c r="T8" s="166"/>
      <c r="U8" s="166">
        <v>0</v>
      </c>
      <c r="V8" s="166">
        <v>0</v>
      </c>
      <c r="W8" s="166">
        <v>0</v>
      </c>
      <c r="X8" s="166">
        <v>0</v>
      </c>
      <c r="Y8" s="166">
        <v>0</v>
      </c>
      <c r="Z8" s="166">
        <v>18186510</v>
      </c>
      <c r="AA8" s="166">
        <v>-900000</v>
      </c>
      <c r="AB8" s="166"/>
      <c r="AC8" s="166">
        <v>-1511981</v>
      </c>
      <c r="AD8" s="166">
        <v>89</v>
      </c>
      <c r="AE8" s="166">
        <v>6</v>
      </c>
      <c r="AF8" s="166">
        <v>0</v>
      </c>
      <c r="AG8" s="166"/>
      <c r="AH8" s="166">
        <v>0</v>
      </c>
      <c r="AI8" s="166">
        <v>0</v>
      </c>
      <c r="AJ8" s="166">
        <v>50</v>
      </c>
      <c r="AK8" s="166">
        <v>20</v>
      </c>
      <c r="AL8" s="166">
        <v>1</v>
      </c>
      <c r="AM8" s="166">
        <v>0</v>
      </c>
      <c r="AN8" s="166">
        <v>0</v>
      </c>
      <c r="AO8" s="166">
        <v>0</v>
      </c>
      <c r="AP8" s="166">
        <v>0</v>
      </c>
      <c r="AQ8" s="166">
        <v>0</v>
      </c>
      <c r="AR8" s="166">
        <v>187</v>
      </c>
      <c r="AS8" s="166">
        <v>535</v>
      </c>
      <c r="AT8" s="166">
        <v>1191</v>
      </c>
      <c r="AU8" s="166">
        <v>1120</v>
      </c>
      <c r="AV8" s="166">
        <v>71</v>
      </c>
      <c r="AW8" s="166">
        <v>755</v>
      </c>
      <c r="AX8" s="166">
        <v>-45704</v>
      </c>
      <c r="AY8" s="166">
        <v>-3621</v>
      </c>
      <c r="AZ8" s="166">
        <v>0</v>
      </c>
      <c r="BA8" s="166">
        <v>-7296</v>
      </c>
      <c r="BB8" s="166">
        <v>-95889</v>
      </c>
      <c r="BC8" s="166">
        <v>0</v>
      </c>
      <c r="BD8" s="166">
        <v>-444420</v>
      </c>
      <c r="BE8" s="166">
        <v>-3215347</v>
      </c>
      <c r="BF8" s="166"/>
      <c r="BG8" s="760">
        <v>7226700</v>
      </c>
      <c r="BH8" s="760">
        <v>0</v>
      </c>
      <c r="BI8" s="815">
        <v>-3960344</v>
      </c>
      <c r="BJ8" s="1044" t="s">
        <v>2454</v>
      </c>
      <c r="BK8" s="1044" t="s">
        <v>2455</v>
      </c>
      <c r="BL8" s="1044" t="s">
        <v>2456</v>
      </c>
      <c r="BM8" s="650"/>
      <c r="BN8" s="746" t="s">
        <v>732</v>
      </c>
      <c r="BO8" s="142" t="b">
        <v>1</v>
      </c>
      <c r="BP8" s="544"/>
      <c r="BQ8" s="544"/>
      <c r="BR8" s="544"/>
      <c r="BS8" s="544"/>
      <c r="BT8" s="544"/>
      <c r="BU8" s="544"/>
      <c r="BV8" s="544"/>
      <c r="BW8" s="544"/>
      <c r="BX8" s="544"/>
      <c r="BY8" s="544"/>
      <c r="BZ8" s="544"/>
      <c r="CA8" s="544"/>
      <c r="CB8" s="544"/>
      <c r="CC8" s="544"/>
      <c r="CD8" s="544"/>
      <c r="CE8" s="544"/>
      <c r="CF8" s="544"/>
      <c r="CG8" s="544"/>
      <c r="CH8" s="544"/>
      <c r="CI8" s="544"/>
      <c r="CJ8" s="544"/>
      <c r="CK8" s="544"/>
      <c r="CL8" s="544"/>
      <c r="CM8" s="544"/>
      <c r="CN8" s="544"/>
      <c r="CO8" s="544"/>
      <c r="CP8" s="544"/>
      <c r="CQ8" s="544"/>
      <c r="CR8" s="544"/>
      <c r="CS8" s="544"/>
    </row>
    <row r="9" spans="1:97" s="142" customFormat="1" ht="12.75" x14ac:dyDescent="0.2">
      <c r="A9" s="735">
        <v>2</v>
      </c>
      <c r="B9" s="732" t="s">
        <v>733</v>
      </c>
      <c r="C9" s="738" t="s">
        <v>734</v>
      </c>
      <c r="D9" s="905">
        <v>147302.41643431701</v>
      </c>
      <c r="E9" s="905">
        <v>93498876</v>
      </c>
      <c r="F9" s="905">
        <v>3989</v>
      </c>
      <c r="G9" s="166">
        <v>46727054</v>
      </c>
      <c r="H9" s="166">
        <v>-5136295</v>
      </c>
      <c r="I9" s="166">
        <v>803571</v>
      </c>
      <c r="J9" s="166">
        <v>-4332724</v>
      </c>
      <c r="K9" s="166">
        <v>-2072599</v>
      </c>
      <c r="L9" s="166">
        <v>-22732</v>
      </c>
      <c r="M9" s="166">
        <v>-19712</v>
      </c>
      <c r="N9" s="166">
        <v>-4446</v>
      </c>
      <c r="O9" s="166">
        <v>0</v>
      </c>
      <c r="P9" s="166">
        <v>-751443</v>
      </c>
      <c r="Q9" s="166">
        <v>-50141</v>
      </c>
      <c r="R9" s="166">
        <v>-401843</v>
      </c>
      <c r="S9" s="166">
        <v>0</v>
      </c>
      <c r="T9" s="166"/>
      <c r="U9" s="166">
        <v>-1081</v>
      </c>
      <c r="V9" s="166">
        <v>0</v>
      </c>
      <c r="W9" s="166">
        <v>0</v>
      </c>
      <c r="X9" s="166">
        <v>0</v>
      </c>
      <c r="Y9" s="166">
        <v>0</v>
      </c>
      <c r="Z9" s="166">
        <v>31250879</v>
      </c>
      <c r="AA9" s="166">
        <v>-2838400</v>
      </c>
      <c r="AB9" s="166"/>
      <c r="AC9" s="166">
        <v>-2683159</v>
      </c>
      <c r="AD9" s="166">
        <v>179</v>
      </c>
      <c r="AE9" s="166">
        <v>2</v>
      </c>
      <c r="AF9" s="166">
        <v>11</v>
      </c>
      <c r="AG9" s="166"/>
      <c r="AH9" s="166">
        <v>6</v>
      </c>
      <c r="AI9" s="166">
        <v>0</v>
      </c>
      <c r="AJ9" s="166">
        <v>189</v>
      </c>
      <c r="AK9" s="166">
        <v>54</v>
      </c>
      <c r="AL9" s="166">
        <v>20</v>
      </c>
      <c r="AM9" s="166">
        <v>0</v>
      </c>
      <c r="AN9" s="166">
        <v>0</v>
      </c>
      <c r="AO9" s="166">
        <v>0</v>
      </c>
      <c r="AP9" s="166">
        <v>0</v>
      </c>
      <c r="AQ9" s="166">
        <v>0</v>
      </c>
      <c r="AR9" s="166">
        <v>448</v>
      </c>
      <c r="AS9" s="166">
        <v>802</v>
      </c>
      <c r="AT9" s="166">
        <v>1965</v>
      </c>
      <c r="AU9" s="166">
        <v>1823</v>
      </c>
      <c r="AV9" s="166">
        <v>142</v>
      </c>
      <c r="AW9" s="166">
        <v>1335</v>
      </c>
      <c r="AX9" s="166">
        <v>-6564</v>
      </c>
      <c r="AY9" s="166">
        <v>-434477</v>
      </c>
      <c r="AZ9" s="166">
        <v>0</v>
      </c>
      <c r="BA9" s="166">
        <v>0</v>
      </c>
      <c r="BB9" s="166">
        <v>-303105</v>
      </c>
      <c r="BC9" s="166">
        <v>-7297</v>
      </c>
      <c r="BD9" s="166">
        <v>0</v>
      </c>
      <c r="BE9" s="166">
        <v>2533307</v>
      </c>
      <c r="BF9" s="166"/>
      <c r="BG9" s="760">
        <v>13338650</v>
      </c>
      <c r="BH9" s="760">
        <v>0</v>
      </c>
      <c r="BI9" s="815">
        <v>8397194</v>
      </c>
      <c r="BJ9" s="1044" t="s">
        <v>2454</v>
      </c>
      <c r="BK9" s="1044" t="s">
        <v>2457</v>
      </c>
      <c r="BL9" s="1044" t="s">
        <v>2458</v>
      </c>
      <c r="BM9" s="650"/>
      <c r="BN9" s="746" t="s">
        <v>734</v>
      </c>
      <c r="BO9" s="142" t="b">
        <v>1</v>
      </c>
      <c r="BP9" s="544"/>
      <c r="BQ9" s="544"/>
      <c r="BR9" s="544"/>
      <c r="BS9" s="544"/>
      <c r="BT9" s="544"/>
      <c r="BU9" s="544"/>
      <c r="BV9" s="544"/>
      <c r="BW9" s="544"/>
      <c r="BX9" s="544"/>
      <c r="BY9" s="544"/>
      <c r="BZ9" s="544"/>
      <c r="CA9" s="544"/>
      <c r="CB9" s="544"/>
      <c r="CC9" s="544"/>
      <c r="CD9" s="544"/>
      <c r="CE9" s="544"/>
      <c r="CF9" s="544"/>
      <c r="CG9" s="544"/>
      <c r="CH9" s="544"/>
      <c r="CI9" s="544"/>
      <c r="CJ9" s="544"/>
      <c r="CK9" s="544"/>
      <c r="CL9" s="544"/>
      <c r="CM9" s="544"/>
      <c r="CN9" s="544"/>
      <c r="CO9" s="544"/>
      <c r="CP9" s="544"/>
      <c r="CQ9" s="544"/>
      <c r="CR9" s="544"/>
      <c r="CS9" s="544"/>
    </row>
    <row r="10" spans="1:97" s="142" customFormat="1" ht="12.75" x14ac:dyDescent="0.2">
      <c r="A10" s="735">
        <v>3</v>
      </c>
      <c r="B10" s="732" t="s">
        <v>735</v>
      </c>
      <c r="C10" s="738" t="s">
        <v>736</v>
      </c>
      <c r="D10" s="905">
        <v>179592.04000283199</v>
      </c>
      <c r="E10" s="905">
        <v>105961320</v>
      </c>
      <c r="F10" s="905">
        <v>4936</v>
      </c>
      <c r="G10" s="166">
        <v>52928204</v>
      </c>
      <c r="H10" s="166">
        <v>-7837769</v>
      </c>
      <c r="I10" s="166">
        <v>865331</v>
      </c>
      <c r="J10" s="166">
        <v>-6972438</v>
      </c>
      <c r="K10" s="166">
        <v>-4247952</v>
      </c>
      <c r="L10" s="166">
        <v>-145480</v>
      </c>
      <c r="M10" s="166">
        <v>0</v>
      </c>
      <c r="N10" s="166">
        <v>-55672</v>
      </c>
      <c r="O10" s="166">
        <v>0</v>
      </c>
      <c r="P10" s="166">
        <v>-467443</v>
      </c>
      <c r="Q10" s="166">
        <v>-144917</v>
      </c>
      <c r="R10" s="166">
        <v>-62200</v>
      </c>
      <c r="S10" s="166">
        <v>-734</v>
      </c>
      <c r="T10" s="166"/>
      <c r="U10" s="166">
        <v>0</v>
      </c>
      <c r="V10" s="166">
        <v>0</v>
      </c>
      <c r="W10" s="166">
        <v>0</v>
      </c>
      <c r="X10" s="166">
        <v>0</v>
      </c>
      <c r="Y10" s="166">
        <v>0</v>
      </c>
      <c r="Z10" s="166">
        <v>34945567</v>
      </c>
      <c r="AA10" s="166">
        <v>-1000000</v>
      </c>
      <c r="AB10" s="166"/>
      <c r="AC10" s="166">
        <v>-5885801</v>
      </c>
      <c r="AD10" s="166">
        <v>215</v>
      </c>
      <c r="AE10" s="166">
        <v>25</v>
      </c>
      <c r="AF10" s="166">
        <v>0</v>
      </c>
      <c r="AG10" s="166"/>
      <c r="AH10" s="166">
        <v>24</v>
      </c>
      <c r="AI10" s="166">
        <v>0</v>
      </c>
      <c r="AJ10" s="166">
        <v>308</v>
      </c>
      <c r="AK10" s="166">
        <v>56</v>
      </c>
      <c r="AL10" s="166">
        <v>7</v>
      </c>
      <c r="AM10" s="166">
        <v>0</v>
      </c>
      <c r="AN10" s="166">
        <v>0</v>
      </c>
      <c r="AO10" s="166">
        <v>3</v>
      </c>
      <c r="AP10" s="166">
        <v>0</v>
      </c>
      <c r="AQ10" s="166">
        <v>0</v>
      </c>
      <c r="AR10" s="166">
        <v>748</v>
      </c>
      <c r="AS10" s="166">
        <v>840</v>
      </c>
      <c r="AT10" s="166">
        <v>2583</v>
      </c>
      <c r="AU10" s="166">
        <v>2471</v>
      </c>
      <c r="AV10" s="166">
        <v>112</v>
      </c>
      <c r="AW10" s="166">
        <v>1546</v>
      </c>
      <c r="AX10" s="166">
        <v>-21760</v>
      </c>
      <c r="AY10" s="166">
        <v>-84941</v>
      </c>
      <c r="AZ10" s="166">
        <v>0</v>
      </c>
      <c r="BA10" s="166">
        <v>0</v>
      </c>
      <c r="BB10" s="166">
        <v>-360742</v>
      </c>
      <c r="BC10" s="166">
        <v>0</v>
      </c>
      <c r="BD10" s="166">
        <v>0</v>
      </c>
      <c r="BE10" s="166">
        <v>-1510242</v>
      </c>
      <c r="BF10" s="166"/>
      <c r="BG10" s="760">
        <v>16689700</v>
      </c>
      <c r="BH10" s="760">
        <v>0</v>
      </c>
      <c r="BI10" s="815">
        <v>-1805374</v>
      </c>
      <c r="BJ10" s="1044" t="s">
        <v>2454</v>
      </c>
      <c r="BK10" s="1044" t="s">
        <v>2455</v>
      </c>
      <c r="BL10" s="1044" t="s">
        <v>2459</v>
      </c>
      <c r="BM10" s="650"/>
      <c r="BN10" s="746" t="s">
        <v>736</v>
      </c>
      <c r="BO10" s="142" t="b">
        <v>1</v>
      </c>
      <c r="BP10" s="544"/>
      <c r="BQ10" s="544"/>
      <c r="BR10" s="544"/>
      <c r="BS10" s="544"/>
      <c r="BT10" s="544"/>
      <c r="BU10" s="544"/>
      <c r="BV10" s="544"/>
      <c r="BW10" s="544"/>
      <c r="BX10" s="544"/>
      <c r="BY10" s="544"/>
      <c r="BZ10" s="544"/>
      <c r="CA10" s="544"/>
      <c r="CB10" s="544"/>
      <c r="CC10" s="544"/>
      <c r="CD10" s="544"/>
      <c r="CE10" s="544"/>
      <c r="CF10" s="544"/>
      <c r="CG10" s="544"/>
      <c r="CH10" s="544"/>
      <c r="CI10" s="544"/>
      <c r="CJ10" s="544"/>
      <c r="CK10" s="544"/>
      <c r="CL10" s="544"/>
      <c r="CM10" s="544"/>
      <c r="CN10" s="544"/>
      <c r="CO10" s="544"/>
      <c r="CP10" s="544"/>
      <c r="CQ10" s="544"/>
      <c r="CR10" s="544"/>
      <c r="CS10" s="544"/>
    </row>
    <row r="11" spans="1:97" s="142" customFormat="1" ht="12.75" x14ac:dyDescent="0.2">
      <c r="A11" s="735">
        <v>4</v>
      </c>
      <c r="B11" s="732" t="s">
        <v>737</v>
      </c>
      <c r="C11" s="738" t="s">
        <v>738</v>
      </c>
      <c r="D11" s="905">
        <v>155792.15225931199</v>
      </c>
      <c r="E11" s="905">
        <v>114136253</v>
      </c>
      <c r="F11" s="905">
        <v>4020</v>
      </c>
      <c r="G11" s="166">
        <v>55446317</v>
      </c>
      <c r="H11" s="166">
        <v>-3546495</v>
      </c>
      <c r="I11" s="166">
        <v>1115102</v>
      </c>
      <c r="J11" s="166">
        <v>-2431393</v>
      </c>
      <c r="K11" s="166">
        <v>-2517798</v>
      </c>
      <c r="L11" s="166">
        <v>-22535</v>
      </c>
      <c r="M11" s="166">
        <v>-29618</v>
      </c>
      <c r="N11" s="166">
        <v>-858</v>
      </c>
      <c r="O11" s="166">
        <v>0</v>
      </c>
      <c r="P11" s="166">
        <v>-735621</v>
      </c>
      <c r="Q11" s="166">
        <v>-192977</v>
      </c>
      <c r="R11" s="166">
        <v>-35111</v>
      </c>
      <c r="S11" s="166">
        <v>0</v>
      </c>
      <c r="T11" s="166"/>
      <c r="U11" s="166">
        <v>-5047</v>
      </c>
      <c r="V11" s="166">
        <v>0</v>
      </c>
      <c r="W11" s="166">
        <v>0</v>
      </c>
      <c r="X11" s="166">
        <v>0</v>
      </c>
      <c r="Y11" s="166">
        <v>-14809</v>
      </c>
      <c r="Z11" s="166">
        <v>45122688</v>
      </c>
      <c r="AA11" s="166">
        <v>-600000</v>
      </c>
      <c r="AB11" s="166"/>
      <c r="AC11" s="166">
        <v>-2082863</v>
      </c>
      <c r="AD11" s="166">
        <v>136</v>
      </c>
      <c r="AE11" s="166">
        <v>4</v>
      </c>
      <c r="AF11" s="166">
        <v>11</v>
      </c>
      <c r="AG11" s="166"/>
      <c r="AH11" s="166">
        <v>1</v>
      </c>
      <c r="AI11" s="166">
        <v>0</v>
      </c>
      <c r="AJ11" s="166">
        <v>396</v>
      </c>
      <c r="AK11" s="166">
        <v>53</v>
      </c>
      <c r="AL11" s="166">
        <v>3</v>
      </c>
      <c r="AM11" s="166">
        <v>8</v>
      </c>
      <c r="AN11" s="166">
        <v>3</v>
      </c>
      <c r="AO11" s="166">
        <v>0</v>
      </c>
      <c r="AP11" s="166">
        <v>0</v>
      </c>
      <c r="AQ11" s="166">
        <v>0</v>
      </c>
      <c r="AR11" s="166">
        <v>273</v>
      </c>
      <c r="AS11" s="166">
        <v>1032</v>
      </c>
      <c r="AT11" s="166">
        <v>1637</v>
      </c>
      <c r="AU11" s="166">
        <v>1562</v>
      </c>
      <c r="AV11" s="166">
        <v>75</v>
      </c>
      <c r="AW11" s="166">
        <v>1327</v>
      </c>
      <c r="AX11" s="166">
        <v>-296190</v>
      </c>
      <c r="AY11" s="166">
        <v>-2150</v>
      </c>
      <c r="AZ11" s="166">
        <v>0</v>
      </c>
      <c r="BA11" s="166">
        <v>0</v>
      </c>
      <c r="BB11" s="166">
        <v>-343843</v>
      </c>
      <c r="BC11" s="166">
        <v>-93438</v>
      </c>
      <c r="BD11" s="166">
        <v>-524867</v>
      </c>
      <c r="BE11" s="166">
        <v>-246464</v>
      </c>
      <c r="BF11" s="166"/>
      <c r="BG11" s="760">
        <v>11634500</v>
      </c>
      <c r="BH11" s="760">
        <v>45000</v>
      </c>
      <c r="BI11" s="815">
        <v>-1023931</v>
      </c>
      <c r="BJ11" s="1044" t="s">
        <v>2454</v>
      </c>
      <c r="BK11" s="1044" t="s">
        <v>2457</v>
      </c>
      <c r="BL11" s="1044" t="s">
        <v>2460</v>
      </c>
      <c r="BM11" s="650"/>
      <c r="BN11" s="746" t="s">
        <v>738</v>
      </c>
      <c r="BO11" s="142" t="b">
        <v>1</v>
      </c>
      <c r="BP11" s="544"/>
      <c r="BQ11" s="544"/>
      <c r="BR11" s="544"/>
      <c r="BS11" s="544"/>
      <c r="BT11" s="544"/>
      <c r="BU11" s="544"/>
      <c r="BV11" s="544"/>
      <c r="BW11" s="544"/>
      <c r="BX11" s="544"/>
      <c r="BY11" s="544"/>
      <c r="BZ11" s="544"/>
      <c r="CA11" s="544"/>
      <c r="CB11" s="544"/>
      <c r="CC11" s="544"/>
      <c r="CD11" s="544"/>
      <c r="CE11" s="544"/>
      <c r="CF11" s="544"/>
      <c r="CG11" s="544"/>
      <c r="CH11" s="544"/>
      <c r="CI11" s="544"/>
      <c r="CJ11" s="544"/>
      <c r="CK11" s="544"/>
      <c r="CL11" s="544"/>
      <c r="CM11" s="544"/>
      <c r="CN11" s="544"/>
      <c r="CO11" s="544"/>
      <c r="CP11" s="544"/>
      <c r="CQ11" s="544"/>
      <c r="CR11" s="544"/>
      <c r="CS11" s="544"/>
    </row>
    <row r="12" spans="1:97" s="142" customFormat="1" ht="12.75" x14ac:dyDescent="0.2">
      <c r="A12" s="735">
        <v>5</v>
      </c>
      <c r="B12" s="732" t="s">
        <v>739</v>
      </c>
      <c r="C12" s="738" t="s">
        <v>740</v>
      </c>
      <c r="D12" s="905">
        <v>207114.91735613401</v>
      </c>
      <c r="E12" s="905">
        <v>144726834</v>
      </c>
      <c r="F12" s="905">
        <v>5443</v>
      </c>
      <c r="G12" s="166">
        <v>72629219</v>
      </c>
      <c r="H12" s="166">
        <v>-4767619</v>
      </c>
      <c r="I12" s="166">
        <v>1280422</v>
      </c>
      <c r="J12" s="166">
        <v>-3487197</v>
      </c>
      <c r="K12" s="166">
        <v>-4519499</v>
      </c>
      <c r="L12" s="166">
        <v>-95258</v>
      </c>
      <c r="M12" s="166">
        <v>-35778</v>
      </c>
      <c r="N12" s="166">
        <v>-4954</v>
      </c>
      <c r="O12" s="166">
        <v>-12000</v>
      </c>
      <c r="P12" s="166">
        <v>-1267995</v>
      </c>
      <c r="Q12" s="166">
        <v>-173770</v>
      </c>
      <c r="R12" s="166">
        <v>-79162</v>
      </c>
      <c r="S12" s="166">
        <v>-14227</v>
      </c>
      <c r="T12" s="166"/>
      <c r="U12" s="166">
        <v>-42905</v>
      </c>
      <c r="V12" s="166">
        <v>0</v>
      </c>
      <c r="W12" s="166">
        <v>0</v>
      </c>
      <c r="X12" s="166">
        <v>0</v>
      </c>
      <c r="Y12" s="166">
        <v>-14138</v>
      </c>
      <c r="Z12" s="166">
        <v>50007452</v>
      </c>
      <c r="AA12" s="166">
        <v>-1465290</v>
      </c>
      <c r="AB12" s="166"/>
      <c r="AC12" s="166">
        <v>-4830000</v>
      </c>
      <c r="AD12" s="166">
        <v>261</v>
      </c>
      <c r="AE12" s="166">
        <v>32</v>
      </c>
      <c r="AF12" s="166">
        <v>14</v>
      </c>
      <c r="AG12" s="166"/>
      <c r="AH12" s="166">
        <v>5</v>
      </c>
      <c r="AI12" s="166">
        <v>0</v>
      </c>
      <c r="AJ12" s="166">
        <v>475</v>
      </c>
      <c r="AK12" s="166">
        <v>102</v>
      </c>
      <c r="AL12" s="166">
        <v>30</v>
      </c>
      <c r="AM12" s="166">
        <v>0</v>
      </c>
      <c r="AN12" s="166">
        <v>8</v>
      </c>
      <c r="AO12" s="166">
        <v>25</v>
      </c>
      <c r="AP12" s="166">
        <v>0</v>
      </c>
      <c r="AQ12" s="166">
        <v>0</v>
      </c>
      <c r="AR12" s="166">
        <v>620</v>
      </c>
      <c r="AS12" s="166">
        <v>1493</v>
      </c>
      <c r="AT12" s="166">
        <v>2208</v>
      </c>
      <c r="AU12" s="166">
        <v>2076</v>
      </c>
      <c r="AV12" s="166">
        <v>132</v>
      </c>
      <c r="AW12" s="166">
        <v>1699</v>
      </c>
      <c r="AX12" s="166">
        <v>-54609</v>
      </c>
      <c r="AY12" s="166">
        <v>-461919</v>
      </c>
      <c r="AZ12" s="166">
        <v>0</v>
      </c>
      <c r="BA12" s="166">
        <v>-348448</v>
      </c>
      <c r="BB12" s="166">
        <v>-390475</v>
      </c>
      <c r="BC12" s="166">
        <v>-12544</v>
      </c>
      <c r="BD12" s="166">
        <v>-1100000</v>
      </c>
      <c r="BE12" s="166">
        <v>925980</v>
      </c>
      <c r="BF12" s="166"/>
      <c r="BG12" s="760">
        <v>15639150</v>
      </c>
      <c r="BH12" s="760">
        <v>0</v>
      </c>
      <c r="BI12" s="815">
        <v>1238383</v>
      </c>
      <c r="BJ12" s="1044" t="s">
        <v>2454</v>
      </c>
      <c r="BK12" s="1044" t="s">
        <v>2455</v>
      </c>
      <c r="BL12" s="1044" t="s">
        <v>2461</v>
      </c>
      <c r="BM12" s="650"/>
      <c r="BN12" s="746" t="s">
        <v>740</v>
      </c>
      <c r="BO12" s="142" t="b">
        <v>1</v>
      </c>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4"/>
      <c r="CN12" s="544"/>
      <c r="CO12" s="544"/>
      <c r="CP12" s="544"/>
      <c r="CQ12" s="544"/>
      <c r="CR12" s="544"/>
      <c r="CS12" s="544"/>
    </row>
    <row r="13" spans="1:97" s="142" customFormat="1" ht="12.75" x14ac:dyDescent="0.2">
      <c r="A13" s="735">
        <v>6</v>
      </c>
      <c r="B13" s="732" t="s">
        <v>741</v>
      </c>
      <c r="C13" s="738" t="s">
        <v>742</v>
      </c>
      <c r="D13" s="905">
        <v>134653.09405835901</v>
      </c>
      <c r="E13" s="905">
        <v>72932988</v>
      </c>
      <c r="F13" s="905">
        <v>3736</v>
      </c>
      <c r="G13" s="166">
        <v>36351298</v>
      </c>
      <c r="H13" s="166">
        <v>-3793729</v>
      </c>
      <c r="I13" s="166">
        <v>522704</v>
      </c>
      <c r="J13" s="166">
        <v>-3271025</v>
      </c>
      <c r="K13" s="166">
        <v>-2608751</v>
      </c>
      <c r="L13" s="166">
        <v>-52090</v>
      </c>
      <c r="M13" s="166">
        <v>-88180</v>
      </c>
      <c r="N13" s="166">
        <v>-7002</v>
      </c>
      <c r="O13" s="166">
        <v>-450000</v>
      </c>
      <c r="P13" s="166">
        <v>-679723</v>
      </c>
      <c r="Q13" s="166">
        <v>-64476</v>
      </c>
      <c r="R13" s="166">
        <v>-37287</v>
      </c>
      <c r="S13" s="166">
        <v>-5651</v>
      </c>
      <c r="T13" s="166"/>
      <c r="U13" s="166">
        <v>-26652</v>
      </c>
      <c r="V13" s="166">
        <v>0</v>
      </c>
      <c r="W13" s="166">
        <v>0</v>
      </c>
      <c r="X13" s="166">
        <v>0</v>
      </c>
      <c r="Y13" s="166">
        <v>-44090</v>
      </c>
      <c r="Z13" s="166">
        <v>22852583</v>
      </c>
      <c r="AA13" s="166">
        <v>-226322</v>
      </c>
      <c r="AB13" s="166"/>
      <c r="AC13" s="166">
        <v>-3162734</v>
      </c>
      <c r="AD13" s="166">
        <v>228</v>
      </c>
      <c r="AE13" s="166">
        <v>27</v>
      </c>
      <c r="AF13" s="166">
        <v>40</v>
      </c>
      <c r="AG13" s="166"/>
      <c r="AH13" s="166">
        <v>6</v>
      </c>
      <c r="AI13" s="166">
        <v>1</v>
      </c>
      <c r="AJ13" s="166">
        <v>255</v>
      </c>
      <c r="AK13" s="166">
        <v>138</v>
      </c>
      <c r="AL13" s="166">
        <v>3</v>
      </c>
      <c r="AM13" s="166">
        <v>0</v>
      </c>
      <c r="AN13" s="166">
        <v>4</v>
      </c>
      <c r="AO13" s="166">
        <v>26</v>
      </c>
      <c r="AP13" s="166">
        <v>0</v>
      </c>
      <c r="AQ13" s="166">
        <v>0</v>
      </c>
      <c r="AR13" s="166">
        <v>489</v>
      </c>
      <c r="AS13" s="166">
        <v>887</v>
      </c>
      <c r="AT13" s="166">
        <v>1814</v>
      </c>
      <c r="AU13" s="166">
        <v>1731</v>
      </c>
      <c r="AV13" s="166">
        <v>83</v>
      </c>
      <c r="AW13" s="166">
        <v>1030</v>
      </c>
      <c r="AX13" s="166">
        <v>-2337</v>
      </c>
      <c r="AY13" s="166">
        <v>-412178</v>
      </c>
      <c r="AZ13" s="166">
        <v>0</v>
      </c>
      <c r="BA13" s="166">
        <v>-4308</v>
      </c>
      <c r="BB13" s="166">
        <v>-260900</v>
      </c>
      <c r="BC13" s="166">
        <v>0</v>
      </c>
      <c r="BD13" s="166">
        <v>-507153</v>
      </c>
      <c r="BE13" s="166">
        <v>-62843</v>
      </c>
      <c r="BF13" s="166"/>
      <c r="BG13" s="760">
        <v>11482025</v>
      </c>
      <c r="BH13" s="760">
        <v>0</v>
      </c>
      <c r="BI13" s="815">
        <v>1403803</v>
      </c>
      <c r="BJ13" s="1044" t="s">
        <v>2454</v>
      </c>
      <c r="BK13" s="1044" t="s">
        <v>2462</v>
      </c>
      <c r="BL13" s="1044" t="s">
        <v>2463</v>
      </c>
      <c r="BM13" s="650"/>
      <c r="BN13" s="746" t="s">
        <v>742</v>
      </c>
      <c r="BO13" s="142" t="b">
        <v>1</v>
      </c>
      <c r="BP13" s="544"/>
      <c r="BQ13" s="544"/>
      <c r="BR13" s="544"/>
      <c r="BS13" s="544"/>
      <c r="BT13" s="544"/>
      <c r="BU13" s="544"/>
      <c r="BV13" s="544"/>
      <c r="BW13" s="544"/>
      <c r="BX13" s="544"/>
      <c r="BY13" s="544"/>
      <c r="BZ13" s="544"/>
      <c r="CA13" s="544"/>
      <c r="CB13" s="544"/>
      <c r="CC13" s="544"/>
      <c r="CD13" s="544"/>
      <c r="CE13" s="544"/>
      <c r="CF13" s="544"/>
      <c r="CG13" s="544"/>
      <c r="CH13" s="544"/>
      <c r="CI13" s="544"/>
      <c r="CJ13" s="544"/>
      <c r="CK13" s="544"/>
      <c r="CL13" s="544"/>
      <c r="CM13" s="544"/>
      <c r="CN13" s="544"/>
      <c r="CO13" s="544"/>
      <c r="CP13" s="544"/>
      <c r="CQ13" s="544"/>
      <c r="CR13" s="544"/>
      <c r="CS13" s="544"/>
    </row>
    <row r="14" spans="1:97" s="142" customFormat="1" ht="12.75" hidden="1" x14ac:dyDescent="0.2">
      <c r="A14" s="735">
        <v>7</v>
      </c>
      <c r="B14" s="732" t="s">
        <v>743</v>
      </c>
      <c r="C14" s="738" t="s">
        <v>744</v>
      </c>
      <c r="D14" s="905">
        <v>200983.025236488</v>
      </c>
      <c r="E14" s="905">
        <v>186209954</v>
      </c>
      <c r="F14" s="905">
        <v>4447</v>
      </c>
      <c r="G14" s="166">
        <v>94686567</v>
      </c>
      <c r="H14" s="166">
        <v>-4826187</v>
      </c>
      <c r="I14" s="166">
        <v>1904575</v>
      </c>
      <c r="J14" s="166">
        <v>-2921612</v>
      </c>
      <c r="K14" s="166">
        <v>-6285698</v>
      </c>
      <c r="L14" s="166">
        <v>-25846</v>
      </c>
      <c r="M14" s="166">
        <v>0</v>
      </c>
      <c r="N14" s="166">
        <v>0</v>
      </c>
      <c r="O14" s="166">
        <v>0</v>
      </c>
      <c r="P14" s="166">
        <v>-2198901</v>
      </c>
      <c r="Q14" s="166">
        <v>-228420</v>
      </c>
      <c r="R14" s="166">
        <v>0</v>
      </c>
      <c r="S14" s="166">
        <v>-6461</v>
      </c>
      <c r="T14" s="166"/>
      <c r="U14" s="166">
        <v>0</v>
      </c>
      <c r="V14" s="166">
        <v>0</v>
      </c>
      <c r="W14" s="166">
        <v>0</v>
      </c>
      <c r="X14" s="166">
        <v>0</v>
      </c>
      <c r="Y14" s="166">
        <v>0</v>
      </c>
      <c r="Z14" s="166">
        <v>67114026</v>
      </c>
      <c r="AA14" s="166">
        <v>-1500000</v>
      </c>
      <c r="AB14" s="166"/>
      <c r="AC14" s="166">
        <v>-6931843</v>
      </c>
      <c r="AD14" s="166">
        <v>219</v>
      </c>
      <c r="AE14" s="166">
        <v>2</v>
      </c>
      <c r="AF14" s="166">
        <v>0</v>
      </c>
      <c r="AG14" s="166"/>
      <c r="AH14" s="166">
        <v>0</v>
      </c>
      <c r="AI14" s="166">
        <v>0</v>
      </c>
      <c r="AJ14" s="166">
        <v>94</v>
      </c>
      <c r="AK14" s="166">
        <v>28</v>
      </c>
      <c r="AL14" s="166">
        <v>0</v>
      </c>
      <c r="AM14" s="166">
        <v>0</v>
      </c>
      <c r="AN14" s="166">
        <v>0</v>
      </c>
      <c r="AO14" s="166">
        <v>2</v>
      </c>
      <c r="AP14" s="166">
        <v>0</v>
      </c>
      <c r="AQ14" s="166">
        <v>0</v>
      </c>
      <c r="AR14" s="166">
        <v>697</v>
      </c>
      <c r="AS14" s="166">
        <v>992</v>
      </c>
      <c r="AT14" s="166">
        <v>1516</v>
      </c>
      <c r="AU14" s="166">
        <v>1274</v>
      </c>
      <c r="AV14" s="166">
        <v>242</v>
      </c>
      <c r="AW14" s="166">
        <v>1901</v>
      </c>
      <c r="AX14" s="166">
        <v>-572838</v>
      </c>
      <c r="AY14" s="166">
        <v>0</v>
      </c>
      <c r="AZ14" s="166">
        <v>0</v>
      </c>
      <c r="BA14" s="166">
        <v>-49536</v>
      </c>
      <c r="BB14" s="166">
        <v>-1507</v>
      </c>
      <c r="BC14" s="166">
        <v>-1575020</v>
      </c>
      <c r="BD14" s="166">
        <v>-1028294</v>
      </c>
      <c r="BE14" s="166">
        <v>-17771875</v>
      </c>
      <c r="BF14" s="166"/>
      <c r="BG14" s="760">
        <v>0</v>
      </c>
      <c r="BH14" s="760">
        <v>0</v>
      </c>
      <c r="BI14" s="815">
        <v>-8723150</v>
      </c>
      <c r="BJ14" s="1044" t="s">
        <v>2464</v>
      </c>
      <c r="BK14" s="1044" t="s">
        <v>2465</v>
      </c>
      <c r="BL14" s="1044" t="s">
        <v>2466</v>
      </c>
      <c r="BM14" s="650"/>
      <c r="BN14" s="746" t="s">
        <v>744</v>
      </c>
      <c r="BO14" s="142" t="b">
        <v>1</v>
      </c>
      <c r="BP14" s="544"/>
      <c r="BQ14" s="544"/>
      <c r="BR14" s="544"/>
      <c r="BS14" s="544"/>
      <c r="BT14" s="544"/>
      <c r="BU14" s="544"/>
      <c r="BV14" s="544"/>
      <c r="BW14" s="544"/>
      <c r="BX14" s="544"/>
      <c r="BY14" s="544"/>
      <c r="BZ14" s="544"/>
      <c r="CA14" s="544"/>
      <c r="CB14" s="544"/>
      <c r="CC14" s="544"/>
      <c r="CD14" s="544"/>
      <c r="CE14" s="544"/>
      <c r="CF14" s="544"/>
      <c r="CG14" s="544"/>
      <c r="CH14" s="544"/>
      <c r="CI14" s="544"/>
      <c r="CJ14" s="544"/>
      <c r="CK14" s="544"/>
      <c r="CL14" s="544"/>
      <c r="CM14" s="544"/>
      <c r="CN14" s="544"/>
      <c r="CO14" s="544"/>
      <c r="CP14" s="544"/>
      <c r="CQ14" s="544"/>
      <c r="CR14" s="544"/>
      <c r="CS14" s="544"/>
    </row>
    <row r="15" spans="1:97" s="142" customFormat="1" ht="12.75" hidden="1" x14ac:dyDescent="0.2">
      <c r="A15" s="735">
        <v>8</v>
      </c>
      <c r="B15" s="732" t="s">
        <v>745</v>
      </c>
      <c r="C15" s="738" t="s">
        <v>746</v>
      </c>
      <c r="D15" s="905">
        <v>369203.91064689797</v>
      </c>
      <c r="E15" s="905">
        <v>299948012</v>
      </c>
      <c r="F15" s="905">
        <v>8192</v>
      </c>
      <c r="G15" s="166">
        <v>147076820</v>
      </c>
      <c r="H15" s="166">
        <v>-8320087</v>
      </c>
      <c r="I15" s="166">
        <v>2599018</v>
      </c>
      <c r="J15" s="166">
        <v>-5721069</v>
      </c>
      <c r="K15" s="166">
        <v>-15764395</v>
      </c>
      <c r="L15" s="166">
        <v>-181740</v>
      </c>
      <c r="M15" s="166">
        <v>0</v>
      </c>
      <c r="N15" s="166">
        <v>0</v>
      </c>
      <c r="O15" s="166">
        <v>0</v>
      </c>
      <c r="P15" s="166">
        <v>-2001514</v>
      </c>
      <c r="Q15" s="166">
        <v>-188261</v>
      </c>
      <c r="R15" s="166">
        <v>-29888</v>
      </c>
      <c r="S15" s="166">
        <v>0</v>
      </c>
      <c r="T15" s="166"/>
      <c r="U15" s="166">
        <v>0</v>
      </c>
      <c r="V15" s="166">
        <v>0</v>
      </c>
      <c r="W15" s="166">
        <v>0</v>
      </c>
      <c r="X15" s="166">
        <v>0</v>
      </c>
      <c r="Y15" s="166">
        <v>0</v>
      </c>
      <c r="Z15" s="166">
        <v>96953576</v>
      </c>
      <c r="AA15" s="166">
        <v>-3740814</v>
      </c>
      <c r="AB15" s="166"/>
      <c r="AC15" s="166">
        <v>-19391283</v>
      </c>
      <c r="AD15" s="166">
        <v>443</v>
      </c>
      <c r="AE15" s="166">
        <v>10</v>
      </c>
      <c r="AF15" s="166">
        <v>0</v>
      </c>
      <c r="AG15" s="166"/>
      <c r="AH15" s="166">
        <v>0</v>
      </c>
      <c r="AI15" s="166">
        <v>0</v>
      </c>
      <c r="AJ15" s="166">
        <v>240</v>
      </c>
      <c r="AK15" s="166">
        <v>36</v>
      </c>
      <c r="AL15" s="166">
        <v>7</v>
      </c>
      <c r="AM15" s="166">
        <v>0</v>
      </c>
      <c r="AN15" s="166">
        <v>0</v>
      </c>
      <c r="AO15" s="166">
        <v>0</v>
      </c>
      <c r="AP15" s="166">
        <v>0</v>
      </c>
      <c r="AQ15" s="166">
        <v>0</v>
      </c>
      <c r="AR15" s="166">
        <v>2053</v>
      </c>
      <c r="AS15" s="166">
        <v>1816</v>
      </c>
      <c r="AT15" s="166">
        <v>2370</v>
      </c>
      <c r="AU15" s="166">
        <v>1882</v>
      </c>
      <c r="AV15" s="166">
        <v>488</v>
      </c>
      <c r="AW15" s="166">
        <v>4105</v>
      </c>
      <c r="AX15" s="166">
        <v>-223214</v>
      </c>
      <c r="AY15" s="166">
        <v>-139950</v>
      </c>
      <c r="AZ15" s="166">
        <v>0</v>
      </c>
      <c r="BA15" s="166">
        <v>0</v>
      </c>
      <c r="BB15" s="166">
        <v>-571206</v>
      </c>
      <c r="BC15" s="166">
        <v>-1067144</v>
      </c>
      <c r="BD15" s="166">
        <v>-555576</v>
      </c>
      <c r="BE15" s="166">
        <v>23759014</v>
      </c>
      <c r="BF15" s="166"/>
      <c r="BG15" s="760">
        <v>35612050</v>
      </c>
      <c r="BH15" s="760">
        <v>398250</v>
      </c>
      <c r="BI15" s="815">
        <v>32258525</v>
      </c>
      <c r="BJ15" s="1044" t="s">
        <v>2464</v>
      </c>
      <c r="BK15" s="1044" t="s">
        <v>2465</v>
      </c>
      <c r="BL15" s="1044" t="s">
        <v>2467</v>
      </c>
      <c r="BM15" s="650"/>
      <c r="BN15" s="746" t="s">
        <v>746</v>
      </c>
      <c r="BO15" s="142" t="b">
        <v>1</v>
      </c>
      <c r="BP15" s="544"/>
      <c r="BQ15" s="544"/>
      <c r="BR15" s="544"/>
      <c r="BS15" s="544"/>
      <c r="BT15" s="544"/>
      <c r="BU15" s="544"/>
      <c r="BV15" s="544"/>
      <c r="BW15" s="544"/>
      <c r="BX15" s="544"/>
      <c r="BY15" s="544"/>
      <c r="BZ15" s="544"/>
      <c r="CA15" s="544"/>
      <c r="CB15" s="544"/>
      <c r="CC15" s="544"/>
      <c r="CD15" s="544"/>
      <c r="CE15" s="544"/>
      <c r="CF15" s="544"/>
      <c r="CG15" s="544"/>
      <c r="CH15" s="544"/>
      <c r="CI15" s="544"/>
      <c r="CJ15" s="544"/>
      <c r="CK15" s="544"/>
      <c r="CL15" s="544"/>
      <c r="CM15" s="544"/>
      <c r="CN15" s="544"/>
      <c r="CO15" s="544"/>
      <c r="CP15" s="544"/>
      <c r="CQ15" s="544"/>
      <c r="CR15" s="544"/>
      <c r="CS15" s="544"/>
    </row>
    <row r="16" spans="1:97" s="142" customFormat="1" ht="12.75" hidden="1" x14ac:dyDescent="0.2">
      <c r="A16" s="735">
        <v>9</v>
      </c>
      <c r="B16" s="732" t="s">
        <v>747</v>
      </c>
      <c r="C16" s="738" t="s">
        <v>748</v>
      </c>
      <c r="D16" s="905">
        <v>320551.324350034</v>
      </c>
      <c r="E16" s="905">
        <v>163585902</v>
      </c>
      <c r="F16" s="905">
        <v>9041</v>
      </c>
      <c r="G16" s="166">
        <v>81123349</v>
      </c>
      <c r="H16" s="166">
        <v>-8228918</v>
      </c>
      <c r="I16" s="166">
        <v>1381194</v>
      </c>
      <c r="J16" s="166">
        <v>-6847724</v>
      </c>
      <c r="K16" s="166">
        <v>-5619412</v>
      </c>
      <c r="L16" s="166">
        <v>-56061</v>
      </c>
      <c r="M16" s="166">
        <v>-4402</v>
      </c>
      <c r="N16" s="166">
        <v>-8680</v>
      </c>
      <c r="O16" s="166">
        <v>-50000</v>
      </c>
      <c r="P16" s="166">
        <v>-1165433</v>
      </c>
      <c r="Q16" s="166">
        <v>-60000</v>
      </c>
      <c r="R16" s="166">
        <v>0</v>
      </c>
      <c r="S16" s="166">
        <v>0</v>
      </c>
      <c r="T16" s="166"/>
      <c r="U16" s="166">
        <v>0</v>
      </c>
      <c r="V16" s="166">
        <v>0</v>
      </c>
      <c r="W16" s="166">
        <v>0</v>
      </c>
      <c r="X16" s="166">
        <v>0</v>
      </c>
      <c r="Y16" s="166">
        <v>-1990</v>
      </c>
      <c r="Z16" s="166">
        <v>57562702</v>
      </c>
      <c r="AA16" s="166">
        <v>-1622467</v>
      </c>
      <c r="AB16" s="166"/>
      <c r="AC16" s="166">
        <v>-3181914</v>
      </c>
      <c r="AD16" s="166">
        <v>315</v>
      </c>
      <c r="AE16" s="166">
        <v>8</v>
      </c>
      <c r="AF16" s="166">
        <v>3</v>
      </c>
      <c r="AG16" s="166"/>
      <c r="AH16" s="166">
        <v>6</v>
      </c>
      <c r="AI16" s="166">
        <v>0</v>
      </c>
      <c r="AJ16" s="166">
        <v>774</v>
      </c>
      <c r="AK16" s="166">
        <v>20</v>
      </c>
      <c r="AL16" s="166">
        <v>0</v>
      </c>
      <c r="AM16" s="166">
        <v>1</v>
      </c>
      <c r="AN16" s="166">
        <v>0</v>
      </c>
      <c r="AO16" s="166">
        <v>0</v>
      </c>
      <c r="AP16" s="166">
        <v>1</v>
      </c>
      <c r="AQ16" s="166">
        <v>3</v>
      </c>
      <c r="AR16" s="166">
        <v>555</v>
      </c>
      <c r="AS16" s="166">
        <v>1443</v>
      </c>
      <c r="AT16" s="166">
        <v>4205</v>
      </c>
      <c r="AU16" s="166">
        <v>4050</v>
      </c>
      <c r="AV16" s="166">
        <v>155</v>
      </c>
      <c r="AW16" s="166">
        <v>3485</v>
      </c>
      <c r="AX16" s="166">
        <v>-80129</v>
      </c>
      <c r="AY16" s="166">
        <v>-219706</v>
      </c>
      <c r="AZ16" s="166">
        <v>0</v>
      </c>
      <c r="BA16" s="166">
        <v>-59371</v>
      </c>
      <c r="BB16" s="166">
        <v>-771573</v>
      </c>
      <c r="BC16" s="166">
        <v>-34654</v>
      </c>
      <c r="BD16" s="166">
        <v>-910174</v>
      </c>
      <c r="BE16" s="166">
        <v>7197969</v>
      </c>
      <c r="BF16" s="166"/>
      <c r="BG16" s="760">
        <v>18676650</v>
      </c>
      <c r="BH16" s="760">
        <v>269250</v>
      </c>
      <c r="BI16" s="815">
        <v>7861229</v>
      </c>
      <c r="BJ16" s="1044" t="s">
        <v>2468</v>
      </c>
      <c r="BK16" s="1044" t="s">
        <v>2469</v>
      </c>
      <c r="BL16" s="1044" t="s">
        <v>2470</v>
      </c>
      <c r="BM16" s="650"/>
      <c r="BN16" s="746" t="s">
        <v>748</v>
      </c>
      <c r="BO16" s="142" t="b">
        <v>1</v>
      </c>
      <c r="BP16" s="544"/>
      <c r="BQ16" s="544"/>
      <c r="BR16" s="544"/>
      <c r="BS16" s="544"/>
      <c r="BT16" s="544"/>
      <c r="BU16" s="544"/>
      <c r="BV16" s="544"/>
      <c r="BW16" s="544"/>
      <c r="BX16" s="544"/>
      <c r="BY16" s="544"/>
      <c r="BZ16" s="544"/>
      <c r="CA16" s="544"/>
      <c r="CB16" s="544"/>
      <c r="CC16" s="544"/>
      <c r="CD16" s="544"/>
      <c r="CE16" s="544"/>
      <c r="CF16" s="544"/>
      <c r="CG16" s="544"/>
      <c r="CH16" s="544"/>
      <c r="CI16" s="544"/>
      <c r="CJ16" s="544"/>
      <c r="CK16" s="544"/>
      <c r="CL16" s="544"/>
      <c r="CM16" s="544"/>
      <c r="CN16" s="544"/>
      <c r="CO16" s="544"/>
      <c r="CP16" s="544"/>
      <c r="CQ16" s="544"/>
      <c r="CR16" s="544"/>
      <c r="CS16" s="544"/>
    </row>
    <row r="17" spans="1:98" s="142" customFormat="1" ht="12.75" x14ac:dyDescent="0.2">
      <c r="A17" s="735">
        <v>10</v>
      </c>
      <c r="B17" s="732" t="s">
        <v>749</v>
      </c>
      <c r="C17" s="738" t="s">
        <v>750</v>
      </c>
      <c r="D17" s="905">
        <v>222538.16175378999</v>
      </c>
      <c r="E17" s="905">
        <v>210463605</v>
      </c>
      <c r="F17" s="905">
        <v>4976</v>
      </c>
      <c r="G17" s="166">
        <v>104778641</v>
      </c>
      <c r="H17" s="166">
        <v>-4539829</v>
      </c>
      <c r="I17" s="166">
        <v>2062615</v>
      </c>
      <c r="J17" s="166">
        <v>-2477214</v>
      </c>
      <c r="K17" s="166">
        <v>-4540414</v>
      </c>
      <c r="L17" s="166">
        <v>-61629</v>
      </c>
      <c r="M17" s="166">
        <v>-3602</v>
      </c>
      <c r="N17" s="166">
        <v>-7617</v>
      </c>
      <c r="O17" s="166">
        <v>-120000</v>
      </c>
      <c r="P17" s="166">
        <v>-3651946</v>
      </c>
      <c r="Q17" s="166">
        <v>0</v>
      </c>
      <c r="R17" s="166">
        <v>-80000</v>
      </c>
      <c r="S17" s="166">
        <v>0</v>
      </c>
      <c r="T17" s="166"/>
      <c r="U17" s="166">
        <v>0</v>
      </c>
      <c r="V17" s="166">
        <v>0</v>
      </c>
      <c r="W17" s="166">
        <v>0</v>
      </c>
      <c r="X17" s="166">
        <v>0</v>
      </c>
      <c r="Y17" s="166">
        <v>-1801</v>
      </c>
      <c r="Z17" s="166">
        <v>75831966</v>
      </c>
      <c r="AA17" s="166">
        <v>-2275000</v>
      </c>
      <c r="AB17" s="166"/>
      <c r="AC17" s="166">
        <v>-9083235</v>
      </c>
      <c r="AD17" s="166">
        <v>219</v>
      </c>
      <c r="AE17" s="166">
        <v>11</v>
      </c>
      <c r="AF17" s="166">
        <v>1</v>
      </c>
      <c r="AG17" s="166"/>
      <c r="AH17" s="166">
        <v>4</v>
      </c>
      <c r="AI17" s="166">
        <v>2</v>
      </c>
      <c r="AJ17" s="166">
        <v>163</v>
      </c>
      <c r="AK17" s="166">
        <v>1</v>
      </c>
      <c r="AL17" s="166">
        <v>11</v>
      </c>
      <c r="AM17" s="166">
        <v>1</v>
      </c>
      <c r="AN17" s="166">
        <v>0</v>
      </c>
      <c r="AO17" s="166">
        <v>0</v>
      </c>
      <c r="AP17" s="166">
        <v>0</v>
      </c>
      <c r="AQ17" s="166">
        <v>0</v>
      </c>
      <c r="AR17" s="166">
        <v>810</v>
      </c>
      <c r="AS17" s="166">
        <v>1238</v>
      </c>
      <c r="AT17" s="166">
        <v>1572</v>
      </c>
      <c r="AU17" s="166">
        <v>1312</v>
      </c>
      <c r="AV17" s="166">
        <v>260</v>
      </c>
      <c r="AW17" s="166">
        <v>2157</v>
      </c>
      <c r="AX17" s="166">
        <v>-219068</v>
      </c>
      <c r="AY17" s="166">
        <v>-46121</v>
      </c>
      <c r="AZ17" s="166">
        <v>0</v>
      </c>
      <c r="BA17" s="166">
        <v>0</v>
      </c>
      <c r="BB17" s="166">
        <v>-3281184</v>
      </c>
      <c r="BC17" s="166">
        <v>-105573</v>
      </c>
      <c r="BD17" s="166">
        <v>-1390097</v>
      </c>
      <c r="BE17" s="166">
        <v>12844206</v>
      </c>
      <c r="BF17" s="166"/>
      <c r="BG17" s="760">
        <v>27922325</v>
      </c>
      <c r="BH17" s="760">
        <v>0</v>
      </c>
      <c r="BI17" s="815">
        <v>14427897</v>
      </c>
      <c r="BJ17" s="1044" t="s">
        <v>2454</v>
      </c>
      <c r="BK17" s="1044" t="s">
        <v>2462</v>
      </c>
      <c r="BL17" s="1044" t="s">
        <v>2471</v>
      </c>
      <c r="BM17" s="650"/>
      <c r="BN17" s="746" t="s">
        <v>750</v>
      </c>
      <c r="BO17" s="142" t="b">
        <v>1</v>
      </c>
      <c r="BP17" s="544"/>
      <c r="BQ17" s="544"/>
      <c r="BR17" s="544"/>
      <c r="BS17" s="544"/>
      <c r="BT17" s="544"/>
      <c r="BU17" s="544"/>
      <c r="BV17" s="544"/>
      <c r="BW17" s="544"/>
      <c r="BX17" s="544"/>
      <c r="BY17" s="544"/>
      <c r="BZ17" s="544"/>
      <c r="CA17" s="544"/>
      <c r="CB17" s="544"/>
      <c r="CC17" s="544"/>
      <c r="CD17" s="544"/>
      <c r="CE17" s="544"/>
      <c r="CF17" s="544"/>
      <c r="CG17" s="544"/>
      <c r="CH17" s="544"/>
      <c r="CI17" s="544"/>
      <c r="CJ17" s="544"/>
      <c r="CK17" s="544"/>
      <c r="CL17" s="544"/>
      <c r="CM17" s="544"/>
      <c r="CN17" s="544"/>
      <c r="CO17" s="544"/>
      <c r="CP17" s="544"/>
      <c r="CQ17" s="544"/>
      <c r="CR17" s="544"/>
      <c r="CS17" s="544"/>
    </row>
    <row r="18" spans="1:98" s="142" customFormat="1" ht="12.75" x14ac:dyDescent="0.2">
      <c r="A18" s="735">
        <v>11</v>
      </c>
      <c r="B18" s="732" t="s">
        <v>998</v>
      </c>
      <c r="C18" s="738" t="s">
        <v>752</v>
      </c>
      <c r="D18" s="905">
        <v>200786.10877300001</v>
      </c>
      <c r="E18" s="905">
        <v>200201480</v>
      </c>
      <c r="F18" s="905">
        <v>4551</v>
      </c>
      <c r="G18" s="166">
        <v>99493502</v>
      </c>
      <c r="H18" s="166">
        <v>-3034455</v>
      </c>
      <c r="I18" s="166">
        <v>2061653</v>
      </c>
      <c r="J18" s="166">
        <v>-972802</v>
      </c>
      <c r="K18" s="166">
        <v>-4068066</v>
      </c>
      <c r="L18" s="166">
        <v>-12139</v>
      </c>
      <c r="M18" s="166">
        <v>-78292</v>
      </c>
      <c r="N18" s="166">
        <v>-10820</v>
      </c>
      <c r="O18" s="166">
        <v>-300000</v>
      </c>
      <c r="P18" s="166">
        <v>-2618616</v>
      </c>
      <c r="Q18" s="166">
        <v>-574823</v>
      </c>
      <c r="R18" s="166">
        <v>-172901</v>
      </c>
      <c r="S18" s="166">
        <v>-3035</v>
      </c>
      <c r="T18" s="166"/>
      <c r="U18" s="166">
        <v>0</v>
      </c>
      <c r="V18" s="166">
        <v>-275506</v>
      </c>
      <c r="W18" s="166">
        <v>-275506</v>
      </c>
      <c r="X18" s="166">
        <v>0</v>
      </c>
      <c r="Y18" s="166">
        <v>-60535</v>
      </c>
      <c r="Z18" s="166">
        <v>75442481</v>
      </c>
      <c r="AA18" s="166">
        <v>-3100000</v>
      </c>
      <c r="AB18" s="166"/>
      <c r="AC18" s="166">
        <v>-6471351</v>
      </c>
      <c r="AD18" s="166">
        <v>236</v>
      </c>
      <c r="AE18" s="166">
        <v>5</v>
      </c>
      <c r="AF18" s="166">
        <v>11</v>
      </c>
      <c r="AG18" s="166"/>
      <c r="AH18" s="166">
        <v>11</v>
      </c>
      <c r="AI18" s="166">
        <v>0</v>
      </c>
      <c r="AJ18" s="166">
        <v>429</v>
      </c>
      <c r="AK18" s="166">
        <v>199</v>
      </c>
      <c r="AL18" s="166">
        <v>43</v>
      </c>
      <c r="AM18" s="166">
        <v>18</v>
      </c>
      <c r="AN18" s="166">
        <v>0</v>
      </c>
      <c r="AO18" s="166">
        <v>5</v>
      </c>
      <c r="AP18" s="166">
        <v>49</v>
      </c>
      <c r="AQ18" s="166">
        <v>0</v>
      </c>
      <c r="AR18" s="166">
        <v>542</v>
      </c>
      <c r="AS18" s="166">
        <v>1599</v>
      </c>
      <c r="AT18" s="166">
        <v>1054</v>
      </c>
      <c r="AU18" s="166">
        <v>940</v>
      </c>
      <c r="AV18" s="166">
        <v>114</v>
      </c>
      <c r="AW18" s="166">
        <v>1947</v>
      </c>
      <c r="AX18" s="166">
        <v>-294602</v>
      </c>
      <c r="AY18" s="166">
        <v>-680544</v>
      </c>
      <c r="AZ18" s="166">
        <v>0</v>
      </c>
      <c r="BA18" s="166">
        <v>0</v>
      </c>
      <c r="BB18" s="166">
        <v>-1278727</v>
      </c>
      <c r="BC18" s="166">
        <v>-364743</v>
      </c>
      <c r="BD18" s="166">
        <v>-160000</v>
      </c>
      <c r="BE18" s="166">
        <v>8358941</v>
      </c>
      <c r="BF18" s="166"/>
      <c r="BG18" s="760">
        <v>23249733</v>
      </c>
      <c r="BH18" s="760">
        <v>463250</v>
      </c>
      <c r="BI18" s="815">
        <v>6132825</v>
      </c>
      <c r="BJ18" s="1044" t="s">
        <v>2454</v>
      </c>
      <c r="BK18" s="1044" t="s">
        <v>2455</v>
      </c>
      <c r="BL18" s="1044" t="s">
        <v>2472</v>
      </c>
      <c r="BM18" s="650"/>
      <c r="BN18" s="746" t="s">
        <v>752</v>
      </c>
      <c r="BO18" s="142" t="b">
        <v>1</v>
      </c>
      <c r="BP18" s="544"/>
      <c r="BQ18" s="544"/>
      <c r="BR18" s="544"/>
      <c r="BS18" s="544"/>
      <c r="BT18" s="544"/>
      <c r="BU18" s="544"/>
      <c r="BV18" s="544"/>
      <c r="BW18" s="544"/>
      <c r="BX18" s="544"/>
      <c r="BY18" s="544"/>
      <c r="BZ18" s="544"/>
      <c r="CA18" s="544"/>
      <c r="CB18" s="544"/>
      <c r="CC18" s="544"/>
      <c r="CD18" s="544"/>
      <c r="CE18" s="544"/>
      <c r="CF18" s="544"/>
      <c r="CG18" s="544"/>
      <c r="CH18" s="544"/>
      <c r="CI18" s="544"/>
      <c r="CJ18" s="544"/>
      <c r="CK18" s="544"/>
      <c r="CL18" s="544"/>
      <c r="CM18" s="544"/>
      <c r="CN18" s="544"/>
      <c r="CO18" s="544"/>
      <c r="CP18" s="544"/>
      <c r="CQ18" s="544"/>
      <c r="CR18" s="544"/>
      <c r="CS18" s="544"/>
    </row>
    <row r="19" spans="1:98" s="142" customFormat="1" ht="12.75" x14ac:dyDescent="0.2">
      <c r="A19" s="735">
        <v>12</v>
      </c>
      <c r="B19" s="732" t="s">
        <v>753</v>
      </c>
      <c r="C19" s="738" t="s">
        <v>754</v>
      </c>
      <c r="D19" s="905">
        <v>174015.09984886801</v>
      </c>
      <c r="E19" s="905">
        <v>125629440</v>
      </c>
      <c r="F19" s="905">
        <v>4507</v>
      </c>
      <c r="G19" s="166">
        <v>59818855</v>
      </c>
      <c r="H19" s="166">
        <v>-4826300</v>
      </c>
      <c r="I19" s="166">
        <v>1026900</v>
      </c>
      <c r="J19" s="166">
        <v>-3799400</v>
      </c>
      <c r="K19" s="166">
        <v>-3438800</v>
      </c>
      <c r="L19" s="166">
        <v>-50700</v>
      </c>
      <c r="M19" s="166">
        <v>-52000</v>
      </c>
      <c r="N19" s="166">
        <v>-21700</v>
      </c>
      <c r="O19" s="166">
        <v>-350000</v>
      </c>
      <c r="P19" s="166">
        <v>-590200</v>
      </c>
      <c r="Q19" s="166">
        <v>-93400</v>
      </c>
      <c r="R19" s="166">
        <v>-14300</v>
      </c>
      <c r="S19" s="166">
        <v>0</v>
      </c>
      <c r="T19" s="166"/>
      <c r="U19" s="166">
        <v>0</v>
      </c>
      <c r="V19" s="166">
        <v>0</v>
      </c>
      <c r="W19" s="166">
        <v>0</v>
      </c>
      <c r="X19" s="166">
        <v>0</v>
      </c>
      <c r="Y19" s="166">
        <v>-26000</v>
      </c>
      <c r="Z19" s="166">
        <v>45355255</v>
      </c>
      <c r="AA19" s="166">
        <v>-1133900</v>
      </c>
      <c r="AB19" s="166"/>
      <c r="AC19" s="166">
        <v>-3265300</v>
      </c>
      <c r="AD19" s="166">
        <v>206</v>
      </c>
      <c r="AE19" s="166">
        <v>8</v>
      </c>
      <c r="AF19" s="166">
        <v>23</v>
      </c>
      <c r="AG19" s="166"/>
      <c r="AH19" s="166">
        <v>8</v>
      </c>
      <c r="AI19" s="166">
        <v>0</v>
      </c>
      <c r="AJ19" s="166">
        <v>361</v>
      </c>
      <c r="AK19" s="166">
        <v>60</v>
      </c>
      <c r="AL19" s="166">
        <v>0</v>
      </c>
      <c r="AM19" s="166">
        <v>20</v>
      </c>
      <c r="AN19" s="166">
        <v>3</v>
      </c>
      <c r="AO19" s="166">
        <v>0</v>
      </c>
      <c r="AP19" s="166">
        <v>0</v>
      </c>
      <c r="AQ19" s="166">
        <v>0</v>
      </c>
      <c r="AR19" s="166">
        <v>466</v>
      </c>
      <c r="AS19" s="166">
        <v>873</v>
      </c>
      <c r="AT19" s="166">
        <v>2042</v>
      </c>
      <c r="AU19" s="166">
        <v>1937</v>
      </c>
      <c r="AV19" s="166">
        <v>105</v>
      </c>
      <c r="AW19" s="166">
        <v>1537</v>
      </c>
      <c r="AX19" s="166">
        <v>-101922</v>
      </c>
      <c r="AY19" s="166">
        <v>-282546</v>
      </c>
      <c r="AZ19" s="166">
        <v>0</v>
      </c>
      <c r="BA19" s="166">
        <v>-44512</v>
      </c>
      <c r="BB19" s="166">
        <v>-64592</v>
      </c>
      <c r="BC19" s="166">
        <v>-96628</v>
      </c>
      <c r="BD19" s="166">
        <v>-10800</v>
      </c>
      <c r="BE19" s="166">
        <v>406007</v>
      </c>
      <c r="BF19" s="166"/>
      <c r="BG19" s="760">
        <v>13695000</v>
      </c>
      <c r="BH19" s="760">
        <v>0</v>
      </c>
      <c r="BI19" s="815">
        <v>1248239</v>
      </c>
      <c r="BJ19" s="1044" t="s">
        <v>2454</v>
      </c>
      <c r="BK19" s="1044" t="s">
        <v>2457</v>
      </c>
      <c r="BL19" s="1044" t="s">
        <v>2473</v>
      </c>
      <c r="BM19" s="650"/>
      <c r="BN19" s="746" t="s">
        <v>754</v>
      </c>
      <c r="BO19" s="142" t="b">
        <v>1</v>
      </c>
      <c r="BP19" s="544"/>
      <c r="BQ19" s="544"/>
      <c r="BR19" s="544"/>
      <c r="BS19" s="544"/>
      <c r="BT19" s="544"/>
      <c r="BU19" s="544"/>
      <c r="BV19" s="544"/>
      <c r="BW19" s="544"/>
      <c r="BX19" s="544"/>
      <c r="BY19" s="544"/>
      <c r="BZ19" s="544"/>
      <c r="CA19" s="544"/>
      <c r="CB19" s="544"/>
      <c r="CC19" s="544"/>
      <c r="CD19" s="544"/>
      <c r="CE19" s="544"/>
      <c r="CF19" s="544"/>
      <c r="CG19" s="544"/>
      <c r="CH19" s="544"/>
      <c r="CI19" s="544"/>
      <c r="CJ19" s="544"/>
      <c r="CK19" s="544"/>
      <c r="CL19" s="544"/>
      <c r="CM19" s="544"/>
      <c r="CN19" s="544"/>
      <c r="CO19" s="544"/>
      <c r="CP19" s="544"/>
      <c r="CQ19" s="544"/>
      <c r="CR19" s="544"/>
      <c r="CS19" s="544"/>
    </row>
    <row r="20" spans="1:98" s="142" customFormat="1" ht="12.75" hidden="1" x14ac:dyDescent="0.2">
      <c r="A20" s="735">
        <v>13</v>
      </c>
      <c r="B20" s="732" t="s">
        <v>999</v>
      </c>
      <c r="C20" s="738" t="s">
        <v>756</v>
      </c>
      <c r="D20" s="905">
        <v>268074.31839887099</v>
      </c>
      <c r="E20" s="905">
        <v>193412593</v>
      </c>
      <c r="F20" s="905">
        <v>6729</v>
      </c>
      <c r="G20" s="166">
        <v>96014974</v>
      </c>
      <c r="H20" s="166">
        <v>-6224614</v>
      </c>
      <c r="I20" s="166">
        <v>1769755</v>
      </c>
      <c r="J20" s="166">
        <v>-4454859</v>
      </c>
      <c r="K20" s="166">
        <v>-11074204</v>
      </c>
      <c r="L20" s="166">
        <v>-154336</v>
      </c>
      <c r="M20" s="166">
        <v>-26224</v>
      </c>
      <c r="N20" s="166">
        <v>-14128</v>
      </c>
      <c r="O20" s="166">
        <v>0</v>
      </c>
      <c r="P20" s="166">
        <v>-3845975</v>
      </c>
      <c r="Q20" s="166">
        <v>-85772</v>
      </c>
      <c r="R20" s="166">
        <v>-33598</v>
      </c>
      <c r="S20" s="166">
        <v>-17220</v>
      </c>
      <c r="T20" s="166"/>
      <c r="U20" s="166">
        <v>-23281</v>
      </c>
      <c r="V20" s="166">
        <v>-36951</v>
      </c>
      <c r="W20" s="166">
        <v>-36941</v>
      </c>
      <c r="X20" s="166">
        <v>0</v>
      </c>
      <c r="Y20" s="166">
        <v>-13112</v>
      </c>
      <c r="Z20" s="166">
        <v>61112238</v>
      </c>
      <c r="AA20" s="166">
        <v>-2327461</v>
      </c>
      <c r="AB20" s="166"/>
      <c r="AC20" s="166">
        <v>-5872592</v>
      </c>
      <c r="AD20" s="166">
        <v>429</v>
      </c>
      <c r="AE20" s="166">
        <v>41</v>
      </c>
      <c r="AF20" s="166">
        <v>10</v>
      </c>
      <c r="AG20" s="166"/>
      <c r="AH20" s="166">
        <v>7</v>
      </c>
      <c r="AI20" s="166">
        <v>0</v>
      </c>
      <c r="AJ20" s="166">
        <v>622</v>
      </c>
      <c r="AK20" s="166">
        <v>59</v>
      </c>
      <c r="AL20" s="166">
        <v>16</v>
      </c>
      <c r="AM20" s="166">
        <v>0</v>
      </c>
      <c r="AN20" s="166">
        <v>33</v>
      </c>
      <c r="AO20" s="166">
        <v>26</v>
      </c>
      <c r="AP20" s="166">
        <v>3</v>
      </c>
      <c r="AQ20" s="166">
        <v>0</v>
      </c>
      <c r="AR20" s="166">
        <v>537</v>
      </c>
      <c r="AS20" s="166">
        <v>1688</v>
      </c>
      <c r="AT20" s="166">
        <v>2747</v>
      </c>
      <c r="AU20" s="166">
        <v>2572</v>
      </c>
      <c r="AV20" s="166">
        <v>175</v>
      </c>
      <c r="AW20" s="166">
        <v>2262</v>
      </c>
      <c r="AX20" s="166">
        <v>-76895</v>
      </c>
      <c r="AY20" s="166">
        <v>-2990716</v>
      </c>
      <c r="AZ20" s="166">
        <v>0</v>
      </c>
      <c r="BA20" s="166">
        <v>-2064</v>
      </c>
      <c r="BB20" s="166">
        <v>-776300</v>
      </c>
      <c r="BC20" s="166">
        <v>0</v>
      </c>
      <c r="BD20" s="166">
        <v>-641080</v>
      </c>
      <c r="BE20" s="166">
        <v>5347957</v>
      </c>
      <c r="BF20" s="166"/>
      <c r="BG20" s="760">
        <v>26406500</v>
      </c>
      <c r="BH20" s="760">
        <v>1149000</v>
      </c>
      <c r="BI20" s="815">
        <v>6008075</v>
      </c>
      <c r="BJ20" s="1044" t="s">
        <v>515</v>
      </c>
      <c r="BK20" s="1044" t="s">
        <v>2474</v>
      </c>
      <c r="BL20" s="1044" t="s">
        <v>2475</v>
      </c>
      <c r="BM20" s="650"/>
      <c r="BN20" s="746" t="s">
        <v>756</v>
      </c>
      <c r="BO20" s="142" t="b">
        <v>1</v>
      </c>
      <c r="BP20" s="544"/>
      <c r="BQ20" s="544"/>
      <c r="BR20" s="544"/>
      <c r="BS20" s="544"/>
      <c r="BT20" s="544"/>
      <c r="BU20" s="544"/>
      <c r="BV20" s="544"/>
      <c r="BW20" s="544"/>
      <c r="BX20" s="544"/>
      <c r="BY20" s="544"/>
      <c r="BZ20" s="544"/>
      <c r="CA20" s="544"/>
      <c r="CB20" s="544"/>
      <c r="CC20" s="544"/>
      <c r="CD20" s="544"/>
      <c r="CE20" s="544"/>
      <c r="CF20" s="544"/>
      <c r="CG20" s="544"/>
      <c r="CH20" s="544"/>
      <c r="CI20" s="544"/>
      <c r="CJ20" s="544"/>
      <c r="CK20" s="544"/>
      <c r="CL20" s="544"/>
      <c r="CM20" s="544"/>
      <c r="CN20" s="544"/>
      <c r="CO20" s="544"/>
      <c r="CP20" s="544"/>
      <c r="CQ20" s="544"/>
      <c r="CR20" s="544"/>
      <c r="CS20" s="544"/>
    </row>
    <row r="21" spans="1:98" s="142" customFormat="1" ht="12.75" hidden="1" x14ac:dyDescent="0.2">
      <c r="A21" s="735">
        <v>14</v>
      </c>
      <c r="B21" s="732" t="s">
        <v>757</v>
      </c>
      <c r="C21" s="738" t="s">
        <v>758</v>
      </c>
      <c r="D21" s="905">
        <v>238394.225389578</v>
      </c>
      <c r="E21" s="905">
        <v>210967179</v>
      </c>
      <c r="F21" s="905">
        <v>5621</v>
      </c>
      <c r="G21" s="166">
        <v>105264130</v>
      </c>
      <c r="H21" s="166">
        <v>-5396575</v>
      </c>
      <c r="I21" s="166">
        <v>2118393</v>
      </c>
      <c r="J21" s="166">
        <v>-3278182</v>
      </c>
      <c r="K21" s="166">
        <v>-7259362</v>
      </c>
      <c r="L21" s="166">
        <v>-140019</v>
      </c>
      <c r="M21" s="166">
        <v>-56595</v>
      </c>
      <c r="N21" s="166">
        <v>0</v>
      </c>
      <c r="O21" s="166">
        <v>0</v>
      </c>
      <c r="P21" s="166">
        <v>-3600000</v>
      </c>
      <c r="Q21" s="166">
        <v>-71000</v>
      </c>
      <c r="R21" s="166">
        <v>0</v>
      </c>
      <c r="S21" s="166">
        <v>-2000</v>
      </c>
      <c r="T21" s="166"/>
      <c r="U21" s="166">
        <v>-2000</v>
      </c>
      <c r="V21" s="166">
        <v>-27000</v>
      </c>
      <c r="W21" s="166">
        <v>0</v>
      </c>
      <c r="X21" s="166">
        <v>0</v>
      </c>
      <c r="Y21" s="166">
        <v>-27162</v>
      </c>
      <c r="Z21" s="166">
        <v>77224684</v>
      </c>
      <c r="AA21" s="166">
        <v>-3510814</v>
      </c>
      <c r="AB21" s="166"/>
      <c r="AC21" s="166">
        <v>-4394992</v>
      </c>
      <c r="AD21" s="166">
        <v>375</v>
      </c>
      <c r="AE21" s="166">
        <v>18</v>
      </c>
      <c r="AF21" s="166">
        <v>23</v>
      </c>
      <c r="AG21" s="166"/>
      <c r="AH21" s="166">
        <v>0</v>
      </c>
      <c r="AI21" s="166">
        <v>0</v>
      </c>
      <c r="AJ21" s="166">
        <v>624</v>
      </c>
      <c r="AK21" s="166">
        <v>81</v>
      </c>
      <c r="AL21" s="166">
        <v>0</v>
      </c>
      <c r="AM21" s="166">
        <v>23</v>
      </c>
      <c r="AN21" s="166">
        <v>1</v>
      </c>
      <c r="AO21" s="166">
        <v>2</v>
      </c>
      <c r="AP21" s="166">
        <v>0</v>
      </c>
      <c r="AQ21" s="166">
        <v>0</v>
      </c>
      <c r="AR21" s="166">
        <v>662</v>
      </c>
      <c r="AS21" s="166">
        <v>1590</v>
      </c>
      <c r="AT21" s="166">
        <v>2026</v>
      </c>
      <c r="AU21" s="166">
        <v>1839</v>
      </c>
      <c r="AV21" s="166">
        <v>187</v>
      </c>
      <c r="AW21" s="166">
        <v>1970</v>
      </c>
      <c r="AX21" s="166">
        <v>-930000</v>
      </c>
      <c r="AY21" s="166">
        <v>-150000</v>
      </c>
      <c r="AZ21" s="166">
        <v>0</v>
      </c>
      <c r="BA21" s="166">
        <v>-20000</v>
      </c>
      <c r="BB21" s="166">
        <v>-2500000</v>
      </c>
      <c r="BC21" s="166">
        <v>0</v>
      </c>
      <c r="BD21" s="166">
        <v>0</v>
      </c>
      <c r="BE21" s="166">
        <v>1903697</v>
      </c>
      <c r="BF21" s="166"/>
      <c r="BG21" s="760">
        <v>19919450</v>
      </c>
      <c r="BH21" s="760">
        <v>0</v>
      </c>
      <c r="BI21" s="815">
        <v>1359912</v>
      </c>
      <c r="BJ21" s="1044" t="s">
        <v>515</v>
      </c>
      <c r="BK21" s="1044" t="s">
        <v>2462</v>
      </c>
      <c r="BL21" s="1044" t="s">
        <v>2476</v>
      </c>
      <c r="BM21" s="650"/>
      <c r="BN21" s="746" t="s">
        <v>758</v>
      </c>
      <c r="BO21" s="142" t="b">
        <v>1</v>
      </c>
      <c r="BP21" s="544"/>
      <c r="BQ21" s="544"/>
      <c r="BR21" s="544"/>
      <c r="BS21" s="544"/>
      <c r="BT21" s="544"/>
      <c r="BU21" s="544"/>
      <c r="BV21" s="544"/>
      <c r="BW21" s="544"/>
      <c r="BX21" s="544"/>
      <c r="BY21" s="544"/>
      <c r="BZ21" s="544"/>
      <c r="CA21" s="544"/>
      <c r="CB21" s="544"/>
      <c r="CC21" s="544"/>
      <c r="CD21" s="544"/>
      <c r="CE21" s="544"/>
      <c r="CF21" s="544"/>
      <c r="CG21" s="544"/>
      <c r="CH21" s="544"/>
      <c r="CI21" s="544"/>
      <c r="CJ21" s="544"/>
      <c r="CK21" s="544"/>
      <c r="CL21" s="544"/>
      <c r="CM21" s="544"/>
      <c r="CN21" s="544"/>
      <c r="CO21" s="544"/>
      <c r="CP21" s="544"/>
      <c r="CQ21" s="544"/>
      <c r="CR21" s="544"/>
      <c r="CS21" s="544"/>
    </row>
    <row r="22" spans="1:98" s="142" customFormat="1" ht="12.75" hidden="1" x14ac:dyDescent="0.2">
      <c r="A22" s="735">
        <v>15</v>
      </c>
      <c r="B22" s="732" t="s">
        <v>759</v>
      </c>
      <c r="C22" s="738" t="s">
        <v>760</v>
      </c>
      <c r="D22" s="905">
        <v>242476.20944863299</v>
      </c>
      <c r="E22" s="905">
        <v>225991050</v>
      </c>
      <c r="F22" s="905">
        <v>5353</v>
      </c>
      <c r="G22" s="166">
        <v>111897634</v>
      </c>
      <c r="H22" s="166">
        <v>-6176176</v>
      </c>
      <c r="I22" s="166">
        <v>2238036</v>
      </c>
      <c r="J22" s="166">
        <v>-3938140</v>
      </c>
      <c r="K22" s="166">
        <v>-9356803</v>
      </c>
      <c r="L22" s="166">
        <v>-109384</v>
      </c>
      <c r="M22" s="166">
        <v>0</v>
      </c>
      <c r="N22" s="166">
        <v>-8890</v>
      </c>
      <c r="O22" s="166">
        <v>0</v>
      </c>
      <c r="P22" s="166">
        <v>-1336393</v>
      </c>
      <c r="Q22" s="166">
        <v>0</v>
      </c>
      <c r="R22" s="166">
        <v>0</v>
      </c>
      <c r="S22" s="166">
        <v>0</v>
      </c>
      <c r="T22" s="166"/>
      <c r="U22" s="166">
        <v>0</v>
      </c>
      <c r="V22" s="166">
        <v>0</v>
      </c>
      <c r="W22" s="166">
        <v>0</v>
      </c>
      <c r="X22" s="166">
        <v>0</v>
      </c>
      <c r="Y22" s="166">
        <v>0</v>
      </c>
      <c r="Z22" s="166">
        <v>83537477</v>
      </c>
      <c r="AA22" s="166">
        <v>-2808704</v>
      </c>
      <c r="AB22" s="166"/>
      <c r="AC22" s="166">
        <v>-3661517</v>
      </c>
      <c r="AD22" s="166">
        <v>258</v>
      </c>
      <c r="AE22" s="166">
        <v>13</v>
      </c>
      <c r="AF22" s="166">
        <v>0</v>
      </c>
      <c r="AG22" s="166"/>
      <c r="AH22" s="166">
        <v>5</v>
      </c>
      <c r="AI22" s="166">
        <v>0</v>
      </c>
      <c r="AJ22" s="166">
        <v>348</v>
      </c>
      <c r="AK22" s="166">
        <v>0</v>
      </c>
      <c r="AL22" s="166">
        <v>0</v>
      </c>
      <c r="AM22" s="166">
        <v>0</v>
      </c>
      <c r="AN22" s="166">
        <v>0</v>
      </c>
      <c r="AO22" s="166">
        <v>0</v>
      </c>
      <c r="AP22" s="166">
        <v>0</v>
      </c>
      <c r="AQ22" s="166">
        <v>0</v>
      </c>
      <c r="AR22" s="166">
        <v>489</v>
      </c>
      <c r="AS22" s="166">
        <v>1104</v>
      </c>
      <c r="AT22" s="166">
        <v>2064</v>
      </c>
      <c r="AU22" s="166">
        <v>1911</v>
      </c>
      <c r="AV22" s="166">
        <v>153</v>
      </c>
      <c r="AW22" s="166">
        <v>2194</v>
      </c>
      <c r="AX22" s="166">
        <v>-119927</v>
      </c>
      <c r="AY22" s="166">
        <v>-41271</v>
      </c>
      <c r="AZ22" s="166">
        <v>0</v>
      </c>
      <c r="BA22" s="166">
        <v>0</v>
      </c>
      <c r="BB22" s="166">
        <v>-51020</v>
      </c>
      <c r="BC22" s="166">
        <v>-1124175</v>
      </c>
      <c r="BD22" s="166">
        <v>-573393</v>
      </c>
      <c r="BE22" s="166">
        <v>5260820</v>
      </c>
      <c r="BF22" s="166"/>
      <c r="BG22" s="760">
        <v>17651000</v>
      </c>
      <c r="BH22" s="760">
        <v>0</v>
      </c>
      <c r="BI22" s="815">
        <v>2103012</v>
      </c>
      <c r="BJ22" s="1044" t="s">
        <v>2464</v>
      </c>
      <c r="BK22" s="1044" t="s">
        <v>2465</v>
      </c>
      <c r="BL22" s="1044" t="s">
        <v>2477</v>
      </c>
      <c r="BM22" s="650"/>
      <c r="BN22" s="746" t="s">
        <v>760</v>
      </c>
      <c r="BO22" s="142" t="b">
        <v>1</v>
      </c>
      <c r="BP22" s="544"/>
      <c r="BQ22" s="544"/>
      <c r="BR22" s="544"/>
      <c r="BS22" s="544"/>
      <c r="BT22" s="544"/>
      <c r="BU22" s="544"/>
      <c r="BV22" s="544"/>
      <c r="BW22" s="544"/>
      <c r="BX22" s="544"/>
      <c r="BY22" s="544"/>
      <c r="BZ22" s="544"/>
      <c r="CA22" s="544"/>
      <c r="CB22" s="544"/>
      <c r="CC22" s="544"/>
      <c r="CD22" s="544"/>
      <c r="CE22" s="544"/>
      <c r="CF22" s="544"/>
      <c r="CG22" s="544"/>
      <c r="CH22" s="544"/>
      <c r="CI22" s="544"/>
      <c r="CJ22" s="544"/>
      <c r="CK22" s="544"/>
      <c r="CL22" s="544"/>
      <c r="CM22" s="544"/>
      <c r="CN22" s="544"/>
      <c r="CO22" s="544"/>
      <c r="CP22" s="544"/>
      <c r="CQ22" s="544"/>
      <c r="CR22" s="544"/>
      <c r="CS22" s="544"/>
    </row>
    <row r="23" spans="1:98" s="142" customFormat="1" ht="12.75" hidden="1" x14ac:dyDescent="0.2">
      <c r="A23" s="735">
        <v>16</v>
      </c>
      <c r="B23" s="732" t="s">
        <v>761</v>
      </c>
      <c r="C23" s="738" t="s">
        <v>762</v>
      </c>
      <c r="D23" s="905">
        <v>1806958.2250574899</v>
      </c>
      <c r="E23" s="905">
        <v>1219990490</v>
      </c>
      <c r="F23" s="905">
        <v>47489</v>
      </c>
      <c r="G23" s="166">
        <v>622213428</v>
      </c>
      <c r="H23" s="166">
        <v>-47639248</v>
      </c>
      <c r="I23" s="166">
        <v>11772557</v>
      </c>
      <c r="J23" s="166">
        <v>-35866691</v>
      </c>
      <c r="K23" s="166">
        <v>-46095245</v>
      </c>
      <c r="L23" s="166">
        <v>-135000</v>
      </c>
      <c r="M23" s="166">
        <v>0</v>
      </c>
      <c r="N23" s="166">
        <v>0</v>
      </c>
      <c r="O23" s="166">
        <v>-443564</v>
      </c>
      <c r="P23" s="166">
        <v>-24564989</v>
      </c>
      <c r="Q23" s="166">
        <v>-200000</v>
      </c>
      <c r="R23" s="166">
        <v>-708558</v>
      </c>
      <c r="S23" s="166">
        <v>0</v>
      </c>
      <c r="T23" s="166"/>
      <c r="U23" s="166">
        <v>0</v>
      </c>
      <c r="V23" s="166">
        <v>-243245</v>
      </c>
      <c r="W23" s="166">
        <v>-243245</v>
      </c>
      <c r="X23" s="166">
        <v>0</v>
      </c>
      <c r="Y23" s="166">
        <v>0</v>
      </c>
      <c r="Z23" s="166">
        <v>430557640</v>
      </c>
      <c r="AA23" s="166">
        <v>-22541191</v>
      </c>
      <c r="AB23" s="166"/>
      <c r="AC23" s="166">
        <v>-46824118</v>
      </c>
      <c r="AD23" s="166">
        <v>1956</v>
      </c>
      <c r="AE23" s="166">
        <v>14</v>
      </c>
      <c r="AF23" s="166">
        <v>0</v>
      </c>
      <c r="AG23" s="166"/>
      <c r="AH23" s="166">
        <v>0</v>
      </c>
      <c r="AI23" s="166">
        <v>4</v>
      </c>
      <c r="AJ23" s="166">
        <v>10882</v>
      </c>
      <c r="AK23" s="166">
        <v>59</v>
      </c>
      <c r="AL23" s="166">
        <v>4</v>
      </c>
      <c r="AM23" s="166">
        <v>0</v>
      </c>
      <c r="AN23" s="166">
        <v>0</v>
      </c>
      <c r="AO23" s="166">
        <v>0</v>
      </c>
      <c r="AP23" s="166">
        <v>0</v>
      </c>
      <c r="AQ23" s="166">
        <v>0</v>
      </c>
      <c r="AR23" s="166">
        <v>5734</v>
      </c>
      <c r="AS23" s="166">
        <v>15077</v>
      </c>
      <c r="AT23" s="166">
        <v>15712</v>
      </c>
      <c r="AU23" s="166">
        <v>14565</v>
      </c>
      <c r="AV23" s="166">
        <v>1147</v>
      </c>
      <c r="AW23" s="166">
        <v>16784</v>
      </c>
      <c r="AX23" s="166">
        <v>-3996957</v>
      </c>
      <c r="AY23" s="166">
        <v>-5102213</v>
      </c>
      <c r="AZ23" s="166">
        <v>0</v>
      </c>
      <c r="BA23" s="166">
        <v>-114914</v>
      </c>
      <c r="BB23" s="166">
        <v>-9591072</v>
      </c>
      <c r="BC23" s="166">
        <v>-5759833</v>
      </c>
      <c r="BD23" s="166">
        <v>-526922</v>
      </c>
      <c r="BE23" s="166">
        <v>33897577</v>
      </c>
      <c r="BF23" s="166"/>
      <c r="BG23" s="760">
        <v>128172300</v>
      </c>
      <c r="BH23" s="760">
        <v>3725500</v>
      </c>
      <c r="BI23" s="815">
        <v>11370850</v>
      </c>
      <c r="BJ23" s="1044" t="s">
        <v>2468</v>
      </c>
      <c r="BK23" s="1044" t="s">
        <v>2478</v>
      </c>
      <c r="BL23" s="1044" t="s">
        <v>2479</v>
      </c>
      <c r="BM23" s="650"/>
      <c r="BN23" s="746" t="s">
        <v>762</v>
      </c>
      <c r="BO23" s="142" t="b">
        <v>1</v>
      </c>
      <c r="BP23" s="544"/>
      <c r="BQ23" s="544"/>
      <c r="BR23" s="544"/>
      <c r="BS23" s="544"/>
      <c r="BT23" s="544"/>
      <c r="BU23" s="544"/>
      <c r="BV23" s="544"/>
      <c r="BW23" s="544"/>
      <c r="BX23" s="544"/>
      <c r="BY23" s="544"/>
      <c r="BZ23" s="544"/>
      <c r="CA23" s="544"/>
      <c r="CB23" s="544"/>
      <c r="CC23" s="544"/>
      <c r="CD23" s="544"/>
      <c r="CE23" s="544"/>
      <c r="CF23" s="544"/>
      <c r="CG23" s="544"/>
      <c r="CH23" s="544"/>
      <c r="CI23" s="544"/>
      <c r="CJ23" s="544"/>
      <c r="CK23" s="544"/>
      <c r="CL23" s="544"/>
      <c r="CM23" s="544"/>
      <c r="CN23" s="544"/>
      <c r="CO23" s="544"/>
      <c r="CP23" s="544"/>
      <c r="CQ23" s="544"/>
      <c r="CR23" s="544"/>
      <c r="CS23" s="544"/>
    </row>
    <row r="24" spans="1:98" s="142" customFormat="1" ht="12.75" x14ac:dyDescent="0.2">
      <c r="A24" s="735">
        <v>17</v>
      </c>
      <c r="B24" s="732" t="s">
        <v>763</v>
      </c>
      <c r="C24" s="738" t="s">
        <v>764</v>
      </c>
      <c r="D24" s="905">
        <v>106386.4551965</v>
      </c>
      <c r="E24" s="905">
        <v>116663418</v>
      </c>
      <c r="F24" s="905">
        <v>2437</v>
      </c>
      <c r="G24" s="166">
        <v>57651239</v>
      </c>
      <c r="H24" s="166">
        <v>-2457791</v>
      </c>
      <c r="I24" s="166">
        <v>1222223</v>
      </c>
      <c r="J24" s="166">
        <v>-1235568</v>
      </c>
      <c r="K24" s="166">
        <v>-1529219</v>
      </c>
      <c r="L24" s="166">
        <v>-50141</v>
      </c>
      <c r="M24" s="166">
        <v>0</v>
      </c>
      <c r="N24" s="166">
        <v>-883</v>
      </c>
      <c r="O24" s="166">
        <v>0</v>
      </c>
      <c r="P24" s="166">
        <v>-221544</v>
      </c>
      <c r="Q24" s="166">
        <v>-70577</v>
      </c>
      <c r="R24" s="166">
        <v>-8729</v>
      </c>
      <c r="S24" s="166">
        <v>-5750</v>
      </c>
      <c r="T24" s="166"/>
      <c r="U24" s="166">
        <v>0</v>
      </c>
      <c r="V24" s="166">
        <v>0</v>
      </c>
      <c r="W24" s="166">
        <v>0</v>
      </c>
      <c r="X24" s="166">
        <v>0</v>
      </c>
      <c r="Y24" s="166">
        <v>0</v>
      </c>
      <c r="Z24" s="166">
        <v>49391619</v>
      </c>
      <c r="AA24" s="166">
        <v>-2717000</v>
      </c>
      <c r="AB24" s="166"/>
      <c r="AC24" s="166">
        <v>-1522932</v>
      </c>
      <c r="AD24" s="166">
        <v>83</v>
      </c>
      <c r="AE24" s="166">
        <v>13</v>
      </c>
      <c r="AF24" s="166">
        <v>0</v>
      </c>
      <c r="AG24" s="166"/>
      <c r="AH24" s="166">
        <v>1</v>
      </c>
      <c r="AI24" s="166">
        <v>0</v>
      </c>
      <c r="AJ24" s="166">
        <v>124</v>
      </c>
      <c r="AK24" s="166">
        <v>43</v>
      </c>
      <c r="AL24" s="166">
        <v>5</v>
      </c>
      <c r="AM24" s="166">
        <v>0</v>
      </c>
      <c r="AN24" s="166">
        <v>0</v>
      </c>
      <c r="AO24" s="166">
        <v>8</v>
      </c>
      <c r="AP24" s="166">
        <v>0</v>
      </c>
      <c r="AQ24" s="166">
        <v>0</v>
      </c>
      <c r="AR24" s="166">
        <v>110</v>
      </c>
      <c r="AS24" s="166">
        <v>673</v>
      </c>
      <c r="AT24" s="166">
        <v>939</v>
      </c>
      <c r="AU24" s="166">
        <v>881</v>
      </c>
      <c r="AV24" s="166">
        <v>58</v>
      </c>
      <c r="AW24" s="166">
        <v>807</v>
      </c>
      <c r="AX24" s="166">
        <v>-16497</v>
      </c>
      <c r="AY24" s="166">
        <v>-16501</v>
      </c>
      <c r="AZ24" s="166">
        <v>0</v>
      </c>
      <c r="BA24" s="166">
        <v>0</v>
      </c>
      <c r="BB24" s="166">
        <v>-119846</v>
      </c>
      <c r="BC24" s="166">
        <v>-68700</v>
      </c>
      <c r="BD24" s="166">
        <v>-288618</v>
      </c>
      <c r="BE24" s="166">
        <v>-3283327</v>
      </c>
      <c r="BF24" s="166"/>
      <c r="BG24" s="760">
        <v>9942650</v>
      </c>
      <c r="BH24" s="760">
        <v>0</v>
      </c>
      <c r="BI24" s="815">
        <v>-3238781</v>
      </c>
      <c r="BJ24" s="1044" t="s">
        <v>2454</v>
      </c>
      <c r="BK24" s="1044" t="s">
        <v>2457</v>
      </c>
      <c r="BL24" s="1044" t="s">
        <v>2480</v>
      </c>
      <c r="BM24" s="650"/>
      <c r="BN24" s="746" t="s">
        <v>764</v>
      </c>
      <c r="BO24" s="142" t="b">
        <v>1</v>
      </c>
      <c r="BP24" s="544"/>
      <c r="BQ24" s="544"/>
      <c r="BR24" s="544"/>
      <c r="BS24" s="544"/>
      <c r="BT24" s="544"/>
      <c r="BU24" s="544"/>
      <c r="BV24" s="544"/>
      <c r="BW24" s="544"/>
      <c r="BX24" s="544"/>
      <c r="BY24" s="544"/>
      <c r="BZ24" s="544"/>
      <c r="CA24" s="544"/>
      <c r="CB24" s="544"/>
      <c r="CC24" s="544"/>
      <c r="CD24" s="544"/>
      <c r="CE24" s="544"/>
      <c r="CF24" s="544"/>
      <c r="CG24" s="544"/>
      <c r="CH24" s="544"/>
      <c r="CI24" s="544"/>
      <c r="CJ24" s="544"/>
      <c r="CK24" s="544"/>
      <c r="CL24" s="544"/>
      <c r="CM24" s="544"/>
      <c r="CN24" s="544"/>
      <c r="CO24" s="544"/>
      <c r="CP24" s="544"/>
      <c r="CQ24" s="544"/>
      <c r="CR24" s="544"/>
      <c r="CS24" s="544"/>
    </row>
    <row r="25" spans="1:98" s="142" customFormat="1" ht="12.75" hidden="1" x14ac:dyDescent="0.2">
      <c r="A25" s="735">
        <v>18</v>
      </c>
      <c r="B25" s="732" t="s">
        <v>611</v>
      </c>
      <c r="C25" s="738" t="s">
        <v>766</v>
      </c>
      <c r="D25" s="905">
        <v>289050.364627812</v>
      </c>
      <c r="E25" s="905">
        <v>129529542</v>
      </c>
      <c r="F25" s="905">
        <v>8315</v>
      </c>
      <c r="G25" s="166">
        <v>64573820</v>
      </c>
      <c r="H25" s="166">
        <v>-8500000</v>
      </c>
      <c r="I25" s="166">
        <v>1080000</v>
      </c>
      <c r="J25" s="166">
        <v>-7420000</v>
      </c>
      <c r="K25" s="166">
        <v>-5300000</v>
      </c>
      <c r="L25" s="166">
        <v>-67000</v>
      </c>
      <c r="M25" s="166">
        <v>-3400</v>
      </c>
      <c r="N25" s="166">
        <v>0</v>
      </c>
      <c r="O25" s="166">
        <v>-50000</v>
      </c>
      <c r="P25" s="166">
        <v>-2000000</v>
      </c>
      <c r="Q25" s="166">
        <v>-34000</v>
      </c>
      <c r="R25" s="166">
        <v>0</v>
      </c>
      <c r="S25" s="166">
        <v>0</v>
      </c>
      <c r="T25" s="166"/>
      <c r="U25" s="166">
        <v>0</v>
      </c>
      <c r="V25" s="166">
        <v>0</v>
      </c>
      <c r="W25" s="166">
        <v>0</v>
      </c>
      <c r="X25" s="166">
        <v>0</v>
      </c>
      <c r="Y25" s="166">
        <v>-1700</v>
      </c>
      <c r="Z25" s="166">
        <v>41469420</v>
      </c>
      <c r="AA25" s="166">
        <v>-3190000</v>
      </c>
      <c r="AB25" s="166"/>
      <c r="AC25" s="166">
        <v>-3500000</v>
      </c>
      <c r="AD25" s="166">
        <v>253</v>
      </c>
      <c r="AE25" s="166">
        <v>7</v>
      </c>
      <c r="AF25" s="166">
        <v>2</v>
      </c>
      <c r="AG25" s="166"/>
      <c r="AH25" s="166">
        <v>0</v>
      </c>
      <c r="AI25" s="166">
        <v>0</v>
      </c>
      <c r="AJ25" s="166">
        <v>793</v>
      </c>
      <c r="AK25" s="166">
        <v>27</v>
      </c>
      <c r="AL25" s="166">
        <v>0</v>
      </c>
      <c r="AM25" s="166">
        <v>0</v>
      </c>
      <c r="AN25" s="166">
        <v>0</v>
      </c>
      <c r="AO25" s="166">
        <v>0</v>
      </c>
      <c r="AP25" s="166">
        <v>0</v>
      </c>
      <c r="AQ25" s="166">
        <v>0</v>
      </c>
      <c r="AR25" s="166">
        <v>459</v>
      </c>
      <c r="AS25" s="166">
        <v>1539</v>
      </c>
      <c r="AT25" s="166">
        <v>3874</v>
      </c>
      <c r="AU25" s="166">
        <v>3741</v>
      </c>
      <c r="AV25" s="166">
        <v>133</v>
      </c>
      <c r="AW25" s="166">
        <v>1645</v>
      </c>
      <c r="AX25" s="166">
        <v>-220000</v>
      </c>
      <c r="AY25" s="166">
        <v>-518000</v>
      </c>
      <c r="AZ25" s="166">
        <v>0</v>
      </c>
      <c r="BA25" s="166">
        <v>-29000</v>
      </c>
      <c r="BB25" s="166">
        <v>-1206000</v>
      </c>
      <c r="BC25" s="166">
        <v>-27000</v>
      </c>
      <c r="BD25" s="166">
        <v>-760000</v>
      </c>
      <c r="BE25" s="166">
        <v>922108</v>
      </c>
      <c r="BF25" s="166"/>
      <c r="BG25" s="760">
        <v>5147500</v>
      </c>
      <c r="BH25" s="760">
        <v>0</v>
      </c>
      <c r="BI25" s="815">
        <v>2881856</v>
      </c>
      <c r="BJ25" s="1044" t="s">
        <v>515</v>
      </c>
      <c r="BK25" s="1044" t="s">
        <v>2481</v>
      </c>
      <c r="BL25" s="1044" t="s">
        <v>2482</v>
      </c>
      <c r="BM25" s="650"/>
      <c r="BN25" s="746" t="s">
        <v>766</v>
      </c>
      <c r="BO25" s="142" t="b">
        <v>1</v>
      </c>
      <c r="BP25" s="544"/>
      <c r="BQ25" s="544"/>
      <c r="BR25" s="544"/>
      <c r="BS25" s="544"/>
      <c r="BT25" s="544"/>
      <c r="BU25" s="544"/>
      <c r="BV25" s="544"/>
      <c r="BW25" s="544"/>
      <c r="BX25" s="544"/>
      <c r="BY25" s="544"/>
      <c r="BZ25" s="544"/>
      <c r="CA25" s="544"/>
      <c r="CB25" s="544"/>
      <c r="CC25" s="544"/>
      <c r="CD25" s="544"/>
      <c r="CE25" s="544"/>
      <c r="CF25" s="544"/>
      <c r="CG25" s="544"/>
      <c r="CH25" s="544"/>
      <c r="CI25" s="544"/>
      <c r="CJ25" s="544"/>
      <c r="CK25" s="544"/>
      <c r="CL25" s="544"/>
      <c r="CM25" s="544"/>
      <c r="CN25" s="544"/>
      <c r="CO25" s="544"/>
      <c r="CP25" s="544"/>
      <c r="CQ25" s="544"/>
      <c r="CR25" s="544"/>
      <c r="CS25" s="544"/>
    </row>
    <row r="26" spans="1:98" s="142" customFormat="1" ht="12.75" hidden="1" x14ac:dyDescent="0.2">
      <c r="A26" s="735">
        <v>19</v>
      </c>
      <c r="B26" s="732" t="s">
        <v>614</v>
      </c>
      <c r="C26" s="738" t="s">
        <v>768</v>
      </c>
      <c r="D26" s="905">
        <v>236204.66602298999</v>
      </c>
      <c r="E26" s="905">
        <v>120324857</v>
      </c>
      <c r="F26" s="905">
        <v>6664</v>
      </c>
      <c r="G26" s="166">
        <v>58034060</v>
      </c>
      <c r="H26" s="166">
        <v>-8854292</v>
      </c>
      <c r="I26" s="166">
        <v>986347</v>
      </c>
      <c r="J26" s="166">
        <v>-7867945</v>
      </c>
      <c r="K26" s="166">
        <v>-3396522</v>
      </c>
      <c r="L26" s="166">
        <v>0</v>
      </c>
      <c r="M26" s="166">
        <v>0</v>
      </c>
      <c r="N26" s="166">
        <v>-19848</v>
      </c>
      <c r="O26" s="166">
        <v>-10000</v>
      </c>
      <c r="P26" s="166">
        <v>-1206647</v>
      </c>
      <c r="Q26" s="166">
        <v>-4838</v>
      </c>
      <c r="R26" s="166">
        <v>-20097</v>
      </c>
      <c r="S26" s="166">
        <v>0</v>
      </c>
      <c r="T26" s="166"/>
      <c r="U26" s="166">
        <v>0</v>
      </c>
      <c r="V26" s="166">
        <v>-327036</v>
      </c>
      <c r="W26" s="166">
        <v>-327036</v>
      </c>
      <c r="X26" s="166">
        <v>0</v>
      </c>
      <c r="Y26" s="166">
        <v>0</v>
      </c>
      <c r="Z26" s="166">
        <v>34071295</v>
      </c>
      <c r="AA26" s="166">
        <v>-1800000</v>
      </c>
      <c r="AB26" s="166"/>
      <c r="AC26" s="166">
        <v>-7294826</v>
      </c>
      <c r="AD26" s="166">
        <v>153</v>
      </c>
      <c r="AE26" s="166">
        <v>0</v>
      </c>
      <c r="AF26" s="166">
        <v>0</v>
      </c>
      <c r="AG26" s="166"/>
      <c r="AH26" s="166">
        <v>8</v>
      </c>
      <c r="AI26" s="166">
        <v>1</v>
      </c>
      <c r="AJ26" s="166">
        <v>777</v>
      </c>
      <c r="AK26" s="166">
        <v>1</v>
      </c>
      <c r="AL26" s="166">
        <v>5</v>
      </c>
      <c r="AM26" s="166">
        <v>0</v>
      </c>
      <c r="AN26" s="166">
        <v>0</v>
      </c>
      <c r="AO26" s="166">
        <v>0</v>
      </c>
      <c r="AP26" s="166">
        <v>23</v>
      </c>
      <c r="AQ26" s="166">
        <v>0</v>
      </c>
      <c r="AR26" s="166">
        <v>1114</v>
      </c>
      <c r="AS26" s="166">
        <v>1381</v>
      </c>
      <c r="AT26" s="166">
        <v>3523</v>
      </c>
      <c r="AU26" s="166">
        <v>3380</v>
      </c>
      <c r="AV26" s="166">
        <v>143</v>
      </c>
      <c r="AW26" s="166">
        <v>1854</v>
      </c>
      <c r="AX26" s="166">
        <v>-60000</v>
      </c>
      <c r="AY26" s="166">
        <v>-149015</v>
      </c>
      <c r="AZ26" s="166">
        <v>0</v>
      </c>
      <c r="BA26" s="166">
        <v>-9235</v>
      </c>
      <c r="BB26" s="166">
        <v>-988397</v>
      </c>
      <c r="BC26" s="166">
        <v>0</v>
      </c>
      <c r="BD26" s="166">
        <v>-392510</v>
      </c>
      <c r="BE26" s="166">
        <v>5181747</v>
      </c>
      <c r="BF26" s="166"/>
      <c r="BG26" s="760">
        <v>15048750</v>
      </c>
      <c r="BH26" s="760">
        <v>1026250</v>
      </c>
      <c r="BI26" s="815">
        <v>12051657</v>
      </c>
      <c r="BJ26" s="1044" t="s">
        <v>515</v>
      </c>
      <c r="BK26" s="1044" t="s">
        <v>2481</v>
      </c>
      <c r="BL26" s="1044" t="s">
        <v>2483</v>
      </c>
      <c r="BM26" s="650"/>
      <c r="BN26" s="746" t="s">
        <v>768</v>
      </c>
      <c r="BO26" s="142" t="b">
        <v>1</v>
      </c>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4"/>
      <c r="CQ26" s="544"/>
      <c r="CR26" s="544"/>
      <c r="CS26" s="544"/>
    </row>
    <row r="27" spans="1:98" s="142" customFormat="1" ht="12.75" x14ac:dyDescent="0.2">
      <c r="A27" s="735">
        <v>20</v>
      </c>
      <c r="B27" s="732" t="s">
        <v>769</v>
      </c>
      <c r="C27" s="738" t="s">
        <v>770</v>
      </c>
      <c r="D27" s="905">
        <v>94093.073225321801</v>
      </c>
      <c r="E27" s="905">
        <v>74009240</v>
      </c>
      <c r="F27" s="905">
        <v>2419</v>
      </c>
      <c r="G27" s="166">
        <v>37021495</v>
      </c>
      <c r="H27" s="166">
        <v>-2195573</v>
      </c>
      <c r="I27" s="166">
        <v>733544</v>
      </c>
      <c r="J27" s="166">
        <v>-1462029</v>
      </c>
      <c r="K27" s="166">
        <v>-1081017</v>
      </c>
      <c r="L27" s="166">
        <v>0</v>
      </c>
      <c r="M27" s="166">
        <v>-13378</v>
      </c>
      <c r="N27" s="166">
        <v>-536</v>
      </c>
      <c r="O27" s="166">
        <v>0</v>
      </c>
      <c r="P27" s="166">
        <v>-339945</v>
      </c>
      <c r="Q27" s="166">
        <v>-744</v>
      </c>
      <c r="R27" s="166">
        <v>-14876</v>
      </c>
      <c r="S27" s="166">
        <v>0</v>
      </c>
      <c r="T27" s="166"/>
      <c r="U27" s="166">
        <v>0</v>
      </c>
      <c r="V27" s="166">
        <v>0</v>
      </c>
      <c r="W27" s="166">
        <v>0</v>
      </c>
      <c r="X27" s="166">
        <v>0</v>
      </c>
      <c r="Y27" s="166">
        <v>-6689</v>
      </c>
      <c r="Z27" s="166">
        <v>31049191</v>
      </c>
      <c r="AA27" s="166">
        <v>-572634</v>
      </c>
      <c r="AB27" s="166"/>
      <c r="AC27" s="166">
        <v>-1028590</v>
      </c>
      <c r="AD27" s="166">
        <v>67</v>
      </c>
      <c r="AE27" s="166">
        <v>6</v>
      </c>
      <c r="AF27" s="166">
        <v>5</v>
      </c>
      <c r="AG27" s="166"/>
      <c r="AH27" s="166">
        <v>1</v>
      </c>
      <c r="AI27" s="166">
        <v>0</v>
      </c>
      <c r="AJ27" s="166">
        <v>172</v>
      </c>
      <c r="AK27" s="166">
        <v>2</v>
      </c>
      <c r="AL27" s="166">
        <v>4</v>
      </c>
      <c r="AM27" s="166">
        <v>0</v>
      </c>
      <c r="AN27" s="166">
        <v>0</v>
      </c>
      <c r="AO27" s="166">
        <v>0</v>
      </c>
      <c r="AP27" s="166">
        <v>0</v>
      </c>
      <c r="AQ27" s="166">
        <v>0</v>
      </c>
      <c r="AR27" s="166">
        <v>160</v>
      </c>
      <c r="AS27" s="166">
        <v>528</v>
      </c>
      <c r="AT27" s="166">
        <v>1077</v>
      </c>
      <c r="AU27" s="166">
        <v>1026</v>
      </c>
      <c r="AV27" s="166">
        <v>51</v>
      </c>
      <c r="AW27" s="166">
        <v>833</v>
      </c>
      <c r="AX27" s="166">
        <v>-9082</v>
      </c>
      <c r="AY27" s="166">
        <v>-18133</v>
      </c>
      <c r="AZ27" s="166">
        <v>0</v>
      </c>
      <c r="BA27" s="166">
        <v>0</v>
      </c>
      <c r="BB27" s="166">
        <v>-304273</v>
      </c>
      <c r="BC27" s="166">
        <v>-8457</v>
      </c>
      <c r="BD27" s="166">
        <v>-204432</v>
      </c>
      <c r="BE27" s="166">
        <v>-3434557</v>
      </c>
      <c r="BF27" s="166"/>
      <c r="BG27" s="760">
        <v>7510500</v>
      </c>
      <c r="BH27" s="760">
        <v>0</v>
      </c>
      <c r="BI27" s="815">
        <v>-2495044</v>
      </c>
      <c r="BJ27" s="1044" t="s">
        <v>2454</v>
      </c>
      <c r="BK27" s="1044" t="s">
        <v>2457</v>
      </c>
      <c r="BL27" s="1044" t="s">
        <v>2484</v>
      </c>
      <c r="BM27" s="650"/>
      <c r="BN27" s="746" t="s">
        <v>770</v>
      </c>
      <c r="BO27" s="142" t="b">
        <v>1</v>
      </c>
      <c r="BP27" s="544"/>
      <c r="BQ27" s="544"/>
      <c r="BR27" s="544"/>
      <c r="BS27" s="544"/>
      <c r="BT27" s="544"/>
      <c r="BU27" s="544"/>
      <c r="BV27" s="544"/>
      <c r="BW27" s="544"/>
      <c r="BX27" s="544"/>
      <c r="BY27" s="544"/>
      <c r="BZ27" s="544"/>
      <c r="CA27" s="544"/>
      <c r="CB27" s="544"/>
      <c r="CC27" s="544"/>
      <c r="CD27" s="544"/>
      <c r="CE27" s="544"/>
      <c r="CF27" s="544"/>
      <c r="CG27" s="544"/>
      <c r="CH27" s="544"/>
      <c r="CI27" s="544"/>
      <c r="CJ27" s="544"/>
      <c r="CK27" s="544"/>
      <c r="CL27" s="544"/>
      <c r="CM27" s="544"/>
      <c r="CN27" s="544"/>
      <c r="CO27" s="544"/>
      <c r="CP27" s="544"/>
      <c r="CQ27" s="544"/>
      <c r="CR27" s="544"/>
      <c r="CS27" s="544"/>
    </row>
    <row r="28" spans="1:98" s="142" customFormat="1" ht="12.75" hidden="1" x14ac:dyDescent="0.2">
      <c r="A28" s="735">
        <v>21</v>
      </c>
      <c r="B28" s="732" t="s">
        <v>771</v>
      </c>
      <c r="C28" s="738" t="s">
        <v>772</v>
      </c>
      <c r="D28" s="905">
        <v>403635.312089429</v>
      </c>
      <c r="E28" s="905">
        <v>249281694</v>
      </c>
      <c r="F28" s="905">
        <v>10773</v>
      </c>
      <c r="G28" s="166">
        <v>124246804</v>
      </c>
      <c r="H28" s="166">
        <v>-12786004</v>
      </c>
      <c r="I28" s="166">
        <v>2120000</v>
      </c>
      <c r="J28" s="166">
        <v>-10666004</v>
      </c>
      <c r="K28" s="166">
        <v>-7900000</v>
      </c>
      <c r="L28" s="166">
        <v>-100000</v>
      </c>
      <c r="M28" s="166">
        <v>0</v>
      </c>
      <c r="N28" s="166">
        <v>0</v>
      </c>
      <c r="O28" s="166">
        <v>-10000</v>
      </c>
      <c r="P28" s="166">
        <v>-3860000</v>
      </c>
      <c r="Q28" s="166">
        <v>-740000</v>
      </c>
      <c r="R28" s="166">
        <v>-210000</v>
      </c>
      <c r="S28" s="166">
        <v>-5000</v>
      </c>
      <c r="T28" s="166"/>
      <c r="U28" s="166">
        <v>0</v>
      </c>
      <c r="V28" s="166">
        <v>0</v>
      </c>
      <c r="W28" s="166">
        <v>0</v>
      </c>
      <c r="X28" s="166">
        <v>0</v>
      </c>
      <c r="Y28" s="166">
        <v>0</v>
      </c>
      <c r="Z28" s="166">
        <v>88931300</v>
      </c>
      <c r="AA28" s="166">
        <v>-5000000</v>
      </c>
      <c r="AB28" s="166"/>
      <c r="AC28" s="166">
        <v>-4338000</v>
      </c>
      <c r="AD28" s="166">
        <v>413</v>
      </c>
      <c r="AE28" s="166">
        <v>14</v>
      </c>
      <c r="AF28" s="166">
        <v>0</v>
      </c>
      <c r="AG28" s="166"/>
      <c r="AH28" s="166">
        <v>0</v>
      </c>
      <c r="AI28" s="166">
        <v>0</v>
      </c>
      <c r="AJ28" s="166">
        <v>837</v>
      </c>
      <c r="AK28" s="166">
        <v>221</v>
      </c>
      <c r="AL28" s="166">
        <v>30</v>
      </c>
      <c r="AM28" s="166">
        <v>0</v>
      </c>
      <c r="AN28" s="166">
        <v>0</v>
      </c>
      <c r="AO28" s="166">
        <v>9</v>
      </c>
      <c r="AP28" s="166">
        <v>0</v>
      </c>
      <c r="AQ28" s="166">
        <v>0</v>
      </c>
      <c r="AR28" s="166">
        <v>423</v>
      </c>
      <c r="AS28" s="166">
        <v>2486</v>
      </c>
      <c r="AT28" s="166">
        <v>4866</v>
      </c>
      <c r="AU28" s="166">
        <v>4596</v>
      </c>
      <c r="AV28" s="166">
        <v>270</v>
      </c>
      <c r="AW28" s="166">
        <v>3380</v>
      </c>
      <c r="AX28" s="166">
        <v>-394719</v>
      </c>
      <c r="AY28" s="166">
        <v>-917969</v>
      </c>
      <c r="AZ28" s="166">
        <v>0</v>
      </c>
      <c r="BA28" s="166">
        <v>-119000</v>
      </c>
      <c r="BB28" s="166">
        <v>-2428312</v>
      </c>
      <c r="BC28" s="166">
        <v>0</v>
      </c>
      <c r="BD28" s="166">
        <v>-1028000</v>
      </c>
      <c r="BE28" s="166">
        <v>3230409</v>
      </c>
      <c r="BF28" s="166"/>
      <c r="BG28" s="760">
        <v>29117500</v>
      </c>
      <c r="BH28" s="760">
        <v>0</v>
      </c>
      <c r="BI28" s="815">
        <v>6535633</v>
      </c>
      <c r="BJ28" s="1044" t="s">
        <v>2468</v>
      </c>
      <c r="BK28" s="1044" t="s">
        <v>2481</v>
      </c>
      <c r="BL28" s="1044" t="s">
        <v>2485</v>
      </c>
      <c r="BM28" s="650"/>
      <c r="BN28" s="746" t="s">
        <v>772</v>
      </c>
      <c r="BO28" s="142" t="b">
        <v>1</v>
      </c>
      <c r="BP28" s="544"/>
      <c r="BQ28" s="544"/>
      <c r="BR28" s="544"/>
      <c r="BS28" s="544"/>
      <c r="BT28" s="544"/>
      <c r="BU28" s="544"/>
      <c r="BV28" s="544"/>
      <c r="BW28" s="544"/>
      <c r="BX28" s="544"/>
      <c r="BY28" s="544"/>
      <c r="BZ28" s="544"/>
      <c r="CA28" s="544"/>
      <c r="CB28" s="544"/>
      <c r="CC28" s="544"/>
      <c r="CD28" s="544"/>
      <c r="CE28" s="544"/>
      <c r="CF28" s="544"/>
      <c r="CG28" s="544"/>
      <c r="CH28" s="544"/>
      <c r="CI28" s="544"/>
      <c r="CJ28" s="544"/>
      <c r="CK28" s="544"/>
      <c r="CL28" s="544"/>
      <c r="CM28" s="544"/>
      <c r="CN28" s="544"/>
      <c r="CO28" s="544"/>
      <c r="CP28" s="544"/>
      <c r="CQ28" s="544"/>
      <c r="CR28" s="544"/>
      <c r="CS28" s="544"/>
    </row>
    <row r="29" spans="1:98" s="142" customFormat="1" ht="12.75" x14ac:dyDescent="0.2">
      <c r="A29" s="735">
        <v>22</v>
      </c>
      <c r="B29" s="732" t="s">
        <v>773</v>
      </c>
      <c r="C29" s="738" t="s">
        <v>774</v>
      </c>
      <c r="D29" s="905">
        <v>91263.553364413499</v>
      </c>
      <c r="E29" s="905">
        <v>55543588</v>
      </c>
      <c r="F29" s="905">
        <v>2493</v>
      </c>
      <c r="G29" s="166">
        <v>27782809</v>
      </c>
      <c r="H29" s="166">
        <v>-2688771</v>
      </c>
      <c r="I29" s="166">
        <v>483079</v>
      </c>
      <c r="J29" s="166">
        <v>-2205692</v>
      </c>
      <c r="K29" s="166">
        <v>-1923884</v>
      </c>
      <c r="L29" s="166">
        <v>-84732</v>
      </c>
      <c r="M29" s="166">
        <v>-26552</v>
      </c>
      <c r="N29" s="166">
        <v>-7510</v>
      </c>
      <c r="O29" s="166">
        <v>0</v>
      </c>
      <c r="P29" s="166">
        <v>-520492</v>
      </c>
      <c r="Q29" s="166">
        <v>-54972</v>
      </c>
      <c r="R29" s="166">
        <v>-7389</v>
      </c>
      <c r="S29" s="166">
        <v>-15887</v>
      </c>
      <c r="T29" s="166"/>
      <c r="U29" s="166">
        <v>0</v>
      </c>
      <c r="V29" s="166">
        <v>0</v>
      </c>
      <c r="W29" s="166">
        <v>0</v>
      </c>
      <c r="X29" s="166">
        <v>0</v>
      </c>
      <c r="Y29" s="166">
        <v>-13276</v>
      </c>
      <c r="Z29" s="166">
        <v>18813968</v>
      </c>
      <c r="AA29" s="166">
        <v>-319769</v>
      </c>
      <c r="AB29" s="166"/>
      <c r="AC29" s="166">
        <v>-2475914</v>
      </c>
      <c r="AD29" s="166">
        <v>214</v>
      </c>
      <c r="AE29" s="166">
        <v>12</v>
      </c>
      <c r="AF29" s="166">
        <v>9</v>
      </c>
      <c r="AG29" s="166"/>
      <c r="AH29" s="166">
        <v>3</v>
      </c>
      <c r="AI29" s="166">
        <v>0</v>
      </c>
      <c r="AJ29" s="166">
        <v>190</v>
      </c>
      <c r="AK29" s="166">
        <v>102</v>
      </c>
      <c r="AL29" s="166">
        <v>2</v>
      </c>
      <c r="AM29" s="166">
        <v>0</v>
      </c>
      <c r="AN29" s="166">
        <v>0</v>
      </c>
      <c r="AO29" s="166">
        <v>12</v>
      </c>
      <c r="AP29" s="166">
        <v>0</v>
      </c>
      <c r="AQ29" s="166">
        <v>0</v>
      </c>
      <c r="AR29" s="166">
        <v>258</v>
      </c>
      <c r="AS29" s="166">
        <v>616</v>
      </c>
      <c r="AT29" s="166">
        <v>1105</v>
      </c>
      <c r="AU29" s="166">
        <v>1035</v>
      </c>
      <c r="AV29" s="166">
        <v>70</v>
      </c>
      <c r="AW29" s="166">
        <v>775</v>
      </c>
      <c r="AX29" s="166">
        <v>-1578</v>
      </c>
      <c r="AY29" s="166">
        <v>-296891</v>
      </c>
      <c r="AZ29" s="166">
        <v>0</v>
      </c>
      <c r="BA29" s="166">
        <v>-11070</v>
      </c>
      <c r="BB29" s="166">
        <v>-209685</v>
      </c>
      <c r="BC29" s="166">
        <v>-1268</v>
      </c>
      <c r="BD29" s="166">
        <v>-338436</v>
      </c>
      <c r="BE29" s="166">
        <v>-1846818</v>
      </c>
      <c r="BF29" s="166"/>
      <c r="BG29" s="760">
        <v>7627450</v>
      </c>
      <c r="BH29" s="760">
        <v>0</v>
      </c>
      <c r="BI29" s="815">
        <v>-759852</v>
      </c>
      <c r="BJ29" s="1044" t="s">
        <v>2454</v>
      </c>
      <c r="BK29" s="1044" t="s">
        <v>2457</v>
      </c>
      <c r="BL29" s="1044" t="s">
        <v>2486</v>
      </c>
      <c r="BM29" s="650"/>
      <c r="BN29" s="746" t="s">
        <v>774</v>
      </c>
      <c r="BO29" s="142" t="b">
        <v>1</v>
      </c>
      <c r="BP29" s="544"/>
      <c r="BQ29" s="544"/>
      <c r="BR29" s="544"/>
      <c r="BS29" s="544"/>
      <c r="BT29" s="544"/>
      <c r="BU29" s="544"/>
      <c r="BV29" s="544"/>
      <c r="BW29" s="544"/>
      <c r="BX29" s="544"/>
      <c r="BY29" s="544"/>
      <c r="BZ29" s="544"/>
      <c r="CA29" s="544"/>
      <c r="CB29" s="544"/>
      <c r="CC29" s="544"/>
      <c r="CD29" s="544"/>
      <c r="CE29" s="544"/>
      <c r="CF29" s="544"/>
      <c r="CG29" s="544"/>
      <c r="CH29" s="544"/>
      <c r="CI29" s="544"/>
      <c r="CJ29" s="544"/>
      <c r="CK29" s="544"/>
      <c r="CL29" s="544"/>
      <c r="CM29" s="544"/>
      <c r="CN29" s="544"/>
      <c r="CO29" s="544"/>
      <c r="CP29" s="544"/>
      <c r="CQ29" s="544"/>
      <c r="CR29" s="544"/>
      <c r="CS29" s="544"/>
    </row>
    <row r="30" spans="1:98" s="142" customFormat="1" ht="12.75" hidden="1" x14ac:dyDescent="0.2">
      <c r="A30" s="735">
        <v>23</v>
      </c>
      <c r="B30" s="739" t="s">
        <v>1235</v>
      </c>
      <c r="C30" s="740" t="s">
        <v>1220</v>
      </c>
      <c r="D30" s="905">
        <v>599262.11962260096</v>
      </c>
      <c r="E30" s="905">
        <v>398550912</v>
      </c>
      <c r="F30" s="905">
        <v>16064</v>
      </c>
      <c r="G30" s="166">
        <v>194267563</v>
      </c>
      <c r="H30" s="166">
        <v>-17408809</v>
      </c>
      <c r="I30" s="166">
        <v>3591598</v>
      </c>
      <c r="J30" s="166">
        <v>-13817211</v>
      </c>
      <c r="K30" s="166">
        <v>-14575272</v>
      </c>
      <c r="L30" s="166">
        <v>-218576</v>
      </c>
      <c r="M30" s="166">
        <v>0</v>
      </c>
      <c r="N30" s="166">
        <v>-50582</v>
      </c>
      <c r="O30" s="166">
        <v>0</v>
      </c>
      <c r="P30" s="166">
        <v>-3612724</v>
      </c>
      <c r="Q30" s="166">
        <v>-138166</v>
      </c>
      <c r="R30" s="166">
        <v>-33514</v>
      </c>
      <c r="S30" s="166">
        <v>-3910</v>
      </c>
      <c r="T30" s="166"/>
      <c r="U30" s="166">
        <v>0</v>
      </c>
      <c r="V30" s="166">
        <v>0</v>
      </c>
      <c r="W30" s="166">
        <v>0</v>
      </c>
      <c r="X30" s="166">
        <v>0</v>
      </c>
      <c r="Y30" s="166">
        <v>0</v>
      </c>
      <c r="Z30" s="166">
        <v>118284446</v>
      </c>
      <c r="AA30" s="166">
        <v>-15700000</v>
      </c>
      <c r="AB30" s="166"/>
      <c r="AC30" s="166">
        <v>-23373682</v>
      </c>
      <c r="AD30" s="166">
        <v>534</v>
      </c>
      <c r="AE30" s="166">
        <v>15</v>
      </c>
      <c r="AF30" s="166">
        <v>0</v>
      </c>
      <c r="AG30" s="166"/>
      <c r="AH30" s="166">
        <v>21</v>
      </c>
      <c r="AI30" s="166">
        <v>0</v>
      </c>
      <c r="AJ30" s="166">
        <v>489</v>
      </c>
      <c r="AK30" s="166">
        <v>102</v>
      </c>
      <c r="AL30" s="166">
        <v>10</v>
      </c>
      <c r="AM30" s="166">
        <v>0</v>
      </c>
      <c r="AN30" s="166">
        <v>0</v>
      </c>
      <c r="AO30" s="166">
        <v>7</v>
      </c>
      <c r="AP30" s="166">
        <v>0</v>
      </c>
      <c r="AQ30" s="166">
        <v>0</v>
      </c>
      <c r="AR30" s="166">
        <v>2226</v>
      </c>
      <c r="AS30" s="166">
        <v>2503</v>
      </c>
      <c r="AT30" s="166">
        <v>7016</v>
      </c>
      <c r="AU30" s="166">
        <v>6525</v>
      </c>
      <c r="AV30" s="166">
        <v>491</v>
      </c>
      <c r="AW30" s="166">
        <v>4532</v>
      </c>
      <c r="AX30" s="166">
        <v>-161505</v>
      </c>
      <c r="AY30" s="166">
        <v>-932336</v>
      </c>
      <c r="AZ30" s="166">
        <v>0</v>
      </c>
      <c r="BA30" s="166">
        <v>-126995</v>
      </c>
      <c r="BB30" s="166">
        <v>-2266377</v>
      </c>
      <c r="BC30" s="166">
        <v>-125511</v>
      </c>
      <c r="BD30" s="166">
        <v>-2143584</v>
      </c>
      <c r="BE30" s="166">
        <v>-1244684</v>
      </c>
      <c r="BF30" s="166"/>
      <c r="BG30" s="760">
        <v>53137250</v>
      </c>
      <c r="BH30" s="760">
        <v>0</v>
      </c>
      <c r="BI30" s="815">
        <v>41171477</v>
      </c>
      <c r="BJ30" s="1044" t="s">
        <v>515</v>
      </c>
      <c r="BK30" s="1044" t="s">
        <v>2474</v>
      </c>
      <c r="BL30" s="1044" t="s">
        <v>2487</v>
      </c>
      <c r="BM30" s="650"/>
      <c r="BN30" s="746" t="s">
        <v>1220</v>
      </c>
      <c r="BO30" s="142" t="b">
        <v>1</v>
      </c>
      <c r="BP30" s="544"/>
      <c r="BQ30" s="544"/>
      <c r="BR30" s="544"/>
      <c r="BS30" s="544"/>
      <c r="BT30" s="544"/>
      <c r="BU30" s="544"/>
      <c r="BV30" s="544"/>
      <c r="BW30" s="544"/>
      <c r="BX30" s="544"/>
      <c r="BY30" s="544"/>
      <c r="BZ30" s="544"/>
      <c r="CA30" s="544"/>
      <c r="CB30" s="544"/>
      <c r="CC30" s="544"/>
      <c r="CD30" s="544"/>
      <c r="CE30" s="544"/>
      <c r="CF30" s="544"/>
      <c r="CG30" s="544"/>
      <c r="CH30" s="544"/>
      <c r="CI30" s="544"/>
      <c r="CJ30" s="544"/>
      <c r="CK30" s="544"/>
      <c r="CL30" s="544"/>
      <c r="CM30" s="544"/>
      <c r="CN30" s="544"/>
      <c r="CO30" s="544"/>
      <c r="CP30" s="544"/>
      <c r="CQ30" s="544"/>
      <c r="CR30" s="544"/>
      <c r="CS30" s="544"/>
      <c r="CT30" s="544"/>
    </row>
    <row r="31" spans="1:98" s="142" customFormat="1" ht="12.75" hidden="1" x14ac:dyDescent="0.2">
      <c r="A31" s="735">
        <v>24</v>
      </c>
      <c r="B31" s="732" t="s">
        <v>524</v>
      </c>
      <c r="C31" s="738" t="s">
        <v>776</v>
      </c>
      <c r="D31" s="905">
        <v>130623.63940399099</v>
      </c>
      <c r="E31" s="905">
        <v>138344985</v>
      </c>
      <c r="F31" s="905">
        <v>2633</v>
      </c>
      <c r="G31" s="166">
        <v>72187835</v>
      </c>
      <c r="H31" s="166">
        <v>-1618650</v>
      </c>
      <c r="I31" s="166">
        <v>1914674</v>
      </c>
      <c r="J31" s="166">
        <v>296024</v>
      </c>
      <c r="K31" s="166">
        <v>-3658861</v>
      </c>
      <c r="L31" s="166">
        <v>-3645</v>
      </c>
      <c r="M31" s="166">
        <v>0</v>
      </c>
      <c r="N31" s="166">
        <v>-10534</v>
      </c>
      <c r="O31" s="166">
        <v>-71735</v>
      </c>
      <c r="P31" s="166">
        <v>-2030798</v>
      </c>
      <c r="Q31" s="166">
        <v>-150000</v>
      </c>
      <c r="R31" s="166">
        <v>0</v>
      </c>
      <c r="S31" s="166">
        <v>-3645</v>
      </c>
      <c r="T31" s="166"/>
      <c r="U31" s="166">
        <v>0</v>
      </c>
      <c r="V31" s="166">
        <v>0</v>
      </c>
      <c r="W31" s="166">
        <v>0</v>
      </c>
      <c r="X31" s="166">
        <v>0</v>
      </c>
      <c r="Y31" s="166">
        <v>0</v>
      </c>
      <c r="Z31" s="166">
        <v>58209129</v>
      </c>
      <c r="AA31" s="166">
        <v>-3407149</v>
      </c>
      <c r="AB31" s="166"/>
      <c r="AC31" s="166">
        <v>-4989391</v>
      </c>
      <c r="AD31" s="166">
        <v>136</v>
      </c>
      <c r="AE31" s="166">
        <v>1</v>
      </c>
      <c r="AF31" s="166">
        <v>0</v>
      </c>
      <c r="AG31" s="166"/>
      <c r="AH31" s="166">
        <v>2</v>
      </c>
      <c r="AI31" s="166">
        <v>2</v>
      </c>
      <c r="AJ31" s="166">
        <v>390</v>
      </c>
      <c r="AK31" s="166">
        <v>79</v>
      </c>
      <c r="AL31" s="166">
        <v>18</v>
      </c>
      <c r="AM31" s="166">
        <v>0</v>
      </c>
      <c r="AN31" s="166">
        <v>0</v>
      </c>
      <c r="AO31" s="166">
        <v>1</v>
      </c>
      <c r="AP31" s="166">
        <v>0</v>
      </c>
      <c r="AQ31" s="166">
        <v>0</v>
      </c>
      <c r="AR31" s="166">
        <v>583</v>
      </c>
      <c r="AS31" s="166">
        <v>1136</v>
      </c>
      <c r="AT31" s="166">
        <v>523</v>
      </c>
      <c r="AU31" s="166">
        <v>462</v>
      </c>
      <c r="AV31" s="166">
        <v>61</v>
      </c>
      <c r="AW31" s="166">
        <v>1156</v>
      </c>
      <c r="AX31" s="166">
        <v>-233477</v>
      </c>
      <c r="AY31" s="166">
        <v>0</v>
      </c>
      <c r="AZ31" s="166">
        <v>-3645</v>
      </c>
      <c r="BA31" s="166">
        <v>0</v>
      </c>
      <c r="BB31" s="166">
        <v>-1737974</v>
      </c>
      <c r="BC31" s="166">
        <v>-55702</v>
      </c>
      <c r="BD31" s="166">
        <v>-50000</v>
      </c>
      <c r="BE31" s="166">
        <v>-10162179</v>
      </c>
      <c r="BF31" s="166"/>
      <c r="BG31" s="760">
        <v>9577400</v>
      </c>
      <c r="BH31" s="760">
        <v>0</v>
      </c>
      <c r="BI31" s="815">
        <v>-12716408</v>
      </c>
      <c r="BJ31" s="1044" t="s">
        <v>515</v>
      </c>
      <c r="BK31" s="1044" t="s">
        <v>2455</v>
      </c>
      <c r="BL31" s="1044" t="s">
        <v>2488</v>
      </c>
      <c r="BM31" s="650"/>
      <c r="BN31" s="746" t="s">
        <v>776</v>
      </c>
      <c r="BO31" s="142" t="b">
        <v>1</v>
      </c>
      <c r="BP31" s="544"/>
      <c r="BQ31" s="544"/>
      <c r="BR31" s="544"/>
      <c r="BS31" s="544"/>
      <c r="BT31" s="544"/>
      <c r="BU31" s="544"/>
      <c r="BV31" s="544"/>
      <c r="BW31" s="544"/>
      <c r="BX31" s="544"/>
      <c r="BY31" s="544"/>
      <c r="BZ31" s="544"/>
      <c r="CA31" s="544"/>
      <c r="CB31" s="544"/>
      <c r="CC31" s="544"/>
      <c r="CD31" s="544"/>
      <c r="CE31" s="544"/>
      <c r="CF31" s="544"/>
      <c r="CG31" s="544"/>
      <c r="CH31" s="544"/>
      <c r="CI31" s="544"/>
      <c r="CJ31" s="544"/>
      <c r="CK31" s="544"/>
      <c r="CL31" s="544"/>
      <c r="CM31" s="544"/>
      <c r="CN31" s="544"/>
      <c r="CO31" s="544"/>
      <c r="CP31" s="544"/>
      <c r="CQ31" s="544"/>
      <c r="CR31" s="544"/>
      <c r="CS31" s="544"/>
    </row>
    <row r="32" spans="1:98" s="142" customFormat="1" ht="12.75" hidden="1" x14ac:dyDescent="0.2">
      <c r="A32" s="735">
        <v>25</v>
      </c>
      <c r="B32" s="732" t="s">
        <v>777</v>
      </c>
      <c r="C32" s="738" t="s">
        <v>778</v>
      </c>
      <c r="D32" s="905">
        <v>712028.93727997295</v>
      </c>
      <c r="E32" s="905">
        <v>386899639</v>
      </c>
      <c r="F32" s="905">
        <v>19742</v>
      </c>
      <c r="G32" s="166">
        <v>191340656</v>
      </c>
      <c r="H32" s="166">
        <v>-27950269</v>
      </c>
      <c r="I32" s="166">
        <v>3245158</v>
      </c>
      <c r="J32" s="166">
        <v>-24705111</v>
      </c>
      <c r="K32" s="166">
        <v>-17712626</v>
      </c>
      <c r="L32" s="166">
        <v>-191373</v>
      </c>
      <c r="M32" s="166">
        <v>-6737</v>
      </c>
      <c r="N32" s="166">
        <v>-25478</v>
      </c>
      <c r="O32" s="166">
        <v>-250000</v>
      </c>
      <c r="P32" s="166">
        <v>-8828830</v>
      </c>
      <c r="Q32" s="166">
        <v>-3620</v>
      </c>
      <c r="R32" s="166">
        <v>0</v>
      </c>
      <c r="S32" s="166">
        <v>0</v>
      </c>
      <c r="T32" s="166"/>
      <c r="U32" s="166">
        <v>0</v>
      </c>
      <c r="V32" s="166">
        <v>-252448</v>
      </c>
      <c r="W32" s="166">
        <v>-252448</v>
      </c>
      <c r="X32" s="166">
        <v>0</v>
      </c>
      <c r="Y32" s="166">
        <v>0</v>
      </c>
      <c r="Z32" s="166">
        <v>117392953</v>
      </c>
      <c r="AA32" s="166">
        <v>-2987687</v>
      </c>
      <c r="AB32" s="166"/>
      <c r="AC32" s="166">
        <v>-13854319</v>
      </c>
      <c r="AD32" s="166">
        <v>831</v>
      </c>
      <c r="AE32" s="166">
        <v>23</v>
      </c>
      <c r="AF32" s="166">
        <v>4</v>
      </c>
      <c r="AG32" s="166"/>
      <c r="AH32" s="166">
        <v>11</v>
      </c>
      <c r="AI32" s="166">
        <v>0</v>
      </c>
      <c r="AJ32" s="166">
        <v>3018</v>
      </c>
      <c r="AK32" s="166">
        <v>0</v>
      </c>
      <c r="AL32" s="166">
        <v>0</v>
      </c>
      <c r="AM32" s="166">
        <v>0</v>
      </c>
      <c r="AN32" s="166">
        <v>0</v>
      </c>
      <c r="AO32" s="166">
        <v>0</v>
      </c>
      <c r="AP32" s="166">
        <v>5</v>
      </c>
      <c r="AQ32" s="166">
        <v>5</v>
      </c>
      <c r="AR32" s="166">
        <v>1997</v>
      </c>
      <c r="AS32" s="166">
        <v>5301</v>
      </c>
      <c r="AT32" s="166">
        <v>10029</v>
      </c>
      <c r="AU32" s="166">
        <v>9564</v>
      </c>
      <c r="AV32" s="166">
        <v>465</v>
      </c>
      <c r="AW32" s="166">
        <v>5774</v>
      </c>
      <c r="AX32" s="166">
        <v>-742371</v>
      </c>
      <c r="AY32" s="166">
        <v>-3481700</v>
      </c>
      <c r="AZ32" s="166">
        <v>0</v>
      </c>
      <c r="BA32" s="166">
        <v>-383213</v>
      </c>
      <c r="BB32" s="166">
        <v>-3171546</v>
      </c>
      <c r="BC32" s="166">
        <v>-1050000</v>
      </c>
      <c r="BD32" s="166">
        <v>0</v>
      </c>
      <c r="BE32" s="166">
        <v>-4217652</v>
      </c>
      <c r="BF32" s="166"/>
      <c r="BG32" s="760">
        <v>51408976</v>
      </c>
      <c r="BH32" s="760">
        <v>0</v>
      </c>
      <c r="BI32" s="815">
        <v>-467540</v>
      </c>
      <c r="BJ32" s="1044" t="s">
        <v>2468</v>
      </c>
      <c r="BK32" s="1044" t="s">
        <v>2469</v>
      </c>
      <c r="BL32" s="1044" t="s">
        <v>2489</v>
      </c>
      <c r="BM32" s="650"/>
      <c r="BN32" s="746" t="s">
        <v>778</v>
      </c>
      <c r="BO32" s="142" t="b">
        <v>1</v>
      </c>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row>
    <row r="33" spans="1:97" s="142" customFormat="1" ht="12.75" x14ac:dyDescent="0.2">
      <c r="A33" s="735">
        <v>26</v>
      </c>
      <c r="B33" s="732" t="s">
        <v>779</v>
      </c>
      <c r="C33" s="738" t="s">
        <v>780</v>
      </c>
      <c r="D33" s="905">
        <v>194663.50008227199</v>
      </c>
      <c r="E33" s="905">
        <v>136241020</v>
      </c>
      <c r="F33" s="905">
        <v>5075</v>
      </c>
      <c r="G33" s="166">
        <v>66928411</v>
      </c>
      <c r="H33" s="166">
        <v>-5541546</v>
      </c>
      <c r="I33" s="166">
        <v>1197325</v>
      </c>
      <c r="J33" s="166">
        <v>-4344221</v>
      </c>
      <c r="K33" s="166">
        <v>-3464227</v>
      </c>
      <c r="L33" s="166">
        <v>-116766</v>
      </c>
      <c r="M33" s="166">
        <v>-19118</v>
      </c>
      <c r="N33" s="166">
        <v>-2361</v>
      </c>
      <c r="O33" s="166">
        <v>0</v>
      </c>
      <c r="P33" s="166">
        <v>-738252</v>
      </c>
      <c r="Q33" s="166">
        <v>0</v>
      </c>
      <c r="R33" s="166">
        <v>-281479</v>
      </c>
      <c r="S33" s="166">
        <v>0</v>
      </c>
      <c r="T33" s="166"/>
      <c r="U33" s="166">
        <v>0</v>
      </c>
      <c r="V33" s="166">
        <v>0</v>
      </c>
      <c r="W33" s="166">
        <v>0</v>
      </c>
      <c r="X33" s="166">
        <v>0</v>
      </c>
      <c r="Y33" s="166">
        <v>-9559</v>
      </c>
      <c r="Z33" s="166">
        <v>44069576</v>
      </c>
      <c r="AA33" s="166">
        <v>-2644174</v>
      </c>
      <c r="AB33" s="166"/>
      <c r="AC33" s="166">
        <v>-5061613</v>
      </c>
      <c r="AD33" s="166">
        <v>235</v>
      </c>
      <c r="AE33" s="166">
        <v>23</v>
      </c>
      <c r="AF33" s="166">
        <v>7</v>
      </c>
      <c r="AG33" s="166"/>
      <c r="AH33" s="166">
        <v>2</v>
      </c>
      <c r="AI33" s="166">
        <v>0</v>
      </c>
      <c r="AJ33" s="166">
        <v>196</v>
      </c>
      <c r="AK33" s="166">
        <v>134</v>
      </c>
      <c r="AL33" s="166">
        <v>4</v>
      </c>
      <c r="AM33" s="166">
        <v>7</v>
      </c>
      <c r="AN33" s="166">
        <v>0</v>
      </c>
      <c r="AO33" s="166">
        <v>20</v>
      </c>
      <c r="AP33" s="166">
        <v>0</v>
      </c>
      <c r="AQ33" s="166">
        <v>0</v>
      </c>
      <c r="AR33" s="166">
        <v>504</v>
      </c>
      <c r="AS33" s="166">
        <v>1133</v>
      </c>
      <c r="AT33" s="166">
        <v>2203</v>
      </c>
      <c r="AU33" s="166">
        <v>2035</v>
      </c>
      <c r="AV33" s="166">
        <v>168</v>
      </c>
      <c r="AW33" s="166">
        <v>1680</v>
      </c>
      <c r="AX33" s="166">
        <v>-180186</v>
      </c>
      <c r="AY33" s="166">
        <v>-243078</v>
      </c>
      <c r="AZ33" s="166">
        <v>0</v>
      </c>
      <c r="BA33" s="166">
        <v>0</v>
      </c>
      <c r="BB33" s="166">
        <v>-280735</v>
      </c>
      <c r="BC33" s="166">
        <v>-34253</v>
      </c>
      <c r="BD33" s="166">
        <v>-741837</v>
      </c>
      <c r="BE33" s="166">
        <v>250187</v>
      </c>
      <c r="BF33" s="166"/>
      <c r="BG33" s="760">
        <v>22689250</v>
      </c>
      <c r="BH33" s="760">
        <v>0</v>
      </c>
      <c r="BI33" s="815">
        <v>948211</v>
      </c>
      <c r="BJ33" s="1044" t="s">
        <v>2454</v>
      </c>
      <c r="BK33" s="1044" t="s">
        <v>2462</v>
      </c>
      <c r="BL33" s="1044" t="s">
        <v>2490</v>
      </c>
      <c r="BM33" s="650"/>
      <c r="BN33" s="746" t="s">
        <v>780</v>
      </c>
      <c r="BO33" s="142" t="b">
        <v>1</v>
      </c>
      <c r="BP33" s="544"/>
      <c r="BQ33" s="544"/>
      <c r="BR33" s="544"/>
      <c r="BS33" s="544"/>
      <c r="BT33" s="544"/>
      <c r="BU33" s="544"/>
      <c r="BV33" s="544"/>
      <c r="BW33" s="544"/>
      <c r="BX33" s="544"/>
      <c r="BY33" s="544"/>
      <c r="BZ33" s="544"/>
      <c r="CA33" s="544"/>
      <c r="CB33" s="544"/>
      <c r="CC33" s="544"/>
      <c r="CD33" s="544"/>
      <c r="CE33" s="544"/>
      <c r="CF33" s="544"/>
      <c r="CG33" s="544"/>
      <c r="CH33" s="544"/>
      <c r="CI33" s="544"/>
      <c r="CJ33" s="544"/>
      <c r="CK33" s="544"/>
      <c r="CL33" s="544"/>
      <c r="CM33" s="544"/>
      <c r="CN33" s="544"/>
      <c r="CO33" s="544"/>
      <c r="CP33" s="544"/>
      <c r="CQ33" s="544"/>
      <c r="CR33" s="544"/>
      <c r="CS33" s="544"/>
    </row>
    <row r="34" spans="1:97" s="142" customFormat="1" ht="12.75" x14ac:dyDescent="0.2">
      <c r="A34" s="735">
        <v>27</v>
      </c>
      <c r="B34" s="732" t="s">
        <v>781</v>
      </c>
      <c r="C34" s="738" t="s">
        <v>782</v>
      </c>
      <c r="D34" s="905">
        <v>172024.068694224</v>
      </c>
      <c r="E34" s="905">
        <v>104816017</v>
      </c>
      <c r="F34" s="905">
        <v>4698</v>
      </c>
      <c r="G34" s="166">
        <v>51662213</v>
      </c>
      <c r="H34" s="166">
        <v>-4582639</v>
      </c>
      <c r="I34" s="166">
        <v>851024</v>
      </c>
      <c r="J34" s="166">
        <v>-3731615</v>
      </c>
      <c r="K34" s="166">
        <v>-3132993</v>
      </c>
      <c r="L34" s="166">
        <v>-31426</v>
      </c>
      <c r="M34" s="166">
        <v>-91640</v>
      </c>
      <c r="N34" s="166">
        <v>-12339</v>
      </c>
      <c r="O34" s="166">
        <v>0</v>
      </c>
      <c r="P34" s="166">
        <v>-626988</v>
      </c>
      <c r="Q34" s="166">
        <v>-51037</v>
      </c>
      <c r="R34" s="166">
        <v>-55563</v>
      </c>
      <c r="S34" s="166">
        <v>-2189</v>
      </c>
      <c r="T34" s="166"/>
      <c r="U34" s="166">
        <v>0</v>
      </c>
      <c r="V34" s="166">
        <v>-40488</v>
      </c>
      <c r="W34" s="166">
        <v>0</v>
      </c>
      <c r="X34" s="166">
        <v>0</v>
      </c>
      <c r="Y34" s="166">
        <v>-49776</v>
      </c>
      <c r="Z34" s="166">
        <v>35589258</v>
      </c>
      <c r="AA34" s="166">
        <v>-2429440</v>
      </c>
      <c r="AB34" s="166"/>
      <c r="AC34" s="166">
        <v>-3393505</v>
      </c>
      <c r="AD34" s="166">
        <v>345</v>
      </c>
      <c r="AE34" s="166">
        <v>10</v>
      </c>
      <c r="AF34" s="166">
        <v>35</v>
      </c>
      <c r="AG34" s="166"/>
      <c r="AH34" s="166">
        <v>6</v>
      </c>
      <c r="AI34" s="166">
        <v>0</v>
      </c>
      <c r="AJ34" s="166">
        <v>267</v>
      </c>
      <c r="AK34" s="166">
        <v>112</v>
      </c>
      <c r="AL34" s="166">
        <v>2</v>
      </c>
      <c r="AM34" s="166">
        <v>0</v>
      </c>
      <c r="AN34" s="166">
        <v>0</v>
      </c>
      <c r="AO34" s="166">
        <v>4</v>
      </c>
      <c r="AP34" s="166">
        <v>0</v>
      </c>
      <c r="AQ34" s="166">
        <v>0</v>
      </c>
      <c r="AR34" s="166">
        <v>533</v>
      </c>
      <c r="AS34" s="166">
        <v>1005</v>
      </c>
      <c r="AT34" s="166">
        <v>2011</v>
      </c>
      <c r="AU34" s="166">
        <v>1851</v>
      </c>
      <c r="AV34" s="166">
        <v>160</v>
      </c>
      <c r="AW34" s="166">
        <v>1647</v>
      </c>
      <c r="AX34" s="166">
        <v>-36863</v>
      </c>
      <c r="AY34" s="166">
        <v>-286311</v>
      </c>
      <c r="AZ34" s="166">
        <v>0</v>
      </c>
      <c r="BA34" s="166">
        <v>-34340</v>
      </c>
      <c r="BB34" s="166">
        <v>-246324</v>
      </c>
      <c r="BC34" s="166">
        <v>-23150</v>
      </c>
      <c r="BD34" s="166">
        <v>-681686</v>
      </c>
      <c r="BE34" s="166">
        <v>-1152585</v>
      </c>
      <c r="BF34" s="166"/>
      <c r="BG34" s="760">
        <v>15723275</v>
      </c>
      <c r="BH34" s="760">
        <v>0</v>
      </c>
      <c r="BI34" s="815">
        <v>2164493</v>
      </c>
      <c r="BJ34" s="1044" t="s">
        <v>2454</v>
      </c>
      <c r="BK34" s="1044" t="s">
        <v>2462</v>
      </c>
      <c r="BL34" s="1044" t="s">
        <v>2491</v>
      </c>
      <c r="BM34" s="650"/>
      <c r="BN34" s="746" t="s">
        <v>782</v>
      </c>
      <c r="BO34" s="142" t="b">
        <v>1</v>
      </c>
      <c r="BP34" s="544"/>
      <c r="BQ34" s="544"/>
      <c r="BR34" s="544"/>
      <c r="BS34" s="544"/>
      <c r="BT34" s="544"/>
      <c r="BU34" s="544"/>
      <c r="BV34" s="544"/>
      <c r="BW34" s="544"/>
      <c r="BX34" s="544"/>
      <c r="BY34" s="544"/>
      <c r="BZ34" s="544"/>
      <c r="CA34" s="544"/>
      <c r="CB34" s="544"/>
      <c r="CC34" s="544"/>
      <c r="CD34" s="544"/>
      <c r="CE34" s="544"/>
      <c r="CF34" s="544"/>
      <c r="CG34" s="544"/>
      <c r="CH34" s="544"/>
      <c r="CI34" s="544"/>
      <c r="CJ34" s="544"/>
      <c r="CK34" s="544"/>
      <c r="CL34" s="544"/>
      <c r="CM34" s="544"/>
      <c r="CN34" s="544"/>
      <c r="CO34" s="544"/>
      <c r="CP34" s="544"/>
      <c r="CQ34" s="544"/>
      <c r="CR34" s="544"/>
      <c r="CS34" s="544"/>
    </row>
    <row r="35" spans="1:97" s="142" customFormat="1" ht="12.75" hidden="1" x14ac:dyDescent="0.2">
      <c r="A35" s="735">
        <v>28</v>
      </c>
      <c r="B35" s="732" t="s">
        <v>783</v>
      </c>
      <c r="C35" s="738" t="s">
        <v>784</v>
      </c>
      <c r="D35" s="905">
        <v>419467.40855562902</v>
      </c>
      <c r="E35" s="905">
        <v>372574206</v>
      </c>
      <c r="F35" s="905">
        <v>9020</v>
      </c>
      <c r="G35" s="166">
        <v>184773157</v>
      </c>
      <c r="H35" s="166">
        <v>-7965632</v>
      </c>
      <c r="I35" s="166">
        <v>3457116</v>
      </c>
      <c r="J35" s="166">
        <v>-4508516</v>
      </c>
      <c r="K35" s="166">
        <v>-11844128</v>
      </c>
      <c r="L35" s="166">
        <v>-31995</v>
      </c>
      <c r="M35" s="166">
        <v>0</v>
      </c>
      <c r="N35" s="166">
        <v>-996</v>
      </c>
      <c r="O35" s="166">
        <v>0</v>
      </c>
      <c r="P35" s="166">
        <v>-3100000</v>
      </c>
      <c r="Q35" s="166">
        <v>-570274</v>
      </c>
      <c r="R35" s="166">
        <v>-43813</v>
      </c>
      <c r="S35" s="166">
        <v>0</v>
      </c>
      <c r="T35" s="166"/>
      <c r="U35" s="166">
        <v>0</v>
      </c>
      <c r="V35" s="166">
        <v>0</v>
      </c>
      <c r="W35" s="166">
        <v>0</v>
      </c>
      <c r="X35" s="166">
        <v>0</v>
      </c>
      <c r="Y35" s="166">
        <v>0</v>
      </c>
      <c r="Z35" s="166">
        <v>132451053</v>
      </c>
      <c r="AA35" s="166">
        <v>-4400000</v>
      </c>
      <c r="AB35" s="166"/>
      <c r="AC35" s="166">
        <v>-18837226</v>
      </c>
      <c r="AD35" s="166">
        <v>319</v>
      </c>
      <c r="AE35" s="166">
        <v>6</v>
      </c>
      <c r="AF35" s="166">
        <v>0</v>
      </c>
      <c r="AG35" s="166"/>
      <c r="AH35" s="166">
        <v>1</v>
      </c>
      <c r="AI35" s="166">
        <v>0</v>
      </c>
      <c r="AJ35" s="166">
        <v>680</v>
      </c>
      <c r="AK35" s="166">
        <v>107</v>
      </c>
      <c r="AL35" s="166">
        <v>6</v>
      </c>
      <c r="AM35" s="166">
        <v>0</v>
      </c>
      <c r="AN35" s="166">
        <v>0</v>
      </c>
      <c r="AO35" s="166">
        <v>0</v>
      </c>
      <c r="AP35" s="166">
        <v>0</v>
      </c>
      <c r="AQ35" s="166">
        <v>0</v>
      </c>
      <c r="AR35" s="166">
        <v>2038</v>
      </c>
      <c r="AS35" s="166">
        <v>1849</v>
      </c>
      <c r="AT35" s="166">
        <v>2986</v>
      </c>
      <c r="AU35" s="166">
        <v>2514</v>
      </c>
      <c r="AV35" s="166">
        <v>472</v>
      </c>
      <c r="AW35" s="166">
        <v>4165</v>
      </c>
      <c r="AX35" s="166">
        <v>-35541</v>
      </c>
      <c r="AY35" s="166">
        <v>-31766</v>
      </c>
      <c r="AZ35" s="166">
        <v>0</v>
      </c>
      <c r="BA35" s="166">
        <v>-19584</v>
      </c>
      <c r="BB35" s="166">
        <v>-82911</v>
      </c>
      <c r="BC35" s="166">
        <v>-2930198</v>
      </c>
      <c r="BD35" s="166">
        <v>-1096678</v>
      </c>
      <c r="BE35" s="166">
        <v>-5018381</v>
      </c>
      <c r="BF35" s="166"/>
      <c r="BG35" s="760">
        <v>36594750</v>
      </c>
      <c r="BH35" s="760">
        <v>0</v>
      </c>
      <c r="BI35" s="815">
        <v>668405</v>
      </c>
      <c r="BJ35" s="1044" t="s">
        <v>2464</v>
      </c>
      <c r="BK35" s="1044" t="s">
        <v>2465</v>
      </c>
      <c r="BL35" s="1044" t="s">
        <v>2492</v>
      </c>
      <c r="BM35" s="650"/>
      <c r="BN35" s="746" t="s">
        <v>784</v>
      </c>
      <c r="BO35" s="142" t="b">
        <v>1</v>
      </c>
      <c r="BP35" s="544"/>
      <c r="BQ35" s="544"/>
      <c r="BR35" s="544"/>
      <c r="BS35" s="544"/>
      <c r="BT35" s="544"/>
      <c r="BU35" s="544"/>
      <c r="BV35" s="544"/>
      <c r="BW35" s="544"/>
      <c r="BX35" s="544"/>
      <c r="BY35" s="544"/>
      <c r="BZ35" s="544"/>
      <c r="CA35" s="544"/>
      <c r="CB35" s="544"/>
      <c r="CC35" s="544"/>
      <c r="CD35" s="544"/>
      <c r="CE35" s="544"/>
      <c r="CF35" s="544"/>
      <c r="CG35" s="544"/>
      <c r="CH35" s="544"/>
      <c r="CI35" s="544"/>
      <c r="CJ35" s="544"/>
      <c r="CK35" s="544"/>
      <c r="CL35" s="544"/>
      <c r="CM35" s="544"/>
      <c r="CN35" s="544"/>
      <c r="CO35" s="544"/>
      <c r="CP35" s="544"/>
      <c r="CQ35" s="544"/>
      <c r="CR35" s="544"/>
      <c r="CS35" s="544"/>
    </row>
    <row r="36" spans="1:97" s="142" customFormat="1" ht="12.75" x14ac:dyDescent="0.2">
      <c r="A36" s="735">
        <v>29</v>
      </c>
      <c r="B36" s="732" t="s">
        <v>785</v>
      </c>
      <c r="C36" s="738" t="s">
        <v>786</v>
      </c>
      <c r="D36" s="905">
        <v>103410.82806008399</v>
      </c>
      <c r="E36" s="905">
        <v>71160243</v>
      </c>
      <c r="F36" s="905">
        <v>2553</v>
      </c>
      <c r="G36" s="166">
        <v>35695066</v>
      </c>
      <c r="H36" s="166">
        <v>-2650195</v>
      </c>
      <c r="I36" s="166">
        <v>582952</v>
      </c>
      <c r="J36" s="166">
        <v>-2067243</v>
      </c>
      <c r="K36" s="166">
        <v>-2712948</v>
      </c>
      <c r="L36" s="166">
        <v>-46387</v>
      </c>
      <c r="M36" s="166">
        <v>0</v>
      </c>
      <c r="N36" s="166">
        <v>-3430</v>
      </c>
      <c r="O36" s="166">
        <v>-285000</v>
      </c>
      <c r="P36" s="166">
        <v>-498888</v>
      </c>
      <c r="Q36" s="166">
        <v>-1010</v>
      </c>
      <c r="R36" s="166">
        <v>-2047</v>
      </c>
      <c r="S36" s="166">
        <v>0</v>
      </c>
      <c r="T36" s="166"/>
      <c r="U36" s="166">
        <v>0</v>
      </c>
      <c r="V36" s="166">
        <v>0</v>
      </c>
      <c r="W36" s="166">
        <v>0</v>
      </c>
      <c r="X36" s="166">
        <v>0</v>
      </c>
      <c r="Y36" s="166">
        <v>0</v>
      </c>
      <c r="Z36" s="166">
        <v>24158138</v>
      </c>
      <c r="AA36" s="166">
        <v>-773060</v>
      </c>
      <c r="AB36" s="166"/>
      <c r="AC36" s="166">
        <v>-4050111</v>
      </c>
      <c r="AD36" s="166">
        <v>99</v>
      </c>
      <c r="AE36" s="166">
        <v>2</v>
      </c>
      <c r="AF36" s="166">
        <v>0</v>
      </c>
      <c r="AG36" s="166"/>
      <c r="AH36" s="166">
        <v>1</v>
      </c>
      <c r="AI36" s="166">
        <v>0</v>
      </c>
      <c r="AJ36" s="166">
        <v>82</v>
      </c>
      <c r="AK36" s="166">
        <v>1</v>
      </c>
      <c r="AL36" s="166">
        <v>2</v>
      </c>
      <c r="AM36" s="166">
        <v>0</v>
      </c>
      <c r="AN36" s="166">
        <v>0</v>
      </c>
      <c r="AO36" s="166">
        <v>0</v>
      </c>
      <c r="AP36" s="166">
        <v>0</v>
      </c>
      <c r="AQ36" s="166">
        <v>0</v>
      </c>
      <c r="AR36" s="166">
        <v>416</v>
      </c>
      <c r="AS36" s="166">
        <v>563</v>
      </c>
      <c r="AT36" s="166">
        <v>2350</v>
      </c>
      <c r="AU36" s="166">
        <v>80</v>
      </c>
      <c r="AV36" s="166">
        <v>2270</v>
      </c>
      <c r="AW36" s="166">
        <v>1123</v>
      </c>
      <c r="AX36" s="166">
        <v>0</v>
      </c>
      <c r="AY36" s="166">
        <v>0</v>
      </c>
      <c r="AZ36" s="166">
        <v>0</v>
      </c>
      <c r="BA36" s="166">
        <v>0</v>
      </c>
      <c r="BB36" s="166">
        <v>-469045</v>
      </c>
      <c r="BC36" s="166">
        <v>-29843</v>
      </c>
      <c r="BD36" s="166">
        <v>0</v>
      </c>
      <c r="BE36" s="166">
        <v>2736384</v>
      </c>
      <c r="BF36" s="166"/>
      <c r="BG36" s="760">
        <v>14184850</v>
      </c>
      <c r="BH36" s="760">
        <v>0</v>
      </c>
      <c r="BI36" s="815">
        <v>1129554</v>
      </c>
      <c r="BJ36" s="1044" t="s">
        <v>2454</v>
      </c>
      <c r="BK36" s="1044" t="s">
        <v>2462</v>
      </c>
      <c r="BL36" s="1044" t="s">
        <v>2493</v>
      </c>
      <c r="BM36" s="650"/>
      <c r="BN36" s="746" t="s">
        <v>786</v>
      </c>
      <c r="BO36" s="142" t="b">
        <v>1</v>
      </c>
      <c r="BP36" s="544"/>
      <c r="BQ36" s="544"/>
      <c r="BR36" s="544"/>
      <c r="BS36" s="544"/>
      <c r="BT36" s="544"/>
      <c r="BU36" s="544"/>
      <c r="BV36" s="544"/>
      <c r="BW36" s="544"/>
      <c r="BX36" s="544"/>
      <c r="BY36" s="544"/>
      <c r="BZ36" s="544"/>
      <c r="CA36" s="544"/>
      <c r="CB36" s="544"/>
      <c r="CC36" s="544"/>
      <c r="CD36" s="544"/>
      <c r="CE36" s="544"/>
      <c r="CF36" s="544"/>
      <c r="CG36" s="544"/>
      <c r="CH36" s="544"/>
      <c r="CI36" s="544"/>
      <c r="CJ36" s="544"/>
      <c r="CK36" s="544"/>
      <c r="CL36" s="544"/>
      <c r="CM36" s="544"/>
      <c r="CN36" s="544"/>
      <c r="CO36" s="544"/>
      <c r="CP36" s="544"/>
      <c r="CQ36" s="544"/>
      <c r="CR36" s="544"/>
      <c r="CS36" s="544"/>
    </row>
    <row r="37" spans="1:97" s="142" customFormat="1" ht="12.75" hidden="1" x14ac:dyDescent="0.2">
      <c r="A37" s="735">
        <v>30</v>
      </c>
      <c r="B37" s="732" t="s">
        <v>997</v>
      </c>
      <c r="C37" s="738" t="s">
        <v>788</v>
      </c>
      <c r="D37" s="905">
        <v>439200.812156156</v>
      </c>
      <c r="E37" s="905">
        <v>315427353</v>
      </c>
      <c r="F37" s="905">
        <v>11434</v>
      </c>
      <c r="G37" s="166">
        <v>159439862</v>
      </c>
      <c r="H37" s="166">
        <v>-10892024</v>
      </c>
      <c r="I37" s="166">
        <v>2831756</v>
      </c>
      <c r="J37" s="166">
        <v>-8060268</v>
      </c>
      <c r="K37" s="166">
        <v>-13367752</v>
      </c>
      <c r="L37" s="166">
        <v>-63610</v>
      </c>
      <c r="M37" s="166">
        <v>0</v>
      </c>
      <c r="N37" s="166">
        <v>-8781</v>
      </c>
      <c r="O37" s="166">
        <v>0</v>
      </c>
      <c r="P37" s="166">
        <v>-4032042</v>
      </c>
      <c r="Q37" s="166">
        <v>-55036</v>
      </c>
      <c r="R37" s="166">
        <v>-43030</v>
      </c>
      <c r="S37" s="166">
        <v>-131</v>
      </c>
      <c r="T37" s="166"/>
      <c r="U37" s="166">
        <v>0</v>
      </c>
      <c r="V37" s="166">
        <v>0</v>
      </c>
      <c r="W37" s="166">
        <v>0</v>
      </c>
      <c r="X37" s="166">
        <v>0</v>
      </c>
      <c r="Y37" s="166">
        <v>0</v>
      </c>
      <c r="Z37" s="166">
        <v>105724600</v>
      </c>
      <c r="AA37" s="166">
        <v>-3492786</v>
      </c>
      <c r="AB37" s="166"/>
      <c r="AC37" s="166">
        <v>-19946880</v>
      </c>
      <c r="AD37" s="166">
        <v>445</v>
      </c>
      <c r="AE37" s="166">
        <v>12</v>
      </c>
      <c r="AF37" s="166">
        <v>0</v>
      </c>
      <c r="AG37" s="166"/>
      <c r="AH37" s="166">
        <v>4</v>
      </c>
      <c r="AI37" s="166">
        <v>0</v>
      </c>
      <c r="AJ37" s="166">
        <v>1019</v>
      </c>
      <c r="AK37" s="166">
        <v>39</v>
      </c>
      <c r="AL37" s="166">
        <v>25</v>
      </c>
      <c r="AM37" s="166">
        <v>0</v>
      </c>
      <c r="AN37" s="166">
        <v>0</v>
      </c>
      <c r="AO37" s="166">
        <v>1</v>
      </c>
      <c r="AP37" s="166">
        <v>0</v>
      </c>
      <c r="AQ37" s="166">
        <v>0</v>
      </c>
      <c r="AR37" s="166">
        <v>2419</v>
      </c>
      <c r="AS37" s="166">
        <v>2495</v>
      </c>
      <c r="AT37" s="166">
        <v>4566</v>
      </c>
      <c r="AU37" s="166">
        <v>4281</v>
      </c>
      <c r="AV37" s="166">
        <v>285</v>
      </c>
      <c r="AW37" s="166">
        <v>4440</v>
      </c>
      <c r="AX37" s="166">
        <v>-10654</v>
      </c>
      <c r="AY37" s="166">
        <v>-1014445</v>
      </c>
      <c r="AZ37" s="166">
        <v>0</v>
      </c>
      <c r="BA37" s="166">
        <v>-247707</v>
      </c>
      <c r="BB37" s="166">
        <v>-2759236</v>
      </c>
      <c r="BC37" s="166">
        <v>0</v>
      </c>
      <c r="BD37" s="166">
        <v>-1338911</v>
      </c>
      <c r="BE37" s="166">
        <v>840009</v>
      </c>
      <c r="BF37" s="166"/>
      <c r="BG37" s="760">
        <v>49706450</v>
      </c>
      <c r="BH37" s="760">
        <v>0</v>
      </c>
      <c r="BI37" s="815">
        <v>1272916</v>
      </c>
      <c r="BJ37" s="1044" t="s">
        <v>515</v>
      </c>
      <c r="BK37" s="1044" t="s">
        <v>2455</v>
      </c>
      <c r="BL37" s="1044" t="s">
        <v>2494</v>
      </c>
      <c r="BM37" s="650"/>
      <c r="BN37" s="746" t="s">
        <v>788</v>
      </c>
      <c r="BO37" s="142" t="b">
        <v>1</v>
      </c>
      <c r="BP37" s="544"/>
      <c r="BQ37" s="544"/>
      <c r="BR37" s="544"/>
      <c r="BS37" s="544"/>
      <c r="BT37" s="544"/>
      <c r="BU37" s="544"/>
      <c r="BV37" s="544"/>
      <c r="BW37" s="544"/>
      <c r="BX37" s="544"/>
      <c r="BY37" s="544"/>
      <c r="BZ37" s="544"/>
      <c r="CA37" s="544"/>
      <c r="CB37" s="544"/>
      <c r="CC37" s="544"/>
      <c r="CD37" s="544"/>
      <c r="CE37" s="544"/>
      <c r="CF37" s="544"/>
      <c r="CG37" s="544"/>
      <c r="CH37" s="544"/>
      <c r="CI37" s="544"/>
      <c r="CJ37" s="544"/>
      <c r="CK37" s="544"/>
      <c r="CL37" s="544"/>
      <c r="CM37" s="544"/>
      <c r="CN37" s="544"/>
      <c r="CO37" s="544"/>
      <c r="CP37" s="544"/>
      <c r="CQ37" s="544"/>
      <c r="CR37" s="544"/>
      <c r="CS37" s="544"/>
    </row>
    <row r="38" spans="1:97" s="142" customFormat="1" ht="12.75" hidden="1" x14ac:dyDescent="0.2">
      <c r="A38" s="735">
        <v>31</v>
      </c>
      <c r="B38" s="732" t="s">
        <v>518</v>
      </c>
      <c r="C38" s="738" t="s">
        <v>790</v>
      </c>
      <c r="D38" s="905">
        <v>700844.22002719506</v>
      </c>
      <c r="E38" s="905">
        <v>594526579</v>
      </c>
      <c r="F38" s="905">
        <v>16789</v>
      </c>
      <c r="G38" s="166">
        <v>299766408</v>
      </c>
      <c r="H38" s="166">
        <v>-14375273</v>
      </c>
      <c r="I38" s="166">
        <v>5746396</v>
      </c>
      <c r="J38" s="166">
        <v>-8628877</v>
      </c>
      <c r="K38" s="166">
        <v>-22176664</v>
      </c>
      <c r="L38" s="166">
        <v>-120889</v>
      </c>
      <c r="M38" s="166">
        <v>0</v>
      </c>
      <c r="N38" s="166">
        <v>-8025</v>
      </c>
      <c r="O38" s="166">
        <v>-115545</v>
      </c>
      <c r="P38" s="166">
        <v>-5341368</v>
      </c>
      <c r="Q38" s="166">
        <v>-308321</v>
      </c>
      <c r="R38" s="166">
        <v>-74473</v>
      </c>
      <c r="S38" s="166">
        <v>-569</v>
      </c>
      <c r="T38" s="166"/>
      <c r="U38" s="166">
        <v>0</v>
      </c>
      <c r="V38" s="166">
        <v>0</v>
      </c>
      <c r="W38" s="166">
        <v>0</v>
      </c>
      <c r="X38" s="166">
        <v>0</v>
      </c>
      <c r="Y38" s="166">
        <v>0</v>
      </c>
      <c r="Z38" s="166">
        <v>221378177</v>
      </c>
      <c r="AA38" s="166">
        <v>-8190993</v>
      </c>
      <c r="AB38" s="166"/>
      <c r="AC38" s="166">
        <v>-11966227</v>
      </c>
      <c r="AD38" s="166">
        <v>980</v>
      </c>
      <c r="AE38" s="166">
        <v>27</v>
      </c>
      <c r="AF38" s="166">
        <v>0</v>
      </c>
      <c r="AG38" s="166"/>
      <c r="AH38" s="166">
        <v>4</v>
      </c>
      <c r="AI38" s="166">
        <v>0</v>
      </c>
      <c r="AJ38" s="166">
        <v>1576</v>
      </c>
      <c r="AK38" s="166">
        <v>71</v>
      </c>
      <c r="AL38" s="166">
        <v>27</v>
      </c>
      <c r="AM38" s="166">
        <v>0</v>
      </c>
      <c r="AN38" s="166">
        <v>0</v>
      </c>
      <c r="AO38" s="166">
        <v>1</v>
      </c>
      <c r="AP38" s="166">
        <v>2</v>
      </c>
      <c r="AQ38" s="166">
        <v>0</v>
      </c>
      <c r="AR38" s="166">
        <v>1287</v>
      </c>
      <c r="AS38" s="166">
        <v>5042</v>
      </c>
      <c r="AT38" s="166">
        <v>5518</v>
      </c>
      <c r="AU38" s="166">
        <v>5159</v>
      </c>
      <c r="AV38" s="166">
        <v>359</v>
      </c>
      <c r="AW38" s="166">
        <v>6259</v>
      </c>
      <c r="AX38" s="166">
        <v>-43689</v>
      </c>
      <c r="AY38" s="166">
        <v>-2692311</v>
      </c>
      <c r="AZ38" s="166">
        <v>0</v>
      </c>
      <c r="BA38" s="166">
        <v>-894937</v>
      </c>
      <c r="BB38" s="166">
        <v>-1710431</v>
      </c>
      <c r="BC38" s="166">
        <v>0</v>
      </c>
      <c r="BD38" s="166">
        <v>-245205</v>
      </c>
      <c r="BE38" s="166">
        <v>-8955078</v>
      </c>
      <c r="BF38" s="166"/>
      <c r="BG38" s="760">
        <v>64917350</v>
      </c>
      <c r="BH38" s="760">
        <v>4983000</v>
      </c>
      <c r="BI38" s="815">
        <v>1108603</v>
      </c>
      <c r="BJ38" s="1044" t="s">
        <v>515</v>
      </c>
      <c r="BK38" s="1044" t="s">
        <v>2474</v>
      </c>
      <c r="BL38" s="1044" t="s">
        <v>2495</v>
      </c>
      <c r="BM38" s="650"/>
      <c r="BN38" s="746" t="s">
        <v>790</v>
      </c>
      <c r="BO38" s="142" t="b">
        <v>1</v>
      </c>
      <c r="BP38" s="544"/>
      <c r="BQ38" s="544"/>
      <c r="BR38" s="544"/>
      <c r="BS38" s="544"/>
      <c r="BT38" s="544"/>
      <c r="BU38" s="544"/>
      <c r="BV38" s="544"/>
      <c r="BW38" s="544"/>
      <c r="BX38" s="544"/>
      <c r="BY38" s="544"/>
      <c r="BZ38" s="544"/>
      <c r="CA38" s="544"/>
      <c r="CB38" s="544"/>
      <c r="CC38" s="544"/>
      <c r="CD38" s="544"/>
      <c r="CE38" s="544"/>
      <c r="CF38" s="544"/>
      <c r="CG38" s="544"/>
      <c r="CH38" s="544"/>
      <c r="CI38" s="544"/>
      <c r="CJ38" s="544"/>
      <c r="CK38" s="544"/>
      <c r="CL38" s="544"/>
      <c r="CM38" s="544"/>
      <c r="CN38" s="544"/>
      <c r="CO38" s="544"/>
      <c r="CP38" s="544"/>
      <c r="CQ38" s="544"/>
      <c r="CR38" s="544"/>
      <c r="CS38" s="544"/>
    </row>
    <row r="39" spans="1:97" s="142" customFormat="1" ht="12.75" x14ac:dyDescent="0.2">
      <c r="A39" s="735">
        <v>32</v>
      </c>
      <c r="B39" s="732" t="s">
        <v>791</v>
      </c>
      <c r="C39" s="738" t="s">
        <v>792</v>
      </c>
      <c r="D39" s="905">
        <v>142547.25171124499</v>
      </c>
      <c r="E39" s="905">
        <v>87185759</v>
      </c>
      <c r="F39" s="905">
        <v>3890</v>
      </c>
      <c r="G39" s="166">
        <v>42866292</v>
      </c>
      <c r="H39" s="166">
        <v>-4190560</v>
      </c>
      <c r="I39" s="166">
        <v>737779</v>
      </c>
      <c r="J39" s="166">
        <v>-3452781</v>
      </c>
      <c r="K39" s="166">
        <v>-2590470</v>
      </c>
      <c r="L39" s="166">
        <v>-37433</v>
      </c>
      <c r="M39" s="166">
        <v>-49894</v>
      </c>
      <c r="N39" s="166">
        <v>-11116</v>
      </c>
      <c r="O39" s="166">
        <v>-5000</v>
      </c>
      <c r="P39" s="166">
        <v>-376150</v>
      </c>
      <c r="Q39" s="166">
        <v>-22522</v>
      </c>
      <c r="R39" s="166">
        <v>-26283</v>
      </c>
      <c r="S39" s="166">
        <v>-9358</v>
      </c>
      <c r="T39" s="166"/>
      <c r="U39" s="166">
        <v>0</v>
      </c>
      <c r="V39" s="166">
        <v>-21234</v>
      </c>
      <c r="W39" s="166">
        <v>0</v>
      </c>
      <c r="X39" s="166">
        <v>0</v>
      </c>
      <c r="Y39" s="166">
        <v>-24947</v>
      </c>
      <c r="Z39" s="166">
        <v>29685814</v>
      </c>
      <c r="AA39" s="166">
        <v>-535000</v>
      </c>
      <c r="AB39" s="166"/>
      <c r="AC39" s="166">
        <v>-3920187</v>
      </c>
      <c r="AD39" s="166">
        <v>195</v>
      </c>
      <c r="AE39" s="166">
        <v>11</v>
      </c>
      <c r="AF39" s="166">
        <v>15</v>
      </c>
      <c r="AG39" s="166"/>
      <c r="AH39" s="166">
        <v>9</v>
      </c>
      <c r="AI39" s="166">
        <v>0</v>
      </c>
      <c r="AJ39" s="166">
        <v>139</v>
      </c>
      <c r="AK39" s="166">
        <v>28</v>
      </c>
      <c r="AL39" s="166">
        <v>8</v>
      </c>
      <c r="AM39" s="166">
        <v>18</v>
      </c>
      <c r="AN39" s="166">
        <v>0</v>
      </c>
      <c r="AO39" s="166">
        <v>11</v>
      </c>
      <c r="AP39" s="166">
        <v>0</v>
      </c>
      <c r="AQ39" s="166">
        <v>12</v>
      </c>
      <c r="AR39" s="166">
        <v>487</v>
      </c>
      <c r="AS39" s="166">
        <v>730</v>
      </c>
      <c r="AT39" s="166">
        <v>1907</v>
      </c>
      <c r="AU39" s="166">
        <v>1795</v>
      </c>
      <c r="AV39" s="166">
        <v>112</v>
      </c>
      <c r="AW39" s="166">
        <v>1208</v>
      </c>
      <c r="AX39" s="166">
        <v>-53300</v>
      </c>
      <c r="AY39" s="166">
        <v>-100585</v>
      </c>
      <c r="AZ39" s="166">
        <v>0</v>
      </c>
      <c r="BA39" s="166">
        <v>-10906</v>
      </c>
      <c r="BB39" s="166">
        <v>-207318</v>
      </c>
      <c r="BC39" s="166">
        <v>-4041</v>
      </c>
      <c r="BD39" s="166">
        <v>-446698</v>
      </c>
      <c r="BE39" s="166">
        <v>-3923700</v>
      </c>
      <c r="BF39" s="166"/>
      <c r="BG39" s="760">
        <v>12646693</v>
      </c>
      <c r="BH39" s="760">
        <v>0</v>
      </c>
      <c r="BI39" s="815">
        <v>-1731236</v>
      </c>
      <c r="BJ39" s="1044" t="s">
        <v>2454</v>
      </c>
      <c r="BK39" s="1044" t="s">
        <v>2462</v>
      </c>
      <c r="BL39" s="1044" t="s">
        <v>2496</v>
      </c>
      <c r="BM39" s="650"/>
      <c r="BN39" s="746" t="s">
        <v>792</v>
      </c>
      <c r="BO39" s="142" t="b">
        <v>1</v>
      </c>
      <c r="BP39" s="544"/>
      <c r="BQ39" s="544"/>
      <c r="BR39" s="544"/>
      <c r="BS39" s="544"/>
      <c r="BT39" s="544"/>
      <c r="BU39" s="544"/>
      <c r="BV39" s="544"/>
      <c r="BW39" s="544"/>
      <c r="BX39" s="544"/>
      <c r="BY39" s="544"/>
      <c r="BZ39" s="544"/>
      <c r="CA39" s="544"/>
      <c r="CB39" s="544"/>
      <c r="CC39" s="544"/>
      <c r="CD39" s="544"/>
      <c r="CE39" s="544"/>
      <c r="CF39" s="544"/>
      <c r="CG39" s="544"/>
      <c r="CH39" s="544"/>
      <c r="CI39" s="544"/>
      <c r="CJ39" s="544"/>
      <c r="CK39" s="544"/>
      <c r="CL39" s="544"/>
      <c r="CM39" s="544"/>
      <c r="CN39" s="544"/>
      <c r="CO39" s="544"/>
      <c r="CP39" s="544"/>
      <c r="CQ39" s="544"/>
      <c r="CR39" s="544"/>
      <c r="CS39" s="544"/>
    </row>
    <row r="40" spans="1:97" s="142" customFormat="1" ht="12.75" hidden="1" x14ac:dyDescent="0.2">
      <c r="A40" s="735">
        <v>33</v>
      </c>
      <c r="B40" s="732" t="s">
        <v>793</v>
      </c>
      <c r="C40" s="738" t="s">
        <v>794</v>
      </c>
      <c r="D40" s="905">
        <v>313317.63870475098</v>
      </c>
      <c r="E40" s="905">
        <v>244862169</v>
      </c>
      <c r="F40" s="905">
        <v>7343</v>
      </c>
      <c r="G40" s="166">
        <v>121919173</v>
      </c>
      <c r="H40" s="166">
        <v>-7295844</v>
      </c>
      <c r="I40" s="166">
        <v>2240064</v>
      </c>
      <c r="J40" s="166">
        <v>-5055780</v>
      </c>
      <c r="K40" s="166">
        <v>-13370609</v>
      </c>
      <c r="L40" s="166">
        <v>-152093</v>
      </c>
      <c r="M40" s="166">
        <v>0</v>
      </c>
      <c r="N40" s="166">
        <v>0</v>
      </c>
      <c r="O40" s="166">
        <v>0</v>
      </c>
      <c r="P40" s="166">
        <v>-1442759</v>
      </c>
      <c r="Q40" s="166">
        <v>-329130</v>
      </c>
      <c r="R40" s="166">
        <v>-314869</v>
      </c>
      <c r="S40" s="166">
        <v>-38023</v>
      </c>
      <c r="T40" s="166"/>
      <c r="U40" s="166">
        <v>0</v>
      </c>
      <c r="V40" s="166">
        <v>0</v>
      </c>
      <c r="W40" s="166">
        <v>0</v>
      </c>
      <c r="X40" s="166">
        <v>0</v>
      </c>
      <c r="Y40" s="166">
        <v>0</v>
      </c>
      <c r="Z40" s="166">
        <v>81580269</v>
      </c>
      <c r="AA40" s="166">
        <v>-2553011</v>
      </c>
      <c r="AB40" s="166"/>
      <c r="AC40" s="166">
        <v>-14248970</v>
      </c>
      <c r="AD40" s="166">
        <v>398</v>
      </c>
      <c r="AE40" s="166">
        <v>32</v>
      </c>
      <c r="AF40" s="166">
        <v>0</v>
      </c>
      <c r="AG40" s="166"/>
      <c r="AH40" s="166">
        <v>0</v>
      </c>
      <c r="AI40" s="166">
        <v>1</v>
      </c>
      <c r="AJ40" s="166">
        <v>393</v>
      </c>
      <c r="AK40" s="166">
        <v>56</v>
      </c>
      <c r="AL40" s="166">
        <v>28</v>
      </c>
      <c r="AM40" s="166">
        <v>0</v>
      </c>
      <c r="AN40" s="166">
        <v>0</v>
      </c>
      <c r="AO40" s="166">
        <v>32</v>
      </c>
      <c r="AP40" s="166">
        <v>0</v>
      </c>
      <c r="AQ40" s="166">
        <v>0</v>
      </c>
      <c r="AR40" s="166">
        <v>1887</v>
      </c>
      <c r="AS40" s="166">
        <v>2349</v>
      </c>
      <c r="AT40" s="166">
        <v>2359</v>
      </c>
      <c r="AU40" s="166">
        <v>2047</v>
      </c>
      <c r="AV40" s="166">
        <v>312</v>
      </c>
      <c r="AW40" s="166">
        <v>2697</v>
      </c>
      <c r="AX40" s="166">
        <v>-137277</v>
      </c>
      <c r="AY40" s="166">
        <v>-398583</v>
      </c>
      <c r="AZ40" s="166">
        <v>0</v>
      </c>
      <c r="BA40" s="166">
        <v>-60849</v>
      </c>
      <c r="BB40" s="166">
        <v>-846050</v>
      </c>
      <c r="BC40" s="166">
        <v>0</v>
      </c>
      <c r="BD40" s="166">
        <v>-966757</v>
      </c>
      <c r="BE40" s="166">
        <v>-14719135</v>
      </c>
      <c r="BF40" s="166"/>
      <c r="BG40" s="760">
        <v>24243550</v>
      </c>
      <c r="BH40" s="760">
        <v>0</v>
      </c>
      <c r="BI40" s="815">
        <v>-15970534</v>
      </c>
      <c r="BJ40" s="1044" t="s">
        <v>2464</v>
      </c>
      <c r="BK40" s="1044" t="s">
        <v>2465</v>
      </c>
      <c r="BL40" s="1044" t="s">
        <v>2497</v>
      </c>
      <c r="BM40" s="650"/>
      <c r="BN40" s="746" t="s">
        <v>794</v>
      </c>
      <c r="BO40" s="142" t="b">
        <v>1</v>
      </c>
      <c r="BP40" s="544"/>
      <c r="BQ40" s="544"/>
      <c r="BR40" s="544"/>
      <c r="BS40" s="544"/>
      <c r="BT40" s="544"/>
      <c r="BU40" s="544"/>
      <c r="BV40" s="544"/>
      <c r="BW40" s="544"/>
      <c r="BX40" s="544"/>
      <c r="BY40" s="544"/>
      <c r="BZ40" s="544"/>
      <c r="CA40" s="544"/>
      <c r="CB40" s="544"/>
      <c r="CC40" s="544"/>
      <c r="CD40" s="544"/>
      <c r="CE40" s="544"/>
      <c r="CF40" s="544"/>
      <c r="CG40" s="544"/>
      <c r="CH40" s="544"/>
      <c r="CI40" s="544"/>
      <c r="CJ40" s="544"/>
      <c r="CK40" s="544"/>
      <c r="CL40" s="544"/>
      <c r="CM40" s="544"/>
      <c r="CN40" s="544"/>
      <c r="CO40" s="544"/>
      <c r="CP40" s="544"/>
      <c r="CQ40" s="544"/>
      <c r="CR40" s="544"/>
      <c r="CS40" s="544"/>
    </row>
    <row r="41" spans="1:97" s="142" customFormat="1" ht="12.75" x14ac:dyDescent="0.2">
      <c r="A41" s="735">
        <v>34</v>
      </c>
      <c r="B41" s="732" t="s">
        <v>795</v>
      </c>
      <c r="C41" s="738" t="s">
        <v>796</v>
      </c>
      <c r="D41" s="905">
        <v>126462.21392852601</v>
      </c>
      <c r="E41" s="905">
        <v>79124220</v>
      </c>
      <c r="F41" s="905">
        <v>3435</v>
      </c>
      <c r="G41" s="166">
        <v>39859140</v>
      </c>
      <c r="H41" s="166">
        <v>-3828870</v>
      </c>
      <c r="I41" s="166">
        <v>651534</v>
      </c>
      <c r="J41" s="166">
        <v>-3177336</v>
      </c>
      <c r="K41" s="166">
        <v>-2645245</v>
      </c>
      <c r="L41" s="166">
        <v>0</v>
      </c>
      <c r="M41" s="166">
        <v>-1542</v>
      </c>
      <c r="N41" s="166">
        <v>-4570</v>
      </c>
      <c r="O41" s="166">
        <v>0</v>
      </c>
      <c r="P41" s="166">
        <v>-513724</v>
      </c>
      <c r="Q41" s="166">
        <v>-40132</v>
      </c>
      <c r="R41" s="166">
        <v>-49903</v>
      </c>
      <c r="S41" s="166">
        <v>0</v>
      </c>
      <c r="T41" s="166"/>
      <c r="U41" s="166">
        <v>0</v>
      </c>
      <c r="V41" s="166">
        <v>0</v>
      </c>
      <c r="W41" s="166">
        <v>0</v>
      </c>
      <c r="X41" s="166">
        <v>0</v>
      </c>
      <c r="Y41" s="166">
        <v>-771</v>
      </c>
      <c r="Z41" s="166">
        <v>27054351</v>
      </c>
      <c r="AA41" s="166">
        <v>-892790</v>
      </c>
      <c r="AB41" s="166"/>
      <c r="AC41" s="166">
        <v>-2950410</v>
      </c>
      <c r="AD41" s="166">
        <v>141</v>
      </c>
      <c r="AE41" s="166">
        <v>0</v>
      </c>
      <c r="AF41" s="166">
        <v>1</v>
      </c>
      <c r="AG41" s="166"/>
      <c r="AH41" s="166">
        <v>3</v>
      </c>
      <c r="AI41" s="166">
        <v>0</v>
      </c>
      <c r="AJ41" s="166">
        <v>241</v>
      </c>
      <c r="AK41" s="166">
        <v>44</v>
      </c>
      <c r="AL41" s="166">
        <v>10</v>
      </c>
      <c r="AM41" s="166">
        <v>0</v>
      </c>
      <c r="AN41" s="166">
        <v>0</v>
      </c>
      <c r="AO41" s="166">
        <v>0</v>
      </c>
      <c r="AP41" s="166">
        <v>0</v>
      </c>
      <c r="AQ41" s="166">
        <v>0</v>
      </c>
      <c r="AR41" s="166">
        <v>342</v>
      </c>
      <c r="AS41" s="166">
        <v>738</v>
      </c>
      <c r="AT41" s="166">
        <v>1480</v>
      </c>
      <c r="AU41" s="166">
        <v>1359</v>
      </c>
      <c r="AV41" s="166">
        <v>121</v>
      </c>
      <c r="AW41" s="166">
        <v>1250</v>
      </c>
      <c r="AX41" s="166">
        <v>-22809</v>
      </c>
      <c r="AY41" s="166">
        <v>-195144</v>
      </c>
      <c r="AZ41" s="166">
        <v>0</v>
      </c>
      <c r="BA41" s="166">
        <v>-39168</v>
      </c>
      <c r="BB41" s="166">
        <v>-227165</v>
      </c>
      <c r="BC41" s="166">
        <v>-29438</v>
      </c>
      <c r="BD41" s="166">
        <v>-229842</v>
      </c>
      <c r="BE41" s="166">
        <v>-1313477</v>
      </c>
      <c r="BF41" s="166"/>
      <c r="BG41" s="760">
        <v>0</v>
      </c>
      <c r="BH41" s="760">
        <v>0</v>
      </c>
      <c r="BI41" s="815">
        <v>-1623090</v>
      </c>
      <c r="BJ41" s="1044" t="s">
        <v>2454</v>
      </c>
      <c r="BK41" s="1044" t="s">
        <v>2478</v>
      </c>
      <c r="BL41" s="1044" t="s">
        <v>2498</v>
      </c>
      <c r="BM41" s="650"/>
      <c r="BN41" s="746" t="s">
        <v>796</v>
      </c>
      <c r="BO41" s="142" t="b">
        <v>1</v>
      </c>
      <c r="BP41" s="544"/>
      <c r="BQ41" s="544"/>
      <c r="BR41" s="544"/>
      <c r="BS41" s="544"/>
      <c r="BT41" s="544"/>
      <c r="BU41" s="544"/>
      <c r="BV41" s="544"/>
      <c r="BW41" s="544"/>
      <c r="BX41" s="544"/>
      <c r="BY41" s="544"/>
      <c r="BZ41" s="544"/>
      <c r="CA41" s="544"/>
      <c r="CB41" s="544"/>
      <c r="CC41" s="544"/>
      <c r="CD41" s="544"/>
      <c r="CE41" s="544"/>
      <c r="CF41" s="544"/>
      <c r="CG41" s="544"/>
      <c r="CH41" s="544"/>
      <c r="CI41" s="544"/>
      <c r="CJ41" s="544"/>
      <c r="CK41" s="544"/>
      <c r="CL41" s="544"/>
      <c r="CM41" s="544"/>
      <c r="CN41" s="544"/>
      <c r="CO41" s="544"/>
      <c r="CP41" s="544"/>
      <c r="CQ41" s="544"/>
      <c r="CR41" s="544"/>
      <c r="CS41" s="544"/>
    </row>
    <row r="42" spans="1:97" s="142" customFormat="1" ht="12.75" x14ac:dyDescent="0.2">
      <c r="A42" s="735">
        <v>35</v>
      </c>
      <c r="B42" s="732" t="s">
        <v>797</v>
      </c>
      <c r="C42" s="738" t="s">
        <v>798</v>
      </c>
      <c r="D42" s="905">
        <v>109116.495213218</v>
      </c>
      <c r="E42" s="905">
        <v>107084204</v>
      </c>
      <c r="F42" s="905">
        <v>2343</v>
      </c>
      <c r="G42" s="166">
        <v>53930273</v>
      </c>
      <c r="H42" s="166">
        <v>-2431667</v>
      </c>
      <c r="I42" s="166">
        <v>1060928</v>
      </c>
      <c r="J42" s="166">
        <v>-1370739</v>
      </c>
      <c r="K42" s="166">
        <v>-2962963</v>
      </c>
      <c r="L42" s="166">
        <v>-37107</v>
      </c>
      <c r="M42" s="166">
        <v>0</v>
      </c>
      <c r="N42" s="166">
        <v>-1152</v>
      </c>
      <c r="O42" s="166">
        <v>0</v>
      </c>
      <c r="P42" s="166">
        <v>-273621</v>
      </c>
      <c r="Q42" s="166">
        <v>-46943</v>
      </c>
      <c r="R42" s="166">
        <v>-2982</v>
      </c>
      <c r="S42" s="166">
        <v>0</v>
      </c>
      <c r="T42" s="166"/>
      <c r="U42" s="166">
        <v>0</v>
      </c>
      <c r="V42" s="166">
        <v>0</v>
      </c>
      <c r="W42" s="166">
        <v>0</v>
      </c>
      <c r="X42" s="166">
        <v>0</v>
      </c>
      <c r="Y42" s="166">
        <v>0</v>
      </c>
      <c r="Z42" s="166">
        <v>36982702</v>
      </c>
      <c r="AA42" s="166">
        <v>-1726000</v>
      </c>
      <c r="AB42" s="166"/>
      <c r="AC42" s="166">
        <v>-3592189</v>
      </c>
      <c r="AD42" s="166">
        <v>88</v>
      </c>
      <c r="AE42" s="166">
        <v>3</v>
      </c>
      <c r="AF42" s="166">
        <v>0</v>
      </c>
      <c r="AG42" s="166"/>
      <c r="AH42" s="166">
        <v>1</v>
      </c>
      <c r="AI42" s="166">
        <v>0</v>
      </c>
      <c r="AJ42" s="166">
        <v>59</v>
      </c>
      <c r="AK42" s="166">
        <v>17</v>
      </c>
      <c r="AL42" s="166">
        <v>2</v>
      </c>
      <c r="AM42" s="166">
        <v>0</v>
      </c>
      <c r="AN42" s="166">
        <v>0</v>
      </c>
      <c r="AO42" s="166">
        <v>1</v>
      </c>
      <c r="AP42" s="166">
        <v>0</v>
      </c>
      <c r="AQ42" s="166">
        <v>0</v>
      </c>
      <c r="AR42" s="166">
        <v>424</v>
      </c>
      <c r="AS42" s="166">
        <v>541</v>
      </c>
      <c r="AT42" s="166">
        <v>807</v>
      </c>
      <c r="AU42" s="166">
        <v>652</v>
      </c>
      <c r="AV42" s="166">
        <v>155</v>
      </c>
      <c r="AW42" s="166">
        <v>987</v>
      </c>
      <c r="AX42" s="166">
        <v>-24037</v>
      </c>
      <c r="AY42" s="166">
        <v>-47093</v>
      </c>
      <c r="AZ42" s="166">
        <v>0</v>
      </c>
      <c r="BA42" s="166">
        <v>-1721</v>
      </c>
      <c r="BB42" s="166">
        <v>-199567</v>
      </c>
      <c r="BC42" s="166">
        <v>-1203</v>
      </c>
      <c r="BD42" s="166">
        <v>-786604</v>
      </c>
      <c r="BE42" s="166">
        <v>-2195868</v>
      </c>
      <c r="BF42" s="166"/>
      <c r="BG42" s="760">
        <v>12145150</v>
      </c>
      <c r="BH42" s="760">
        <v>0</v>
      </c>
      <c r="BI42" s="815">
        <v>-4719209</v>
      </c>
      <c r="BJ42" s="1044" t="s">
        <v>2454</v>
      </c>
      <c r="BK42" s="1044" t="s">
        <v>2462</v>
      </c>
      <c r="BL42" s="1044" t="s">
        <v>2499</v>
      </c>
      <c r="BM42" s="650"/>
      <c r="BN42" s="746" t="s">
        <v>798</v>
      </c>
      <c r="BO42" s="142" t="b">
        <v>1</v>
      </c>
      <c r="BP42" s="544"/>
      <c r="BQ42" s="544"/>
      <c r="BR42" s="544"/>
      <c r="BS42" s="544"/>
      <c r="BT42" s="544"/>
      <c r="BU42" s="544"/>
      <c r="BV42" s="544"/>
      <c r="BW42" s="544"/>
      <c r="BX42" s="544"/>
      <c r="BY42" s="544"/>
      <c r="BZ42" s="544"/>
      <c r="CA42" s="544"/>
      <c r="CB42" s="544"/>
      <c r="CC42" s="544"/>
      <c r="CD42" s="544"/>
      <c r="CE42" s="544"/>
      <c r="CF42" s="544"/>
      <c r="CG42" s="544"/>
      <c r="CH42" s="544"/>
      <c r="CI42" s="544"/>
      <c r="CJ42" s="544"/>
      <c r="CK42" s="544"/>
      <c r="CL42" s="544"/>
      <c r="CM42" s="544"/>
      <c r="CN42" s="544"/>
      <c r="CO42" s="544"/>
      <c r="CP42" s="544"/>
      <c r="CQ42" s="544"/>
      <c r="CR42" s="544"/>
      <c r="CS42" s="544"/>
    </row>
    <row r="43" spans="1:97" s="142" customFormat="1" ht="12.75" x14ac:dyDescent="0.2">
      <c r="A43" s="735">
        <v>36</v>
      </c>
      <c r="B43" s="732" t="s">
        <v>799</v>
      </c>
      <c r="C43" s="738" t="s">
        <v>800</v>
      </c>
      <c r="D43" s="905">
        <v>103231.09410846799</v>
      </c>
      <c r="E43" s="905">
        <v>73607636</v>
      </c>
      <c r="F43" s="905">
        <v>2682</v>
      </c>
      <c r="G43" s="166">
        <v>37218248</v>
      </c>
      <c r="H43" s="166">
        <v>-3306852</v>
      </c>
      <c r="I43" s="166">
        <v>672608</v>
      </c>
      <c r="J43" s="166">
        <v>-2634244</v>
      </c>
      <c r="K43" s="166">
        <v>-1805261</v>
      </c>
      <c r="L43" s="166">
        <v>-4628</v>
      </c>
      <c r="M43" s="166">
        <v>-5322</v>
      </c>
      <c r="N43" s="166">
        <v>-6621</v>
      </c>
      <c r="O43" s="166">
        <v>0</v>
      </c>
      <c r="P43" s="166">
        <v>-920227</v>
      </c>
      <c r="Q43" s="166">
        <v>-71223</v>
      </c>
      <c r="R43" s="166">
        <v>-22094</v>
      </c>
      <c r="S43" s="166">
        <v>0</v>
      </c>
      <c r="T43" s="166"/>
      <c r="U43" s="166">
        <v>0</v>
      </c>
      <c r="V43" s="166">
        <v>0</v>
      </c>
      <c r="W43" s="166">
        <v>0</v>
      </c>
      <c r="X43" s="166">
        <v>0</v>
      </c>
      <c r="Y43" s="166">
        <v>-2661</v>
      </c>
      <c r="Z43" s="166">
        <v>27925538</v>
      </c>
      <c r="AA43" s="166">
        <v>-216847</v>
      </c>
      <c r="AB43" s="166"/>
      <c r="AC43" s="166">
        <v>-1973631</v>
      </c>
      <c r="AD43" s="166">
        <v>127</v>
      </c>
      <c r="AE43" s="166">
        <v>1</v>
      </c>
      <c r="AF43" s="166">
        <v>2</v>
      </c>
      <c r="AG43" s="166"/>
      <c r="AH43" s="166">
        <v>6</v>
      </c>
      <c r="AI43" s="166">
        <v>0</v>
      </c>
      <c r="AJ43" s="166">
        <v>207</v>
      </c>
      <c r="AK43" s="166">
        <v>59</v>
      </c>
      <c r="AL43" s="166">
        <v>7</v>
      </c>
      <c r="AM43" s="166">
        <v>2</v>
      </c>
      <c r="AN43" s="166">
        <v>0</v>
      </c>
      <c r="AO43" s="166">
        <v>0</v>
      </c>
      <c r="AP43" s="166">
        <v>0</v>
      </c>
      <c r="AQ43" s="166">
        <v>0</v>
      </c>
      <c r="AR43" s="166">
        <v>289</v>
      </c>
      <c r="AS43" s="166">
        <v>652</v>
      </c>
      <c r="AT43" s="166">
        <v>1114</v>
      </c>
      <c r="AU43" s="166">
        <v>1044</v>
      </c>
      <c r="AV43" s="166">
        <v>70</v>
      </c>
      <c r="AW43" s="166">
        <v>918</v>
      </c>
      <c r="AX43" s="166">
        <v>-301840</v>
      </c>
      <c r="AY43" s="166">
        <v>-8179</v>
      </c>
      <c r="AZ43" s="166">
        <v>0</v>
      </c>
      <c r="BA43" s="166">
        <v>0</v>
      </c>
      <c r="BB43" s="166">
        <v>-505910</v>
      </c>
      <c r="BC43" s="166">
        <v>-104348</v>
      </c>
      <c r="BD43" s="166">
        <v>-328941</v>
      </c>
      <c r="BE43" s="166">
        <v>3034529</v>
      </c>
      <c r="BF43" s="166"/>
      <c r="BG43" s="760">
        <v>8928750</v>
      </c>
      <c r="BH43" s="760">
        <v>0</v>
      </c>
      <c r="BI43" s="815">
        <v>1670349</v>
      </c>
      <c r="BJ43" s="1044" t="s">
        <v>2454</v>
      </c>
      <c r="BK43" s="1044" t="s">
        <v>2457</v>
      </c>
      <c r="BL43" s="1044" t="s">
        <v>2500</v>
      </c>
      <c r="BM43" s="650"/>
      <c r="BN43" s="746" t="s">
        <v>800</v>
      </c>
      <c r="BO43" s="142" t="b">
        <v>1</v>
      </c>
      <c r="BP43" s="544"/>
      <c r="BQ43" s="544"/>
      <c r="BR43" s="544"/>
      <c r="BS43" s="544"/>
      <c r="BT43" s="544"/>
      <c r="BU43" s="544"/>
      <c r="BV43" s="544"/>
      <c r="BW43" s="544"/>
      <c r="BX43" s="544"/>
      <c r="BY43" s="544"/>
      <c r="BZ43" s="544"/>
      <c r="CA43" s="544"/>
      <c r="CB43" s="544"/>
      <c r="CC43" s="544"/>
      <c r="CD43" s="544"/>
      <c r="CE43" s="544"/>
      <c r="CF43" s="544"/>
      <c r="CG43" s="544"/>
      <c r="CH43" s="544"/>
      <c r="CI43" s="544"/>
      <c r="CJ43" s="544"/>
      <c r="CK43" s="544"/>
      <c r="CL43" s="544"/>
      <c r="CM43" s="544"/>
      <c r="CN43" s="544"/>
      <c r="CO43" s="544"/>
      <c r="CP43" s="544"/>
      <c r="CQ43" s="544"/>
      <c r="CR43" s="544"/>
      <c r="CS43" s="544"/>
    </row>
    <row r="44" spans="1:97" s="142" customFormat="1" ht="12.75" hidden="1" x14ac:dyDescent="0.2">
      <c r="A44" s="735">
        <v>37</v>
      </c>
      <c r="B44" s="732" t="s">
        <v>535</v>
      </c>
      <c r="C44" s="738" t="s">
        <v>1257</v>
      </c>
      <c r="D44" s="905">
        <v>664280.03882251901</v>
      </c>
      <c r="E44" s="905">
        <v>549439591</v>
      </c>
      <c r="F44" s="905">
        <v>15372</v>
      </c>
      <c r="G44" s="166">
        <v>271326451</v>
      </c>
      <c r="H44" s="166">
        <v>-19260967</v>
      </c>
      <c r="I44" s="166">
        <v>5106839</v>
      </c>
      <c r="J44" s="166">
        <v>-14154128</v>
      </c>
      <c r="K44" s="166">
        <v>-18797250</v>
      </c>
      <c r="L44" s="166">
        <v>-154431</v>
      </c>
      <c r="M44" s="166">
        <v>-135719</v>
      </c>
      <c r="N44" s="166">
        <v>-39770</v>
      </c>
      <c r="O44" s="166">
        <v>-15000</v>
      </c>
      <c r="P44" s="166">
        <v>-6180941</v>
      </c>
      <c r="Q44" s="166">
        <v>-591583</v>
      </c>
      <c r="R44" s="166">
        <v>-131508</v>
      </c>
      <c r="S44" s="166">
        <v>-19121</v>
      </c>
      <c r="T44" s="166"/>
      <c r="U44" s="166">
        <v>0</v>
      </c>
      <c r="V44" s="166">
        <v>0</v>
      </c>
      <c r="W44" s="166">
        <v>0</v>
      </c>
      <c r="X44" s="166">
        <v>0</v>
      </c>
      <c r="Y44" s="166">
        <v>-67522</v>
      </c>
      <c r="Z44" s="166">
        <v>183114516</v>
      </c>
      <c r="AA44" s="166">
        <v>0</v>
      </c>
      <c r="AB44" s="166"/>
      <c r="AC44" s="166">
        <v>-13078000</v>
      </c>
      <c r="AD44" s="166">
        <v>854</v>
      </c>
      <c r="AE44" s="166">
        <v>38</v>
      </c>
      <c r="AF44" s="166">
        <v>30</v>
      </c>
      <c r="AG44" s="166"/>
      <c r="AH44" s="166">
        <v>22</v>
      </c>
      <c r="AI44" s="166">
        <v>4</v>
      </c>
      <c r="AJ44" s="166">
        <v>4312</v>
      </c>
      <c r="AK44" s="166">
        <v>235</v>
      </c>
      <c r="AL44" s="166">
        <v>52</v>
      </c>
      <c r="AM44" s="166">
        <v>0</v>
      </c>
      <c r="AN44" s="166">
        <v>0</v>
      </c>
      <c r="AO44" s="166">
        <v>9</v>
      </c>
      <c r="AP44" s="166">
        <v>49</v>
      </c>
      <c r="AQ44" s="166">
        <v>0</v>
      </c>
      <c r="AR44" s="166">
        <v>2451</v>
      </c>
      <c r="AS44" s="166">
        <v>4097</v>
      </c>
      <c r="AT44" s="166">
        <v>5730</v>
      </c>
      <c r="AU44" s="166">
        <v>5214</v>
      </c>
      <c r="AV44" s="166">
        <v>516</v>
      </c>
      <c r="AW44" s="166">
        <v>3317</v>
      </c>
      <c r="AX44" s="166">
        <v>-998075</v>
      </c>
      <c r="AY44" s="166">
        <v>-2392476</v>
      </c>
      <c r="AZ44" s="166">
        <v>0</v>
      </c>
      <c r="BA44" s="166">
        <v>-183308</v>
      </c>
      <c r="BB44" s="166">
        <v>-327874</v>
      </c>
      <c r="BC44" s="166">
        <v>-2279208</v>
      </c>
      <c r="BD44" s="166">
        <v>-23250</v>
      </c>
      <c r="BE44" s="166">
        <v>-11146984</v>
      </c>
      <c r="BF44" s="166"/>
      <c r="BG44" s="760">
        <v>72664327</v>
      </c>
      <c r="BH44" s="760">
        <v>524500</v>
      </c>
      <c r="BI44" s="815">
        <v>-22168211</v>
      </c>
      <c r="BJ44" s="1044" t="s">
        <v>515</v>
      </c>
      <c r="BK44" s="1044" t="s">
        <v>2455</v>
      </c>
      <c r="BL44" s="1044" t="s">
        <v>2501</v>
      </c>
      <c r="BM44" s="650"/>
      <c r="BN44" s="846"/>
    </row>
    <row r="45" spans="1:97" s="142" customFormat="1" ht="12.75" x14ac:dyDescent="0.2">
      <c r="A45" s="735">
        <v>38</v>
      </c>
      <c r="B45" s="732" t="s">
        <v>801</v>
      </c>
      <c r="C45" s="738" t="s">
        <v>802</v>
      </c>
      <c r="D45" s="905">
        <v>188033.577717393</v>
      </c>
      <c r="E45" s="905">
        <v>83718315</v>
      </c>
      <c r="F45" s="905">
        <v>5414</v>
      </c>
      <c r="G45" s="166">
        <v>42043102</v>
      </c>
      <c r="H45" s="166">
        <v>-4219851</v>
      </c>
      <c r="I45" s="166">
        <v>756621</v>
      </c>
      <c r="J45" s="166">
        <v>-3463230</v>
      </c>
      <c r="K45" s="166">
        <v>-2893089</v>
      </c>
      <c r="L45" s="166">
        <v>-21810</v>
      </c>
      <c r="M45" s="166">
        <v>-2356</v>
      </c>
      <c r="N45" s="166">
        <v>0</v>
      </c>
      <c r="O45" s="166">
        <v>-50000</v>
      </c>
      <c r="P45" s="166">
        <v>-1039811</v>
      </c>
      <c r="Q45" s="166">
        <v>-101559</v>
      </c>
      <c r="R45" s="166">
        <v>-82798</v>
      </c>
      <c r="S45" s="166">
        <v>0</v>
      </c>
      <c r="T45" s="166"/>
      <c r="U45" s="166">
        <v>0</v>
      </c>
      <c r="V45" s="166">
        <v>-100000</v>
      </c>
      <c r="W45" s="166">
        <v>0</v>
      </c>
      <c r="X45" s="166">
        <v>0</v>
      </c>
      <c r="Y45" s="166">
        <v>-1178</v>
      </c>
      <c r="Z45" s="166">
        <v>29864042</v>
      </c>
      <c r="AA45" s="166">
        <v>-1493202</v>
      </c>
      <c r="AB45" s="166"/>
      <c r="AC45" s="166">
        <v>-2075531</v>
      </c>
      <c r="AD45" s="166">
        <v>154</v>
      </c>
      <c r="AE45" s="166">
        <v>2</v>
      </c>
      <c r="AF45" s="166">
        <v>1</v>
      </c>
      <c r="AG45" s="166"/>
      <c r="AH45" s="166">
        <v>0</v>
      </c>
      <c r="AI45" s="166">
        <v>0</v>
      </c>
      <c r="AJ45" s="166">
        <v>751</v>
      </c>
      <c r="AK45" s="166">
        <v>67</v>
      </c>
      <c r="AL45" s="166">
        <v>24</v>
      </c>
      <c r="AM45" s="166">
        <v>1</v>
      </c>
      <c r="AN45" s="166">
        <v>0</v>
      </c>
      <c r="AO45" s="166">
        <v>0</v>
      </c>
      <c r="AP45" s="166">
        <v>0</v>
      </c>
      <c r="AQ45" s="166">
        <v>1</v>
      </c>
      <c r="AR45" s="166">
        <v>326</v>
      </c>
      <c r="AS45" s="166">
        <v>1200</v>
      </c>
      <c r="AT45" s="166">
        <v>2007</v>
      </c>
      <c r="AU45" s="166">
        <v>1953</v>
      </c>
      <c r="AV45" s="166">
        <v>54</v>
      </c>
      <c r="AW45" s="166">
        <v>2100</v>
      </c>
      <c r="AX45" s="166">
        <v>-46668</v>
      </c>
      <c r="AY45" s="166">
        <v>-301384</v>
      </c>
      <c r="AZ45" s="166">
        <v>0</v>
      </c>
      <c r="BA45" s="166">
        <v>-33541</v>
      </c>
      <c r="BB45" s="166">
        <v>-426643</v>
      </c>
      <c r="BC45" s="166">
        <v>-231575</v>
      </c>
      <c r="BD45" s="166">
        <v>-12000</v>
      </c>
      <c r="BE45" s="166">
        <v>-2557905</v>
      </c>
      <c r="BF45" s="166"/>
      <c r="BG45" s="760">
        <v>9286775</v>
      </c>
      <c r="BH45" s="760">
        <v>0</v>
      </c>
      <c r="BI45" s="815">
        <v>-3279122</v>
      </c>
      <c r="BJ45" s="1044" t="s">
        <v>2454</v>
      </c>
      <c r="BK45" s="1044" t="s">
        <v>2481</v>
      </c>
      <c r="BL45" s="1044" t="s">
        <v>2502</v>
      </c>
      <c r="BM45" s="650"/>
      <c r="BN45" s="746" t="s">
        <v>802</v>
      </c>
      <c r="BO45" s="142" t="b">
        <v>1</v>
      </c>
      <c r="BP45" s="544"/>
      <c r="BQ45" s="544"/>
      <c r="BR45" s="544"/>
      <c r="BS45" s="544"/>
      <c r="BT45" s="544"/>
      <c r="BU45" s="544"/>
      <c r="BV45" s="544"/>
      <c r="BW45" s="544"/>
      <c r="BX45" s="544"/>
      <c r="BY45" s="544"/>
      <c r="BZ45" s="544"/>
      <c r="CA45" s="544"/>
      <c r="CB45" s="544"/>
      <c r="CC45" s="544"/>
      <c r="CD45" s="544"/>
      <c r="CE45" s="544"/>
      <c r="CF45" s="544"/>
      <c r="CG45" s="544"/>
      <c r="CH45" s="544"/>
      <c r="CI45" s="544"/>
      <c r="CJ45" s="544"/>
      <c r="CK45" s="544"/>
      <c r="CL45" s="544"/>
      <c r="CM45" s="544"/>
      <c r="CN45" s="544"/>
      <c r="CO45" s="544"/>
      <c r="CP45" s="544"/>
      <c r="CQ45" s="544"/>
      <c r="CR45" s="544"/>
      <c r="CS45" s="544"/>
    </row>
    <row r="46" spans="1:97" s="142" customFormat="1" ht="12.75" hidden="1" x14ac:dyDescent="0.2">
      <c r="A46" s="735">
        <v>39</v>
      </c>
      <c r="B46" s="732" t="s">
        <v>803</v>
      </c>
      <c r="C46" s="738" t="s">
        <v>804</v>
      </c>
      <c r="D46" s="905">
        <v>233877.86375720601</v>
      </c>
      <c r="E46" s="905">
        <v>134833098</v>
      </c>
      <c r="F46" s="905">
        <v>6329</v>
      </c>
      <c r="G46" s="166">
        <v>67444454</v>
      </c>
      <c r="H46" s="166">
        <v>-8658632</v>
      </c>
      <c r="I46" s="166">
        <v>1101267</v>
      </c>
      <c r="J46" s="166">
        <v>-7557365</v>
      </c>
      <c r="K46" s="166">
        <v>-3681519</v>
      </c>
      <c r="L46" s="166">
        <v>-98673</v>
      </c>
      <c r="M46" s="166">
        <v>-3174</v>
      </c>
      <c r="N46" s="166">
        <v>-12251</v>
      </c>
      <c r="O46" s="166">
        <v>0</v>
      </c>
      <c r="P46" s="166">
        <v>-811011</v>
      </c>
      <c r="Q46" s="166">
        <v>-354621</v>
      </c>
      <c r="R46" s="166">
        <v>-131894</v>
      </c>
      <c r="S46" s="166">
        <v>-24668</v>
      </c>
      <c r="T46" s="166"/>
      <c r="U46" s="166">
        <v>0</v>
      </c>
      <c r="V46" s="166">
        <v>0</v>
      </c>
      <c r="W46" s="166">
        <v>0</v>
      </c>
      <c r="X46" s="166">
        <v>0</v>
      </c>
      <c r="Y46" s="166">
        <v>-1612</v>
      </c>
      <c r="Z46" s="166">
        <v>47719355</v>
      </c>
      <c r="AA46" s="166">
        <v>-3221056</v>
      </c>
      <c r="AB46" s="166"/>
      <c r="AC46" s="166">
        <v>-3581515</v>
      </c>
      <c r="AD46" s="166">
        <v>204</v>
      </c>
      <c r="AE46" s="166">
        <v>9</v>
      </c>
      <c r="AF46" s="166">
        <v>1</v>
      </c>
      <c r="AG46" s="166"/>
      <c r="AH46" s="166">
        <v>5</v>
      </c>
      <c r="AI46" s="166">
        <v>0</v>
      </c>
      <c r="AJ46" s="166">
        <v>361</v>
      </c>
      <c r="AK46" s="166">
        <v>117</v>
      </c>
      <c r="AL46" s="166">
        <v>46</v>
      </c>
      <c r="AM46" s="166">
        <v>0</v>
      </c>
      <c r="AN46" s="166">
        <v>0</v>
      </c>
      <c r="AO46" s="166">
        <v>9</v>
      </c>
      <c r="AP46" s="166">
        <v>0</v>
      </c>
      <c r="AQ46" s="166">
        <v>0</v>
      </c>
      <c r="AR46" s="166">
        <v>387</v>
      </c>
      <c r="AS46" s="166">
        <v>1215</v>
      </c>
      <c r="AT46" s="166">
        <v>3091</v>
      </c>
      <c r="AU46" s="166">
        <v>2921</v>
      </c>
      <c r="AV46" s="166">
        <v>170</v>
      </c>
      <c r="AW46" s="166">
        <v>1983</v>
      </c>
      <c r="AX46" s="166">
        <v>-114721</v>
      </c>
      <c r="AY46" s="166">
        <v>-87985</v>
      </c>
      <c r="AZ46" s="166">
        <v>0</v>
      </c>
      <c r="BA46" s="166">
        <v>0</v>
      </c>
      <c r="BB46" s="166">
        <v>-555395</v>
      </c>
      <c r="BC46" s="166">
        <v>-52910</v>
      </c>
      <c r="BD46" s="166">
        <v>-484851</v>
      </c>
      <c r="BE46" s="166">
        <v>-2931361</v>
      </c>
      <c r="BF46" s="166"/>
      <c r="BG46" s="760">
        <v>22672608</v>
      </c>
      <c r="BH46" s="760">
        <v>0</v>
      </c>
      <c r="BI46" s="815">
        <v>-8415715</v>
      </c>
      <c r="BJ46" s="1044" t="s">
        <v>2468</v>
      </c>
      <c r="BK46" s="1044" t="s">
        <v>2481</v>
      </c>
      <c r="BL46" s="1044" t="s">
        <v>2503</v>
      </c>
      <c r="BM46" s="650"/>
      <c r="BN46" s="746" t="s">
        <v>804</v>
      </c>
      <c r="BO46" s="142" t="b">
        <v>1</v>
      </c>
      <c r="BP46" s="544"/>
      <c r="BQ46" s="544"/>
      <c r="BR46" s="544"/>
      <c r="BS46" s="544"/>
      <c r="BT46" s="544"/>
      <c r="BU46" s="544"/>
      <c r="BV46" s="544"/>
      <c r="BW46" s="544"/>
      <c r="BX46" s="544"/>
      <c r="BY46" s="544"/>
      <c r="BZ46" s="544"/>
      <c r="CA46" s="544"/>
      <c r="CB46" s="544"/>
      <c r="CC46" s="544"/>
      <c r="CD46" s="544"/>
      <c r="CE46" s="544"/>
      <c r="CF46" s="544"/>
      <c r="CG46" s="544"/>
      <c r="CH46" s="544"/>
      <c r="CI46" s="544"/>
      <c r="CJ46" s="544"/>
      <c r="CK46" s="544"/>
      <c r="CL46" s="544"/>
      <c r="CM46" s="544"/>
      <c r="CN46" s="544"/>
      <c r="CO46" s="544"/>
      <c r="CP46" s="544"/>
      <c r="CQ46" s="544"/>
      <c r="CR46" s="544"/>
      <c r="CS46" s="544"/>
    </row>
    <row r="47" spans="1:97" s="142" customFormat="1" ht="12.75" hidden="1" x14ac:dyDescent="0.2">
      <c r="A47" s="735">
        <v>40</v>
      </c>
      <c r="B47" s="732" t="s">
        <v>805</v>
      </c>
      <c r="C47" s="738" t="s">
        <v>806</v>
      </c>
      <c r="D47" s="905">
        <v>347924.70180895698</v>
      </c>
      <c r="E47" s="905">
        <v>170870893</v>
      </c>
      <c r="F47" s="905">
        <v>9811</v>
      </c>
      <c r="G47" s="166">
        <v>84483134</v>
      </c>
      <c r="H47" s="166">
        <v>-11997785</v>
      </c>
      <c r="I47" s="166">
        <v>1391703</v>
      </c>
      <c r="J47" s="166">
        <v>-10606082</v>
      </c>
      <c r="K47" s="166">
        <v>-4684322</v>
      </c>
      <c r="L47" s="166">
        <v>-191748</v>
      </c>
      <c r="M47" s="166">
        <v>-6772</v>
      </c>
      <c r="N47" s="166">
        <v>-723</v>
      </c>
      <c r="O47" s="166">
        <v>0</v>
      </c>
      <c r="P47" s="166">
        <v>-3292604</v>
      </c>
      <c r="Q47" s="166">
        <v>-184163</v>
      </c>
      <c r="R47" s="166">
        <v>-230765</v>
      </c>
      <c r="S47" s="166">
        <v>0</v>
      </c>
      <c r="T47" s="166"/>
      <c r="U47" s="166">
        <v>0</v>
      </c>
      <c r="V47" s="166">
        <v>0</v>
      </c>
      <c r="W47" s="166">
        <v>0</v>
      </c>
      <c r="X47" s="166">
        <v>0</v>
      </c>
      <c r="Y47" s="166">
        <v>-3386</v>
      </c>
      <c r="Z47" s="166">
        <v>54446544</v>
      </c>
      <c r="AA47" s="166">
        <v>-2703460</v>
      </c>
      <c r="AB47" s="166"/>
      <c r="AC47" s="166">
        <v>-5367897</v>
      </c>
      <c r="AD47" s="166">
        <v>338</v>
      </c>
      <c r="AE47" s="166">
        <v>31</v>
      </c>
      <c r="AF47" s="166">
        <v>5</v>
      </c>
      <c r="AG47" s="166"/>
      <c r="AH47" s="166">
        <v>1</v>
      </c>
      <c r="AI47" s="166">
        <v>0</v>
      </c>
      <c r="AJ47" s="166">
        <v>991</v>
      </c>
      <c r="AK47" s="166">
        <v>144</v>
      </c>
      <c r="AL47" s="166">
        <v>57</v>
      </c>
      <c r="AM47" s="166">
        <v>0</v>
      </c>
      <c r="AN47" s="166">
        <v>0</v>
      </c>
      <c r="AO47" s="166">
        <v>0</v>
      </c>
      <c r="AP47" s="166">
        <v>0</v>
      </c>
      <c r="AQ47" s="166">
        <v>0</v>
      </c>
      <c r="AR47" s="166">
        <v>884</v>
      </c>
      <c r="AS47" s="166">
        <v>2165</v>
      </c>
      <c r="AT47" s="166">
        <v>5174</v>
      </c>
      <c r="AU47" s="166">
        <v>4973</v>
      </c>
      <c r="AV47" s="166">
        <v>201</v>
      </c>
      <c r="AW47" s="166">
        <v>2284</v>
      </c>
      <c r="AX47" s="166">
        <v>-219356</v>
      </c>
      <c r="AY47" s="166">
        <v>-1850204</v>
      </c>
      <c r="AZ47" s="166">
        <v>0</v>
      </c>
      <c r="BA47" s="166">
        <v>-49510</v>
      </c>
      <c r="BB47" s="166">
        <v>-1173534</v>
      </c>
      <c r="BC47" s="166">
        <v>0</v>
      </c>
      <c r="BD47" s="166">
        <v>-399842</v>
      </c>
      <c r="BE47" s="166">
        <v>359830</v>
      </c>
      <c r="BF47" s="166"/>
      <c r="BG47" s="760">
        <v>23644000</v>
      </c>
      <c r="BH47" s="760">
        <v>0</v>
      </c>
      <c r="BI47" s="815">
        <v>4259297</v>
      </c>
      <c r="BJ47" s="1044" t="s">
        <v>2468</v>
      </c>
      <c r="BK47" s="1044" t="s">
        <v>2469</v>
      </c>
      <c r="BL47" s="1044" t="s">
        <v>2504</v>
      </c>
      <c r="BM47" s="650"/>
      <c r="BN47" s="746" t="s">
        <v>806</v>
      </c>
      <c r="BO47" s="142" t="b">
        <v>1</v>
      </c>
      <c r="BP47" s="544"/>
      <c r="BQ47" s="544"/>
      <c r="BR47" s="544"/>
      <c r="BS47" s="544"/>
      <c r="BT47" s="544"/>
      <c r="BU47" s="544"/>
      <c r="BV47" s="544"/>
      <c r="BW47" s="544"/>
      <c r="BX47" s="544"/>
      <c r="BY47" s="544"/>
      <c r="BZ47" s="544"/>
      <c r="CA47" s="544"/>
      <c r="CB47" s="544"/>
      <c r="CC47" s="544"/>
      <c r="CD47" s="544"/>
      <c r="CE47" s="544"/>
      <c r="CF47" s="544"/>
      <c r="CG47" s="544"/>
      <c r="CH47" s="544"/>
      <c r="CI47" s="544"/>
      <c r="CJ47" s="544"/>
      <c r="CK47" s="544"/>
      <c r="CL47" s="544"/>
      <c r="CM47" s="544"/>
      <c r="CN47" s="544"/>
      <c r="CO47" s="544"/>
      <c r="CP47" s="544"/>
      <c r="CQ47" s="544"/>
      <c r="CR47" s="544"/>
      <c r="CS47" s="544"/>
    </row>
    <row r="48" spans="1:97" s="142" customFormat="1" ht="12.75" x14ac:dyDescent="0.2">
      <c r="A48" s="735">
        <v>41</v>
      </c>
      <c r="B48" s="732" t="s">
        <v>807</v>
      </c>
      <c r="C48" s="738" t="s">
        <v>808</v>
      </c>
      <c r="D48" s="905">
        <v>236192.244384961</v>
      </c>
      <c r="E48" s="905">
        <v>342379724</v>
      </c>
      <c r="F48" s="905">
        <v>4403</v>
      </c>
      <c r="G48" s="166">
        <v>174914657</v>
      </c>
      <c r="H48" s="166">
        <v>-2196570</v>
      </c>
      <c r="I48" s="166">
        <v>3958904</v>
      </c>
      <c r="J48" s="166">
        <v>1762334</v>
      </c>
      <c r="K48" s="166">
        <v>-32406209</v>
      </c>
      <c r="L48" s="166">
        <v>-18010</v>
      </c>
      <c r="M48" s="166">
        <v>0</v>
      </c>
      <c r="N48" s="166">
        <v>-30008</v>
      </c>
      <c r="O48" s="166">
        <v>-50000</v>
      </c>
      <c r="P48" s="166">
        <v>-1863161</v>
      </c>
      <c r="Q48" s="166">
        <v>-107655</v>
      </c>
      <c r="R48" s="166">
        <v>0</v>
      </c>
      <c r="S48" s="166">
        <v>0</v>
      </c>
      <c r="T48" s="166"/>
      <c r="U48" s="166">
        <v>0</v>
      </c>
      <c r="V48" s="166">
        <v>0</v>
      </c>
      <c r="W48" s="166">
        <v>0</v>
      </c>
      <c r="X48" s="166">
        <v>0</v>
      </c>
      <c r="Y48" s="166">
        <v>0</v>
      </c>
      <c r="Z48" s="166">
        <v>124265598</v>
      </c>
      <c r="AA48" s="166">
        <v>-2297208</v>
      </c>
      <c r="AB48" s="166"/>
      <c r="AC48" s="166">
        <v>-8368991</v>
      </c>
      <c r="AD48" s="166">
        <v>458</v>
      </c>
      <c r="AE48" s="166">
        <v>4</v>
      </c>
      <c r="AF48" s="166">
        <v>0</v>
      </c>
      <c r="AG48" s="166"/>
      <c r="AH48" s="166">
        <v>12</v>
      </c>
      <c r="AI48" s="166">
        <v>0</v>
      </c>
      <c r="AJ48" s="166">
        <v>416</v>
      </c>
      <c r="AK48" s="166">
        <v>33</v>
      </c>
      <c r="AL48" s="166">
        <v>0</v>
      </c>
      <c r="AM48" s="166">
        <v>0</v>
      </c>
      <c r="AN48" s="166">
        <v>0</v>
      </c>
      <c r="AO48" s="166">
        <v>4</v>
      </c>
      <c r="AP48" s="166">
        <v>0</v>
      </c>
      <c r="AQ48" s="166">
        <v>0</v>
      </c>
      <c r="AR48" s="166">
        <v>791</v>
      </c>
      <c r="AS48" s="166">
        <v>1832</v>
      </c>
      <c r="AT48" s="166">
        <v>739</v>
      </c>
      <c r="AU48" s="166">
        <v>606</v>
      </c>
      <c r="AV48" s="166">
        <v>133</v>
      </c>
      <c r="AW48" s="166">
        <v>1860</v>
      </c>
      <c r="AX48" s="166">
        <v>-132147</v>
      </c>
      <c r="AY48" s="166">
        <v>-763579</v>
      </c>
      <c r="AZ48" s="166">
        <v>0</v>
      </c>
      <c r="BA48" s="166">
        <v>-388261</v>
      </c>
      <c r="BB48" s="166">
        <v>-579174</v>
      </c>
      <c r="BC48" s="166">
        <v>0</v>
      </c>
      <c r="BD48" s="166">
        <v>-754518</v>
      </c>
      <c r="BE48" s="166">
        <v>9601208</v>
      </c>
      <c r="BF48" s="166"/>
      <c r="BG48" s="760">
        <v>24783900</v>
      </c>
      <c r="BH48" s="760">
        <v>0</v>
      </c>
      <c r="BI48" s="815">
        <v>11923565</v>
      </c>
      <c r="BJ48" s="1044" t="s">
        <v>2454</v>
      </c>
      <c r="BK48" s="1044" t="s">
        <v>2462</v>
      </c>
      <c r="BL48" s="1044" t="s">
        <v>2505</v>
      </c>
      <c r="BM48" s="650"/>
      <c r="BN48" s="746" t="s">
        <v>808</v>
      </c>
      <c r="BO48" s="142" t="b">
        <v>1</v>
      </c>
      <c r="BP48" s="544"/>
      <c r="BQ48" s="544"/>
      <c r="BR48" s="544"/>
      <c r="BS48" s="544"/>
      <c r="BT48" s="544"/>
      <c r="BU48" s="544"/>
      <c r="BV48" s="544"/>
      <c r="BW48" s="544"/>
      <c r="BX48" s="544"/>
      <c r="BY48" s="544"/>
      <c r="BZ48" s="544"/>
      <c r="CA48" s="544"/>
      <c r="CB48" s="544"/>
      <c r="CC48" s="544"/>
      <c r="CD48" s="544"/>
      <c r="CE48" s="544"/>
      <c r="CF48" s="544"/>
      <c r="CG48" s="544"/>
      <c r="CH48" s="544"/>
      <c r="CI48" s="544"/>
      <c r="CJ48" s="544"/>
      <c r="CK48" s="544"/>
      <c r="CL48" s="544"/>
      <c r="CM48" s="544"/>
      <c r="CN48" s="544"/>
      <c r="CO48" s="544"/>
      <c r="CP48" s="544"/>
      <c r="CQ48" s="544"/>
      <c r="CR48" s="544"/>
      <c r="CS48" s="544"/>
    </row>
    <row r="49" spans="1:98" s="142" customFormat="1" ht="12.75" hidden="1" x14ac:dyDescent="0.2">
      <c r="A49" s="735">
        <v>42</v>
      </c>
      <c r="B49" s="732" t="s">
        <v>809</v>
      </c>
      <c r="C49" s="738" t="s">
        <v>810</v>
      </c>
      <c r="D49" s="905">
        <v>1212015.23839192</v>
      </c>
      <c r="E49" s="905">
        <v>1557421595</v>
      </c>
      <c r="F49" s="905">
        <v>18507</v>
      </c>
      <c r="G49" s="166">
        <v>804690987</v>
      </c>
      <c r="H49" s="166">
        <v>-6639640</v>
      </c>
      <c r="I49" s="166">
        <v>18218957</v>
      </c>
      <c r="J49" s="166">
        <v>11579317</v>
      </c>
      <c r="K49" s="166">
        <v>-81933455</v>
      </c>
      <c r="L49" s="166">
        <v>-23757</v>
      </c>
      <c r="M49" s="166">
        <v>0</v>
      </c>
      <c r="N49" s="166">
        <v>-17894</v>
      </c>
      <c r="O49" s="166">
        <v>-60368</v>
      </c>
      <c r="P49" s="166">
        <v>-49907371</v>
      </c>
      <c r="Q49" s="166">
        <v>-382285</v>
      </c>
      <c r="R49" s="166">
        <v>-8000</v>
      </c>
      <c r="S49" s="166">
        <v>0</v>
      </c>
      <c r="T49" s="166"/>
      <c r="U49" s="166">
        <v>0</v>
      </c>
      <c r="V49" s="166">
        <v>0</v>
      </c>
      <c r="W49" s="166">
        <v>0</v>
      </c>
      <c r="X49" s="166">
        <v>0</v>
      </c>
      <c r="Y49" s="166">
        <v>0</v>
      </c>
      <c r="Z49" s="166">
        <v>567186033</v>
      </c>
      <c r="AA49" s="166">
        <v>-34717511</v>
      </c>
      <c r="AB49" s="166"/>
      <c r="AC49" s="166">
        <v>-60395592</v>
      </c>
      <c r="AD49" s="166">
        <v>814</v>
      </c>
      <c r="AE49" s="166">
        <v>1</v>
      </c>
      <c r="AF49" s="166">
        <v>0</v>
      </c>
      <c r="AG49" s="166"/>
      <c r="AH49" s="166">
        <v>0</v>
      </c>
      <c r="AI49" s="166">
        <v>3</v>
      </c>
      <c r="AJ49" s="166">
        <v>2087</v>
      </c>
      <c r="AK49" s="166">
        <v>26</v>
      </c>
      <c r="AL49" s="166">
        <v>4</v>
      </c>
      <c r="AM49" s="166">
        <v>0</v>
      </c>
      <c r="AN49" s="166">
        <v>0</v>
      </c>
      <c r="AO49" s="166">
        <v>0</v>
      </c>
      <c r="AP49" s="166">
        <v>0</v>
      </c>
      <c r="AQ49" s="166">
        <v>0</v>
      </c>
      <c r="AR49" s="166">
        <v>3511</v>
      </c>
      <c r="AS49" s="166">
        <v>7968</v>
      </c>
      <c r="AT49" s="166">
        <v>1800</v>
      </c>
      <c r="AU49" s="166">
        <v>1487</v>
      </c>
      <c r="AV49" s="166">
        <v>313</v>
      </c>
      <c r="AW49" s="166">
        <v>8902</v>
      </c>
      <c r="AX49" s="166">
        <v>-101376</v>
      </c>
      <c r="AY49" s="166">
        <v>-31196902</v>
      </c>
      <c r="AZ49" s="166">
        <v>0</v>
      </c>
      <c r="BA49" s="166">
        <v>0</v>
      </c>
      <c r="BB49" s="166">
        <v>-3945475</v>
      </c>
      <c r="BC49" s="166">
        <v>-14663618</v>
      </c>
      <c r="BD49" s="166">
        <v>0</v>
      </c>
      <c r="BE49" s="166">
        <v>113271973</v>
      </c>
      <c r="BF49" s="166"/>
      <c r="BG49" s="760">
        <v>94553850</v>
      </c>
      <c r="BH49" s="760">
        <v>0</v>
      </c>
      <c r="BI49" s="815">
        <v>18716006</v>
      </c>
      <c r="BJ49" s="1044" t="s">
        <v>2506</v>
      </c>
      <c r="BK49" s="1044" t="s">
        <v>2465</v>
      </c>
      <c r="BL49" s="1044" t="s">
        <v>2507</v>
      </c>
      <c r="BM49" s="650"/>
      <c r="BN49" s="746" t="s">
        <v>810</v>
      </c>
      <c r="BO49" s="142" t="b">
        <v>1</v>
      </c>
      <c r="BP49" s="544"/>
      <c r="BQ49" s="544"/>
      <c r="BR49" s="544"/>
      <c r="BS49" s="544"/>
      <c r="BT49" s="544"/>
      <c r="BU49" s="544"/>
      <c r="BV49" s="544"/>
      <c r="BW49" s="544"/>
      <c r="BX49" s="544"/>
      <c r="BY49" s="544"/>
      <c r="BZ49" s="544"/>
      <c r="CA49" s="544"/>
      <c r="CB49" s="544"/>
      <c r="CC49" s="544"/>
      <c r="CD49" s="544"/>
      <c r="CE49" s="544"/>
      <c r="CF49" s="544"/>
      <c r="CG49" s="544"/>
      <c r="CH49" s="544"/>
      <c r="CI49" s="544"/>
      <c r="CJ49" s="544"/>
      <c r="CK49" s="544"/>
      <c r="CL49" s="544"/>
      <c r="CM49" s="544"/>
      <c r="CN49" s="544"/>
      <c r="CO49" s="544"/>
      <c r="CP49" s="544"/>
      <c r="CQ49" s="544"/>
      <c r="CR49" s="544"/>
      <c r="CS49" s="544"/>
    </row>
    <row r="50" spans="1:98" s="142" customFormat="1" ht="12.75" x14ac:dyDescent="0.2">
      <c r="A50" s="735">
        <v>43</v>
      </c>
      <c r="B50" s="732" t="s">
        <v>811</v>
      </c>
      <c r="C50" s="738" t="s">
        <v>812</v>
      </c>
      <c r="D50" s="905">
        <v>137938.08216034199</v>
      </c>
      <c r="E50" s="905">
        <v>96454014</v>
      </c>
      <c r="F50" s="905">
        <v>3655</v>
      </c>
      <c r="G50" s="166">
        <v>47940703</v>
      </c>
      <c r="H50" s="166">
        <v>-5008541</v>
      </c>
      <c r="I50" s="166">
        <v>852970</v>
      </c>
      <c r="J50" s="166">
        <v>-4155571</v>
      </c>
      <c r="K50" s="166">
        <v>-1742304</v>
      </c>
      <c r="L50" s="166">
        <v>-634</v>
      </c>
      <c r="M50" s="166">
        <v>0</v>
      </c>
      <c r="N50" s="166">
        <v>0</v>
      </c>
      <c r="O50" s="166">
        <v>0</v>
      </c>
      <c r="P50" s="166">
        <v>-1775036</v>
      </c>
      <c r="Q50" s="166">
        <v>-13353</v>
      </c>
      <c r="R50" s="166">
        <v>-8282</v>
      </c>
      <c r="S50" s="166">
        <v>-479</v>
      </c>
      <c r="T50" s="166"/>
      <c r="U50" s="166">
        <v>0</v>
      </c>
      <c r="V50" s="166">
        <v>0</v>
      </c>
      <c r="W50" s="166">
        <v>0</v>
      </c>
      <c r="X50" s="166">
        <v>0</v>
      </c>
      <c r="Y50" s="166">
        <v>0</v>
      </c>
      <c r="Z50" s="166">
        <v>35397711</v>
      </c>
      <c r="AA50" s="166">
        <v>-1152883</v>
      </c>
      <c r="AB50" s="166"/>
      <c r="AC50" s="166">
        <v>-2331656</v>
      </c>
      <c r="AD50" s="166">
        <v>100</v>
      </c>
      <c r="AE50" s="166">
        <v>1</v>
      </c>
      <c r="AF50" s="166">
        <v>0</v>
      </c>
      <c r="AG50" s="166"/>
      <c r="AH50" s="166">
        <v>0</v>
      </c>
      <c r="AI50" s="166">
        <v>0</v>
      </c>
      <c r="AJ50" s="166">
        <v>428</v>
      </c>
      <c r="AK50" s="166">
        <v>34</v>
      </c>
      <c r="AL50" s="166">
        <v>5</v>
      </c>
      <c r="AM50" s="166">
        <v>0</v>
      </c>
      <c r="AN50" s="166">
        <v>0</v>
      </c>
      <c r="AO50" s="166">
        <v>1</v>
      </c>
      <c r="AP50" s="166">
        <v>0</v>
      </c>
      <c r="AQ50" s="166">
        <v>0</v>
      </c>
      <c r="AR50" s="166">
        <v>313</v>
      </c>
      <c r="AS50" s="166">
        <v>713</v>
      </c>
      <c r="AT50" s="166">
        <v>1481</v>
      </c>
      <c r="AU50" s="166">
        <v>1363</v>
      </c>
      <c r="AV50" s="166">
        <v>118</v>
      </c>
      <c r="AW50" s="166">
        <v>1467</v>
      </c>
      <c r="AX50" s="166">
        <v>-643278</v>
      </c>
      <c r="AY50" s="166">
        <v>-28288</v>
      </c>
      <c r="AZ50" s="166">
        <v>0</v>
      </c>
      <c r="BA50" s="166">
        <v>0</v>
      </c>
      <c r="BB50" s="166">
        <v>-563595</v>
      </c>
      <c r="BC50" s="166">
        <v>-539875</v>
      </c>
      <c r="BD50" s="166">
        <v>0</v>
      </c>
      <c r="BE50" s="166">
        <v>-2350751</v>
      </c>
      <c r="BF50" s="166"/>
      <c r="BG50" s="760">
        <v>13197700</v>
      </c>
      <c r="BH50" s="760">
        <v>0</v>
      </c>
      <c r="BI50" s="815">
        <v>-1154060</v>
      </c>
      <c r="BJ50" s="1044" t="s">
        <v>2454</v>
      </c>
      <c r="BK50" s="1044" t="s">
        <v>2478</v>
      </c>
      <c r="BL50" s="1044" t="s">
        <v>2508</v>
      </c>
      <c r="BM50" s="650"/>
      <c r="BN50" s="746" t="s">
        <v>812</v>
      </c>
      <c r="BO50" s="142" t="b">
        <v>1</v>
      </c>
      <c r="BP50" s="544"/>
      <c r="BQ50" s="544"/>
      <c r="BR50" s="544"/>
      <c r="BS50" s="544"/>
      <c r="BT50" s="544"/>
      <c r="BU50" s="544"/>
      <c r="BV50" s="544"/>
      <c r="BW50" s="544"/>
      <c r="BX50" s="544"/>
      <c r="BY50" s="544"/>
      <c r="BZ50" s="544"/>
      <c r="CA50" s="544"/>
      <c r="CB50" s="544"/>
      <c r="CC50" s="544"/>
      <c r="CD50" s="544"/>
      <c r="CE50" s="544"/>
      <c r="CF50" s="544"/>
      <c r="CG50" s="544"/>
      <c r="CH50" s="544"/>
      <c r="CI50" s="544"/>
      <c r="CJ50" s="544"/>
      <c r="CK50" s="544"/>
      <c r="CL50" s="544"/>
      <c r="CM50" s="544"/>
      <c r="CN50" s="544"/>
      <c r="CO50" s="544"/>
      <c r="CP50" s="544"/>
      <c r="CQ50" s="544"/>
      <c r="CR50" s="544"/>
      <c r="CS50" s="544"/>
    </row>
    <row r="51" spans="1:98" s="142" customFormat="1" ht="12.75" x14ac:dyDescent="0.2">
      <c r="A51" s="735">
        <v>44</v>
      </c>
      <c r="B51" s="732" t="s">
        <v>813</v>
      </c>
      <c r="C51" s="738" t="s">
        <v>814</v>
      </c>
      <c r="D51" s="905">
        <v>237394.46771331999</v>
      </c>
      <c r="E51" s="905">
        <v>153241309</v>
      </c>
      <c r="F51" s="905">
        <v>6353</v>
      </c>
      <c r="G51" s="166">
        <v>76910957</v>
      </c>
      <c r="H51" s="166">
        <v>-5770745</v>
      </c>
      <c r="I51" s="166">
        <v>1428147</v>
      </c>
      <c r="J51" s="166">
        <v>-4342598</v>
      </c>
      <c r="K51" s="166">
        <v>-11275981</v>
      </c>
      <c r="L51" s="166">
        <v>-46180</v>
      </c>
      <c r="M51" s="166">
        <v>-23432</v>
      </c>
      <c r="N51" s="166">
        <v>-30160</v>
      </c>
      <c r="O51" s="166">
        <v>0</v>
      </c>
      <c r="P51" s="166">
        <v>-1669697</v>
      </c>
      <c r="Q51" s="166">
        <v>-323814</v>
      </c>
      <c r="R51" s="166">
        <v>-97532</v>
      </c>
      <c r="S51" s="166">
        <v>-753</v>
      </c>
      <c r="T51" s="166"/>
      <c r="U51" s="166">
        <v>0</v>
      </c>
      <c r="V51" s="166">
        <v>0</v>
      </c>
      <c r="W51" s="166">
        <v>0</v>
      </c>
      <c r="X51" s="166">
        <v>0</v>
      </c>
      <c r="Y51" s="166">
        <v>-11716</v>
      </c>
      <c r="Z51" s="166">
        <v>48001395</v>
      </c>
      <c r="AA51" s="166">
        <v>-2538062</v>
      </c>
      <c r="AB51" s="166"/>
      <c r="AC51" s="166">
        <v>-6948977</v>
      </c>
      <c r="AD51" s="166">
        <v>352</v>
      </c>
      <c r="AE51" s="166">
        <v>10</v>
      </c>
      <c r="AF51" s="166">
        <v>6</v>
      </c>
      <c r="AG51" s="166"/>
      <c r="AH51" s="166">
        <v>18</v>
      </c>
      <c r="AI51" s="166">
        <v>0</v>
      </c>
      <c r="AJ51" s="166">
        <v>239</v>
      </c>
      <c r="AK51" s="166">
        <v>149</v>
      </c>
      <c r="AL51" s="166">
        <v>0</v>
      </c>
      <c r="AM51" s="166">
        <v>6</v>
      </c>
      <c r="AN51" s="166">
        <v>0</v>
      </c>
      <c r="AO51" s="166">
        <v>2</v>
      </c>
      <c r="AP51" s="166">
        <v>0</v>
      </c>
      <c r="AQ51" s="166">
        <v>0</v>
      </c>
      <c r="AR51" s="166">
        <v>850</v>
      </c>
      <c r="AS51" s="166">
        <v>1253</v>
      </c>
      <c r="AT51" s="166">
        <v>3047</v>
      </c>
      <c r="AU51" s="166">
        <v>2895</v>
      </c>
      <c r="AV51" s="166">
        <v>152</v>
      </c>
      <c r="AW51" s="166">
        <v>1985</v>
      </c>
      <c r="AX51" s="166">
        <v>-18761</v>
      </c>
      <c r="AY51" s="166">
        <v>-651614</v>
      </c>
      <c r="AZ51" s="166">
        <v>0</v>
      </c>
      <c r="BA51" s="166">
        <v>0</v>
      </c>
      <c r="BB51" s="166">
        <v>-952068</v>
      </c>
      <c r="BC51" s="166">
        <v>-47254</v>
      </c>
      <c r="BD51" s="166">
        <v>-573347</v>
      </c>
      <c r="BE51" s="166">
        <v>-2792032</v>
      </c>
      <c r="BF51" s="166"/>
      <c r="BG51" s="760">
        <v>19681700</v>
      </c>
      <c r="BH51" s="760">
        <v>0</v>
      </c>
      <c r="BI51" s="815">
        <v>-1252037</v>
      </c>
      <c r="BJ51" s="1044" t="s">
        <v>2454</v>
      </c>
      <c r="BK51" s="1044" t="s">
        <v>2455</v>
      </c>
      <c r="BL51" s="1044" t="s">
        <v>2509</v>
      </c>
      <c r="BM51" s="650"/>
      <c r="BN51" s="746" t="s">
        <v>814</v>
      </c>
      <c r="BO51" s="142" t="b">
        <v>1</v>
      </c>
      <c r="BP51" s="544"/>
      <c r="BQ51" s="544"/>
      <c r="BR51" s="544"/>
      <c r="BS51" s="544"/>
      <c r="BT51" s="544"/>
      <c r="BU51" s="544"/>
      <c r="BV51" s="544"/>
      <c r="BW51" s="544"/>
      <c r="BX51" s="544"/>
      <c r="BY51" s="544"/>
      <c r="BZ51" s="544"/>
      <c r="CA51" s="544"/>
      <c r="CB51" s="544"/>
      <c r="CC51" s="544"/>
      <c r="CD51" s="544"/>
      <c r="CE51" s="544"/>
      <c r="CF51" s="544"/>
      <c r="CG51" s="544"/>
      <c r="CH51" s="544"/>
      <c r="CI51" s="544"/>
      <c r="CJ51" s="544"/>
      <c r="CK51" s="544"/>
      <c r="CL51" s="544"/>
      <c r="CM51" s="544"/>
      <c r="CN51" s="544"/>
      <c r="CO51" s="544"/>
      <c r="CP51" s="544"/>
      <c r="CQ51" s="544"/>
      <c r="CR51" s="544"/>
      <c r="CS51" s="544"/>
    </row>
    <row r="52" spans="1:98" s="142" customFormat="1" ht="12.75" x14ac:dyDescent="0.2">
      <c r="A52" s="735">
        <v>45</v>
      </c>
      <c r="B52" s="732" t="s">
        <v>815</v>
      </c>
      <c r="C52" s="738" t="s">
        <v>816</v>
      </c>
      <c r="D52" s="905">
        <v>75253.7296196401</v>
      </c>
      <c r="E52" s="905">
        <v>46129280</v>
      </c>
      <c r="F52" s="905">
        <v>2021</v>
      </c>
      <c r="G52" s="166">
        <v>22934360</v>
      </c>
      <c r="H52" s="166">
        <v>-3117690</v>
      </c>
      <c r="I52" s="166">
        <v>331362</v>
      </c>
      <c r="J52" s="166">
        <v>-2786328</v>
      </c>
      <c r="K52" s="166">
        <v>-1953561</v>
      </c>
      <c r="L52" s="166">
        <v>-10455</v>
      </c>
      <c r="M52" s="166">
        <v>0</v>
      </c>
      <c r="N52" s="166">
        <v>-8782</v>
      </c>
      <c r="O52" s="166">
        <v>0</v>
      </c>
      <c r="P52" s="166">
        <v>-180404</v>
      </c>
      <c r="Q52" s="166">
        <v>-64442</v>
      </c>
      <c r="R52" s="166">
        <v>-2122</v>
      </c>
      <c r="S52" s="166">
        <v>-2614</v>
      </c>
      <c r="T52" s="166"/>
      <c r="U52" s="166">
        <v>0</v>
      </c>
      <c r="V52" s="166">
        <v>0</v>
      </c>
      <c r="W52" s="166">
        <v>0</v>
      </c>
      <c r="X52" s="166">
        <v>0</v>
      </c>
      <c r="Y52" s="166">
        <v>0</v>
      </c>
      <c r="Z52" s="166">
        <v>14233932</v>
      </c>
      <c r="AA52" s="166">
        <v>-531001</v>
      </c>
      <c r="AB52" s="166"/>
      <c r="AC52" s="166">
        <v>-1852710</v>
      </c>
      <c r="AD52" s="166">
        <v>76</v>
      </c>
      <c r="AE52" s="166">
        <v>6</v>
      </c>
      <c r="AF52" s="166">
        <v>0</v>
      </c>
      <c r="AG52" s="166"/>
      <c r="AH52" s="166">
        <v>6</v>
      </c>
      <c r="AI52" s="166">
        <v>0</v>
      </c>
      <c r="AJ52" s="166">
        <v>0</v>
      </c>
      <c r="AK52" s="166">
        <v>45</v>
      </c>
      <c r="AL52" s="166">
        <v>1</v>
      </c>
      <c r="AM52" s="166">
        <v>0</v>
      </c>
      <c r="AN52" s="166">
        <v>0</v>
      </c>
      <c r="AO52" s="166">
        <v>6</v>
      </c>
      <c r="AP52" s="166">
        <v>0</v>
      </c>
      <c r="AQ52" s="166">
        <v>0</v>
      </c>
      <c r="AR52" s="166">
        <v>210</v>
      </c>
      <c r="AS52" s="166">
        <v>274</v>
      </c>
      <c r="AT52" s="166">
        <v>1129</v>
      </c>
      <c r="AU52" s="166">
        <v>1059</v>
      </c>
      <c r="AV52" s="166">
        <v>70</v>
      </c>
      <c r="AW52" s="166">
        <v>657</v>
      </c>
      <c r="AX52" s="166">
        <v>-12544</v>
      </c>
      <c r="AY52" s="166">
        <v>0</v>
      </c>
      <c r="AZ52" s="166">
        <v>0</v>
      </c>
      <c r="BA52" s="166">
        <v>0</v>
      </c>
      <c r="BB52" s="166">
        <v>-135569</v>
      </c>
      <c r="BC52" s="166">
        <v>-32291</v>
      </c>
      <c r="BD52" s="166">
        <v>-498345</v>
      </c>
      <c r="BE52" s="166">
        <v>753217</v>
      </c>
      <c r="BF52" s="166"/>
      <c r="BG52" s="760">
        <v>6454500</v>
      </c>
      <c r="BH52" s="760">
        <v>0</v>
      </c>
      <c r="BI52" s="815">
        <v>1668578</v>
      </c>
      <c r="BJ52" s="1044" t="s">
        <v>2454</v>
      </c>
      <c r="BK52" s="1044" t="s">
        <v>2462</v>
      </c>
      <c r="BL52" s="1044" t="s">
        <v>2510</v>
      </c>
      <c r="BM52" s="650"/>
      <c r="BN52" s="746" t="s">
        <v>816</v>
      </c>
      <c r="BO52" s="142" t="b">
        <v>1</v>
      </c>
      <c r="BP52" s="544"/>
      <c r="BQ52" s="544"/>
      <c r="BR52" s="544"/>
      <c r="BS52" s="544"/>
      <c r="BT52" s="544"/>
      <c r="BU52" s="544"/>
      <c r="BV52" s="544"/>
      <c r="BW52" s="544"/>
      <c r="BX52" s="544"/>
      <c r="BY52" s="544"/>
      <c r="BZ52" s="544"/>
      <c r="CA52" s="544"/>
      <c r="CB52" s="544"/>
      <c r="CC52" s="544"/>
      <c r="CD52" s="544"/>
      <c r="CE52" s="544"/>
      <c r="CF52" s="544"/>
      <c r="CG52" s="544"/>
      <c r="CH52" s="544"/>
      <c r="CI52" s="544"/>
      <c r="CJ52" s="544"/>
      <c r="CK52" s="544"/>
      <c r="CL52" s="544"/>
      <c r="CM52" s="544"/>
      <c r="CN52" s="544"/>
      <c r="CO52" s="544"/>
      <c r="CP52" s="544"/>
      <c r="CQ52" s="544"/>
      <c r="CR52" s="544"/>
      <c r="CS52" s="544"/>
    </row>
    <row r="53" spans="1:98" s="142" customFormat="1" ht="12.75" hidden="1" x14ac:dyDescent="0.2">
      <c r="A53" s="735">
        <v>46</v>
      </c>
      <c r="B53" s="739" t="s">
        <v>817</v>
      </c>
      <c r="C53" s="740" t="s">
        <v>818</v>
      </c>
      <c r="D53" s="905">
        <v>318647.47057558899</v>
      </c>
      <c r="E53" s="905">
        <v>301051250</v>
      </c>
      <c r="F53" s="905">
        <v>7341</v>
      </c>
      <c r="G53" s="166">
        <v>171817653</v>
      </c>
      <c r="H53" s="166">
        <v>-4801647</v>
      </c>
      <c r="I53" s="166">
        <v>1530369</v>
      </c>
      <c r="J53" s="166">
        <v>-3271278</v>
      </c>
      <c r="K53" s="166">
        <v>-8852720</v>
      </c>
      <c r="L53" s="166">
        <v>-60540</v>
      </c>
      <c r="M53" s="166">
        <v>-18469</v>
      </c>
      <c r="N53" s="166">
        <v>-18382</v>
      </c>
      <c r="O53" s="166">
        <v>-75000</v>
      </c>
      <c r="P53" s="166">
        <v>-1368857</v>
      </c>
      <c r="Q53" s="166">
        <v>-325008</v>
      </c>
      <c r="R53" s="166">
        <v>-160973</v>
      </c>
      <c r="S53" s="166">
        <v>-5683</v>
      </c>
      <c r="T53" s="166"/>
      <c r="U53" s="166">
        <v>0</v>
      </c>
      <c r="V53" s="166">
        <v>0</v>
      </c>
      <c r="W53" s="166">
        <v>0</v>
      </c>
      <c r="X53" s="166">
        <v>0</v>
      </c>
      <c r="Y53" s="166">
        <v>-12122</v>
      </c>
      <c r="Z53" s="166">
        <v>133406314</v>
      </c>
      <c r="AA53" s="166">
        <v>-5000000</v>
      </c>
      <c r="AB53" s="166"/>
      <c r="AC53" s="166">
        <v>-7721046</v>
      </c>
      <c r="AD53" s="166">
        <v>412</v>
      </c>
      <c r="AE53" s="166">
        <v>13</v>
      </c>
      <c r="AF53" s="166">
        <v>15</v>
      </c>
      <c r="AG53" s="166"/>
      <c r="AH53" s="166">
        <v>8</v>
      </c>
      <c r="AI53" s="166">
        <v>0</v>
      </c>
      <c r="AJ53" s="166">
        <v>646</v>
      </c>
      <c r="AK53" s="166">
        <v>190</v>
      </c>
      <c r="AL53" s="166">
        <v>30</v>
      </c>
      <c r="AM53" s="166">
        <v>15</v>
      </c>
      <c r="AN53" s="166">
        <v>0</v>
      </c>
      <c r="AO53" s="166">
        <v>8</v>
      </c>
      <c r="AP53" s="166">
        <v>0</v>
      </c>
      <c r="AQ53" s="166">
        <v>0</v>
      </c>
      <c r="AR53" s="166">
        <v>925</v>
      </c>
      <c r="AS53" s="166">
        <v>1638</v>
      </c>
      <c r="AT53" s="166">
        <v>3104</v>
      </c>
      <c r="AU53" s="166">
        <v>2856</v>
      </c>
      <c r="AV53" s="166">
        <v>248</v>
      </c>
      <c r="AW53" s="166">
        <v>2566</v>
      </c>
      <c r="AX53" s="166">
        <v>-73263</v>
      </c>
      <c r="AY53" s="166">
        <v>-299238</v>
      </c>
      <c r="AZ53" s="166">
        <v>0</v>
      </c>
      <c r="BA53" s="166">
        <v>-12254</v>
      </c>
      <c r="BB53" s="166">
        <v>-976104</v>
      </c>
      <c r="BC53" s="166">
        <v>-7998</v>
      </c>
      <c r="BD53" s="166">
        <v>-1572156</v>
      </c>
      <c r="BE53" s="166">
        <v>-42216385</v>
      </c>
      <c r="BF53" s="166"/>
      <c r="BG53" s="760">
        <v>30136723</v>
      </c>
      <c r="BH53" s="760">
        <v>411596</v>
      </c>
      <c r="BI53" s="815">
        <v>-56956282</v>
      </c>
      <c r="BJ53" s="1044" t="s">
        <v>515</v>
      </c>
      <c r="BK53" s="1044" t="s">
        <v>2462</v>
      </c>
      <c r="BL53" s="1044" t="s">
        <v>2511</v>
      </c>
      <c r="BM53" s="650"/>
      <c r="BN53" s="746" t="s">
        <v>818</v>
      </c>
      <c r="BO53" s="142" t="b">
        <v>1</v>
      </c>
      <c r="BP53" s="544"/>
      <c r="BQ53" s="544"/>
      <c r="BR53" s="544"/>
      <c r="BS53" s="544"/>
      <c r="BT53" s="544"/>
      <c r="BU53" s="544"/>
      <c r="BV53" s="544"/>
      <c r="BW53" s="544"/>
      <c r="BX53" s="544"/>
      <c r="BY53" s="544"/>
      <c r="BZ53" s="544"/>
      <c r="CA53" s="544"/>
      <c r="CB53" s="544"/>
      <c r="CC53" s="544"/>
      <c r="CD53" s="544"/>
      <c r="CE53" s="544"/>
      <c r="CF53" s="544"/>
      <c r="CG53" s="544"/>
      <c r="CH53" s="544"/>
      <c r="CI53" s="544"/>
      <c r="CJ53" s="544"/>
      <c r="CK53" s="544"/>
      <c r="CL53" s="544"/>
      <c r="CM53" s="544"/>
      <c r="CN53" s="544"/>
      <c r="CO53" s="544"/>
      <c r="CP53" s="544"/>
      <c r="CQ53" s="544"/>
      <c r="CR53" s="544"/>
      <c r="CS53" s="544"/>
    </row>
    <row r="54" spans="1:98" s="142" customFormat="1" ht="12.75" x14ac:dyDescent="0.2">
      <c r="A54" s="735">
        <v>47</v>
      </c>
      <c r="B54" s="732" t="s">
        <v>819</v>
      </c>
      <c r="C54" s="738" t="s">
        <v>820</v>
      </c>
      <c r="D54" s="905">
        <v>186912.10564282001</v>
      </c>
      <c r="E54" s="905">
        <v>142616816</v>
      </c>
      <c r="F54" s="905">
        <v>4845</v>
      </c>
      <c r="G54" s="166">
        <v>71351370</v>
      </c>
      <c r="H54" s="166">
        <v>-5909527</v>
      </c>
      <c r="I54" s="166">
        <v>1283864</v>
      </c>
      <c r="J54" s="166">
        <v>-4625663</v>
      </c>
      <c r="K54" s="166">
        <v>-8027449</v>
      </c>
      <c r="L54" s="166">
        <v>-27495</v>
      </c>
      <c r="M54" s="166">
        <v>-5120</v>
      </c>
      <c r="N54" s="166">
        <v>-8433</v>
      </c>
      <c r="O54" s="166">
        <v>-50000</v>
      </c>
      <c r="P54" s="166">
        <v>-1800000</v>
      </c>
      <c r="Q54" s="166">
        <v>-89369</v>
      </c>
      <c r="R54" s="166">
        <v>-68914</v>
      </c>
      <c r="S54" s="166">
        <v>-387</v>
      </c>
      <c r="T54" s="166"/>
      <c r="U54" s="166">
        <v>0</v>
      </c>
      <c r="V54" s="166">
        <v>-188651</v>
      </c>
      <c r="W54" s="166">
        <v>-110000</v>
      </c>
      <c r="X54" s="166">
        <v>0</v>
      </c>
      <c r="Y54" s="166">
        <v>-2560</v>
      </c>
      <c r="Z54" s="166">
        <v>49823164</v>
      </c>
      <c r="AA54" s="166">
        <v>-3238505</v>
      </c>
      <c r="AB54" s="166"/>
      <c r="AC54" s="166">
        <v>-4371861</v>
      </c>
      <c r="AD54" s="166">
        <v>223</v>
      </c>
      <c r="AE54" s="166">
        <v>9</v>
      </c>
      <c r="AF54" s="166">
        <v>2</v>
      </c>
      <c r="AG54" s="166"/>
      <c r="AH54" s="166">
        <v>6</v>
      </c>
      <c r="AI54" s="166">
        <v>0</v>
      </c>
      <c r="AJ54" s="166">
        <v>405</v>
      </c>
      <c r="AK54" s="166">
        <v>81</v>
      </c>
      <c r="AL54" s="166">
        <v>22</v>
      </c>
      <c r="AM54" s="166">
        <v>0</v>
      </c>
      <c r="AN54" s="166">
        <v>0</v>
      </c>
      <c r="AO54" s="166">
        <v>2</v>
      </c>
      <c r="AP54" s="166">
        <v>2</v>
      </c>
      <c r="AQ54" s="166">
        <v>0</v>
      </c>
      <c r="AR54" s="166">
        <v>566</v>
      </c>
      <c r="AS54" s="166">
        <v>1034</v>
      </c>
      <c r="AT54" s="166">
        <v>2253</v>
      </c>
      <c r="AU54" s="166">
        <v>2083</v>
      </c>
      <c r="AV54" s="166">
        <v>170</v>
      </c>
      <c r="AW54" s="166">
        <v>1578</v>
      </c>
      <c r="AX54" s="166">
        <v>-86040</v>
      </c>
      <c r="AY54" s="166">
        <v>-87887</v>
      </c>
      <c r="AZ54" s="166">
        <v>0</v>
      </c>
      <c r="BA54" s="166">
        <v>-238340</v>
      </c>
      <c r="BB54" s="166">
        <v>-124111</v>
      </c>
      <c r="BC54" s="166">
        <v>-1263622</v>
      </c>
      <c r="BD54" s="166">
        <v>-288122</v>
      </c>
      <c r="BE54" s="166">
        <v>1948439</v>
      </c>
      <c r="BF54" s="166"/>
      <c r="BG54" s="760">
        <v>20145450</v>
      </c>
      <c r="BH54" s="760">
        <v>0</v>
      </c>
      <c r="BI54" s="815">
        <v>2581403</v>
      </c>
      <c r="BJ54" s="1044" t="s">
        <v>2454</v>
      </c>
      <c r="BK54" s="1044" t="s">
        <v>2457</v>
      </c>
      <c r="BL54" s="1044" t="s">
        <v>2512</v>
      </c>
      <c r="BM54" s="650"/>
      <c r="BN54" s="746" t="s">
        <v>820</v>
      </c>
      <c r="BO54" s="142" t="b">
        <v>1</v>
      </c>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c r="CN54" s="544"/>
      <c r="CO54" s="544"/>
      <c r="CP54" s="544"/>
      <c r="CQ54" s="544"/>
      <c r="CR54" s="544"/>
      <c r="CS54" s="544"/>
    </row>
    <row r="55" spans="1:98" s="142" customFormat="1" ht="12.75" x14ac:dyDescent="0.2">
      <c r="A55" s="735">
        <v>48</v>
      </c>
      <c r="B55" s="732" t="s">
        <v>821</v>
      </c>
      <c r="C55" s="738" t="s">
        <v>822</v>
      </c>
      <c r="D55" s="905">
        <v>219313.43788661601</v>
      </c>
      <c r="E55" s="905">
        <v>209009578</v>
      </c>
      <c r="F55" s="905">
        <v>5216</v>
      </c>
      <c r="G55" s="166">
        <v>103698494</v>
      </c>
      <c r="H55" s="166">
        <v>-5085508</v>
      </c>
      <c r="I55" s="166">
        <v>2052742</v>
      </c>
      <c r="J55" s="166">
        <v>-3032766</v>
      </c>
      <c r="K55" s="166">
        <v>-6559811</v>
      </c>
      <c r="L55" s="166">
        <v>-34820</v>
      </c>
      <c r="M55" s="166">
        <v>-2242</v>
      </c>
      <c r="N55" s="166">
        <v>-8882</v>
      </c>
      <c r="O55" s="166">
        <v>0</v>
      </c>
      <c r="P55" s="166">
        <v>-3017048</v>
      </c>
      <c r="Q55" s="166">
        <v>-14196</v>
      </c>
      <c r="R55" s="166">
        <v>-115609</v>
      </c>
      <c r="S55" s="166">
        <v>0</v>
      </c>
      <c r="T55" s="166"/>
      <c r="U55" s="166">
        <v>0</v>
      </c>
      <c r="V55" s="166">
        <v>0</v>
      </c>
      <c r="W55" s="166">
        <v>0</v>
      </c>
      <c r="X55" s="166">
        <v>0</v>
      </c>
      <c r="Y55" s="166">
        <v>-1121</v>
      </c>
      <c r="Z55" s="166">
        <v>80302662</v>
      </c>
      <c r="AA55" s="166">
        <v>-938500</v>
      </c>
      <c r="AB55" s="166"/>
      <c r="AC55" s="166">
        <v>-3863415</v>
      </c>
      <c r="AD55" s="166">
        <v>234</v>
      </c>
      <c r="AE55" s="166">
        <v>9</v>
      </c>
      <c r="AF55" s="166">
        <v>2</v>
      </c>
      <c r="AG55" s="166"/>
      <c r="AH55" s="166">
        <v>2</v>
      </c>
      <c r="AI55" s="166">
        <v>0</v>
      </c>
      <c r="AJ55" s="166">
        <v>548</v>
      </c>
      <c r="AK55" s="166">
        <v>23</v>
      </c>
      <c r="AL55" s="166">
        <v>12</v>
      </c>
      <c r="AM55" s="166">
        <v>0</v>
      </c>
      <c r="AN55" s="166">
        <v>0</v>
      </c>
      <c r="AO55" s="166">
        <v>0</v>
      </c>
      <c r="AP55" s="166">
        <v>0</v>
      </c>
      <c r="AQ55" s="166">
        <v>0</v>
      </c>
      <c r="AR55" s="166">
        <v>276</v>
      </c>
      <c r="AS55" s="166">
        <v>1370</v>
      </c>
      <c r="AT55" s="166">
        <v>1942</v>
      </c>
      <c r="AU55" s="166">
        <v>1785</v>
      </c>
      <c r="AV55" s="166">
        <v>157</v>
      </c>
      <c r="AW55" s="166">
        <v>1937</v>
      </c>
      <c r="AX55" s="166">
        <v>-132156</v>
      </c>
      <c r="AY55" s="166">
        <v>-568032</v>
      </c>
      <c r="AZ55" s="166">
        <v>0</v>
      </c>
      <c r="BA55" s="166">
        <v>-6675</v>
      </c>
      <c r="BB55" s="166">
        <v>-51804</v>
      </c>
      <c r="BC55" s="166">
        <v>-2258381</v>
      </c>
      <c r="BD55" s="166">
        <v>-599584</v>
      </c>
      <c r="BE55" s="166">
        <v>1865662</v>
      </c>
      <c r="BF55" s="166"/>
      <c r="BG55" s="760">
        <v>24212550</v>
      </c>
      <c r="BH55" s="760">
        <v>0</v>
      </c>
      <c r="BI55" s="815">
        <v>1989047</v>
      </c>
      <c r="BJ55" s="1044" t="s">
        <v>2454</v>
      </c>
      <c r="BK55" s="1044" t="s">
        <v>2462</v>
      </c>
      <c r="BL55" s="1044" t="s">
        <v>2513</v>
      </c>
      <c r="BM55" s="650"/>
      <c r="BN55" s="746" t="s">
        <v>822</v>
      </c>
      <c r="BO55" s="142" t="b">
        <v>1</v>
      </c>
      <c r="BP55" s="544"/>
      <c r="BQ55" s="544"/>
      <c r="BR55" s="544"/>
      <c r="BS55" s="544"/>
      <c r="BT55" s="544"/>
      <c r="BU55" s="544"/>
      <c r="BV55" s="544"/>
      <c r="BW55" s="544"/>
      <c r="BX55" s="544"/>
      <c r="BY55" s="544"/>
      <c r="BZ55" s="544"/>
      <c r="CA55" s="544"/>
      <c r="CB55" s="544"/>
      <c r="CC55" s="544"/>
      <c r="CD55" s="544"/>
      <c r="CE55" s="544"/>
      <c r="CF55" s="544"/>
      <c r="CG55" s="544"/>
      <c r="CH55" s="544"/>
      <c r="CI55" s="544"/>
      <c r="CJ55" s="544"/>
      <c r="CK55" s="544"/>
      <c r="CL55" s="544"/>
      <c r="CM55" s="544"/>
      <c r="CN55" s="544"/>
      <c r="CO55" s="544"/>
      <c r="CP55" s="544"/>
      <c r="CQ55" s="544"/>
      <c r="CR55" s="544"/>
      <c r="CS55" s="544"/>
    </row>
    <row r="56" spans="1:98" s="142" customFormat="1" ht="12.75" x14ac:dyDescent="0.2">
      <c r="A56" s="735">
        <v>49</v>
      </c>
      <c r="B56" s="732" t="s">
        <v>823</v>
      </c>
      <c r="C56" s="738" t="s">
        <v>824</v>
      </c>
      <c r="D56" s="905">
        <v>167152.50693161899</v>
      </c>
      <c r="E56" s="905">
        <v>148770311</v>
      </c>
      <c r="F56" s="905">
        <v>4035</v>
      </c>
      <c r="G56" s="166">
        <v>75151039</v>
      </c>
      <c r="H56" s="166">
        <v>-3146184</v>
      </c>
      <c r="I56" s="166">
        <v>1453138</v>
      </c>
      <c r="J56" s="166">
        <v>-1693046</v>
      </c>
      <c r="K56" s="166">
        <v>-4983595</v>
      </c>
      <c r="L56" s="166">
        <v>-49521</v>
      </c>
      <c r="M56" s="166">
        <v>0</v>
      </c>
      <c r="N56" s="166">
        <v>-7135</v>
      </c>
      <c r="O56" s="166">
        <v>-20000</v>
      </c>
      <c r="P56" s="166">
        <v>-1570580</v>
      </c>
      <c r="Q56" s="166">
        <v>-22304</v>
      </c>
      <c r="R56" s="166">
        <v>-37444</v>
      </c>
      <c r="S56" s="166">
        <v>0</v>
      </c>
      <c r="T56" s="166"/>
      <c r="U56" s="166">
        <v>0</v>
      </c>
      <c r="V56" s="166">
        <v>0</v>
      </c>
      <c r="W56" s="166">
        <v>0</v>
      </c>
      <c r="X56" s="166">
        <v>0</v>
      </c>
      <c r="Y56" s="166">
        <v>0</v>
      </c>
      <c r="Z56" s="166">
        <v>55151854</v>
      </c>
      <c r="AA56" s="166">
        <v>-900000</v>
      </c>
      <c r="AB56" s="166"/>
      <c r="AC56" s="166">
        <v>-4576824</v>
      </c>
      <c r="AD56" s="166">
        <v>201</v>
      </c>
      <c r="AE56" s="166">
        <v>8</v>
      </c>
      <c r="AF56" s="166">
        <v>0</v>
      </c>
      <c r="AG56" s="166"/>
      <c r="AH56" s="166">
        <v>4</v>
      </c>
      <c r="AI56" s="166">
        <v>0</v>
      </c>
      <c r="AJ56" s="166">
        <v>249</v>
      </c>
      <c r="AK56" s="166">
        <v>11</v>
      </c>
      <c r="AL56" s="166">
        <v>4</v>
      </c>
      <c r="AM56" s="166">
        <v>0</v>
      </c>
      <c r="AN56" s="166">
        <v>0</v>
      </c>
      <c r="AO56" s="166">
        <v>0</v>
      </c>
      <c r="AP56" s="166">
        <v>0</v>
      </c>
      <c r="AQ56" s="166">
        <v>0</v>
      </c>
      <c r="AR56" s="166">
        <v>516</v>
      </c>
      <c r="AS56" s="166">
        <v>1119</v>
      </c>
      <c r="AT56" s="166">
        <v>1453</v>
      </c>
      <c r="AU56" s="166">
        <v>1358</v>
      </c>
      <c r="AV56" s="166">
        <v>95</v>
      </c>
      <c r="AW56" s="166">
        <v>1643</v>
      </c>
      <c r="AX56" s="166">
        <v>-42377</v>
      </c>
      <c r="AY56" s="166">
        <v>-1351557</v>
      </c>
      <c r="AZ56" s="166">
        <v>0</v>
      </c>
      <c r="BA56" s="166">
        <v>0</v>
      </c>
      <c r="BB56" s="166">
        <v>-110553</v>
      </c>
      <c r="BC56" s="166">
        <v>-66093</v>
      </c>
      <c r="BD56" s="166">
        <v>-980000</v>
      </c>
      <c r="BE56" s="166">
        <v>1858267</v>
      </c>
      <c r="BF56" s="166"/>
      <c r="BG56" s="760">
        <v>18034100</v>
      </c>
      <c r="BH56" s="760">
        <v>0</v>
      </c>
      <c r="BI56" s="815">
        <v>1440157</v>
      </c>
      <c r="BJ56" s="1044" t="s">
        <v>2454</v>
      </c>
      <c r="BK56" s="1044" t="s">
        <v>2474</v>
      </c>
      <c r="BL56" s="1044" t="s">
        <v>2514</v>
      </c>
      <c r="BM56" s="650"/>
      <c r="BN56" s="746" t="s">
        <v>824</v>
      </c>
      <c r="BO56" s="142" t="b">
        <v>1</v>
      </c>
      <c r="BP56" s="544"/>
      <c r="BQ56" s="544"/>
      <c r="BR56" s="544"/>
      <c r="BS56" s="544"/>
      <c r="BT56" s="544"/>
      <c r="BU56" s="544"/>
      <c r="BV56" s="544"/>
      <c r="BW56" s="544"/>
      <c r="BX56" s="544"/>
      <c r="BY56" s="544"/>
      <c r="BZ56" s="544"/>
      <c r="CA56" s="544"/>
      <c r="CB56" s="544"/>
      <c r="CC56" s="544"/>
      <c r="CD56" s="544"/>
      <c r="CE56" s="544"/>
      <c r="CF56" s="544"/>
      <c r="CG56" s="544"/>
      <c r="CH56" s="544"/>
      <c r="CI56" s="544"/>
      <c r="CJ56" s="544"/>
      <c r="CK56" s="544"/>
      <c r="CL56" s="544"/>
      <c r="CM56" s="544"/>
      <c r="CN56" s="544"/>
      <c r="CO56" s="544"/>
      <c r="CP56" s="544"/>
      <c r="CQ56" s="544"/>
      <c r="CR56" s="544"/>
      <c r="CS56" s="544"/>
    </row>
    <row r="57" spans="1:98" s="142" customFormat="1" ht="12.75" x14ac:dyDescent="0.2">
      <c r="A57" s="735">
        <v>50</v>
      </c>
      <c r="B57" s="732" t="s">
        <v>825</v>
      </c>
      <c r="C57" s="738" t="s">
        <v>826</v>
      </c>
      <c r="D57" s="905">
        <v>242545.77115128699</v>
      </c>
      <c r="E57" s="905">
        <v>260611178</v>
      </c>
      <c r="F57" s="905">
        <v>5201</v>
      </c>
      <c r="G57" s="166">
        <v>130454635</v>
      </c>
      <c r="H57" s="166">
        <v>-4182326</v>
      </c>
      <c r="I57" s="166">
        <v>2741822</v>
      </c>
      <c r="J57" s="166">
        <v>-1440504</v>
      </c>
      <c r="K57" s="166">
        <v>-4609053</v>
      </c>
      <c r="L57" s="166">
        <v>-35311</v>
      </c>
      <c r="M57" s="166">
        <v>-43636</v>
      </c>
      <c r="N57" s="166">
        <v>-5274</v>
      </c>
      <c r="O57" s="166">
        <v>0</v>
      </c>
      <c r="P57" s="166">
        <v>-2460551</v>
      </c>
      <c r="Q57" s="166">
        <v>-73220</v>
      </c>
      <c r="R57" s="166">
        <v>-31561</v>
      </c>
      <c r="S57" s="166">
        <v>0</v>
      </c>
      <c r="T57" s="166"/>
      <c r="U57" s="166">
        <v>0</v>
      </c>
      <c r="V57" s="166">
        <v>0</v>
      </c>
      <c r="W57" s="166">
        <v>0</v>
      </c>
      <c r="X57" s="166">
        <v>0</v>
      </c>
      <c r="Y57" s="166">
        <v>-43636</v>
      </c>
      <c r="Z57" s="166">
        <v>103146386</v>
      </c>
      <c r="AA57" s="166">
        <v>-3978264</v>
      </c>
      <c r="AB57" s="166"/>
      <c r="AC57" s="166">
        <v>-13140545</v>
      </c>
      <c r="AD57" s="166">
        <v>285</v>
      </c>
      <c r="AE57" s="166">
        <v>4</v>
      </c>
      <c r="AF57" s="166">
        <v>0</v>
      </c>
      <c r="AG57" s="166"/>
      <c r="AH57" s="166">
        <v>2</v>
      </c>
      <c r="AI57" s="166">
        <v>0</v>
      </c>
      <c r="AJ57" s="166">
        <v>221</v>
      </c>
      <c r="AK57" s="166">
        <v>54</v>
      </c>
      <c r="AL57" s="166">
        <v>2</v>
      </c>
      <c r="AM57" s="166">
        <v>0</v>
      </c>
      <c r="AN57" s="166">
        <v>0</v>
      </c>
      <c r="AO57" s="166">
        <v>0</v>
      </c>
      <c r="AP57" s="166">
        <v>0</v>
      </c>
      <c r="AQ57" s="166">
        <v>0</v>
      </c>
      <c r="AR57" s="166">
        <v>834</v>
      </c>
      <c r="AS57" s="166">
        <v>1513</v>
      </c>
      <c r="AT57" s="166">
        <v>1526</v>
      </c>
      <c r="AU57" s="166">
        <v>1342</v>
      </c>
      <c r="AV57" s="166">
        <v>184</v>
      </c>
      <c r="AW57" s="166">
        <v>2169</v>
      </c>
      <c r="AX57" s="166">
        <v>-252306</v>
      </c>
      <c r="AY57" s="166">
        <v>-625197</v>
      </c>
      <c r="AZ57" s="166">
        <v>0</v>
      </c>
      <c r="BA57" s="166">
        <v>0</v>
      </c>
      <c r="BB57" s="166">
        <v>0</v>
      </c>
      <c r="BC57" s="166">
        <v>-1583048</v>
      </c>
      <c r="BD57" s="166">
        <v>-677206</v>
      </c>
      <c r="BE57" s="166">
        <v>14985145</v>
      </c>
      <c r="BF57" s="166"/>
      <c r="BG57" s="760">
        <v>26111100</v>
      </c>
      <c r="BH57" s="760">
        <v>0</v>
      </c>
      <c r="BI57" s="815">
        <v>11463856</v>
      </c>
      <c r="BJ57" s="1044" t="s">
        <v>2454</v>
      </c>
      <c r="BK57" s="1044" t="s">
        <v>2455</v>
      </c>
      <c r="BL57" s="1044" t="s">
        <v>2515</v>
      </c>
      <c r="BM57" s="650"/>
      <c r="BN57" s="746" t="s">
        <v>826</v>
      </c>
      <c r="BO57" s="142" t="b">
        <v>1</v>
      </c>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row>
    <row r="58" spans="1:98" s="142" customFormat="1" ht="12.75" hidden="1" x14ac:dyDescent="0.2">
      <c r="A58" s="735">
        <v>51</v>
      </c>
      <c r="B58" s="732" t="s">
        <v>827</v>
      </c>
      <c r="C58" s="738" t="s">
        <v>828</v>
      </c>
      <c r="D58" s="905">
        <v>578438.29918089195</v>
      </c>
      <c r="E58" s="905">
        <v>384501594</v>
      </c>
      <c r="F58" s="905">
        <v>15264</v>
      </c>
      <c r="G58" s="166">
        <v>194071264</v>
      </c>
      <c r="H58" s="166">
        <v>-15452114</v>
      </c>
      <c r="I58" s="166">
        <v>3404548</v>
      </c>
      <c r="J58" s="166">
        <v>-12047566</v>
      </c>
      <c r="K58" s="166">
        <v>-10705110</v>
      </c>
      <c r="L58" s="166">
        <v>-143617</v>
      </c>
      <c r="M58" s="166">
        <v>-26250</v>
      </c>
      <c r="N58" s="166">
        <v>-19226</v>
      </c>
      <c r="O58" s="166">
        <v>-50698</v>
      </c>
      <c r="P58" s="166">
        <v>-4661191</v>
      </c>
      <c r="Q58" s="166">
        <v>-236390</v>
      </c>
      <c r="R58" s="166">
        <v>-33059</v>
      </c>
      <c r="S58" s="166">
        <v>-6766</v>
      </c>
      <c r="T58" s="166"/>
      <c r="U58" s="166">
        <v>-5677</v>
      </c>
      <c r="V58" s="166">
        <v>-165258</v>
      </c>
      <c r="W58" s="166">
        <v>-165258</v>
      </c>
      <c r="X58" s="166">
        <v>0</v>
      </c>
      <c r="Y58" s="166">
        <v>-13125</v>
      </c>
      <c r="Z58" s="166">
        <v>142410615</v>
      </c>
      <c r="AA58" s="166">
        <v>-2038500</v>
      </c>
      <c r="AB58" s="166"/>
      <c r="AC58" s="166">
        <v>-11028961</v>
      </c>
      <c r="AD58" s="166">
        <v>617</v>
      </c>
      <c r="AE58" s="166">
        <v>33</v>
      </c>
      <c r="AF58" s="166">
        <v>11</v>
      </c>
      <c r="AG58" s="166"/>
      <c r="AH58" s="166">
        <v>12</v>
      </c>
      <c r="AI58" s="166">
        <v>0</v>
      </c>
      <c r="AJ58" s="166">
        <v>1477</v>
      </c>
      <c r="AK58" s="166">
        <v>289</v>
      </c>
      <c r="AL58" s="166">
        <v>28</v>
      </c>
      <c r="AM58" s="166">
        <v>0</v>
      </c>
      <c r="AN58" s="166">
        <v>5</v>
      </c>
      <c r="AO58" s="166">
        <v>27</v>
      </c>
      <c r="AP58" s="166">
        <v>44</v>
      </c>
      <c r="AQ58" s="166">
        <v>0</v>
      </c>
      <c r="AR58" s="166">
        <v>1332</v>
      </c>
      <c r="AS58" s="166">
        <v>3432</v>
      </c>
      <c r="AT58" s="166">
        <v>6350</v>
      </c>
      <c r="AU58" s="166">
        <v>5931</v>
      </c>
      <c r="AV58" s="166">
        <v>419</v>
      </c>
      <c r="AW58" s="166">
        <v>5561</v>
      </c>
      <c r="AX58" s="166">
        <v>-939600</v>
      </c>
      <c r="AY58" s="166">
        <v>-1016937</v>
      </c>
      <c r="AZ58" s="166">
        <v>0</v>
      </c>
      <c r="BA58" s="166">
        <v>0</v>
      </c>
      <c r="BB58" s="166">
        <v>-805372</v>
      </c>
      <c r="BC58" s="166">
        <v>-1899282</v>
      </c>
      <c r="BD58" s="166">
        <v>-836072</v>
      </c>
      <c r="BE58" s="166">
        <v>-7480049</v>
      </c>
      <c r="BF58" s="166"/>
      <c r="BG58" s="760">
        <v>54411450</v>
      </c>
      <c r="BH58" s="760">
        <v>177000</v>
      </c>
      <c r="BI58" s="815">
        <v>-15181064</v>
      </c>
      <c r="BJ58" s="1044" t="s">
        <v>515</v>
      </c>
      <c r="BK58" s="1044" t="s">
        <v>2481</v>
      </c>
      <c r="BL58" s="1044" t="s">
        <v>2516</v>
      </c>
      <c r="BM58" s="650"/>
      <c r="BN58" s="746" t="s">
        <v>828</v>
      </c>
      <c r="BO58" s="142" t="b">
        <v>1</v>
      </c>
      <c r="BP58" s="544"/>
      <c r="BQ58" s="544"/>
      <c r="BR58" s="544"/>
      <c r="BS58" s="544"/>
      <c r="BT58" s="544"/>
      <c r="BU58" s="544"/>
      <c r="BV58" s="544"/>
      <c r="BW58" s="544"/>
      <c r="BX58" s="544"/>
      <c r="BY58" s="544"/>
      <c r="BZ58" s="544"/>
      <c r="CA58" s="544"/>
      <c r="CB58" s="544"/>
      <c r="CC58" s="544"/>
      <c r="CD58" s="544"/>
      <c r="CE58" s="544"/>
      <c r="CF58" s="544"/>
      <c r="CG58" s="544"/>
      <c r="CH58" s="544"/>
      <c r="CI58" s="544"/>
      <c r="CJ58" s="544"/>
      <c r="CK58" s="544"/>
      <c r="CL58" s="544"/>
      <c r="CM58" s="544"/>
      <c r="CN58" s="544"/>
      <c r="CO58" s="544"/>
      <c r="CP58" s="544"/>
      <c r="CQ58" s="544"/>
      <c r="CR58" s="544"/>
      <c r="CS58" s="544"/>
    </row>
    <row r="59" spans="1:98" s="142" customFormat="1" ht="12.75" hidden="1" x14ac:dyDescent="0.2">
      <c r="A59" s="735">
        <v>52</v>
      </c>
      <c r="B59" s="732" t="s">
        <v>545</v>
      </c>
      <c r="C59" s="738" t="s">
        <v>829</v>
      </c>
      <c r="D59" s="905">
        <v>495065.026278148</v>
      </c>
      <c r="E59" s="905">
        <v>400787065</v>
      </c>
      <c r="F59" s="905">
        <v>12416</v>
      </c>
      <c r="G59" s="166">
        <v>196922148</v>
      </c>
      <c r="H59" s="166">
        <v>-11348293</v>
      </c>
      <c r="I59" s="166">
        <v>3962366</v>
      </c>
      <c r="J59" s="166">
        <v>-7385927</v>
      </c>
      <c r="K59" s="166">
        <v>-10999184</v>
      </c>
      <c r="L59" s="166">
        <v>-150000</v>
      </c>
      <c r="M59" s="166">
        <v>-5664</v>
      </c>
      <c r="N59" s="166">
        <v>-27717</v>
      </c>
      <c r="O59" s="166">
        <v>-250000</v>
      </c>
      <c r="P59" s="166">
        <v>-10027648</v>
      </c>
      <c r="Q59" s="166">
        <v>-1155746</v>
      </c>
      <c r="R59" s="166">
        <v>-1612598</v>
      </c>
      <c r="S59" s="166">
        <v>-30000</v>
      </c>
      <c r="T59" s="166"/>
      <c r="U59" s="166">
        <v>-5676</v>
      </c>
      <c r="V59" s="166">
        <v>-411525</v>
      </c>
      <c r="W59" s="166">
        <v>-111525</v>
      </c>
      <c r="X59" s="166">
        <v>0</v>
      </c>
      <c r="Y59" s="166">
        <v>-2832</v>
      </c>
      <c r="Z59" s="166">
        <v>144902201</v>
      </c>
      <c r="AA59" s="166">
        <v>-10500000</v>
      </c>
      <c r="AB59" s="166"/>
      <c r="AC59" s="166">
        <v>-10818735</v>
      </c>
      <c r="AD59" s="166">
        <v>503</v>
      </c>
      <c r="AE59" s="166">
        <v>15</v>
      </c>
      <c r="AF59" s="166">
        <v>2</v>
      </c>
      <c r="AG59" s="166"/>
      <c r="AH59" s="166">
        <v>13</v>
      </c>
      <c r="AI59" s="166">
        <v>1</v>
      </c>
      <c r="AJ59" s="166">
        <v>877</v>
      </c>
      <c r="AK59" s="166">
        <v>371</v>
      </c>
      <c r="AL59" s="166">
        <v>48</v>
      </c>
      <c r="AM59" s="166">
        <v>2</v>
      </c>
      <c r="AN59" s="166">
        <v>0</v>
      </c>
      <c r="AO59" s="166">
        <v>15</v>
      </c>
      <c r="AP59" s="166">
        <v>8</v>
      </c>
      <c r="AQ59" s="166">
        <v>4</v>
      </c>
      <c r="AR59" s="166">
        <v>1283</v>
      </c>
      <c r="AS59" s="166">
        <v>3119</v>
      </c>
      <c r="AT59" s="166">
        <v>4694</v>
      </c>
      <c r="AU59" s="166">
        <v>4407</v>
      </c>
      <c r="AV59" s="166">
        <v>287</v>
      </c>
      <c r="AW59" s="166">
        <v>4499</v>
      </c>
      <c r="AX59" s="166">
        <v>-2110048</v>
      </c>
      <c r="AY59" s="166">
        <v>-2679891</v>
      </c>
      <c r="AZ59" s="166">
        <v>0</v>
      </c>
      <c r="BA59" s="166">
        <v>-645923</v>
      </c>
      <c r="BB59" s="166">
        <v>-3456894</v>
      </c>
      <c r="BC59" s="166">
        <v>-1134892</v>
      </c>
      <c r="BD59" s="166">
        <v>-1200000</v>
      </c>
      <c r="BE59" s="166">
        <v>11268575</v>
      </c>
      <c r="BF59" s="166"/>
      <c r="BG59" s="760">
        <v>43185500</v>
      </c>
      <c r="BH59" s="760">
        <v>50000</v>
      </c>
      <c r="BI59" s="815">
        <v>16798380</v>
      </c>
      <c r="BJ59" s="1044" t="s">
        <v>515</v>
      </c>
      <c r="BK59" s="1044" t="s">
        <v>2481</v>
      </c>
      <c r="BL59" s="1044" t="s">
        <v>2517</v>
      </c>
      <c r="BM59" s="650"/>
      <c r="BN59" s="746" t="s">
        <v>829</v>
      </c>
      <c r="BO59" s="142" t="b">
        <v>1</v>
      </c>
      <c r="BP59" s="544"/>
      <c r="BQ59" s="544"/>
      <c r="BR59" s="544"/>
      <c r="BS59" s="544"/>
      <c r="BT59" s="544"/>
      <c r="BU59" s="544"/>
      <c r="BV59" s="544"/>
      <c r="BW59" s="544"/>
      <c r="BX59" s="544"/>
      <c r="BY59" s="544"/>
      <c r="BZ59" s="544"/>
      <c r="CA59" s="544"/>
      <c r="CB59" s="544"/>
      <c r="CC59" s="544"/>
      <c r="CD59" s="544"/>
      <c r="CE59" s="544"/>
      <c r="CF59" s="544"/>
      <c r="CG59" s="544"/>
      <c r="CH59" s="544"/>
      <c r="CI59" s="544"/>
      <c r="CJ59" s="544"/>
      <c r="CK59" s="544"/>
      <c r="CL59" s="544"/>
      <c r="CM59" s="544"/>
      <c r="CN59" s="544"/>
      <c r="CO59" s="544"/>
      <c r="CP59" s="544"/>
      <c r="CQ59" s="544"/>
      <c r="CR59" s="544"/>
      <c r="CS59" s="544"/>
    </row>
    <row r="60" spans="1:98" s="142" customFormat="1" ht="12.75" x14ac:dyDescent="0.2">
      <c r="A60" s="735">
        <v>53</v>
      </c>
      <c r="B60" s="732" t="s">
        <v>830</v>
      </c>
      <c r="C60" s="738" t="s">
        <v>831</v>
      </c>
      <c r="D60" s="905">
        <v>162875.346239982</v>
      </c>
      <c r="E60" s="905">
        <v>106562134</v>
      </c>
      <c r="F60" s="905">
        <v>4382</v>
      </c>
      <c r="G60" s="166">
        <v>53279697</v>
      </c>
      <c r="H60" s="166">
        <v>-4853723</v>
      </c>
      <c r="I60" s="166">
        <v>902445</v>
      </c>
      <c r="J60" s="166">
        <v>-3951278</v>
      </c>
      <c r="K60" s="166">
        <v>-2590886</v>
      </c>
      <c r="L60" s="166">
        <v>-49207</v>
      </c>
      <c r="M60" s="166">
        <v>-6240</v>
      </c>
      <c r="N60" s="166">
        <v>-9806</v>
      </c>
      <c r="O60" s="166">
        <v>0</v>
      </c>
      <c r="P60" s="166">
        <v>-1699938</v>
      </c>
      <c r="Q60" s="166">
        <v>-54074</v>
      </c>
      <c r="R60" s="166">
        <v>-32000</v>
      </c>
      <c r="S60" s="166">
        <v>-22</v>
      </c>
      <c r="T60" s="166"/>
      <c r="U60" s="166">
        <v>0</v>
      </c>
      <c r="V60" s="166">
        <v>0</v>
      </c>
      <c r="W60" s="166">
        <v>0</v>
      </c>
      <c r="X60" s="166">
        <v>0</v>
      </c>
      <c r="Y60" s="166">
        <v>-3120</v>
      </c>
      <c r="Z60" s="166">
        <v>39333259</v>
      </c>
      <c r="AA60" s="166">
        <v>-354000</v>
      </c>
      <c r="AB60" s="166"/>
      <c r="AC60" s="166">
        <v>-3392249</v>
      </c>
      <c r="AD60" s="166">
        <v>175</v>
      </c>
      <c r="AE60" s="166">
        <v>5</v>
      </c>
      <c r="AF60" s="166">
        <v>3</v>
      </c>
      <c r="AG60" s="166"/>
      <c r="AH60" s="166">
        <v>6</v>
      </c>
      <c r="AI60" s="166">
        <v>0</v>
      </c>
      <c r="AJ60" s="166">
        <v>249</v>
      </c>
      <c r="AK60" s="166">
        <v>44</v>
      </c>
      <c r="AL60" s="166">
        <v>1</v>
      </c>
      <c r="AM60" s="166">
        <v>0</v>
      </c>
      <c r="AN60" s="166">
        <v>0</v>
      </c>
      <c r="AO60" s="166">
        <v>1</v>
      </c>
      <c r="AP60" s="166">
        <v>0</v>
      </c>
      <c r="AQ60" s="166">
        <v>0</v>
      </c>
      <c r="AR60" s="166">
        <v>445</v>
      </c>
      <c r="AS60" s="166">
        <v>876</v>
      </c>
      <c r="AT60" s="166">
        <v>1903</v>
      </c>
      <c r="AU60" s="166">
        <v>1770</v>
      </c>
      <c r="AV60" s="166">
        <v>133</v>
      </c>
      <c r="AW60" s="166">
        <v>1531</v>
      </c>
      <c r="AX60" s="166">
        <v>-179706</v>
      </c>
      <c r="AY60" s="166">
        <v>-348152</v>
      </c>
      <c r="AZ60" s="166">
        <v>0</v>
      </c>
      <c r="BA60" s="166">
        <v>-21299</v>
      </c>
      <c r="BB60" s="166">
        <v>-815382</v>
      </c>
      <c r="BC60" s="166">
        <v>-335399</v>
      </c>
      <c r="BD60" s="166">
        <v>-378507</v>
      </c>
      <c r="BE60" s="166">
        <v>-184495</v>
      </c>
      <c r="BF60" s="166"/>
      <c r="BG60" s="760">
        <v>17142250</v>
      </c>
      <c r="BH60" s="760">
        <v>0</v>
      </c>
      <c r="BI60" s="815">
        <v>-1229105</v>
      </c>
      <c r="BJ60" s="1044" t="s">
        <v>2454</v>
      </c>
      <c r="BK60" s="1044" t="s">
        <v>2457</v>
      </c>
      <c r="BL60" s="1044" t="s">
        <v>2518</v>
      </c>
      <c r="BM60" s="650"/>
      <c r="BN60" s="746" t="s">
        <v>831</v>
      </c>
      <c r="BO60" s="142" t="b">
        <v>1</v>
      </c>
      <c r="BP60" s="544"/>
      <c r="BQ60" s="544"/>
      <c r="BR60" s="544"/>
      <c r="BS60" s="544"/>
      <c r="BT60" s="544"/>
      <c r="BU60" s="544"/>
      <c r="BV60" s="544"/>
      <c r="BW60" s="544"/>
      <c r="BX60" s="544"/>
      <c r="BY60" s="544"/>
      <c r="BZ60" s="544"/>
      <c r="CA60" s="544"/>
      <c r="CB60" s="544"/>
      <c r="CC60" s="544"/>
      <c r="CD60" s="544"/>
      <c r="CE60" s="544"/>
      <c r="CF60" s="544"/>
      <c r="CG60" s="544"/>
      <c r="CH60" s="544"/>
      <c r="CI60" s="544"/>
      <c r="CJ60" s="544"/>
      <c r="CK60" s="544"/>
      <c r="CL60" s="544"/>
      <c r="CM60" s="544"/>
      <c r="CN60" s="544"/>
      <c r="CO60" s="544"/>
      <c r="CP60" s="544"/>
      <c r="CQ60" s="544"/>
      <c r="CR60" s="544"/>
      <c r="CS60" s="544"/>
    </row>
    <row r="61" spans="1:98" s="142" customFormat="1" ht="12.75" x14ac:dyDescent="0.2">
      <c r="A61" s="735">
        <v>54</v>
      </c>
      <c r="B61" s="732" t="s">
        <v>832</v>
      </c>
      <c r="C61" s="738" t="s">
        <v>833</v>
      </c>
      <c r="D61" s="905">
        <v>203750.021156856</v>
      </c>
      <c r="E61" s="905">
        <v>134045306</v>
      </c>
      <c r="F61" s="905">
        <v>5475</v>
      </c>
      <c r="G61" s="166">
        <v>68265516</v>
      </c>
      <c r="H61" s="166">
        <v>-5437688</v>
      </c>
      <c r="I61" s="166">
        <v>1127634</v>
      </c>
      <c r="J61" s="166">
        <v>-4310054</v>
      </c>
      <c r="K61" s="166">
        <v>-5205677</v>
      </c>
      <c r="L61" s="166">
        <v>-38387</v>
      </c>
      <c r="M61" s="166">
        <v>-41694</v>
      </c>
      <c r="N61" s="166">
        <v>-28000</v>
      </c>
      <c r="O61" s="166">
        <v>-100000</v>
      </c>
      <c r="P61" s="166">
        <v>-1642537</v>
      </c>
      <c r="Q61" s="166">
        <v>-5000</v>
      </c>
      <c r="R61" s="166">
        <v>-5000</v>
      </c>
      <c r="S61" s="166">
        <v>-5000</v>
      </c>
      <c r="T61" s="166"/>
      <c r="U61" s="166">
        <v>-5000</v>
      </c>
      <c r="V61" s="166">
        <v>-5000</v>
      </c>
      <c r="W61" s="166">
        <v>0</v>
      </c>
      <c r="X61" s="166">
        <v>0</v>
      </c>
      <c r="Y61" s="166">
        <v>-18347</v>
      </c>
      <c r="Z61" s="166">
        <v>43167626</v>
      </c>
      <c r="AA61" s="166">
        <v>-1768500</v>
      </c>
      <c r="AB61" s="166"/>
      <c r="AC61" s="166">
        <v>-6719900</v>
      </c>
      <c r="AD61" s="166">
        <v>272</v>
      </c>
      <c r="AE61" s="166">
        <v>20</v>
      </c>
      <c r="AF61" s="166">
        <v>11</v>
      </c>
      <c r="AG61" s="166"/>
      <c r="AH61" s="166">
        <v>12</v>
      </c>
      <c r="AI61" s="166">
        <v>0</v>
      </c>
      <c r="AJ61" s="166">
        <v>224</v>
      </c>
      <c r="AK61" s="166">
        <v>0</v>
      </c>
      <c r="AL61" s="166">
        <v>0</v>
      </c>
      <c r="AM61" s="166">
        <v>11</v>
      </c>
      <c r="AN61" s="166">
        <v>0</v>
      </c>
      <c r="AO61" s="166">
        <v>0</v>
      </c>
      <c r="AP61" s="166">
        <v>0</v>
      </c>
      <c r="AQ61" s="166">
        <v>0</v>
      </c>
      <c r="AR61" s="166">
        <v>882</v>
      </c>
      <c r="AS61" s="166">
        <v>1086</v>
      </c>
      <c r="AT61" s="166">
        <v>2602</v>
      </c>
      <c r="AU61" s="166">
        <v>2464</v>
      </c>
      <c r="AV61" s="166">
        <v>138</v>
      </c>
      <c r="AW61" s="166">
        <v>1775</v>
      </c>
      <c r="AX61" s="166">
        <v>-26510</v>
      </c>
      <c r="AY61" s="166">
        <v>-1522292</v>
      </c>
      <c r="AZ61" s="166">
        <v>0</v>
      </c>
      <c r="BA61" s="166">
        <v>0</v>
      </c>
      <c r="BB61" s="166">
        <v>-85626</v>
      </c>
      <c r="BC61" s="166">
        <v>-8109</v>
      </c>
      <c r="BD61" s="166">
        <v>-1303673</v>
      </c>
      <c r="BE61" s="166">
        <v>-1507158</v>
      </c>
      <c r="BF61" s="166"/>
      <c r="BG61" s="760">
        <v>19601051</v>
      </c>
      <c r="BH61" s="760">
        <v>0</v>
      </c>
      <c r="BI61" s="815">
        <v>-2118832</v>
      </c>
      <c r="BJ61" s="1044" t="s">
        <v>2454</v>
      </c>
      <c r="BK61" s="1044" t="s">
        <v>2455</v>
      </c>
      <c r="BL61" s="1044" t="s">
        <v>2519</v>
      </c>
      <c r="BM61" s="650"/>
      <c r="BN61" s="746" t="s">
        <v>833</v>
      </c>
      <c r="BO61" s="142" t="b">
        <v>1</v>
      </c>
      <c r="BP61" s="544"/>
      <c r="BQ61" s="544"/>
      <c r="BR61" s="544"/>
      <c r="BS61" s="544"/>
      <c r="BT61" s="544"/>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row>
    <row r="62" spans="1:98" s="741" customFormat="1" ht="12.75" x14ac:dyDescent="0.2">
      <c r="A62" s="735">
        <v>55</v>
      </c>
      <c r="B62" s="732" t="s">
        <v>834</v>
      </c>
      <c r="C62" s="738" t="s">
        <v>835</v>
      </c>
      <c r="D62" s="905">
        <v>135366.80702104501</v>
      </c>
      <c r="E62" s="905">
        <v>77266183</v>
      </c>
      <c r="F62" s="905">
        <v>3744</v>
      </c>
      <c r="G62" s="166">
        <v>37904789</v>
      </c>
      <c r="H62" s="166">
        <v>-3706578</v>
      </c>
      <c r="I62" s="166">
        <v>641504</v>
      </c>
      <c r="J62" s="166">
        <v>-3065074</v>
      </c>
      <c r="K62" s="166">
        <v>-2708287</v>
      </c>
      <c r="L62" s="166">
        <v>-33405</v>
      </c>
      <c r="M62" s="166">
        <v>-9694</v>
      </c>
      <c r="N62" s="166">
        <v>0</v>
      </c>
      <c r="O62" s="166">
        <v>0</v>
      </c>
      <c r="P62" s="166">
        <v>-325414</v>
      </c>
      <c r="Q62" s="166">
        <v>0</v>
      </c>
      <c r="R62" s="166">
        <v>0</v>
      </c>
      <c r="S62" s="166">
        <v>0</v>
      </c>
      <c r="T62" s="166"/>
      <c r="U62" s="166">
        <v>0</v>
      </c>
      <c r="V62" s="166">
        <v>0</v>
      </c>
      <c r="W62" s="166">
        <v>0</v>
      </c>
      <c r="X62" s="166">
        <v>0</v>
      </c>
      <c r="Y62" s="166">
        <v>-4847</v>
      </c>
      <c r="Z62" s="166">
        <v>25655845</v>
      </c>
      <c r="AA62" s="166">
        <v>-1045708</v>
      </c>
      <c r="AB62" s="166"/>
      <c r="AC62" s="166">
        <v>-2756852</v>
      </c>
      <c r="AD62" s="166">
        <v>151</v>
      </c>
      <c r="AE62" s="166">
        <v>17</v>
      </c>
      <c r="AF62" s="166">
        <v>3</v>
      </c>
      <c r="AG62" s="166"/>
      <c r="AH62" s="166">
        <v>0</v>
      </c>
      <c r="AI62" s="166">
        <v>0</v>
      </c>
      <c r="AJ62" s="166">
        <v>267</v>
      </c>
      <c r="AK62" s="166">
        <v>0</v>
      </c>
      <c r="AL62" s="166">
        <v>0</v>
      </c>
      <c r="AM62" s="166">
        <v>0</v>
      </c>
      <c r="AN62" s="166">
        <v>0</v>
      </c>
      <c r="AO62" s="166">
        <v>0</v>
      </c>
      <c r="AP62" s="166">
        <v>0</v>
      </c>
      <c r="AQ62" s="166">
        <v>0</v>
      </c>
      <c r="AR62" s="166">
        <v>394</v>
      </c>
      <c r="AS62" s="166">
        <v>764</v>
      </c>
      <c r="AT62" s="166">
        <v>1683</v>
      </c>
      <c r="AU62" s="166">
        <v>1611</v>
      </c>
      <c r="AV62" s="166">
        <v>72</v>
      </c>
      <c r="AW62" s="166">
        <v>1265</v>
      </c>
      <c r="AX62" s="166">
        <v>-40498</v>
      </c>
      <c r="AY62" s="166">
        <v>-35994</v>
      </c>
      <c r="AZ62" s="166">
        <v>0</v>
      </c>
      <c r="BA62" s="166">
        <v>0</v>
      </c>
      <c r="BB62" s="166">
        <v>-210303</v>
      </c>
      <c r="BC62" s="166">
        <v>-38619</v>
      </c>
      <c r="BD62" s="166">
        <v>-486866</v>
      </c>
      <c r="BE62" s="166">
        <v>654376</v>
      </c>
      <c r="BF62" s="166"/>
      <c r="BG62" s="760">
        <v>10659850</v>
      </c>
      <c r="BH62" s="760">
        <v>0</v>
      </c>
      <c r="BI62" s="815">
        <v>428050</v>
      </c>
      <c r="BJ62" s="1044" t="s">
        <v>2454</v>
      </c>
      <c r="BK62" s="1044" t="s">
        <v>2481</v>
      </c>
      <c r="BL62" s="1044" t="s">
        <v>2520</v>
      </c>
      <c r="BM62" s="650"/>
      <c r="BN62" s="746" t="s">
        <v>835</v>
      </c>
      <c r="BO62" s="142" t="b">
        <v>1</v>
      </c>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142"/>
    </row>
    <row r="63" spans="1:98" s="142" customFormat="1" ht="12.75" hidden="1" x14ac:dyDescent="0.2">
      <c r="A63" s="735">
        <v>56</v>
      </c>
      <c r="B63" s="732" t="s">
        <v>836</v>
      </c>
      <c r="C63" s="738" t="s">
        <v>0</v>
      </c>
      <c r="D63" s="905">
        <v>1856080.67896145</v>
      </c>
      <c r="E63" s="905">
        <v>2568839013</v>
      </c>
      <c r="F63" s="905">
        <v>20112</v>
      </c>
      <c r="G63" s="166">
        <v>1297545660</v>
      </c>
      <c r="H63" s="166">
        <v>-2101617</v>
      </c>
      <c r="I63" s="166">
        <v>32105142</v>
      </c>
      <c r="J63" s="166">
        <v>30003525</v>
      </c>
      <c r="K63" s="166">
        <v>-18960404</v>
      </c>
      <c r="L63" s="166">
        <v>0</v>
      </c>
      <c r="M63" s="166">
        <v>0</v>
      </c>
      <c r="N63" s="166">
        <v>-24537</v>
      </c>
      <c r="O63" s="166">
        <v>-500000</v>
      </c>
      <c r="P63" s="166">
        <v>-78467761</v>
      </c>
      <c r="Q63" s="166">
        <v>-172794</v>
      </c>
      <c r="R63" s="166">
        <v>-60096</v>
      </c>
      <c r="S63" s="166">
        <v>0</v>
      </c>
      <c r="T63" s="166"/>
      <c r="U63" s="166">
        <v>0</v>
      </c>
      <c r="V63" s="166">
        <v>0</v>
      </c>
      <c r="W63" s="166">
        <v>0</v>
      </c>
      <c r="X63" s="166">
        <v>0</v>
      </c>
      <c r="Y63" s="166">
        <v>0</v>
      </c>
      <c r="Z63" s="166">
        <v>1198865749</v>
      </c>
      <c r="AA63" s="166">
        <v>-40000000</v>
      </c>
      <c r="AB63" s="166"/>
      <c r="AC63" s="166">
        <v>-23627281</v>
      </c>
      <c r="AD63" s="166">
        <v>302</v>
      </c>
      <c r="AE63" s="166">
        <v>0</v>
      </c>
      <c r="AF63" s="166">
        <v>0</v>
      </c>
      <c r="AG63" s="166"/>
      <c r="AH63" s="166">
        <v>2</v>
      </c>
      <c r="AI63" s="166">
        <v>8</v>
      </c>
      <c r="AJ63" s="166">
        <v>6482</v>
      </c>
      <c r="AK63" s="166">
        <v>32</v>
      </c>
      <c r="AL63" s="166">
        <v>3</v>
      </c>
      <c r="AM63" s="166">
        <v>0</v>
      </c>
      <c r="AN63" s="166">
        <v>0</v>
      </c>
      <c r="AO63" s="166">
        <v>0</v>
      </c>
      <c r="AP63" s="166">
        <v>0</v>
      </c>
      <c r="AQ63" s="166">
        <v>0</v>
      </c>
      <c r="AR63" s="166">
        <v>1419</v>
      </c>
      <c r="AS63" s="166">
        <v>13376</v>
      </c>
      <c r="AT63" s="166">
        <v>748</v>
      </c>
      <c r="AU63" s="166">
        <v>654</v>
      </c>
      <c r="AV63" s="166">
        <v>94</v>
      </c>
      <c r="AW63" s="166">
        <v>11261</v>
      </c>
      <c r="AX63" s="166">
        <v>-193737</v>
      </c>
      <c r="AY63" s="166">
        <v>-47500964</v>
      </c>
      <c r="AZ63" s="166">
        <v>0</v>
      </c>
      <c r="BA63" s="166">
        <v>-68901</v>
      </c>
      <c r="BB63" s="166">
        <v>-4513799</v>
      </c>
      <c r="BC63" s="166">
        <v>-26190360</v>
      </c>
      <c r="BD63" s="166">
        <v>-167000</v>
      </c>
      <c r="BE63" s="166">
        <v>9626441</v>
      </c>
      <c r="BF63" s="166"/>
      <c r="BG63" s="760">
        <v>63784850</v>
      </c>
      <c r="BH63" s="760">
        <v>0</v>
      </c>
      <c r="BI63" s="815">
        <v>80859308</v>
      </c>
      <c r="BJ63" s="1044" t="s">
        <v>2506</v>
      </c>
      <c r="BK63" s="1044" t="s">
        <v>2465</v>
      </c>
      <c r="BL63" s="1044" t="s">
        <v>2521</v>
      </c>
      <c r="BM63" s="650"/>
      <c r="BN63" s="746" t="s">
        <v>0</v>
      </c>
      <c r="BO63" s="142" t="b">
        <v>1</v>
      </c>
      <c r="BP63" s="544"/>
      <c r="BQ63" s="544"/>
      <c r="BR63" s="544"/>
      <c r="BS63" s="544"/>
      <c r="BT63" s="544"/>
      <c r="BU63" s="544"/>
      <c r="BV63" s="544"/>
      <c r="BW63" s="544"/>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row>
    <row r="64" spans="1:98" s="142" customFormat="1" ht="12.75" x14ac:dyDescent="0.2">
      <c r="A64" s="735">
        <v>57</v>
      </c>
      <c r="B64" s="732" t="s">
        <v>1</v>
      </c>
      <c r="C64" s="738" t="s">
        <v>2</v>
      </c>
      <c r="D64" s="905">
        <v>238804.6829208</v>
      </c>
      <c r="E64" s="905">
        <v>173972677</v>
      </c>
      <c r="F64" s="905">
        <v>6164</v>
      </c>
      <c r="G64" s="166">
        <v>86797125</v>
      </c>
      <c r="H64" s="166">
        <v>-5902273</v>
      </c>
      <c r="I64" s="166">
        <v>1610952</v>
      </c>
      <c r="J64" s="166">
        <v>-4291321</v>
      </c>
      <c r="K64" s="166">
        <v>-7635055</v>
      </c>
      <c r="L64" s="166">
        <v>-47869</v>
      </c>
      <c r="M64" s="166">
        <v>-7612</v>
      </c>
      <c r="N64" s="166">
        <v>-21312</v>
      </c>
      <c r="O64" s="166">
        <v>0</v>
      </c>
      <c r="P64" s="166">
        <v>-1401246</v>
      </c>
      <c r="Q64" s="166">
        <v>-230248</v>
      </c>
      <c r="R64" s="166">
        <v>0</v>
      </c>
      <c r="S64" s="166">
        <v>-11302</v>
      </c>
      <c r="T64" s="166"/>
      <c r="U64" s="166">
        <v>0</v>
      </c>
      <c r="V64" s="166">
        <v>0</v>
      </c>
      <c r="W64" s="166">
        <v>0</v>
      </c>
      <c r="X64" s="166">
        <v>0</v>
      </c>
      <c r="Y64" s="166">
        <v>-3806</v>
      </c>
      <c r="Z64" s="166">
        <v>61571372</v>
      </c>
      <c r="AA64" s="166">
        <v>-1100000</v>
      </c>
      <c r="AB64" s="166"/>
      <c r="AC64" s="166">
        <v>-6083652</v>
      </c>
      <c r="AD64" s="166">
        <v>287</v>
      </c>
      <c r="AE64" s="166">
        <v>17</v>
      </c>
      <c r="AF64" s="166">
        <v>5</v>
      </c>
      <c r="AG64" s="166"/>
      <c r="AH64" s="166">
        <v>10</v>
      </c>
      <c r="AI64" s="166">
        <v>0</v>
      </c>
      <c r="AJ64" s="166">
        <v>196</v>
      </c>
      <c r="AK64" s="166">
        <v>88</v>
      </c>
      <c r="AL64" s="166">
        <v>0</v>
      </c>
      <c r="AM64" s="166">
        <v>0</v>
      </c>
      <c r="AN64" s="166">
        <v>0</v>
      </c>
      <c r="AO64" s="166">
        <v>18</v>
      </c>
      <c r="AP64" s="166">
        <v>0</v>
      </c>
      <c r="AQ64" s="166">
        <v>0</v>
      </c>
      <c r="AR64" s="166">
        <v>771</v>
      </c>
      <c r="AS64" s="166">
        <v>1210</v>
      </c>
      <c r="AT64" s="166">
        <v>2767</v>
      </c>
      <c r="AU64" s="166">
        <v>2606</v>
      </c>
      <c r="AV64" s="166">
        <v>161</v>
      </c>
      <c r="AW64" s="166">
        <v>2257</v>
      </c>
      <c r="AX64" s="166">
        <v>-59988</v>
      </c>
      <c r="AY64" s="166">
        <v>-235255</v>
      </c>
      <c r="AZ64" s="166">
        <v>0</v>
      </c>
      <c r="BA64" s="166">
        <v>-6682</v>
      </c>
      <c r="BB64" s="166">
        <v>-523238</v>
      </c>
      <c r="BC64" s="166">
        <v>-576083</v>
      </c>
      <c r="BD64" s="166">
        <v>-693032</v>
      </c>
      <c r="BE64" s="166">
        <v>-669332</v>
      </c>
      <c r="BF64" s="166"/>
      <c r="BG64" s="760">
        <v>24316700</v>
      </c>
      <c r="BH64" s="760">
        <v>0</v>
      </c>
      <c r="BI64" s="815">
        <v>1183636</v>
      </c>
      <c r="BJ64" s="1044" t="s">
        <v>2454</v>
      </c>
      <c r="BK64" s="1044" t="s">
        <v>2462</v>
      </c>
      <c r="BL64" s="1044" t="s">
        <v>2522</v>
      </c>
      <c r="BM64" s="650"/>
      <c r="BN64" s="746" t="s">
        <v>2</v>
      </c>
      <c r="BO64" s="142" t="b">
        <v>1</v>
      </c>
      <c r="BP64" s="544"/>
      <c r="BQ64" s="544"/>
      <c r="BR64" s="544"/>
      <c r="BS64" s="544"/>
      <c r="BT64" s="544"/>
      <c r="BU64" s="544"/>
      <c r="BV64" s="544"/>
      <c r="BW64" s="544"/>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row>
    <row r="65" spans="1:98" s="142" customFormat="1" ht="12.75" hidden="1" x14ac:dyDescent="0.2">
      <c r="A65" s="735">
        <v>58</v>
      </c>
      <c r="B65" s="732" t="s">
        <v>3</v>
      </c>
      <c r="C65" s="738" t="s">
        <v>4</v>
      </c>
      <c r="D65" s="905">
        <v>1255310.9133250399</v>
      </c>
      <c r="E65" s="905">
        <v>522805366</v>
      </c>
      <c r="F65" s="905">
        <v>36470</v>
      </c>
      <c r="G65" s="166">
        <v>260312463</v>
      </c>
      <c r="H65" s="166">
        <v>-44503786</v>
      </c>
      <c r="I65" s="166">
        <v>3701532</v>
      </c>
      <c r="J65" s="166">
        <v>-40802254</v>
      </c>
      <c r="K65" s="166">
        <v>-20094903</v>
      </c>
      <c r="L65" s="166">
        <v>-214669</v>
      </c>
      <c r="M65" s="166">
        <v>-271424</v>
      </c>
      <c r="N65" s="166">
        <v>-267631</v>
      </c>
      <c r="O65" s="166">
        <v>-6150</v>
      </c>
      <c r="P65" s="166">
        <v>-3654861</v>
      </c>
      <c r="Q65" s="166">
        <v>-699158</v>
      </c>
      <c r="R65" s="166">
        <v>-286240</v>
      </c>
      <c r="S65" s="166">
        <v>-8835</v>
      </c>
      <c r="T65" s="166"/>
      <c r="U65" s="166">
        <v>0</v>
      </c>
      <c r="V65" s="166">
        <v>-150928</v>
      </c>
      <c r="W65" s="166">
        <v>-150928</v>
      </c>
      <c r="X65" s="166">
        <v>0</v>
      </c>
      <c r="Y65" s="166">
        <v>-135712</v>
      </c>
      <c r="Z65" s="166">
        <v>141989413</v>
      </c>
      <c r="AA65" s="166">
        <v>-4860000</v>
      </c>
      <c r="AB65" s="166"/>
      <c r="AC65" s="166">
        <v>-33594021</v>
      </c>
      <c r="AD65" s="166">
        <v>1807</v>
      </c>
      <c r="AE65" s="166">
        <v>51</v>
      </c>
      <c r="AF65" s="166">
        <v>105</v>
      </c>
      <c r="AG65" s="166"/>
      <c r="AH65" s="166">
        <v>201</v>
      </c>
      <c r="AI65" s="166">
        <v>0</v>
      </c>
      <c r="AJ65" s="166">
        <v>889</v>
      </c>
      <c r="AK65" s="166">
        <v>751</v>
      </c>
      <c r="AL65" s="166">
        <v>95</v>
      </c>
      <c r="AM65" s="166">
        <v>0</v>
      </c>
      <c r="AN65" s="166">
        <v>0</v>
      </c>
      <c r="AO65" s="166">
        <v>20</v>
      </c>
      <c r="AP65" s="166">
        <v>6</v>
      </c>
      <c r="AQ65" s="166">
        <v>0</v>
      </c>
      <c r="AR65" s="166">
        <v>5205</v>
      </c>
      <c r="AS65" s="166">
        <v>4899</v>
      </c>
      <c r="AT65" s="166">
        <v>21232</v>
      </c>
      <c r="AU65" s="166">
        <v>20563</v>
      </c>
      <c r="AV65" s="166">
        <v>669</v>
      </c>
      <c r="AW65" s="166">
        <v>10371</v>
      </c>
      <c r="AX65" s="166">
        <v>-126458</v>
      </c>
      <c r="AY65" s="166">
        <v>-1974356</v>
      </c>
      <c r="AZ65" s="166">
        <v>0</v>
      </c>
      <c r="BA65" s="166">
        <v>-271922</v>
      </c>
      <c r="BB65" s="166">
        <v>-1209393</v>
      </c>
      <c r="BC65" s="166">
        <v>-72732</v>
      </c>
      <c r="BD65" s="166">
        <v>-2698643</v>
      </c>
      <c r="BE65" s="166">
        <v>154441</v>
      </c>
      <c r="BF65" s="166"/>
      <c r="BG65" s="760">
        <v>83662290</v>
      </c>
      <c r="BH65" s="760">
        <v>345000</v>
      </c>
      <c r="BI65" s="815">
        <v>649609</v>
      </c>
      <c r="BJ65" s="1044" t="s">
        <v>515</v>
      </c>
      <c r="BK65" s="1044" t="s">
        <v>2474</v>
      </c>
      <c r="BL65" s="1044" t="s">
        <v>2523</v>
      </c>
      <c r="BM65" s="650"/>
      <c r="BN65" s="746" t="s">
        <v>4</v>
      </c>
      <c r="BO65" s="142" t="b">
        <v>1</v>
      </c>
      <c r="BP65" s="544"/>
      <c r="BQ65" s="544"/>
      <c r="BR65" s="544"/>
      <c r="BS65" s="544"/>
      <c r="BT65" s="544"/>
      <c r="BU65" s="544"/>
      <c r="BV65" s="544"/>
      <c r="BW65" s="544"/>
      <c r="BX65" s="544"/>
      <c r="BY65" s="544"/>
      <c r="BZ65" s="544"/>
      <c r="CA65" s="544"/>
      <c r="CB65" s="544"/>
      <c r="CC65" s="544"/>
      <c r="CD65" s="544"/>
      <c r="CE65" s="544"/>
      <c r="CF65" s="544"/>
      <c r="CG65" s="544"/>
      <c r="CH65" s="544"/>
      <c r="CI65" s="544"/>
      <c r="CJ65" s="544"/>
      <c r="CK65" s="544"/>
      <c r="CL65" s="544"/>
      <c r="CM65" s="544"/>
      <c r="CN65" s="544"/>
      <c r="CO65" s="544"/>
      <c r="CP65" s="544"/>
      <c r="CQ65" s="544"/>
      <c r="CR65" s="544"/>
      <c r="CS65" s="544"/>
    </row>
    <row r="66" spans="1:98" s="142" customFormat="1" ht="12.75" x14ac:dyDescent="0.2">
      <c r="A66" s="735">
        <v>59</v>
      </c>
      <c r="B66" s="732" t="s">
        <v>5</v>
      </c>
      <c r="C66" s="738" t="s">
        <v>6</v>
      </c>
      <c r="D66" s="905">
        <v>196273.15749442301</v>
      </c>
      <c r="E66" s="905">
        <v>103080593</v>
      </c>
      <c r="F66" s="905">
        <v>5385</v>
      </c>
      <c r="G66" s="166">
        <v>51463400</v>
      </c>
      <c r="H66" s="166">
        <v>-5467481</v>
      </c>
      <c r="I66" s="166">
        <v>732900</v>
      </c>
      <c r="J66" s="166">
        <v>-4734581</v>
      </c>
      <c r="K66" s="166">
        <v>-2942738</v>
      </c>
      <c r="L66" s="166">
        <v>-56819</v>
      </c>
      <c r="M66" s="166">
        <v>-36746</v>
      </c>
      <c r="N66" s="166">
        <v>-22282</v>
      </c>
      <c r="O66" s="166">
        <v>0</v>
      </c>
      <c r="P66" s="166">
        <v>-919882</v>
      </c>
      <c r="Q66" s="166">
        <v>-19186</v>
      </c>
      <c r="R66" s="166">
        <v>0</v>
      </c>
      <c r="S66" s="166">
        <v>0</v>
      </c>
      <c r="T66" s="166"/>
      <c r="U66" s="166">
        <v>0</v>
      </c>
      <c r="V66" s="166">
        <v>0</v>
      </c>
      <c r="W66" s="166">
        <v>0</v>
      </c>
      <c r="X66" s="166">
        <v>0</v>
      </c>
      <c r="Y66" s="166">
        <v>-18373</v>
      </c>
      <c r="Z66" s="166">
        <v>30653292</v>
      </c>
      <c r="AA66" s="166">
        <v>-1646829</v>
      </c>
      <c r="AB66" s="166"/>
      <c r="AC66" s="166">
        <v>-6583508</v>
      </c>
      <c r="AD66" s="166">
        <v>298</v>
      </c>
      <c r="AE66" s="166">
        <v>25</v>
      </c>
      <c r="AF66" s="166">
        <v>19</v>
      </c>
      <c r="AG66" s="166"/>
      <c r="AH66" s="166">
        <v>11</v>
      </c>
      <c r="AI66" s="166">
        <v>0</v>
      </c>
      <c r="AJ66" s="166">
        <v>236</v>
      </c>
      <c r="AK66" s="166">
        <v>12</v>
      </c>
      <c r="AL66" s="166">
        <v>0</v>
      </c>
      <c r="AM66" s="166">
        <v>0</v>
      </c>
      <c r="AN66" s="166">
        <v>0</v>
      </c>
      <c r="AO66" s="166">
        <v>0</v>
      </c>
      <c r="AP66" s="166">
        <v>0</v>
      </c>
      <c r="AQ66" s="166">
        <v>0</v>
      </c>
      <c r="AR66" s="166">
        <v>1000</v>
      </c>
      <c r="AS66" s="166">
        <v>1024</v>
      </c>
      <c r="AT66" s="166">
        <v>2398</v>
      </c>
      <c r="AU66" s="166">
        <v>2214</v>
      </c>
      <c r="AV66" s="166">
        <v>184</v>
      </c>
      <c r="AW66" s="166">
        <v>1907</v>
      </c>
      <c r="AX66" s="166">
        <v>-23169</v>
      </c>
      <c r="AY66" s="166">
        <v>-727051</v>
      </c>
      <c r="AZ66" s="166">
        <v>0</v>
      </c>
      <c r="BA66" s="166">
        <v>0</v>
      </c>
      <c r="BB66" s="166">
        <v>-149256</v>
      </c>
      <c r="BC66" s="166">
        <v>-20406</v>
      </c>
      <c r="BD66" s="166">
        <v>-1095583</v>
      </c>
      <c r="BE66" s="166">
        <v>-975889</v>
      </c>
      <c r="BF66" s="166"/>
      <c r="BG66" s="760">
        <v>17630250</v>
      </c>
      <c r="BH66" s="760">
        <v>0</v>
      </c>
      <c r="BI66" s="815">
        <v>491740</v>
      </c>
      <c r="BJ66" s="1044" t="s">
        <v>2454</v>
      </c>
      <c r="BK66" s="1044" t="s">
        <v>2474</v>
      </c>
      <c r="BL66" s="1044" t="s">
        <v>2524</v>
      </c>
      <c r="BM66" s="650"/>
      <c r="BN66" s="746" t="s">
        <v>6</v>
      </c>
      <c r="BO66" s="142" t="b">
        <v>1</v>
      </c>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row>
    <row r="67" spans="1:98" s="142" customFormat="1" ht="12.75" hidden="1" x14ac:dyDescent="0.2">
      <c r="A67" s="735">
        <v>60</v>
      </c>
      <c r="B67" s="732" t="s">
        <v>7</v>
      </c>
      <c r="C67" s="738" t="s">
        <v>8</v>
      </c>
      <c r="D67" s="905">
        <v>368210.216705831</v>
      </c>
      <c r="E67" s="905">
        <v>340347412</v>
      </c>
      <c r="F67" s="905">
        <v>8848</v>
      </c>
      <c r="G67" s="166">
        <v>165286080</v>
      </c>
      <c r="H67" s="166">
        <v>-8153348</v>
      </c>
      <c r="I67" s="166">
        <v>3331509</v>
      </c>
      <c r="J67" s="166">
        <v>-4821839</v>
      </c>
      <c r="K67" s="166">
        <v>-19609594</v>
      </c>
      <c r="L67" s="166">
        <v>-193049</v>
      </c>
      <c r="M67" s="166">
        <v>0</v>
      </c>
      <c r="N67" s="166">
        <v>-8987</v>
      </c>
      <c r="O67" s="166">
        <v>0</v>
      </c>
      <c r="P67" s="166">
        <v>-4117589</v>
      </c>
      <c r="Q67" s="166">
        <v>-467093</v>
      </c>
      <c r="R67" s="166">
        <v>0</v>
      </c>
      <c r="S67" s="166">
        <v>0</v>
      </c>
      <c r="T67" s="166"/>
      <c r="U67" s="166">
        <v>0</v>
      </c>
      <c r="V67" s="166">
        <v>0</v>
      </c>
      <c r="W67" s="166">
        <v>0</v>
      </c>
      <c r="X67" s="166">
        <v>0</v>
      </c>
      <c r="Y67" s="166">
        <v>0</v>
      </c>
      <c r="Z67" s="166">
        <v>115604606</v>
      </c>
      <c r="AA67" s="166">
        <v>-7202167</v>
      </c>
      <c r="AB67" s="166"/>
      <c r="AC67" s="166">
        <v>-9641253</v>
      </c>
      <c r="AD67" s="166">
        <v>438</v>
      </c>
      <c r="AE67" s="166">
        <v>10</v>
      </c>
      <c r="AF67" s="166">
        <v>0</v>
      </c>
      <c r="AG67" s="166"/>
      <c r="AH67" s="166">
        <v>6</v>
      </c>
      <c r="AI67" s="166">
        <v>2</v>
      </c>
      <c r="AJ67" s="166">
        <v>798</v>
      </c>
      <c r="AK67" s="166">
        <v>9</v>
      </c>
      <c r="AL67" s="166">
        <v>0</v>
      </c>
      <c r="AM67" s="166">
        <v>0</v>
      </c>
      <c r="AN67" s="166">
        <v>0</v>
      </c>
      <c r="AO67" s="166">
        <v>0</v>
      </c>
      <c r="AP67" s="166">
        <v>0</v>
      </c>
      <c r="AQ67" s="166">
        <v>0</v>
      </c>
      <c r="AR67" s="166">
        <v>1170</v>
      </c>
      <c r="AS67" s="166">
        <v>2087</v>
      </c>
      <c r="AT67" s="166">
        <v>3592</v>
      </c>
      <c r="AU67" s="166">
        <v>3399</v>
      </c>
      <c r="AV67" s="166">
        <v>193</v>
      </c>
      <c r="AW67" s="166">
        <v>3373</v>
      </c>
      <c r="AX67" s="166">
        <v>-163168</v>
      </c>
      <c r="AY67" s="166">
        <v>-767849</v>
      </c>
      <c r="AZ67" s="166">
        <v>0</v>
      </c>
      <c r="BA67" s="166">
        <v>-47991</v>
      </c>
      <c r="BB67" s="166">
        <v>0</v>
      </c>
      <c r="BC67" s="166">
        <v>-3138581</v>
      </c>
      <c r="BD67" s="166">
        <v>-1970583</v>
      </c>
      <c r="BE67" s="166">
        <v>3387886</v>
      </c>
      <c r="BF67" s="166"/>
      <c r="BG67" s="760">
        <v>33001150</v>
      </c>
      <c r="BH67" s="760">
        <v>0</v>
      </c>
      <c r="BI67" s="815">
        <v>1844238</v>
      </c>
      <c r="BJ67" s="1044" t="s">
        <v>2468</v>
      </c>
      <c r="BK67" s="1044" t="s">
        <v>2478</v>
      </c>
      <c r="BL67" s="1044" t="s">
        <v>2525</v>
      </c>
      <c r="BM67" s="650"/>
      <c r="BN67" s="746" t="s">
        <v>8</v>
      </c>
      <c r="BO67" s="142" t="b">
        <v>1</v>
      </c>
      <c r="BP67" s="544"/>
      <c r="BQ67" s="544"/>
      <c r="BR67" s="544"/>
      <c r="BS67" s="544"/>
      <c r="BT67" s="544"/>
      <c r="BU67" s="544"/>
      <c r="BV67" s="544"/>
      <c r="BW67" s="544"/>
      <c r="BX67" s="544"/>
      <c r="BY67" s="544"/>
      <c r="BZ67" s="544"/>
      <c r="CA67" s="544"/>
      <c r="CB67" s="544"/>
      <c r="CC67" s="544"/>
      <c r="CD67" s="544"/>
      <c r="CE67" s="544"/>
      <c r="CF67" s="544"/>
      <c r="CG67" s="544"/>
      <c r="CH67" s="544"/>
      <c r="CI67" s="544"/>
      <c r="CJ67" s="544"/>
      <c r="CK67" s="544"/>
      <c r="CL67" s="544"/>
      <c r="CM67" s="544"/>
      <c r="CN67" s="544"/>
      <c r="CO67" s="544"/>
      <c r="CP67" s="544"/>
      <c r="CQ67" s="544"/>
      <c r="CR67" s="544"/>
      <c r="CS67" s="544"/>
    </row>
    <row r="68" spans="1:98" s="142" customFormat="1" ht="12.75" x14ac:dyDescent="0.2">
      <c r="A68" s="735">
        <v>61</v>
      </c>
      <c r="B68" s="732" t="s">
        <v>9</v>
      </c>
      <c r="C68" s="738" t="s">
        <v>10</v>
      </c>
      <c r="D68" s="905">
        <v>214392.58102398599</v>
      </c>
      <c r="E68" s="905">
        <v>292974524</v>
      </c>
      <c r="F68" s="905">
        <v>3726</v>
      </c>
      <c r="G68" s="166">
        <v>150194972</v>
      </c>
      <c r="H68" s="166">
        <v>-1572128</v>
      </c>
      <c r="I68" s="166">
        <v>3470626</v>
      </c>
      <c r="J68" s="166">
        <v>1898498</v>
      </c>
      <c r="K68" s="166">
        <v>-3275814</v>
      </c>
      <c r="L68" s="166">
        <v>-32024</v>
      </c>
      <c r="M68" s="166">
        <v>0</v>
      </c>
      <c r="N68" s="166">
        <v>-18974</v>
      </c>
      <c r="O68" s="166">
        <v>-50000</v>
      </c>
      <c r="P68" s="166">
        <v>-6205473</v>
      </c>
      <c r="Q68" s="166">
        <v>-256340</v>
      </c>
      <c r="R68" s="166">
        <v>-121273</v>
      </c>
      <c r="S68" s="166">
        <v>-2344</v>
      </c>
      <c r="T68" s="166"/>
      <c r="U68" s="166">
        <v>0</v>
      </c>
      <c r="V68" s="166">
        <v>0</v>
      </c>
      <c r="W68" s="166">
        <v>0</v>
      </c>
      <c r="X68" s="166">
        <v>0</v>
      </c>
      <c r="Y68" s="166">
        <v>0</v>
      </c>
      <c r="Z68" s="166">
        <v>133339589</v>
      </c>
      <c r="AA68" s="166">
        <v>-5200244</v>
      </c>
      <c r="AB68" s="166"/>
      <c r="AC68" s="166">
        <v>-2871516</v>
      </c>
      <c r="AD68" s="166">
        <v>108</v>
      </c>
      <c r="AE68" s="166">
        <v>14</v>
      </c>
      <c r="AF68" s="166">
        <v>0</v>
      </c>
      <c r="AG68" s="166"/>
      <c r="AH68" s="166">
        <v>13</v>
      </c>
      <c r="AI68" s="166">
        <v>0</v>
      </c>
      <c r="AJ68" s="166">
        <v>576</v>
      </c>
      <c r="AK68" s="166">
        <v>54</v>
      </c>
      <c r="AL68" s="166">
        <v>6</v>
      </c>
      <c r="AM68" s="166">
        <v>0</v>
      </c>
      <c r="AN68" s="166">
        <v>0</v>
      </c>
      <c r="AO68" s="166">
        <v>8</v>
      </c>
      <c r="AP68" s="166">
        <v>0</v>
      </c>
      <c r="AQ68" s="166">
        <v>0</v>
      </c>
      <c r="AR68" s="166">
        <v>226</v>
      </c>
      <c r="AS68" s="166">
        <v>1358</v>
      </c>
      <c r="AT68" s="166">
        <v>592</v>
      </c>
      <c r="AU68" s="166">
        <v>486</v>
      </c>
      <c r="AV68" s="166">
        <v>106</v>
      </c>
      <c r="AW68" s="166">
        <v>1778</v>
      </c>
      <c r="AX68" s="166">
        <v>-1892392</v>
      </c>
      <c r="AY68" s="166">
        <v>-88720</v>
      </c>
      <c r="AZ68" s="166">
        <v>0</v>
      </c>
      <c r="BA68" s="166">
        <v>-1131</v>
      </c>
      <c r="BB68" s="166">
        <v>-2468770</v>
      </c>
      <c r="BC68" s="166">
        <v>-1754460</v>
      </c>
      <c r="BD68" s="166">
        <v>-574449</v>
      </c>
      <c r="BE68" s="166">
        <v>-4848371</v>
      </c>
      <c r="BF68" s="166"/>
      <c r="BG68" s="760">
        <v>17378584</v>
      </c>
      <c r="BH68" s="760">
        <v>0</v>
      </c>
      <c r="BI68" s="815">
        <v>1629046</v>
      </c>
      <c r="BJ68" s="1044" t="s">
        <v>2454</v>
      </c>
      <c r="BK68" s="1044" t="s">
        <v>2455</v>
      </c>
      <c r="BL68" s="1044" t="s">
        <v>2526</v>
      </c>
      <c r="BM68" s="650"/>
      <c r="BN68" s="746" t="s">
        <v>10</v>
      </c>
      <c r="BO68" s="142" t="b">
        <v>1</v>
      </c>
      <c r="BP68" s="544"/>
      <c r="BQ68" s="544"/>
      <c r="BR68" s="544"/>
      <c r="BS68" s="544"/>
      <c r="BT68" s="544"/>
      <c r="BU68" s="544"/>
      <c r="BV68" s="544"/>
      <c r="BW68" s="544"/>
      <c r="BX68" s="544"/>
      <c r="BY68" s="544"/>
      <c r="BZ68" s="544"/>
      <c r="CA68" s="544"/>
      <c r="CB68" s="544"/>
      <c r="CC68" s="544"/>
      <c r="CD68" s="544"/>
      <c r="CE68" s="544"/>
      <c r="CF68" s="544"/>
      <c r="CG68" s="544"/>
      <c r="CH68" s="544"/>
      <c r="CI68" s="544"/>
      <c r="CJ68" s="544"/>
      <c r="CK68" s="544"/>
      <c r="CL68" s="544"/>
      <c r="CM68" s="544"/>
      <c r="CN68" s="544"/>
      <c r="CO68" s="544"/>
      <c r="CP68" s="544"/>
      <c r="CQ68" s="544"/>
      <c r="CR68" s="544"/>
      <c r="CS68" s="544"/>
    </row>
    <row r="69" spans="1:98" s="142" customFormat="1" ht="12.75" hidden="1" x14ac:dyDescent="0.2">
      <c r="A69" s="735">
        <v>62</v>
      </c>
      <c r="B69" s="732" t="s">
        <v>11</v>
      </c>
      <c r="C69" s="738" t="s">
        <v>12</v>
      </c>
      <c r="D69" s="905">
        <v>384089.94957287901</v>
      </c>
      <c r="E69" s="905">
        <v>323483286</v>
      </c>
      <c r="F69" s="905">
        <v>8791</v>
      </c>
      <c r="G69" s="166">
        <v>163549428</v>
      </c>
      <c r="H69" s="166">
        <v>-9432359</v>
      </c>
      <c r="I69" s="166">
        <v>3088055</v>
      </c>
      <c r="J69" s="166">
        <v>-6344304</v>
      </c>
      <c r="K69" s="166">
        <v>-14127934</v>
      </c>
      <c r="L69" s="166">
        <v>-181924</v>
      </c>
      <c r="M69" s="166">
        <v>0</v>
      </c>
      <c r="N69" s="166">
        <v>-21082</v>
      </c>
      <c r="O69" s="166">
        <v>0</v>
      </c>
      <c r="P69" s="166">
        <v>-2018604</v>
      </c>
      <c r="Q69" s="166">
        <v>0</v>
      </c>
      <c r="R69" s="166">
        <v>0</v>
      </c>
      <c r="S69" s="166">
        <v>0</v>
      </c>
      <c r="T69" s="166"/>
      <c r="U69" s="166">
        <v>0</v>
      </c>
      <c r="V69" s="166">
        <v>0</v>
      </c>
      <c r="W69" s="166">
        <v>0</v>
      </c>
      <c r="X69" s="166">
        <v>0</v>
      </c>
      <c r="Y69" s="166">
        <v>0</v>
      </c>
      <c r="Z69" s="166">
        <v>109459802</v>
      </c>
      <c r="AA69" s="166">
        <v>-3927237</v>
      </c>
      <c r="AB69" s="166"/>
      <c r="AC69" s="166">
        <v>-16446811</v>
      </c>
      <c r="AD69" s="166">
        <v>428</v>
      </c>
      <c r="AE69" s="166">
        <v>29</v>
      </c>
      <c r="AF69" s="166">
        <v>0</v>
      </c>
      <c r="AG69" s="166"/>
      <c r="AH69" s="166">
        <v>12</v>
      </c>
      <c r="AI69" s="166">
        <v>0</v>
      </c>
      <c r="AJ69" s="166">
        <v>1047</v>
      </c>
      <c r="AK69" s="166">
        <v>0</v>
      </c>
      <c r="AL69" s="166">
        <v>0</v>
      </c>
      <c r="AM69" s="166">
        <v>0</v>
      </c>
      <c r="AN69" s="166">
        <v>0</v>
      </c>
      <c r="AO69" s="166">
        <v>0</v>
      </c>
      <c r="AP69" s="166">
        <v>0</v>
      </c>
      <c r="AQ69" s="166">
        <v>0</v>
      </c>
      <c r="AR69" s="166">
        <v>1719</v>
      </c>
      <c r="AS69" s="166">
        <v>2379</v>
      </c>
      <c r="AT69" s="166">
        <v>3022</v>
      </c>
      <c r="AU69" s="166">
        <v>2615</v>
      </c>
      <c r="AV69" s="166">
        <v>407</v>
      </c>
      <c r="AW69" s="166">
        <v>3453</v>
      </c>
      <c r="AX69" s="166">
        <v>-103202</v>
      </c>
      <c r="AY69" s="166">
        <v>-232558</v>
      </c>
      <c r="AZ69" s="166">
        <v>0</v>
      </c>
      <c r="BA69" s="166">
        <v>-316120</v>
      </c>
      <c r="BB69" s="166">
        <v>-26235</v>
      </c>
      <c r="BC69" s="166">
        <v>-1340489</v>
      </c>
      <c r="BD69" s="166">
        <v>-742002</v>
      </c>
      <c r="BE69" s="166">
        <v>-40716854</v>
      </c>
      <c r="BF69" s="166"/>
      <c r="BG69" s="760">
        <v>23276800</v>
      </c>
      <c r="BH69" s="760">
        <v>2562250</v>
      </c>
      <c r="BI69" s="815">
        <v>-43219050</v>
      </c>
      <c r="BJ69" s="1044" t="s">
        <v>2464</v>
      </c>
      <c r="BK69" s="1044" t="s">
        <v>2465</v>
      </c>
      <c r="BL69" s="1044" t="s">
        <v>2527</v>
      </c>
      <c r="BM69" s="650"/>
      <c r="BN69" s="746" t="s">
        <v>12</v>
      </c>
      <c r="BO69" s="142" t="b">
        <v>1</v>
      </c>
      <c r="BP69" s="544"/>
      <c r="BQ69" s="544"/>
      <c r="BR69" s="544"/>
      <c r="BS69" s="544"/>
      <c r="BT69" s="544"/>
      <c r="BU69" s="544"/>
      <c r="BV69" s="544"/>
      <c r="BW69" s="544"/>
      <c r="BX69" s="544"/>
      <c r="BY69" s="544"/>
      <c r="BZ69" s="544"/>
      <c r="CA69" s="544"/>
      <c r="CB69" s="544"/>
      <c r="CC69" s="544"/>
      <c r="CD69" s="544"/>
      <c r="CE69" s="544"/>
      <c r="CF69" s="544"/>
      <c r="CG69" s="544"/>
      <c r="CH69" s="544"/>
      <c r="CI69" s="544"/>
      <c r="CJ69" s="544"/>
      <c r="CK69" s="544"/>
      <c r="CL69" s="544"/>
      <c r="CM69" s="544"/>
      <c r="CN69" s="544"/>
      <c r="CO69" s="544"/>
      <c r="CP69" s="544"/>
      <c r="CQ69" s="544"/>
      <c r="CR69" s="544"/>
      <c r="CS69" s="544"/>
    </row>
    <row r="70" spans="1:98" s="142" customFormat="1" ht="12.75" hidden="1" x14ac:dyDescent="0.2">
      <c r="A70" s="735">
        <v>63</v>
      </c>
      <c r="B70" s="906" t="s">
        <v>2403</v>
      </c>
      <c r="C70" s="907" t="s">
        <v>2429</v>
      </c>
      <c r="D70" s="905">
        <v>470426.92172382498</v>
      </c>
      <c r="E70" s="905">
        <v>285907844</v>
      </c>
      <c r="F70" s="905">
        <v>12854</v>
      </c>
      <c r="G70" s="166">
        <v>143139658</v>
      </c>
      <c r="H70" s="166">
        <v>-12935141</v>
      </c>
      <c r="I70" s="166">
        <v>2571406</v>
      </c>
      <c r="J70" s="166">
        <v>-10363735</v>
      </c>
      <c r="K70" s="166">
        <v>-7544046</v>
      </c>
      <c r="L70" s="166">
        <v>-226692</v>
      </c>
      <c r="M70" s="166">
        <v>-132300</v>
      </c>
      <c r="N70" s="166">
        <v>-36557</v>
      </c>
      <c r="O70" s="166">
        <v>0</v>
      </c>
      <c r="P70" s="166">
        <v>-1976962</v>
      </c>
      <c r="Q70" s="166">
        <v>-244986</v>
      </c>
      <c r="R70" s="166">
        <v>-110136</v>
      </c>
      <c r="S70" s="166">
        <v>-4320</v>
      </c>
      <c r="T70" s="166"/>
      <c r="U70" s="166">
        <v>0</v>
      </c>
      <c r="V70" s="166">
        <v>-181701</v>
      </c>
      <c r="W70" s="166">
        <v>-181701</v>
      </c>
      <c r="X70" s="166">
        <v>0</v>
      </c>
      <c r="Y70" s="166">
        <v>-66150</v>
      </c>
      <c r="Z70" s="166">
        <v>105815053</v>
      </c>
      <c r="AA70" s="166">
        <v>-2094361</v>
      </c>
      <c r="AB70" s="166"/>
      <c r="AC70" s="166">
        <v>-9839528</v>
      </c>
      <c r="AD70" s="166">
        <v>696</v>
      </c>
      <c r="AE70" s="166">
        <v>34</v>
      </c>
      <c r="AF70" s="166">
        <v>61</v>
      </c>
      <c r="AG70" s="166"/>
      <c r="AH70" s="166">
        <v>28</v>
      </c>
      <c r="AI70" s="166">
        <v>0</v>
      </c>
      <c r="AJ70" s="166">
        <v>739</v>
      </c>
      <c r="AK70" s="166">
        <v>208</v>
      </c>
      <c r="AL70" s="166">
        <v>21</v>
      </c>
      <c r="AM70" s="166">
        <v>0</v>
      </c>
      <c r="AN70" s="166">
        <v>0</v>
      </c>
      <c r="AO70" s="166">
        <v>7</v>
      </c>
      <c r="AP70" s="166">
        <v>11</v>
      </c>
      <c r="AQ70" s="166">
        <v>1</v>
      </c>
      <c r="AR70" s="166">
        <v>1592</v>
      </c>
      <c r="AS70" s="166">
        <v>2631</v>
      </c>
      <c r="AT70" s="166">
        <v>5939</v>
      </c>
      <c r="AU70" s="166">
        <v>5735</v>
      </c>
      <c r="AV70" s="166">
        <v>204</v>
      </c>
      <c r="AW70" s="166">
        <v>4307</v>
      </c>
      <c r="AX70" s="166">
        <v>-140134</v>
      </c>
      <c r="AY70" s="166">
        <v>-804610</v>
      </c>
      <c r="AZ70" s="166">
        <v>0</v>
      </c>
      <c r="BA70" s="166">
        <v>-16875</v>
      </c>
      <c r="BB70" s="166">
        <v>-1006631</v>
      </c>
      <c r="BC70" s="166">
        <v>-8712</v>
      </c>
      <c r="BD70" s="166">
        <v>-593137</v>
      </c>
      <c r="BE70" s="166">
        <v>-13614509</v>
      </c>
      <c r="BF70" s="166"/>
      <c r="BG70" s="760">
        <v>36982950</v>
      </c>
      <c r="BH70" s="760">
        <v>377750</v>
      </c>
      <c r="BI70" s="815">
        <v>-16001326</v>
      </c>
      <c r="BJ70" s="1044" t="s">
        <v>515</v>
      </c>
      <c r="BK70" s="1044" t="s">
        <v>2481</v>
      </c>
      <c r="BL70" s="1044" t="s">
        <v>2758</v>
      </c>
      <c r="BM70" s="650"/>
      <c r="BN70" s="746"/>
      <c r="BP70" s="544"/>
      <c r="BQ70" s="544"/>
      <c r="BR70" s="544"/>
      <c r="BS70" s="544"/>
      <c r="BT70" s="544"/>
      <c r="BU70" s="544"/>
      <c r="BV70" s="544"/>
      <c r="BW70" s="544"/>
      <c r="BX70" s="544"/>
      <c r="BY70" s="544"/>
      <c r="BZ70" s="544"/>
      <c r="CA70" s="544"/>
      <c r="CB70" s="544"/>
      <c r="CC70" s="544"/>
      <c r="CD70" s="544"/>
      <c r="CE70" s="544"/>
      <c r="CF70" s="544"/>
      <c r="CG70" s="544"/>
      <c r="CH70" s="544"/>
      <c r="CI70" s="544"/>
      <c r="CJ70" s="544"/>
      <c r="CK70" s="544"/>
      <c r="CL70" s="544"/>
      <c r="CM70" s="544"/>
      <c r="CN70" s="544"/>
      <c r="CO70" s="544"/>
      <c r="CP70" s="544"/>
      <c r="CQ70" s="544"/>
      <c r="CR70" s="544"/>
      <c r="CS70" s="544"/>
    </row>
    <row r="71" spans="1:98" s="142" customFormat="1" ht="12.75" x14ac:dyDescent="0.2">
      <c r="A71" s="735">
        <v>64</v>
      </c>
      <c r="B71" s="732" t="s">
        <v>13</v>
      </c>
      <c r="C71" s="738" t="s">
        <v>14</v>
      </c>
      <c r="D71" s="905">
        <v>205103.60515545099</v>
      </c>
      <c r="E71" s="905">
        <v>198857637</v>
      </c>
      <c r="F71" s="905">
        <v>4426</v>
      </c>
      <c r="G71" s="166">
        <v>101738953</v>
      </c>
      <c r="H71" s="166">
        <v>-2941571</v>
      </c>
      <c r="I71" s="166">
        <v>2088400</v>
      </c>
      <c r="J71" s="166">
        <v>-853171</v>
      </c>
      <c r="K71" s="166">
        <v>-5842716</v>
      </c>
      <c r="L71" s="166">
        <v>-85924</v>
      </c>
      <c r="M71" s="166">
        <v>-9370</v>
      </c>
      <c r="N71" s="166">
        <v>-5197</v>
      </c>
      <c r="O71" s="166">
        <v>-85417</v>
      </c>
      <c r="P71" s="166">
        <v>-731675</v>
      </c>
      <c r="Q71" s="166">
        <v>-312287</v>
      </c>
      <c r="R71" s="166">
        <v>0</v>
      </c>
      <c r="S71" s="166">
        <v>0</v>
      </c>
      <c r="T71" s="166"/>
      <c r="U71" s="166">
        <v>0</v>
      </c>
      <c r="V71" s="166">
        <v>-21480</v>
      </c>
      <c r="W71" s="166">
        <v>-21480</v>
      </c>
      <c r="X71" s="166">
        <v>0</v>
      </c>
      <c r="Y71" s="166">
        <v>-4685</v>
      </c>
      <c r="Z71" s="166">
        <v>70607889</v>
      </c>
      <c r="AA71" s="166">
        <v>-2100000</v>
      </c>
      <c r="AB71" s="166"/>
      <c r="AC71" s="166">
        <v>-8978895</v>
      </c>
      <c r="AD71" s="166">
        <v>217</v>
      </c>
      <c r="AE71" s="166">
        <v>20</v>
      </c>
      <c r="AF71" s="166">
        <v>2</v>
      </c>
      <c r="AG71" s="166"/>
      <c r="AH71" s="166">
        <v>4</v>
      </c>
      <c r="AI71" s="166">
        <v>0</v>
      </c>
      <c r="AJ71" s="166">
        <v>423</v>
      </c>
      <c r="AK71" s="166">
        <v>109</v>
      </c>
      <c r="AL71" s="166">
        <v>0</v>
      </c>
      <c r="AM71" s="166">
        <v>2</v>
      </c>
      <c r="AN71" s="166">
        <v>0</v>
      </c>
      <c r="AO71" s="166">
        <v>0</v>
      </c>
      <c r="AP71" s="166">
        <v>1</v>
      </c>
      <c r="AQ71" s="166">
        <v>0</v>
      </c>
      <c r="AR71" s="166">
        <v>633</v>
      </c>
      <c r="AS71" s="166">
        <v>1315</v>
      </c>
      <c r="AT71" s="166">
        <v>1348</v>
      </c>
      <c r="AU71" s="166">
        <v>1237</v>
      </c>
      <c r="AV71" s="166">
        <v>111</v>
      </c>
      <c r="AW71" s="166">
        <v>1846</v>
      </c>
      <c r="AX71" s="166">
        <v>-26789</v>
      </c>
      <c r="AY71" s="166">
        <v>-332892</v>
      </c>
      <c r="AZ71" s="166">
        <v>0</v>
      </c>
      <c r="BA71" s="166">
        <v>0</v>
      </c>
      <c r="BB71" s="166">
        <v>0</v>
      </c>
      <c r="BC71" s="166">
        <v>-371994</v>
      </c>
      <c r="BD71" s="166">
        <v>-1604805</v>
      </c>
      <c r="BE71" s="166">
        <v>-1662479</v>
      </c>
      <c r="BF71" s="166"/>
      <c r="BG71" s="760">
        <v>22892850</v>
      </c>
      <c r="BH71" s="760">
        <v>0</v>
      </c>
      <c r="BI71" s="815">
        <v>-1101573</v>
      </c>
      <c r="BJ71" s="1044" t="s">
        <v>2454</v>
      </c>
      <c r="BK71" s="1044" t="s">
        <v>2462</v>
      </c>
      <c r="BL71" s="1044" t="s">
        <v>2528</v>
      </c>
      <c r="BM71" s="650"/>
      <c r="BN71" s="746" t="s">
        <v>14</v>
      </c>
      <c r="BO71" s="142" t="b">
        <v>1</v>
      </c>
      <c r="BP71" s="544"/>
      <c r="BQ71" s="544"/>
      <c r="BR71" s="544"/>
      <c r="BS71" s="544"/>
      <c r="BT71" s="544"/>
      <c r="BU71" s="544"/>
      <c r="BV71" s="544"/>
      <c r="BW71" s="544"/>
      <c r="BX71" s="544"/>
      <c r="BY71" s="544"/>
      <c r="BZ71" s="544"/>
      <c r="CA71" s="544"/>
      <c r="CB71" s="544"/>
      <c r="CC71" s="544"/>
      <c r="CD71" s="544"/>
      <c r="CE71" s="544"/>
      <c r="CF71" s="544"/>
      <c r="CG71" s="544"/>
      <c r="CH71" s="544"/>
      <c r="CI71" s="544"/>
      <c r="CJ71" s="544"/>
      <c r="CK71" s="544"/>
      <c r="CL71" s="544"/>
      <c r="CM71" s="544"/>
      <c r="CN71" s="544"/>
      <c r="CO71" s="544"/>
      <c r="CP71" s="544"/>
      <c r="CQ71" s="544"/>
      <c r="CR71" s="544"/>
      <c r="CS71" s="544"/>
    </row>
    <row r="72" spans="1:98" s="142" customFormat="1" ht="12.75" hidden="1" x14ac:dyDescent="0.2">
      <c r="A72" s="735">
        <v>65</v>
      </c>
      <c r="B72" s="732" t="s">
        <v>569</v>
      </c>
      <c r="C72" s="738" t="s">
        <v>16</v>
      </c>
      <c r="D72" s="905">
        <v>146649.71400954001</v>
      </c>
      <c r="E72" s="905">
        <v>90685756</v>
      </c>
      <c r="F72" s="905">
        <v>3993</v>
      </c>
      <c r="G72" s="166">
        <v>45115963</v>
      </c>
      <c r="H72" s="166">
        <v>-4615743</v>
      </c>
      <c r="I72" s="166">
        <v>800036</v>
      </c>
      <c r="J72" s="166">
        <v>-3815707</v>
      </c>
      <c r="K72" s="166">
        <v>-3001338</v>
      </c>
      <c r="L72" s="166">
        <v>-55322</v>
      </c>
      <c r="M72" s="166">
        <v>0</v>
      </c>
      <c r="N72" s="166">
        <v>0</v>
      </c>
      <c r="O72" s="166">
        <v>0</v>
      </c>
      <c r="P72" s="166">
        <v>-706630</v>
      </c>
      <c r="Q72" s="166">
        <v>0</v>
      </c>
      <c r="R72" s="166">
        <v>0</v>
      </c>
      <c r="S72" s="166">
        <v>0</v>
      </c>
      <c r="T72" s="166"/>
      <c r="U72" s="166">
        <v>0</v>
      </c>
      <c r="V72" s="166">
        <v>-10205</v>
      </c>
      <c r="W72" s="166">
        <v>-10205</v>
      </c>
      <c r="X72" s="166">
        <v>0</v>
      </c>
      <c r="Y72" s="166">
        <v>0</v>
      </c>
      <c r="Z72" s="166">
        <v>31632652</v>
      </c>
      <c r="AA72" s="166">
        <v>0</v>
      </c>
      <c r="AB72" s="166"/>
      <c r="AC72" s="166">
        <v>-4303415</v>
      </c>
      <c r="AD72" s="166">
        <v>153</v>
      </c>
      <c r="AE72" s="166">
        <v>7</v>
      </c>
      <c r="AF72" s="166">
        <v>0</v>
      </c>
      <c r="AG72" s="166"/>
      <c r="AH72" s="166">
        <v>0</v>
      </c>
      <c r="AI72" s="166">
        <v>0</v>
      </c>
      <c r="AJ72" s="166">
        <v>451</v>
      </c>
      <c r="AK72" s="166">
        <v>0</v>
      </c>
      <c r="AL72" s="166">
        <v>0</v>
      </c>
      <c r="AM72" s="166">
        <v>0</v>
      </c>
      <c r="AN72" s="166">
        <v>0</v>
      </c>
      <c r="AO72" s="166">
        <v>0</v>
      </c>
      <c r="AP72" s="166">
        <v>4</v>
      </c>
      <c r="AQ72" s="166">
        <v>0</v>
      </c>
      <c r="AR72" s="166">
        <v>469</v>
      </c>
      <c r="AS72" s="166">
        <v>850</v>
      </c>
      <c r="AT72" s="166">
        <v>1857</v>
      </c>
      <c r="AU72" s="166">
        <v>1781</v>
      </c>
      <c r="AV72" s="166">
        <v>76</v>
      </c>
      <c r="AW72" s="166">
        <v>1530</v>
      </c>
      <c r="AX72" s="166">
        <v>-8617</v>
      </c>
      <c r="AY72" s="166">
        <v>-215266</v>
      </c>
      <c r="AZ72" s="166">
        <v>0</v>
      </c>
      <c r="BA72" s="166">
        <v>-89088</v>
      </c>
      <c r="BB72" s="166">
        <v>-393659</v>
      </c>
      <c r="BC72" s="166">
        <v>0</v>
      </c>
      <c r="BD72" s="166">
        <v>-126737</v>
      </c>
      <c r="BE72" s="166">
        <v>-3722549</v>
      </c>
      <c r="BF72" s="166"/>
      <c r="BG72" s="760">
        <v>10514000</v>
      </c>
      <c r="BH72" s="760">
        <v>25000</v>
      </c>
      <c r="BI72" s="815">
        <v>-3178192</v>
      </c>
      <c r="BJ72" s="1044" t="s">
        <v>515</v>
      </c>
      <c r="BK72" s="1044" t="s">
        <v>867</v>
      </c>
      <c r="BL72" s="1044" t="s">
        <v>2529</v>
      </c>
      <c r="BM72" s="650"/>
      <c r="BN72" s="746" t="s">
        <v>16</v>
      </c>
      <c r="BO72" s="142" t="b">
        <v>1</v>
      </c>
      <c r="BP72" s="544"/>
      <c r="BQ72" s="544"/>
      <c r="BR72" s="544"/>
      <c r="BS72" s="544"/>
      <c r="BT72" s="544"/>
      <c r="BU72" s="544"/>
      <c r="BV72" s="544"/>
      <c r="BW72" s="544"/>
      <c r="BX72" s="544"/>
      <c r="BY72" s="544"/>
      <c r="BZ72" s="544"/>
      <c r="CA72" s="544"/>
      <c r="CB72" s="544"/>
      <c r="CC72" s="544"/>
      <c r="CD72" s="544"/>
      <c r="CE72" s="544"/>
      <c r="CF72" s="544"/>
      <c r="CG72" s="544"/>
      <c r="CH72" s="544"/>
      <c r="CI72" s="544"/>
      <c r="CJ72" s="544"/>
      <c r="CK72" s="544"/>
      <c r="CL72" s="544"/>
      <c r="CM72" s="544"/>
      <c r="CN72" s="544"/>
      <c r="CO72" s="544"/>
      <c r="CP72" s="544"/>
      <c r="CQ72" s="544"/>
      <c r="CR72" s="544"/>
      <c r="CS72" s="544"/>
    </row>
    <row r="73" spans="1:98" s="142" customFormat="1" ht="12.75" x14ac:dyDescent="0.2">
      <c r="A73" s="735">
        <v>66</v>
      </c>
      <c r="B73" s="732" t="s">
        <v>17</v>
      </c>
      <c r="C73" s="738" t="s">
        <v>18</v>
      </c>
      <c r="D73" s="905">
        <v>169849.88440741101</v>
      </c>
      <c r="E73" s="905">
        <v>214738486</v>
      </c>
      <c r="F73" s="905">
        <v>3309</v>
      </c>
      <c r="G73" s="166">
        <v>101101149</v>
      </c>
      <c r="H73" s="166">
        <v>-1903089</v>
      </c>
      <c r="I73" s="166">
        <v>2277287</v>
      </c>
      <c r="J73" s="166">
        <v>374198</v>
      </c>
      <c r="K73" s="166">
        <v>-4005903</v>
      </c>
      <c r="L73" s="166">
        <v>-81101</v>
      </c>
      <c r="M73" s="166">
        <v>-2762</v>
      </c>
      <c r="N73" s="166">
        <v>0</v>
      </c>
      <c r="O73" s="166">
        <v>0</v>
      </c>
      <c r="P73" s="166">
        <v>-2173929</v>
      </c>
      <c r="Q73" s="166">
        <v>-27951</v>
      </c>
      <c r="R73" s="166">
        <v>-18568</v>
      </c>
      <c r="S73" s="166">
        <v>-8295</v>
      </c>
      <c r="T73" s="166"/>
      <c r="U73" s="166">
        <v>0</v>
      </c>
      <c r="V73" s="166">
        <v>0</v>
      </c>
      <c r="W73" s="166">
        <v>0</v>
      </c>
      <c r="X73" s="166">
        <v>0</v>
      </c>
      <c r="Y73" s="166">
        <v>0</v>
      </c>
      <c r="Z73" s="166">
        <v>79883514</v>
      </c>
      <c r="AA73" s="166">
        <v>-4942945</v>
      </c>
      <c r="AB73" s="166"/>
      <c r="AC73" s="166">
        <v>-3991096</v>
      </c>
      <c r="AD73" s="166">
        <v>123</v>
      </c>
      <c r="AE73" s="166">
        <v>9</v>
      </c>
      <c r="AF73" s="166">
        <v>0</v>
      </c>
      <c r="AG73" s="166"/>
      <c r="AH73" s="166">
        <v>0</v>
      </c>
      <c r="AI73" s="166">
        <v>0</v>
      </c>
      <c r="AJ73" s="166">
        <v>341</v>
      </c>
      <c r="AK73" s="166">
        <v>53</v>
      </c>
      <c r="AL73" s="166">
        <v>3</v>
      </c>
      <c r="AM73" s="166">
        <v>1</v>
      </c>
      <c r="AN73" s="166">
        <v>0</v>
      </c>
      <c r="AO73" s="166">
        <v>1</v>
      </c>
      <c r="AP73" s="166">
        <v>0</v>
      </c>
      <c r="AQ73" s="166">
        <v>0</v>
      </c>
      <c r="AR73" s="166">
        <v>231</v>
      </c>
      <c r="AS73" s="166">
        <v>1020</v>
      </c>
      <c r="AT73" s="166">
        <v>721</v>
      </c>
      <c r="AU73" s="166">
        <v>667</v>
      </c>
      <c r="AV73" s="166">
        <v>54</v>
      </c>
      <c r="AW73" s="166">
        <v>1517</v>
      </c>
      <c r="AX73" s="166">
        <v>-824732</v>
      </c>
      <c r="AY73" s="166">
        <v>-72353</v>
      </c>
      <c r="AZ73" s="166">
        <v>0</v>
      </c>
      <c r="BA73" s="166">
        <v>-5782</v>
      </c>
      <c r="BB73" s="166">
        <v>-577865</v>
      </c>
      <c r="BC73" s="166">
        <v>-693197</v>
      </c>
      <c r="BD73" s="166">
        <v>-268865</v>
      </c>
      <c r="BE73" s="166">
        <v>6853274</v>
      </c>
      <c r="BF73" s="166"/>
      <c r="BG73" s="760">
        <v>13556500</v>
      </c>
      <c r="BH73" s="760">
        <v>0</v>
      </c>
      <c r="BI73" s="815">
        <v>14419129</v>
      </c>
      <c r="BJ73" s="1044" t="s">
        <v>2454</v>
      </c>
      <c r="BK73" s="1044" t="s">
        <v>2455</v>
      </c>
      <c r="BL73" s="1044" t="s">
        <v>2530</v>
      </c>
      <c r="BM73" s="650"/>
      <c r="BN73" s="746" t="s">
        <v>18</v>
      </c>
      <c r="BO73" s="142" t="b">
        <v>1</v>
      </c>
      <c r="BP73" s="544"/>
      <c r="BQ73" s="544"/>
      <c r="BR73" s="544"/>
      <c r="BS73" s="544"/>
      <c r="BT73" s="544"/>
      <c r="BU73" s="544"/>
      <c r="BV73" s="544"/>
      <c r="BW73" s="544"/>
      <c r="BX73" s="544"/>
      <c r="BY73" s="544"/>
      <c r="BZ73" s="544"/>
      <c r="CA73" s="544"/>
      <c r="CB73" s="544"/>
      <c r="CC73" s="544"/>
      <c r="CD73" s="544"/>
      <c r="CE73" s="544"/>
      <c r="CF73" s="544"/>
      <c r="CG73" s="544"/>
      <c r="CH73" s="544"/>
      <c r="CI73" s="544"/>
      <c r="CJ73" s="544"/>
      <c r="CK73" s="544"/>
      <c r="CL73" s="544"/>
      <c r="CM73" s="544"/>
      <c r="CN73" s="544"/>
      <c r="CO73" s="544"/>
      <c r="CP73" s="544"/>
      <c r="CQ73" s="544"/>
      <c r="CR73" s="544"/>
      <c r="CS73" s="544"/>
    </row>
    <row r="74" spans="1:98" s="142" customFormat="1" ht="12.75" hidden="1" x14ac:dyDescent="0.2">
      <c r="A74" s="735">
        <v>67</v>
      </c>
      <c r="B74" s="732" t="s">
        <v>553</v>
      </c>
      <c r="C74" s="738" t="s">
        <v>20</v>
      </c>
      <c r="D74" s="905">
        <v>327802.16302362602</v>
      </c>
      <c r="E74" s="905">
        <v>232416374</v>
      </c>
      <c r="F74" s="905">
        <v>8657</v>
      </c>
      <c r="G74" s="166">
        <v>115683896</v>
      </c>
      <c r="H74" s="166">
        <v>-7556989</v>
      </c>
      <c r="I74" s="166">
        <v>2139401</v>
      </c>
      <c r="J74" s="166">
        <v>-5417588</v>
      </c>
      <c r="K74" s="166">
        <v>-8763241</v>
      </c>
      <c r="L74" s="166">
        <v>-7844</v>
      </c>
      <c r="M74" s="166">
        <v>0</v>
      </c>
      <c r="N74" s="166">
        <v>-3802</v>
      </c>
      <c r="O74" s="166">
        <v>0</v>
      </c>
      <c r="P74" s="166">
        <v>-2696466</v>
      </c>
      <c r="Q74" s="166">
        <v>-118656</v>
      </c>
      <c r="R74" s="166">
        <v>-145526</v>
      </c>
      <c r="S74" s="166">
        <v>-1464</v>
      </c>
      <c r="T74" s="166"/>
      <c r="U74" s="166">
        <v>0</v>
      </c>
      <c r="V74" s="166">
        <v>-8857</v>
      </c>
      <c r="W74" s="166">
        <v>-8857</v>
      </c>
      <c r="X74" s="166">
        <v>0</v>
      </c>
      <c r="Y74" s="166">
        <v>0</v>
      </c>
      <c r="Z74" s="166">
        <v>86889737</v>
      </c>
      <c r="AA74" s="166">
        <v>-3437200</v>
      </c>
      <c r="AB74" s="166"/>
      <c r="AC74" s="166">
        <v>-6656319</v>
      </c>
      <c r="AD74" s="166">
        <v>390</v>
      </c>
      <c r="AE74" s="166">
        <v>3</v>
      </c>
      <c r="AF74" s="166">
        <v>0</v>
      </c>
      <c r="AG74" s="166"/>
      <c r="AH74" s="166">
        <v>4</v>
      </c>
      <c r="AI74" s="166">
        <v>0</v>
      </c>
      <c r="AJ74" s="166">
        <v>718</v>
      </c>
      <c r="AK74" s="166">
        <v>65</v>
      </c>
      <c r="AL74" s="166">
        <v>20</v>
      </c>
      <c r="AM74" s="166">
        <v>0</v>
      </c>
      <c r="AN74" s="166">
        <v>0</v>
      </c>
      <c r="AO74" s="166">
        <v>2</v>
      </c>
      <c r="AP74" s="166">
        <v>1</v>
      </c>
      <c r="AQ74" s="166">
        <v>0</v>
      </c>
      <c r="AR74" s="166">
        <v>777</v>
      </c>
      <c r="AS74" s="166">
        <v>2174</v>
      </c>
      <c r="AT74" s="166">
        <v>3119</v>
      </c>
      <c r="AU74" s="166">
        <v>2850</v>
      </c>
      <c r="AV74" s="166">
        <v>269</v>
      </c>
      <c r="AW74" s="166">
        <v>3442</v>
      </c>
      <c r="AX74" s="166">
        <v>-73249</v>
      </c>
      <c r="AY74" s="166">
        <v>-644148</v>
      </c>
      <c r="AZ74" s="166">
        <v>0</v>
      </c>
      <c r="BA74" s="166">
        <v>0</v>
      </c>
      <c r="BB74" s="166">
        <v>-1979069</v>
      </c>
      <c r="BC74" s="166">
        <v>0</v>
      </c>
      <c r="BD74" s="166">
        <v>-934533</v>
      </c>
      <c r="BE74" s="166">
        <v>-1703391</v>
      </c>
      <c r="BF74" s="166"/>
      <c r="BG74" s="760">
        <v>32674250</v>
      </c>
      <c r="BH74" s="760">
        <v>21000</v>
      </c>
      <c r="BI74" s="815">
        <v>-2466692</v>
      </c>
      <c r="BJ74" s="1044" t="s">
        <v>515</v>
      </c>
      <c r="BK74" s="1044" t="s">
        <v>2457</v>
      </c>
      <c r="BL74" s="1044" t="s">
        <v>2531</v>
      </c>
      <c r="BM74" s="650"/>
      <c r="BN74" s="746" t="s">
        <v>20</v>
      </c>
      <c r="BO74" s="142" t="b">
        <v>1</v>
      </c>
      <c r="BP74" s="544"/>
      <c r="BQ74" s="544"/>
      <c r="BR74" s="544"/>
      <c r="BS74" s="544"/>
      <c r="BT74" s="544"/>
      <c r="BU74" s="544"/>
      <c r="BV74" s="544"/>
      <c r="BW74" s="544"/>
      <c r="BX74" s="544"/>
      <c r="BY74" s="544"/>
      <c r="BZ74" s="544"/>
      <c r="CA74" s="544"/>
      <c r="CB74" s="544"/>
      <c r="CC74" s="544"/>
      <c r="CD74" s="544"/>
      <c r="CE74" s="544"/>
      <c r="CF74" s="544"/>
      <c r="CG74" s="544"/>
      <c r="CH74" s="544"/>
      <c r="CI74" s="544"/>
      <c r="CJ74" s="544"/>
      <c r="CK74" s="544"/>
      <c r="CL74" s="544"/>
      <c r="CM74" s="544"/>
      <c r="CN74" s="544"/>
      <c r="CO74" s="544"/>
      <c r="CP74" s="544"/>
      <c r="CQ74" s="544"/>
      <c r="CR74" s="544"/>
      <c r="CS74" s="544"/>
    </row>
    <row r="75" spans="1:98" s="142" customFormat="1" ht="12.75" x14ac:dyDescent="0.2">
      <c r="A75" s="735">
        <v>68</v>
      </c>
      <c r="B75" s="732" t="s">
        <v>21</v>
      </c>
      <c r="C75" s="738" t="s">
        <v>22</v>
      </c>
      <c r="D75" s="905">
        <v>160718.10520664699</v>
      </c>
      <c r="E75" s="905">
        <v>60767714</v>
      </c>
      <c r="F75" s="905">
        <v>4725</v>
      </c>
      <c r="G75" s="166">
        <v>30686183</v>
      </c>
      <c r="H75" s="166">
        <v>-5634802</v>
      </c>
      <c r="I75" s="166">
        <v>383914</v>
      </c>
      <c r="J75" s="166">
        <v>-5250888</v>
      </c>
      <c r="K75" s="166">
        <v>-1747063</v>
      </c>
      <c r="L75" s="166">
        <v>-18237</v>
      </c>
      <c r="M75" s="166">
        <v>-81498</v>
      </c>
      <c r="N75" s="166">
        <v>-25511</v>
      </c>
      <c r="O75" s="166">
        <v>0</v>
      </c>
      <c r="P75" s="166">
        <v>-702956</v>
      </c>
      <c r="Q75" s="166">
        <v>-106669</v>
      </c>
      <c r="R75" s="166">
        <v>-84077</v>
      </c>
      <c r="S75" s="166">
        <v>-3177</v>
      </c>
      <c r="T75" s="166"/>
      <c r="U75" s="166">
        <v>-4774</v>
      </c>
      <c r="V75" s="166">
        <v>0</v>
      </c>
      <c r="W75" s="166">
        <v>0</v>
      </c>
      <c r="X75" s="166">
        <v>0</v>
      </c>
      <c r="Y75" s="166">
        <v>-40749</v>
      </c>
      <c r="Z75" s="166">
        <v>16618763</v>
      </c>
      <c r="AA75" s="166">
        <v>-858000</v>
      </c>
      <c r="AB75" s="166"/>
      <c r="AC75" s="166">
        <v>-4132741</v>
      </c>
      <c r="AD75" s="166">
        <v>208</v>
      </c>
      <c r="AE75" s="166">
        <v>4</v>
      </c>
      <c r="AF75" s="166">
        <v>39</v>
      </c>
      <c r="AG75" s="166"/>
      <c r="AH75" s="166">
        <v>16</v>
      </c>
      <c r="AI75" s="166">
        <v>0</v>
      </c>
      <c r="AJ75" s="166">
        <v>222</v>
      </c>
      <c r="AK75" s="166">
        <v>142</v>
      </c>
      <c r="AL75" s="166">
        <v>15</v>
      </c>
      <c r="AM75" s="166">
        <v>0</v>
      </c>
      <c r="AN75" s="166">
        <v>3</v>
      </c>
      <c r="AO75" s="166">
        <v>3</v>
      </c>
      <c r="AP75" s="166">
        <v>0</v>
      </c>
      <c r="AQ75" s="166">
        <v>0</v>
      </c>
      <c r="AR75" s="166">
        <v>704</v>
      </c>
      <c r="AS75" s="166">
        <v>701</v>
      </c>
      <c r="AT75" s="166">
        <v>2608</v>
      </c>
      <c r="AU75" s="166">
        <v>2527</v>
      </c>
      <c r="AV75" s="166">
        <v>81</v>
      </c>
      <c r="AW75" s="166">
        <v>1419</v>
      </c>
      <c r="AX75" s="166">
        <v>-25454</v>
      </c>
      <c r="AY75" s="166">
        <v>-348594</v>
      </c>
      <c r="AZ75" s="166">
        <v>0</v>
      </c>
      <c r="BA75" s="166">
        <v>0</v>
      </c>
      <c r="BB75" s="166">
        <v>-140834</v>
      </c>
      <c r="BC75" s="166">
        <v>-188074</v>
      </c>
      <c r="BD75" s="166">
        <v>-190236</v>
      </c>
      <c r="BE75" s="166">
        <v>-503876</v>
      </c>
      <c r="BF75" s="166"/>
      <c r="BG75" s="760">
        <v>11254000</v>
      </c>
      <c r="BH75" s="760">
        <v>0</v>
      </c>
      <c r="BI75" s="815">
        <v>-1038287</v>
      </c>
      <c r="BJ75" s="1044" t="s">
        <v>2454</v>
      </c>
      <c r="BK75" s="1044" t="s">
        <v>2457</v>
      </c>
      <c r="BL75" s="1044" t="s">
        <v>2532</v>
      </c>
      <c r="BM75" s="650"/>
      <c r="BN75" s="746" t="s">
        <v>22</v>
      </c>
      <c r="BO75" s="142" t="b">
        <v>1</v>
      </c>
      <c r="BP75" s="544"/>
      <c r="BQ75" s="544"/>
      <c r="BR75" s="544"/>
      <c r="BS75" s="544"/>
      <c r="BT75" s="544"/>
      <c r="BU75" s="544"/>
      <c r="BV75" s="544"/>
      <c r="BW75" s="544"/>
      <c r="BX75" s="544"/>
      <c r="BY75" s="544"/>
      <c r="BZ75" s="544"/>
      <c r="CA75" s="544"/>
      <c r="CB75" s="544"/>
      <c r="CC75" s="544"/>
      <c r="CD75" s="544"/>
      <c r="CE75" s="544"/>
      <c r="CF75" s="544"/>
      <c r="CG75" s="544"/>
      <c r="CH75" s="544"/>
      <c r="CI75" s="544"/>
      <c r="CJ75" s="544"/>
      <c r="CK75" s="544"/>
      <c r="CL75" s="544"/>
      <c r="CM75" s="544"/>
      <c r="CN75" s="544"/>
      <c r="CO75" s="544"/>
      <c r="CP75" s="544"/>
      <c r="CQ75" s="544"/>
      <c r="CR75" s="544"/>
      <c r="CS75" s="544"/>
    </row>
    <row r="76" spans="1:98" s="142" customFormat="1" ht="12.75" hidden="1" x14ac:dyDescent="0.2">
      <c r="A76" s="735">
        <v>69</v>
      </c>
      <c r="B76" s="732" t="s">
        <v>23</v>
      </c>
      <c r="C76" s="738" t="s">
        <v>24</v>
      </c>
      <c r="D76" s="905">
        <v>379814.19616091601</v>
      </c>
      <c r="E76" s="905">
        <v>284521574</v>
      </c>
      <c r="F76" s="905">
        <v>9893</v>
      </c>
      <c r="G76" s="166">
        <v>143284475</v>
      </c>
      <c r="H76" s="166">
        <v>-10740075</v>
      </c>
      <c r="I76" s="166">
        <v>2723725</v>
      </c>
      <c r="J76" s="166">
        <v>-8016350</v>
      </c>
      <c r="K76" s="166">
        <v>-7677798</v>
      </c>
      <c r="L76" s="166">
        <v>-63224</v>
      </c>
      <c r="M76" s="166">
        <v>-7478</v>
      </c>
      <c r="N76" s="166">
        <v>-5509</v>
      </c>
      <c r="O76" s="166">
        <v>-100000</v>
      </c>
      <c r="P76" s="166">
        <v>-3809420</v>
      </c>
      <c r="Q76" s="166">
        <v>-304498</v>
      </c>
      <c r="R76" s="166">
        <v>-186246</v>
      </c>
      <c r="S76" s="166">
        <v>0</v>
      </c>
      <c r="T76" s="166"/>
      <c r="U76" s="166">
        <v>0</v>
      </c>
      <c r="V76" s="166">
        <v>0</v>
      </c>
      <c r="W76" s="166">
        <v>0</v>
      </c>
      <c r="X76" s="166">
        <v>0</v>
      </c>
      <c r="Y76" s="166">
        <v>-3739</v>
      </c>
      <c r="Z76" s="166">
        <v>107057197</v>
      </c>
      <c r="AA76" s="166">
        <v>-3445719</v>
      </c>
      <c r="AB76" s="166"/>
      <c r="AC76" s="166">
        <v>-8424958</v>
      </c>
      <c r="AD76" s="166">
        <v>416</v>
      </c>
      <c r="AE76" s="166">
        <v>9</v>
      </c>
      <c r="AF76" s="166">
        <v>5</v>
      </c>
      <c r="AG76" s="166"/>
      <c r="AH76" s="166">
        <v>8</v>
      </c>
      <c r="AI76" s="166">
        <v>0</v>
      </c>
      <c r="AJ76" s="166">
        <v>1048</v>
      </c>
      <c r="AK76" s="166">
        <v>94</v>
      </c>
      <c r="AL76" s="166">
        <v>22</v>
      </c>
      <c r="AM76" s="166">
        <v>0</v>
      </c>
      <c r="AN76" s="166">
        <v>0</v>
      </c>
      <c r="AO76" s="166">
        <v>0</v>
      </c>
      <c r="AP76" s="166">
        <v>0</v>
      </c>
      <c r="AQ76" s="166">
        <v>0</v>
      </c>
      <c r="AR76" s="166">
        <v>1190</v>
      </c>
      <c r="AS76" s="166">
        <v>2753</v>
      </c>
      <c r="AT76" s="166">
        <v>4827</v>
      </c>
      <c r="AU76" s="166">
        <v>4617</v>
      </c>
      <c r="AV76" s="166">
        <v>210</v>
      </c>
      <c r="AW76" s="166">
        <v>2285</v>
      </c>
      <c r="AX76" s="166">
        <v>-1200000</v>
      </c>
      <c r="AY76" s="166">
        <v>-762989</v>
      </c>
      <c r="AZ76" s="166">
        <v>0</v>
      </c>
      <c r="BA76" s="166">
        <v>-121505</v>
      </c>
      <c r="BB76" s="166">
        <v>-774926</v>
      </c>
      <c r="BC76" s="166">
        <v>-950000</v>
      </c>
      <c r="BD76" s="166">
        <v>-818799</v>
      </c>
      <c r="BE76" s="166">
        <v>20581533</v>
      </c>
      <c r="BF76" s="166"/>
      <c r="BG76" s="760">
        <v>30466850</v>
      </c>
      <c r="BH76" s="760">
        <v>0</v>
      </c>
      <c r="BI76" s="815">
        <v>18657471</v>
      </c>
      <c r="BJ76" s="1044" t="s">
        <v>2468</v>
      </c>
      <c r="BK76" s="1044" t="s">
        <v>2469</v>
      </c>
      <c r="BL76" s="1044" t="s">
        <v>2533</v>
      </c>
      <c r="BM76" s="650"/>
      <c r="BN76" s="746" t="s">
        <v>24</v>
      </c>
      <c r="BO76" s="142" t="b">
        <v>1</v>
      </c>
      <c r="BP76" s="544"/>
      <c r="BQ76" s="544"/>
      <c r="BR76" s="544"/>
      <c r="BS76" s="544"/>
      <c r="BT76" s="544"/>
      <c r="BU76" s="544"/>
      <c r="BV76" s="544"/>
      <c r="BW76" s="544"/>
      <c r="BX76" s="544"/>
      <c r="BY76" s="544"/>
      <c r="BZ76" s="544"/>
      <c r="CA76" s="544"/>
      <c r="CB76" s="544"/>
      <c r="CC76" s="544"/>
      <c r="CD76" s="544"/>
      <c r="CE76" s="544"/>
      <c r="CF76" s="544"/>
      <c r="CG76" s="544"/>
      <c r="CH76" s="544"/>
      <c r="CI76" s="544"/>
      <c r="CJ76" s="544"/>
      <c r="CK76" s="544"/>
      <c r="CL76" s="544"/>
      <c r="CM76" s="544"/>
      <c r="CN76" s="544"/>
      <c r="CO76" s="544"/>
      <c r="CP76" s="544"/>
      <c r="CQ76" s="544"/>
      <c r="CR76" s="544"/>
      <c r="CS76" s="544"/>
    </row>
    <row r="77" spans="1:98" s="142" customFormat="1" ht="12.75" hidden="1" x14ac:dyDescent="0.2">
      <c r="A77" s="735">
        <v>70</v>
      </c>
      <c r="B77" s="739" t="s">
        <v>1221</v>
      </c>
      <c r="C77" s="738" t="s">
        <v>1222</v>
      </c>
      <c r="D77" s="905">
        <v>643071.02505343396</v>
      </c>
      <c r="E77" s="905">
        <v>321593334</v>
      </c>
      <c r="F77" s="905">
        <v>18197</v>
      </c>
      <c r="G77" s="166">
        <v>159371221</v>
      </c>
      <c r="H77" s="166">
        <v>-19787913</v>
      </c>
      <c r="I77" s="166">
        <v>2397705</v>
      </c>
      <c r="J77" s="166">
        <v>-17390208</v>
      </c>
      <c r="K77" s="166">
        <v>-11911832</v>
      </c>
      <c r="L77" s="166">
        <v>-365624</v>
      </c>
      <c r="M77" s="166">
        <v>-182697</v>
      </c>
      <c r="N77" s="166">
        <v>-97311</v>
      </c>
      <c r="O77" s="166">
        <v>0</v>
      </c>
      <c r="P77" s="166">
        <v>-2076278</v>
      </c>
      <c r="Q77" s="166">
        <v>-390944</v>
      </c>
      <c r="R77" s="166">
        <v>-77695</v>
      </c>
      <c r="S77" s="166">
        <v>-35097</v>
      </c>
      <c r="T77" s="166"/>
      <c r="U77" s="166">
        <v>0</v>
      </c>
      <c r="V77" s="166">
        <v>-9379</v>
      </c>
      <c r="W77" s="166">
        <v>-9379</v>
      </c>
      <c r="X77" s="166">
        <v>0</v>
      </c>
      <c r="Y77" s="166">
        <v>-94115</v>
      </c>
      <c r="Z77" s="166">
        <v>94812360</v>
      </c>
      <c r="AA77" s="166">
        <v>-3735422</v>
      </c>
      <c r="AB77" s="166"/>
      <c r="AC77" s="166">
        <v>-19750335</v>
      </c>
      <c r="AD77" s="166">
        <v>1036</v>
      </c>
      <c r="AE77" s="166">
        <v>61</v>
      </c>
      <c r="AF77" s="166">
        <v>72</v>
      </c>
      <c r="AG77" s="166"/>
      <c r="AH77" s="166">
        <v>55</v>
      </c>
      <c r="AI77" s="166">
        <v>3</v>
      </c>
      <c r="AJ77" s="166">
        <v>1037</v>
      </c>
      <c r="AK77" s="166">
        <v>387</v>
      </c>
      <c r="AL77" s="166">
        <v>14</v>
      </c>
      <c r="AM77" s="166">
        <v>1</v>
      </c>
      <c r="AN77" s="166">
        <v>0</v>
      </c>
      <c r="AO77" s="166">
        <v>7</v>
      </c>
      <c r="AP77" s="166">
        <v>0</v>
      </c>
      <c r="AQ77" s="166">
        <v>0</v>
      </c>
      <c r="AR77" s="166">
        <v>288</v>
      </c>
      <c r="AS77" s="166">
        <v>3152</v>
      </c>
      <c r="AT77" s="166">
        <v>9111</v>
      </c>
      <c r="AU77" s="166">
        <v>6378</v>
      </c>
      <c r="AV77" s="166">
        <v>2733</v>
      </c>
      <c r="AW77" s="166">
        <v>5609</v>
      </c>
      <c r="AX77" s="166">
        <v>-38947</v>
      </c>
      <c r="AY77" s="166">
        <v>-1270733</v>
      </c>
      <c r="AZ77" s="166">
        <v>0</v>
      </c>
      <c r="BA77" s="166">
        <v>-50361</v>
      </c>
      <c r="BB77" s="166">
        <v>-716237</v>
      </c>
      <c r="BC77" s="166">
        <v>0</v>
      </c>
      <c r="BD77" s="166">
        <v>-2075123</v>
      </c>
      <c r="BE77" s="166">
        <v>4834339</v>
      </c>
      <c r="BF77" s="166"/>
      <c r="BG77" s="760">
        <v>53611331</v>
      </c>
      <c r="BH77" s="760">
        <v>0</v>
      </c>
      <c r="BI77" s="815">
        <v>5953745</v>
      </c>
      <c r="BJ77" s="1044" t="s">
        <v>515</v>
      </c>
      <c r="BK77" s="1044" t="s">
        <v>2474</v>
      </c>
      <c r="BL77" s="1044" t="s">
        <v>2534</v>
      </c>
      <c r="BM77" s="650"/>
      <c r="BN77" s="746" t="s">
        <v>1222</v>
      </c>
      <c r="BO77" s="142" t="b">
        <v>1</v>
      </c>
      <c r="BP77" s="544"/>
      <c r="BQ77" s="544"/>
      <c r="BR77" s="544"/>
      <c r="BS77" s="544"/>
      <c r="BT77" s="544"/>
      <c r="BU77" s="544"/>
      <c r="BV77" s="544"/>
      <c r="BW77" s="544"/>
      <c r="BX77" s="544"/>
      <c r="BY77" s="544"/>
      <c r="BZ77" s="544"/>
      <c r="CA77" s="544"/>
      <c r="CB77" s="544"/>
      <c r="CC77" s="544"/>
      <c r="CD77" s="544"/>
      <c r="CE77" s="544"/>
      <c r="CF77" s="544"/>
      <c r="CG77" s="544"/>
      <c r="CH77" s="544"/>
      <c r="CI77" s="544"/>
      <c r="CJ77" s="544"/>
      <c r="CK77" s="544"/>
      <c r="CL77" s="544"/>
      <c r="CM77" s="544"/>
      <c r="CN77" s="544"/>
      <c r="CO77" s="544"/>
      <c r="CP77" s="544"/>
      <c r="CQ77" s="544"/>
      <c r="CR77" s="544"/>
      <c r="CS77" s="544"/>
      <c r="CT77" s="544"/>
    </row>
    <row r="78" spans="1:98" s="142" customFormat="1" ht="12.75" x14ac:dyDescent="0.2">
      <c r="A78" s="735">
        <v>71</v>
      </c>
      <c r="B78" s="732" t="s">
        <v>33</v>
      </c>
      <c r="C78" s="738" t="s">
        <v>34</v>
      </c>
      <c r="D78" s="905">
        <v>164836.22786961999</v>
      </c>
      <c r="E78" s="905">
        <v>129118232</v>
      </c>
      <c r="F78" s="905">
        <v>4206</v>
      </c>
      <c r="G78" s="166">
        <v>64599428</v>
      </c>
      <c r="H78" s="166">
        <v>-4375385</v>
      </c>
      <c r="I78" s="166">
        <v>1303014</v>
      </c>
      <c r="J78" s="166">
        <v>-3072371</v>
      </c>
      <c r="K78" s="166">
        <v>-3181963</v>
      </c>
      <c r="L78" s="166">
        <v>-39608</v>
      </c>
      <c r="M78" s="166">
        <v>-16928</v>
      </c>
      <c r="N78" s="166">
        <v>-28299</v>
      </c>
      <c r="O78" s="166">
        <v>0</v>
      </c>
      <c r="P78" s="166">
        <v>-958538</v>
      </c>
      <c r="Q78" s="166">
        <v>-196263</v>
      </c>
      <c r="R78" s="166">
        <v>-56355</v>
      </c>
      <c r="S78" s="166">
        <v>0</v>
      </c>
      <c r="T78" s="166"/>
      <c r="U78" s="166">
        <v>0</v>
      </c>
      <c r="V78" s="166">
        <v>0</v>
      </c>
      <c r="W78" s="166">
        <v>0</v>
      </c>
      <c r="X78" s="166">
        <v>0</v>
      </c>
      <c r="Y78" s="166">
        <v>-8464</v>
      </c>
      <c r="Z78" s="166">
        <v>48551746</v>
      </c>
      <c r="AA78" s="166">
        <v>-2409000</v>
      </c>
      <c r="AB78" s="166"/>
      <c r="AC78" s="166">
        <v>-3267486</v>
      </c>
      <c r="AD78" s="166">
        <v>235</v>
      </c>
      <c r="AE78" s="166">
        <v>8</v>
      </c>
      <c r="AF78" s="166">
        <v>8</v>
      </c>
      <c r="AG78" s="166"/>
      <c r="AH78" s="166">
        <v>15</v>
      </c>
      <c r="AI78" s="166">
        <v>0</v>
      </c>
      <c r="AJ78" s="166">
        <v>229</v>
      </c>
      <c r="AK78" s="166">
        <v>101</v>
      </c>
      <c r="AL78" s="166">
        <v>0</v>
      </c>
      <c r="AM78" s="166">
        <v>8</v>
      </c>
      <c r="AN78" s="166">
        <v>0</v>
      </c>
      <c r="AO78" s="166">
        <v>0</v>
      </c>
      <c r="AP78" s="166">
        <v>0</v>
      </c>
      <c r="AQ78" s="166">
        <v>0</v>
      </c>
      <c r="AR78" s="166">
        <v>484</v>
      </c>
      <c r="AS78" s="166">
        <v>936</v>
      </c>
      <c r="AT78" s="166">
        <v>3999</v>
      </c>
      <c r="AU78" s="166">
        <v>76</v>
      </c>
      <c r="AV78" s="166">
        <v>3923</v>
      </c>
      <c r="AW78" s="166">
        <v>1436</v>
      </c>
      <c r="AX78" s="166">
        <v>-101855</v>
      </c>
      <c r="AY78" s="166">
        <v>-237003</v>
      </c>
      <c r="AZ78" s="166">
        <v>0</v>
      </c>
      <c r="BA78" s="166">
        <v>0</v>
      </c>
      <c r="BB78" s="166">
        <v>-601405</v>
      </c>
      <c r="BC78" s="166">
        <v>-18274</v>
      </c>
      <c r="BD78" s="166">
        <v>-258225</v>
      </c>
      <c r="BE78" s="166">
        <v>-564805</v>
      </c>
      <c r="BF78" s="166"/>
      <c r="BG78" s="760">
        <v>11626050</v>
      </c>
      <c r="BH78" s="760">
        <v>49500</v>
      </c>
      <c r="BI78" s="815">
        <v>-5452079</v>
      </c>
      <c r="BJ78" s="1044" t="s">
        <v>2454</v>
      </c>
      <c r="BK78" s="1044" t="s">
        <v>2455</v>
      </c>
      <c r="BL78" s="1044" t="s">
        <v>2535</v>
      </c>
      <c r="BM78" s="650"/>
      <c r="BN78" s="746" t="s">
        <v>34</v>
      </c>
      <c r="BO78" s="142" t="b">
        <v>1</v>
      </c>
      <c r="BP78" s="544"/>
      <c r="BQ78" s="544"/>
      <c r="BR78" s="544"/>
      <c r="BS78" s="544"/>
      <c r="BT78" s="544"/>
      <c r="BU78" s="544"/>
      <c r="BV78" s="544"/>
      <c r="BW78" s="544"/>
      <c r="BX78" s="544"/>
      <c r="BY78" s="544"/>
      <c r="BZ78" s="544"/>
      <c r="CA78" s="544"/>
      <c r="CB78" s="544"/>
      <c r="CC78" s="544"/>
      <c r="CD78" s="544"/>
      <c r="CE78" s="544"/>
      <c r="CF78" s="544"/>
      <c r="CG78" s="544"/>
      <c r="CH78" s="544"/>
      <c r="CI78" s="544"/>
      <c r="CJ78" s="544"/>
      <c r="CK78" s="544"/>
      <c r="CL78" s="544"/>
      <c r="CM78" s="544"/>
      <c r="CN78" s="544"/>
      <c r="CO78" s="544"/>
      <c r="CP78" s="544"/>
      <c r="CQ78" s="544"/>
      <c r="CR78" s="544"/>
      <c r="CS78" s="544"/>
    </row>
    <row r="79" spans="1:98" s="142" customFormat="1" ht="12.75" hidden="1" x14ac:dyDescent="0.2">
      <c r="A79" s="735">
        <v>72</v>
      </c>
      <c r="B79" s="732" t="s">
        <v>35</v>
      </c>
      <c r="C79" s="738" t="s">
        <v>36</v>
      </c>
      <c r="D79" s="905">
        <v>391959.47247538401</v>
      </c>
      <c r="E79" s="905">
        <v>236986342</v>
      </c>
      <c r="F79" s="905">
        <v>10551</v>
      </c>
      <c r="G79" s="166">
        <v>117861830</v>
      </c>
      <c r="H79" s="166">
        <v>-11520520</v>
      </c>
      <c r="I79" s="166">
        <v>1972454</v>
      </c>
      <c r="J79" s="166">
        <v>-9548066</v>
      </c>
      <c r="K79" s="166">
        <v>-6717459</v>
      </c>
      <c r="L79" s="166">
        <v>-33491</v>
      </c>
      <c r="M79" s="166">
        <v>0</v>
      </c>
      <c r="N79" s="166">
        <v>-7028</v>
      </c>
      <c r="O79" s="166">
        <v>0</v>
      </c>
      <c r="P79" s="166">
        <v>-4694838</v>
      </c>
      <c r="Q79" s="166">
        <v>-556625</v>
      </c>
      <c r="R79" s="166">
        <v>-37460</v>
      </c>
      <c r="S79" s="166">
        <v>-8373</v>
      </c>
      <c r="T79" s="166"/>
      <c r="U79" s="166">
        <v>0</v>
      </c>
      <c r="V79" s="166">
        <v>-600937</v>
      </c>
      <c r="W79" s="166">
        <v>-377948</v>
      </c>
      <c r="X79" s="166">
        <v>-222989</v>
      </c>
      <c r="Y79" s="166">
        <v>0</v>
      </c>
      <c r="Z79" s="166">
        <v>78718290</v>
      </c>
      <c r="AA79" s="166">
        <v>-2100000</v>
      </c>
      <c r="AB79" s="166"/>
      <c r="AC79" s="166">
        <v>-7261543</v>
      </c>
      <c r="AD79" s="166">
        <v>382</v>
      </c>
      <c r="AE79" s="166">
        <v>10</v>
      </c>
      <c r="AF79" s="166">
        <v>0</v>
      </c>
      <c r="AG79" s="166"/>
      <c r="AH79" s="166">
        <v>3</v>
      </c>
      <c r="AI79" s="166">
        <v>0</v>
      </c>
      <c r="AJ79" s="166">
        <v>1462</v>
      </c>
      <c r="AK79" s="166">
        <v>293</v>
      </c>
      <c r="AL79" s="166">
        <v>7</v>
      </c>
      <c r="AM79" s="166">
        <v>0</v>
      </c>
      <c r="AN79" s="166">
        <v>0</v>
      </c>
      <c r="AO79" s="166">
        <v>10</v>
      </c>
      <c r="AP79" s="166">
        <v>15</v>
      </c>
      <c r="AQ79" s="166">
        <v>0</v>
      </c>
      <c r="AR79" s="166">
        <v>668</v>
      </c>
      <c r="AS79" s="166">
        <v>2462</v>
      </c>
      <c r="AT79" s="166">
        <v>4927</v>
      </c>
      <c r="AU79" s="166">
        <v>4703</v>
      </c>
      <c r="AV79" s="166">
        <v>224</v>
      </c>
      <c r="AW79" s="166">
        <v>3199</v>
      </c>
      <c r="AX79" s="166">
        <v>-601416</v>
      </c>
      <c r="AY79" s="166">
        <v>-207651</v>
      </c>
      <c r="AZ79" s="166">
        <v>0</v>
      </c>
      <c r="BA79" s="166">
        <v>-2302777</v>
      </c>
      <c r="BB79" s="166">
        <v>-1582994</v>
      </c>
      <c r="BC79" s="166">
        <v>0</v>
      </c>
      <c r="BD79" s="166">
        <v>-24000</v>
      </c>
      <c r="BE79" s="166">
        <v>1725844</v>
      </c>
      <c r="BF79" s="166"/>
      <c r="BG79" s="760">
        <v>34458125</v>
      </c>
      <c r="BH79" s="760">
        <v>52750</v>
      </c>
      <c r="BI79" s="815">
        <v>-4043414</v>
      </c>
      <c r="BJ79" s="1044" t="s">
        <v>2468</v>
      </c>
      <c r="BK79" s="1044" t="s">
        <v>2478</v>
      </c>
      <c r="BL79" s="1044" t="s">
        <v>2536</v>
      </c>
      <c r="BM79" s="650"/>
      <c r="BN79" s="746" t="s">
        <v>36</v>
      </c>
      <c r="BO79" s="142" t="b">
        <v>1</v>
      </c>
      <c r="BP79" s="544"/>
      <c r="BQ79" s="544"/>
      <c r="BR79" s="544"/>
      <c r="BS79" s="544"/>
      <c r="BT79" s="544"/>
      <c r="BU79" s="544"/>
      <c r="BV79" s="544"/>
      <c r="BW79" s="544"/>
      <c r="BX79" s="544"/>
      <c r="BY79" s="544"/>
      <c r="BZ79" s="544"/>
      <c r="CA79" s="544"/>
      <c r="CB79" s="544"/>
      <c r="CC79" s="544"/>
      <c r="CD79" s="544"/>
      <c r="CE79" s="544"/>
      <c r="CF79" s="544"/>
      <c r="CG79" s="544"/>
      <c r="CH79" s="544"/>
      <c r="CI79" s="544"/>
      <c r="CJ79" s="544"/>
      <c r="CK79" s="544"/>
      <c r="CL79" s="544"/>
      <c r="CM79" s="544"/>
      <c r="CN79" s="544"/>
      <c r="CO79" s="544"/>
      <c r="CP79" s="544"/>
      <c r="CQ79" s="544"/>
      <c r="CR79" s="544"/>
      <c r="CS79" s="544"/>
    </row>
    <row r="80" spans="1:98" s="142" customFormat="1" ht="12.75" hidden="1" x14ac:dyDescent="0.2">
      <c r="A80" s="735">
        <v>73</v>
      </c>
      <c r="B80" s="732" t="s">
        <v>37</v>
      </c>
      <c r="C80" s="738" t="s">
        <v>38</v>
      </c>
      <c r="D80" s="905">
        <v>587099.82523198205</v>
      </c>
      <c r="E80" s="905">
        <v>340214949</v>
      </c>
      <c r="F80" s="905">
        <v>16192</v>
      </c>
      <c r="G80" s="166">
        <v>164643913</v>
      </c>
      <c r="H80" s="166">
        <v>-17154259</v>
      </c>
      <c r="I80" s="166">
        <v>2954021</v>
      </c>
      <c r="J80" s="166">
        <v>-14200238</v>
      </c>
      <c r="K80" s="166">
        <v>-13544822</v>
      </c>
      <c r="L80" s="166">
        <v>-318958</v>
      </c>
      <c r="M80" s="166">
        <v>-132179</v>
      </c>
      <c r="N80" s="166">
        <v>-28050</v>
      </c>
      <c r="O80" s="166">
        <v>-100000</v>
      </c>
      <c r="P80" s="166">
        <v>-2254842</v>
      </c>
      <c r="Q80" s="166">
        <v>-751388</v>
      </c>
      <c r="R80" s="166">
        <v>-302397</v>
      </c>
      <c r="S80" s="166">
        <v>0</v>
      </c>
      <c r="T80" s="166"/>
      <c r="U80" s="166">
        <v>-3047</v>
      </c>
      <c r="V80" s="166">
        <v>-295820</v>
      </c>
      <c r="W80" s="166">
        <v>-295820</v>
      </c>
      <c r="X80" s="166">
        <v>0</v>
      </c>
      <c r="Y80" s="166">
        <v>-64566</v>
      </c>
      <c r="Z80" s="166">
        <v>113875935</v>
      </c>
      <c r="AA80" s="166">
        <v>-5000000</v>
      </c>
      <c r="AB80" s="166"/>
      <c r="AC80" s="166">
        <v>-8217446</v>
      </c>
      <c r="AD80" s="166">
        <v>803</v>
      </c>
      <c r="AE80" s="166">
        <v>53</v>
      </c>
      <c r="AF80" s="166">
        <v>64</v>
      </c>
      <c r="AG80" s="166"/>
      <c r="AH80" s="166">
        <v>27</v>
      </c>
      <c r="AI80" s="166">
        <v>0</v>
      </c>
      <c r="AJ80" s="166">
        <v>928</v>
      </c>
      <c r="AK80" s="166">
        <v>470</v>
      </c>
      <c r="AL80" s="166">
        <v>61</v>
      </c>
      <c r="AM80" s="166">
        <v>0</v>
      </c>
      <c r="AN80" s="166">
        <v>4</v>
      </c>
      <c r="AO80" s="166">
        <v>0</v>
      </c>
      <c r="AP80" s="166">
        <v>7</v>
      </c>
      <c r="AQ80" s="166">
        <v>0</v>
      </c>
      <c r="AR80" s="166">
        <v>1290</v>
      </c>
      <c r="AS80" s="166">
        <v>3251</v>
      </c>
      <c r="AT80" s="166">
        <v>7779</v>
      </c>
      <c r="AU80" s="166">
        <v>7427</v>
      </c>
      <c r="AV80" s="166">
        <v>352</v>
      </c>
      <c r="AW80" s="166">
        <v>5120</v>
      </c>
      <c r="AX80" s="166">
        <v>-380499</v>
      </c>
      <c r="AY80" s="166">
        <v>-349753</v>
      </c>
      <c r="AZ80" s="166">
        <v>0</v>
      </c>
      <c r="BA80" s="166">
        <v>-48181</v>
      </c>
      <c r="BB80" s="166">
        <v>-1236994</v>
      </c>
      <c r="BC80" s="166">
        <v>-239415</v>
      </c>
      <c r="BD80" s="166">
        <v>-934526</v>
      </c>
      <c r="BE80" s="166">
        <v>-3848338</v>
      </c>
      <c r="BF80" s="166"/>
      <c r="BG80" s="760">
        <v>45836350</v>
      </c>
      <c r="BH80" s="760">
        <v>346250</v>
      </c>
      <c r="BI80" s="815">
        <v>-4556534</v>
      </c>
      <c r="BJ80" s="1044" t="s">
        <v>515</v>
      </c>
      <c r="BK80" s="1044" t="s">
        <v>867</v>
      </c>
      <c r="BL80" s="1044" t="s">
        <v>2537</v>
      </c>
      <c r="BM80" s="650"/>
      <c r="BN80" s="746" t="s">
        <v>38</v>
      </c>
      <c r="BO80" s="142" t="b">
        <v>1</v>
      </c>
      <c r="BP80" s="544"/>
      <c r="BQ80" s="544"/>
      <c r="BR80" s="544"/>
      <c r="BS80" s="544"/>
      <c r="BT80" s="544"/>
      <c r="BU80" s="544"/>
      <c r="BV80" s="544"/>
      <c r="BW80" s="544"/>
      <c r="BX80" s="544"/>
      <c r="BY80" s="544"/>
      <c r="BZ80" s="544"/>
      <c r="CA80" s="544"/>
      <c r="CB80" s="544"/>
      <c r="CC80" s="544"/>
      <c r="CD80" s="544"/>
      <c r="CE80" s="544"/>
      <c r="CF80" s="544"/>
      <c r="CG80" s="544"/>
      <c r="CH80" s="544"/>
      <c r="CI80" s="544"/>
      <c r="CJ80" s="544"/>
      <c r="CK80" s="544"/>
      <c r="CL80" s="544"/>
      <c r="CM80" s="544"/>
      <c r="CN80" s="544"/>
      <c r="CO80" s="544"/>
      <c r="CP80" s="544"/>
      <c r="CQ80" s="544"/>
      <c r="CR80" s="544"/>
      <c r="CS80" s="544"/>
    </row>
    <row r="81" spans="1:98" s="142" customFormat="1" ht="12.75" hidden="1" x14ac:dyDescent="0.2">
      <c r="A81" s="735">
        <v>74</v>
      </c>
      <c r="B81" s="732" t="s">
        <v>39</v>
      </c>
      <c r="C81" s="738" t="s">
        <v>40</v>
      </c>
      <c r="D81" s="905">
        <v>501644.09687831299</v>
      </c>
      <c r="E81" s="905">
        <v>441035883</v>
      </c>
      <c r="F81" s="905">
        <v>10828</v>
      </c>
      <c r="G81" s="166">
        <v>222544568</v>
      </c>
      <c r="H81" s="166">
        <v>-9822197</v>
      </c>
      <c r="I81" s="166">
        <v>4341301</v>
      </c>
      <c r="J81" s="166">
        <v>-5480896</v>
      </c>
      <c r="K81" s="166">
        <v>-11759932</v>
      </c>
      <c r="L81" s="166">
        <v>-32401</v>
      </c>
      <c r="M81" s="166">
        <v>0</v>
      </c>
      <c r="N81" s="166">
        <v>0</v>
      </c>
      <c r="O81" s="166">
        <v>-145000</v>
      </c>
      <c r="P81" s="166">
        <v>-4865529</v>
      </c>
      <c r="Q81" s="166">
        <v>-90435</v>
      </c>
      <c r="R81" s="166">
        <v>-18393</v>
      </c>
      <c r="S81" s="166">
        <v>0</v>
      </c>
      <c r="T81" s="166"/>
      <c r="U81" s="166">
        <v>0</v>
      </c>
      <c r="V81" s="166">
        <v>-32133</v>
      </c>
      <c r="W81" s="166">
        <v>0</v>
      </c>
      <c r="X81" s="166">
        <v>0</v>
      </c>
      <c r="Y81" s="166">
        <v>0</v>
      </c>
      <c r="Z81" s="166">
        <v>160146550</v>
      </c>
      <c r="AA81" s="166">
        <v>-7526888</v>
      </c>
      <c r="AB81" s="166"/>
      <c r="AC81" s="166">
        <v>-21969349</v>
      </c>
      <c r="AD81" s="166">
        <v>318</v>
      </c>
      <c r="AE81" s="166">
        <v>12</v>
      </c>
      <c r="AF81" s="166">
        <v>0</v>
      </c>
      <c r="AG81" s="166"/>
      <c r="AH81" s="166">
        <v>0</v>
      </c>
      <c r="AI81" s="166">
        <v>0</v>
      </c>
      <c r="AJ81" s="166">
        <v>448</v>
      </c>
      <c r="AK81" s="166">
        <v>69</v>
      </c>
      <c r="AL81" s="166">
        <v>4</v>
      </c>
      <c r="AM81" s="166">
        <v>0</v>
      </c>
      <c r="AN81" s="166">
        <v>0</v>
      </c>
      <c r="AO81" s="166">
        <v>0</v>
      </c>
      <c r="AP81" s="166">
        <v>0</v>
      </c>
      <c r="AQ81" s="166">
        <v>0</v>
      </c>
      <c r="AR81" s="166">
        <v>2172</v>
      </c>
      <c r="AS81" s="166">
        <v>2797</v>
      </c>
      <c r="AT81" s="166">
        <v>3615</v>
      </c>
      <c r="AU81" s="166">
        <v>3162</v>
      </c>
      <c r="AV81" s="166">
        <v>453</v>
      </c>
      <c r="AW81" s="166">
        <v>4478</v>
      </c>
      <c r="AX81" s="166">
        <v>-59904</v>
      </c>
      <c r="AY81" s="166">
        <v>-1430578</v>
      </c>
      <c r="AZ81" s="166">
        <v>-10883</v>
      </c>
      <c r="BA81" s="166">
        <v>-3352158</v>
      </c>
      <c r="BB81" s="166">
        <v>0</v>
      </c>
      <c r="BC81" s="166">
        <v>-12006</v>
      </c>
      <c r="BD81" s="166">
        <v>-470751</v>
      </c>
      <c r="BE81" s="166">
        <v>-13384588</v>
      </c>
      <c r="BF81" s="166"/>
      <c r="BG81" s="760">
        <v>32640500</v>
      </c>
      <c r="BH81" s="760">
        <v>0</v>
      </c>
      <c r="BI81" s="815">
        <v>-10475720</v>
      </c>
      <c r="BJ81" s="1044" t="s">
        <v>2464</v>
      </c>
      <c r="BK81" s="1044" t="s">
        <v>2465</v>
      </c>
      <c r="BL81" s="1044" t="s">
        <v>2538</v>
      </c>
      <c r="BM81" s="650"/>
      <c r="BN81" s="746" t="s">
        <v>40</v>
      </c>
      <c r="BO81" s="142" t="b">
        <v>1</v>
      </c>
      <c r="BP81" s="544"/>
      <c r="BQ81" s="544"/>
      <c r="BR81" s="544"/>
      <c r="BS81" s="544"/>
      <c r="BT81" s="544"/>
      <c r="BU81" s="544"/>
      <c r="BV81" s="544"/>
      <c r="BW81" s="544"/>
      <c r="BX81" s="544"/>
      <c r="BY81" s="544"/>
      <c r="BZ81" s="544"/>
      <c r="CA81" s="544"/>
      <c r="CB81" s="544"/>
      <c r="CC81" s="544"/>
      <c r="CD81" s="544"/>
      <c r="CE81" s="544"/>
      <c r="CF81" s="544"/>
      <c r="CG81" s="544"/>
      <c r="CH81" s="544"/>
      <c r="CI81" s="544"/>
      <c r="CJ81" s="544"/>
      <c r="CK81" s="544"/>
      <c r="CL81" s="544"/>
      <c r="CM81" s="544"/>
      <c r="CN81" s="544"/>
      <c r="CO81" s="544"/>
      <c r="CP81" s="544"/>
      <c r="CQ81" s="544"/>
      <c r="CR81" s="544"/>
      <c r="CS81" s="544"/>
    </row>
    <row r="82" spans="1:98" s="741" customFormat="1" ht="12.75" x14ac:dyDescent="0.2">
      <c r="A82" s="735">
        <v>75</v>
      </c>
      <c r="B82" s="732" t="s">
        <v>41</v>
      </c>
      <c r="C82" s="738" t="s">
        <v>42</v>
      </c>
      <c r="D82" s="905">
        <v>101395.69568728399</v>
      </c>
      <c r="E82" s="905">
        <v>70749064</v>
      </c>
      <c r="F82" s="905">
        <v>2579</v>
      </c>
      <c r="G82" s="166">
        <v>34812881</v>
      </c>
      <c r="H82" s="166">
        <v>-2615116</v>
      </c>
      <c r="I82" s="166">
        <v>586876</v>
      </c>
      <c r="J82" s="166">
        <v>-2028240</v>
      </c>
      <c r="K82" s="166">
        <v>-2657602</v>
      </c>
      <c r="L82" s="166">
        <v>-22221</v>
      </c>
      <c r="M82" s="166">
        <v>-42838</v>
      </c>
      <c r="N82" s="166">
        <v>-19905</v>
      </c>
      <c r="O82" s="166">
        <v>0</v>
      </c>
      <c r="P82" s="166">
        <v>-459667</v>
      </c>
      <c r="Q82" s="166">
        <v>-27751</v>
      </c>
      <c r="R82" s="166">
        <v>-4589</v>
      </c>
      <c r="S82" s="166">
        <v>-4790</v>
      </c>
      <c r="T82" s="166"/>
      <c r="U82" s="166">
        <v>0</v>
      </c>
      <c r="V82" s="166">
        <v>-110679</v>
      </c>
      <c r="W82" s="166">
        <v>-109784</v>
      </c>
      <c r="X82" s="166">
        <v>0</v>
      </c>
      <c r="Y82" s="166">
        <v>-21419</v>
      </c>
      <c r="Z82" s="166">
        <v>24043195</v>
      </c>
      <c r="AA82" s="166">
        <v>-1851059</v>
      </c>
      <c r="AB82" s="166"/>
      <c r="AC82" s="166">
        <v>-2491247</v>
      </c>
      <c r="AD82" s="166">
        <v>144</v>
      </c>
      <c r="AE82" s="166">
        <v>8</v>
      </c>
      <c r="AF82" s="166">
        <v>11</v>
      </c>
      <c r="AG82" s="166"/>
      <c r="AH82" s="166">
        <v>10</v>
      </c>
      <c r="AI82" s="166">
        <v>0</v>
      </c>
      <c r="AJ82" s="166">
        <v>147</v>
      </c>
      <c r="AK82" s="166">
        <v>41</v>
      </c>
      <c r="AL82" s="166">
        <v>3</v>
      </c>
      <c r="AM82" s="166">
        <v>0</v>
      </c>
      <c r="AN82" s="166">
        <v>0</v>
      </c>
      <c r="AO82" s="166">
        <v>8</v>
      </c>
      <c r="AP82" s="166">
        <v>2</v>
      </c>
      <c r="AQ82" s="166">
        <v>0</v>
      </c>
      <c r="AR82" s="166">
        <v>317</v>
      </c>
      <c r="AS82" s="166">
        <v>518</v>
      </c>
      <c r="AT82" s="166">
        <v>1013</v>
      </c>
      <c r="AU82" s="166">
        <v>918</v>
      </c>
      <c r="AV82" s="166">
        <v>95</v>
      </c>
      <c r="AW82" s="166">
        <v>959</v>
      </c>
      <c r="AX82" s="166">
        <v>-21763</v>
      </c>
      <c r="AY82" s="166">
        <v>-175752</v>
      </c>
      <c r="AZ82" s="166">
        <v>0</v>
      </c>
      <c r="BA82" s="166">
        <v>-6304</v>
      </c>
      <c r="BB82" s="166">
        <v>-255848</v>
      </c>
      <c r="BC82" s="166">
        <v>0</v>
      </c>
      <c r="BD82" s="166">
        <v>-430391</v>
      </c>
      <c r="BE82" s="166">
        <v>-343292</v>
      </c>
      <c r="BF82" s="166"/>
      <c r="BG82" s="760">
        <v>11792350</v>
      </c>
      <c r="BH82" s="760">
        <v>0</v>
      </c>
      <c r="BI82" s="815">
        <v>1059191</v>
      </c>
      <c r="BJ82" s="1044" t="s">
        <v>2454</v>
      </c>
      <c r="BK82" s="1044" t="s">
        <v>2462</v>
      </c>
      <c r="BL82" s="1044" t="s">
        <v>2539</v>
      </c>
      <c r="BM82" s="650"/>
      <c r="BN82" s="746" t="s">
        <v>42</v>
      </c>
      <c r="BO82" s="142" t="b">
        <v>1</v>
      </c>
      <c r="BP82" s="544"/>
      <c r="BQ82" s="544"/>
      <c r="BR82" s="544"/>
      <c r="BS82" s="544"/>
      <c r="BT82" s="544"/>
      <c r="BU82" s="544"/>
      <c r="BV82" s="544"/>
      <c r="BW82" s="544"/>
      <c r="BX82" s="544"/>
      <c r="BY82" s="544"/>
      <c r="BZ82" s="544"/>
      <c r="CA82" s="544"/>
      <c r="CB82" s="544"/>
      <c r="CC82" s="544"/>
      <c r="CD82" s="544"/>
      <c r="CE82" s="544"/>
      <c r="CF82" s="544"/>
      <c r="CG82" s="544"/>
      <c r="CH82" s="544"/>
      <c r="CI82" s="544"/>
      <c r="CJ82" s="544"/>
      <c r="CK82" s="544"/>
      <c r="CL82" s="544"/>
      <c r="CM82" s="544"/>
      <c r="CN82" s="544"/>
      <c r="CO82" s="544"/>
      <c r="CP82" s="544"/>
      <c r="CQ82" s="544"/>
      <c r="CR82" s="544"/>
      <c r="CS82" s="544"/>
      <c r="CT82" s="142"/>
    </row>
    <row r="83" spans="1:98" s="142" customFormat="1" ht="12.75" x14ac:dyDescent="0.2">
      <c r="A83" s="735">
        <v>76</v>
      </c>
      <c r="B83" s="732" t="s">
        <v>43</v>
      </c>
      <c r="C83" s="738" t="s">
        <v>44</v>
      </c>
      <c r="D83" s="905">
        <v>266347.65772762703</v>
      </c>
      <c r="E83" s="905">
        <v>120564503</v>
      </c>
      <c r="F83" s="905">
        <v>7651</v>
      </c>
      <c r="G83" s="166">
        <v>60549116</v>
      </c>
      <c r="H83" s="166">
        <v>-8106425</v>
      </c>
      <c r="I83" s="166">
        <v>862402</v>
      </c>
      <c r="J83" s="166">
        <v>-7244023</v>
      </c>
      <c r="K83" s="166">
        <v>-3686195</v>
      </c>
      <c r="L83" s="166">
        <v>-555692</v>
      </c>
      <c r="M83" s="166">
        <v>-73723</v>
      </c>
      <c r="N83" s="166">
        <v>-48276</v>
      </c>
      <c r="O83" s="166">
        <v>0</v>
      </c>
      <c r="P83" s="166">
        <v>-476773</v>
      </c>
      <c r="Q83" s="166">
        <v>-141146</v>
      </c>
      <c r="R83" s="166">
        <v>-4823</v>
      </c>
      <c r="S83" s="166">
        <v>-103563</v>
      </c>
      <c r="T83" s="166"/>
      <c r="U83" s="166">
        <v>0</v>
      </c>
      <c r="V83" s="166">
        <v>0</v>
      </c>
      <c r="W83" s="166">
        <v>0</v>
      </c>
      <c r="X83" s="166">
        <v>0</v>
      </c>
      <c r="Y83" s="166">
        <v>-36861</v>
      </c>
      <c r="Z83" s="166">
        <v>36141453</v>
      </c>
      <c r="AA83" s="166">
        <v>-893695</v>
      </c>
      <c r="AB83" s="166"/>
      <c r="AC83" s="166">
        <v>-6859157</v>
      </c>
      <c r="AD83" s="166">
        <v>431</v>
      </c>
      <c r="AE83" s="166">
        <v>71</v>
      </c>
      <c r="AF83" s="166">
        <v>30</v>
      </c>
      <c r="AG83" s="166"/>
      <c r="AH83" s="166">
        <v>23</v>
      </c>
      <c r="AI83" s="166">
        <v>0</v>
      </c>
      <c r="AJ83" s="166">
        <v>347</v>
      </c>
      <c r="AK83" s="166">
        <v>246</v>
      </c>
      <c r="AL83" s="166">
        <v>3</v>
      </c>
      <c r="AM83" s="166">
        <v>0</v>
      </c>
      <c r="AN83" s="166">
        <v>0</v>
      </c>
      <c r="AO83" s="166">
        <v>66</v>
      </c>
      <c r="AP83" s="166">
        <v>0</v>
      </c>
      <c r="AQ83" s="166">
        <v>0</v>
      </c>
      <c r="AR83" s="166">
        <v>999</v>
      </c>
      <c r="AS83" s="166">
        <v>1418</v>
      </c>
      <c r="AT83" s="166">
        <v>3803</v>
      </c>
      <c r="AU83" s="166">
        <v>3644</v>
      </c>
      <c r="AV83" s="166">
        <v>159</v>
      </c>
      <c r="AW83" s="166">
        <v>2388</v>
      </c>
      <c r="AX83" s="166">
        <v>-1618</v>
      </c>
      <c r="AY83" s="166">
        <v>-214350</v>
      </c>
      <c r="AZ83" s="166">
        <v>0</v>
      </c>
      <c r="BA83" s="166">
        <v>0</v>
      </c>
      <c r="BB83" s="166">
        <v>-260805</v>
      </c>
      <c r="BC83" s="166">
        <v>0</v>
      </c>
      <c r="BD83" s="166">
        <v>-719554</v>
      </c>
      <c r="BE83" s="166">
        <v>1403743</v>
      </c>
      <c r="BF83" s="166"/>
      <c r="BG83" s="760">
        <v>17568625</v>
      </c>
      <c r="BH83" s="760">
        <v>154750</v>
      </c>
      <c r="BI83" s="815">
        <v>1493819</v>
      </c>
      <c r="BJ83" s="1044" t="s">
        <v>2454</v>
      </c>
      <c r="BK83" s="1044" t="s">
        <v>2474</v>
      </c>
      <c r="BL83" s="1044" t="s">
        <v>2540</v>
      </c>
      <c r="BM83" s="650"/>
      <c r="BN83" s="746" t="s">
        <v>44</v>
      </c>
      <c r="BO83" s="142" t="b">
        <v>1</v>
      </c>
      <c r="BP83" s="544"/>
      <c r="BQ83" s="544"/>
      <c r="BR83" s="544"/>
      <c r="BS83" s="544"/>
      <c r="BT83" s="544"/>
      <c r="BU83" s="544"/>
      <c r="BV83" s="544"/>
      <c r="BW83" s="544"/>
      <c r="BX83" s="544"/>
      <c r="BY83" s="544"/>
      <c r="BZ83" s="544"/>
      <c r="CA83" s="544"/>
      <c r="CB83" s="544"/>
      <c r="CC83" s="544"/>
      <c r="CD83" s="544"/>
      <c r="CE83" s="544"/>
      <c r="CF83" s="544"/>
      <c r="CG83" s="544"/>
      <c r="CH83" s="544"/>
      <c r="CI83" s="544"/>
      <c r="CJ83" s="544"/>
      <c r="CK83" s="544"/>
      <c r="CL83" s="544"/>
      <c r="CM83" s="544"/>
      <c r="CN83" s="544"/>
      <c r="CO83" s="544"/>
      <c r="CP83" s="544"/>
      <c r="CQ83" s="544"/>
      <c r="CR83" s="544"/>
      <c r="CS83" s="544"/>
    </row>
    <row r="84" spans="1:98" s="142" customFormat="1" ht="12.75" x14ac:dyDescent="0.2">
      <c r="A84" s="735">
        <v>77</v>
      </c>
      <c r="B84" s="732" t="s">
        <v>45</v>
      </c>
      <c r="C84" s="738" t="s">
        <v>46</v>
      </c>
      <c r="D84" s="905">
        <v>159044.75585066699</v>
      </c>
      <c r="E84" s="905">
        <v>98254661</v>
      </c>
      <c r="F84" s="905">
        <v>4150</v>
      </c>
      <c r="G84" s="166">
        <v>48695021</v>
      </c>
      <c r="H84" s="166">
        <v>-4333275</v>
      </c>
      <c r="I84" s="166">
        <v>764791</v>
      </c>
      <c r="J84" s="166">
        <v>-3568484</v>
      </c>
      <c r="K84" s="166">
        <v>-3633749</v>
      </c>
      <c r="L84" s="166">
        <v>-38600</v>
      </c>
      <c r="M84" s="166">
        <v>-16980</v>
      </c>
      <c r="N84" s="166">
        <v>-10719</v>
      </c>
      <c r="O84" s="166">
        <v>-72104</v>
      </c>
      <c r="P84" s="166">
        <v>-971425</v>
      </c>
      <c r="Q84" s="166">
        <v>-220224</v>
      </c>
      <c r="R84" s="166">
        <v>-651</v>
      </c>
      <c r="S84" s="166">
        <v>-4825</v>
      </c>
      <c r="T84" s="166"/>
      <c r="U84" s="166">
        <v>0</v>
      </c>
      <c r="V84" s="166">
        <v>-10269</v>
      </c>
      <c r="W84" s="166">
        <v>-10269</v>
      </c>
      <c r="X84" s="166">
        <v>0</v>
      </c>
      <c r="Y84" s="166">
        <v>-8490</v>
      </c>
      <c r="Z84" s="166">
        <v>29590538</v>
      </c>
      <c r="AA84" s="166">
        <v>-1098254</v>
      </c>
      <c r="AB84" s="166"/>
      <c r="AC84" s="166">
        <v>-5284101</v>
      </c>
      <c r="AD84" s="166">
        <v>260</v>
      </c>
      <c r="AE84" s="166">
        <v>12</v>
      </c>
      <c r="AF84" s="166">
        <v>7</v>
      </c>
      <c r="AG84" s="166"/>
      <c r="AH84" s="166">
        <v>8</v>
      </c>
      <c r="AI84" s="166">
        <v>1</v>
      </c>
      <c r="AJ84" s="166">
        <v>225</v>
      </c>
      <c r="AK84" s="166">
        <v>105</v>
      </c>
      <c r="AL84" s="166">
        <v>1</v>
      </c>
      <c r="AM84" s="166">
        <v>0</v>
      </c>
      <c r="AN84" s="166">
        <v>0</v>
      </c>
      <c r="AO84" s="166">
        <v>12</v>
      </c>
      <c r="AP84" s="166">
        <v>7</v>
      </c>
      <c r="AQ84" s="166">
        <v>0</v>
      </c>
      <c r="AR84" s="166">
        <v>813</v>
      </c>
      <c r="AS84" s="166">
        <v>997</v>
      </c>
      <c r="AT84" s="166">
        <v>1605</v>
      </c>
      <c r="AU84" s="166">
        <v>1451</v>
      </c>
      <c r="AV84" s="166">
        <v>154</v>
      </c>
      <c r="AW84" s="166">
        <v>1514</v>
      </c>
      <c r="AX84" s="166">
        <v>-153761</v>
      </c>
      <c r="AY84" s="166">
        <v>-249189</v>
      </c>
      <c r="AZ84" s="166">
        <v>0</v>
      </c>
      <c r="BA84" s="166">
        <v>0</v>
      </c>
      <c r="BB84" s="166">
        <v>-520512</v>
      </c>
      <c r="BC84" s="166">
        <v>-47963</v>
      </c>
      <c r="BD84" s="166">
        <v>-806940</v>
      </c>
      <c r="BE84" s="166">
        <v>1366435</v>
      </c>
      <c r="BF84" s="166"/>
      <c r="BG84" s="760">
        <v>19604058</v>
      </c>
      <c r="BH84" s="760">
        <v>0</v>
      </c>
      <c r="BI84" s="815">
        <v>2979116</v>
      </c>
      <c r="BJ84" s="1044" t="s">
        <v>2454</v>
      </c>
      <c r="BK84" s="1044" t="s">
        <v>2455</v>
      </c>
      <c r="BL84" s="1044" t="s">
        <v>2541</v>
      </c>
      <c r="BM84" s="650"/>
      <c r="BN84" s="746" t="s">
        <v>46</v>
      </c>
      <c r="BO84" s="142" t="b">
        <v>1</v>
      </c>
      <c r="BP84" s="544"/>
      <c r="BQ84" s="544"/>
      <c r="BR84" s="544"/>
      <c r="BS84" s="544"/>
      <c r="BT84" s="544"/>
      <c r="BU84" s="544"/>
      <c r="BV84" s="544"/>
      <c r="BW84" s="544"/>
      <c r="BX84" s="544"/>
      <c r="BY84" s="544"/>
      <c r="BZ84" s="544"/>
      <c r="CA84" s="544"/>
      <c r="CB84" s="544"/>
      <c r="CC84" s="544"/>
      <c r="CD84" s="544"/>
      <c r="CE84" s="544"/>
      <c r="CF84" s="544"/>
      <c r="CG84" s="544"/>
      <c r="CH84" s="544"/>
      <c r="CI84" s="544"/>
      <c r="CJ84" s="544"/>
      <c r="CK84" s="544"/>
      <c r="CL84" s="544"/>
      <c r="CM84" s="544"/>
      <c r="CN84" s="544"/>
      <c r="CO84" s="544"/>
      <c r="CP84" s="544"/>
      <c r="CQ84" s="544"/>
      <c r="CR84" s="544"/>
      <c r="CS84" s="544"/>
    </row>
    <row r="85" spans="1:98" s="142" customFormat="1" ht="12.75" x14ac:dyDescent="0.2">
      <c r="A85" s="735">
        <v>78</v>
      </c>
      <c r="B85" s="732" t="s">
        <v>47</v>
      </c>
      <c r="C85" s="738" t="s">
        <v>48</v>
      </c>
      <c r="D85" s="905">
        <v>202531.21020519701</v>
      </c>
      <c r="E85" s="905">
        <v>139090542</v>
      </c>
      <c r="F85" s="905">
        <v>4888</v>
      </c>
      <c r="G85" s="166">
        <v>70011552</v>
      </c>
      <c r="H85" s="166">
        <v>-5104425</v>
      </c>
      <c r="I85" s="166">
        <v>1185976</v>
      </c>
      <c r="J85" s="166">
        <v>-3918449</v>
      </c>
      <c r="K85" s="166">
        <v>-5451529</v>
      </c>
      <c r="L85" s="166">
        <v>-82284</v>
      </c>
      <c r="M85" s="166">
        <v>-57528</v>
      </c>
      <c r="N85" s="166">
        <v>-17983</v>
      </c>
      <c r="O85" s="166">
        <v>0</v>
      </c>
      <c r="P85" s="166">
        <v>-1246167</v>
      </c>
      <c r="Q85" s="166">
        <v>-221673</v>
      </c>
      <c r="R85" s="166">
        <v>-32056</v>
      </c>
      <c r="S85" s="166">
        <v>0</v>
      </c>
      <c r="T85" s="166"/>
      <c r="U85" s="166">
        <v>0</v>
      </c>
      <c r="V85" s="166">
        <v>0</v>
      </c>
      <c r="W85" s="166">
        <v>0</v>
      </c>
      <c r="X85" s="166">
        <v>0</v>
      </c>
      <c r="Y85" s="166">
        <v>-28764</v>
      </c>
      <c r="Z85" s="166">
        <v>45242987</v>
      </c>
      <c r="AA85" s="166">
        <v>-2500000</v>
      </c>
      <c r="AB85" s="166"/>
      <c r="AC85" s="166">
        <v>-4567099</v>
      </c>
      <c r="AD85" s="166">
        <v>269</v>
      </c>
      <c r="AE85" s="166">
        <v>17</v>
      </c>
      <c r="AF85" s="166">
        <v>25</v>
      </c>
      <c r="AG85" s="166"/>
      <c r="AH85" s="166">
        <v>11</v>
      </c>
      <c r="AI85" s="166">
        <v>0</v>
      </c>
      <c r="AJ85" s="166">
        <v>435</v>
      </c>
      <c r="AK85" s="166">
        <v>128</v>
      </c>
      <c r="AL85" s="166">
        <v>6</v>
      </c>
      <c r="AM85" s="166">
        <v>0</v>
      </c>
      <c r="AN85" s="166">
        <v>0</v>
      </c>
      <c r="AO85" s="166">
        <v>0</v>
      </c>
      <c r="AP85" s="166">
        <v>0</v>
      </c>
      <c r="AQ85" s="166">
        <v>0</v>
      </c>
      <c r="AR85" s="166">
        <v>525</v>
      </c>
      <c r="AS85" s="166">
        <v>1020</v>
      </c>
      <c r="AT85" s="166">
        <v>2099</v>
      </c>
      <c r="AU85" s="166">
        <v>1920</v>
      </c>
      <c r="AV85" s="166">
        <v>179</v>
      </c>
      <c r="AW85" s="166">
        <v>1844</v>
      </c>
      <c r="AX85" s="166">
        <v>-201170</v>
      </c>
      <c r="AY85" s="166">
        <v>-579672</v>
      </c>
      <c r="AZ85" s="166">
        <v>0</v>
      </c>
      <c r="BA85" s="166">
        <v>-13983</v>
      </c>
      <c r="BB85" s="166">
        <v>-259945</v>
      </c>
      <c r="BC85" s="166">
        <v>-191397</v>
      </c>
      <c r="BD85" s="166">
        <v>-1295120</v>
      </c>
      <c r="BE85" s="166">
        <v>3868758</v>
      </c>
      <c r="BF85" s="166"/>
      <c r="BG85" s="760">
        <v>23529775</v>
      </c>
      <c r="BH85" s="760">
        <v>0</v>
      </c>
      <c r="BI85" s="815">
        <v>3921323</v>
      </c>
      <c r="BJ85" s="1044" t="s">
        <v>2454</v>
      </c>
      <c r="BK85" s="1044" t="s">
        <v>2462</v>
      </c>
      <c r="BL85" s="1044" t="s">
        <v>2542</v>
      </c>
      <c r="BM85" s="650"/>
      <c r="BN85" s="746" t="s">
        <v>48</v>
      </c>
      <c r="BO85" s="142" t="b">
        <v>1</v>
      </c>
      <c r="BP85" s="544"/>
      <c r="BQ85" s="544"/>
      <c r="BR85" s="544"/>
      <c r="BS85" s="544"/>
      <c r="BT85" s="544"/>
      <c r="BU85" s="544"/>
      <c r="BV85" s="544"/>
      <c r="BW85" s="544"/>
      <c r="BX85" s="544"/>
      <c r="BY85" s="544"/>
      <c r="BZ85" s="544"/>
      <c r="CA85" s="544"/>
      <c r="CB85" s="544"/>
      <c r="CC85" s="544"/>
      <c r="CD85" s="544"/>
      <c r="CE85" s="544"/>
      <c r="CF85" s="544"/>
      <c r="CG85" s="544"/>
      <c r="CH85" s="544"/>
      <c r="CI85" s="544"/>
      <c r="CJ85" s="544"/>
      <c r="CK85" s="544"/>
      <c r="CL85" s="544"/>
      <c r="CM85" s="544"/>
      <c r="CN85" s="544"/>
      <c r="CO85" s="544"/>
      <c r="CP85" s="544"/>
      <c r="CQ85" s="544"/>
      <c r="CR85" s="544"/>
      <c r="CS85" s="544"/>
    </row>
    <row r="86" spans="1:98" s="142" customFormat="1" ht="12.75" x14ac:dyDescent="0.2">
      <c r="A86" s="735">
        <v>79</v>
      </c>
      <c r="B86" s="732" t="s">
        <v>49</v>
      </c>
      <c r="C86" s="738" t="s">
        <v>50</v>
      </c>
      <c r="D86" s="905">
        <v>259139.43252729601</v>
      </c>
      <c r="E86" s="905">
        <v>117184252</v>
      </c>
      <c r="F86" s="905">
        <v>7445</v>
      </c>
      <c r="G86" s="166">
        <v>58462310</v>
      </c>
      <c r="H86" s="166">
        <v>-7309600</v>
      </c>
      <c r="I86" s="166">
        <v>897692</v>
      </c>
      <c r="J86" s="166">
        <v>-6411908</v>
      </c>
      <c r="K86" s="166">
        <v>-3306371</v>
      </c>
      <c r="L86" s="166">
        <v>-86934</v>
      </c>
      <c r="M86" s="166">
        <v>-146402</v>
      </c>
      <c r="N86" s="166">
        <v>-39356</v>
      </c>
      <c r="O86" s="166">
        <v>0</v>
      </c>
      <c r="P86" s="166">
        <v>-476722</v>
      </c>
      <c r="Q86" s="166">
        <v>-69869</v>
      </c>
      <c r="R86" s="166">
        <v>0</v>
      </c>
      <c r="S86" s="166">
        <v>-7693</v>
      </c>
      <c r="T86" s="166"/>
      <c r="U86" s="166">
        <v>0</v>
      </c>
      <c r="V86" s="166">
        <v>0</v>
      </c>
      <c r="W86" s="166">
        <v>0</v>
      </c>
      <c r="X86" s="166">
        <v>0</v>
      </c>
      <c r="Y86" s="166">
        <v>-73201</v>
      </c>
      <c r="Z86" s="166">
        <v>36299762</v>
      </c>
      <c r="AA86" s="166">
        <v>-431967</v>
      </c>
      <c r="AB86" s="166"/>
      <c r="AC86" s="166">
        <v>-7836404</v>
      </c>
      <c r="AD86" s="166">
        <v>362</v>
      </c>
      <c r="AE86" s="166">
        <v>29</v>
      </c>
      <c r="AF86" s="166">
        <v>61</v>
      </c>
      <c r="AG86" s="166"/>
      <c r="AH86" s="166">
        <v>20</v>
      </c>
      <c r="AI86" s="166">
        <v>0</v>
      </c>
      <c r="AJ86" s="166">
        <v>275</v>
      </c>
      <c r="AK86" s="166">
        <v>107</v>
      </c>
      <c r="AL86" s="166">
        <v>0</v>
      </c>
      <c r="AM86" s="166">
        <v>0</v>
      </c>
      <c r="AN86" s="166">
        <v>0</v>
      </c>
      <c r="AO86" s="166">
        <v>12</v>
      </c>
      <c r="AP86" s="166">
        <v>0</v>
      </c>
      <c r="AQ86" s="166">
        <v>0</v>
      </c>
      <c r="AR86" s="166">
        <v>1074</v>
      </c>
      <c r="AS86" s="166">
        <v>1236</v>
      </c>
      <c r="AT86" s="166">
        <v>3850</v>
      </c>
      <c r="AU86" s="166">
        <v>3713</v>
      </c>
      <c r="AV86" s="166">
        <v>137</v>
      </c>
      <c r="AW86" s="166">
        <v>2408</v>
      </c>
      <c r="AX86" s="166">
        <v>-9168</v>
      </c>
      <c r="AY86" s="166">
        <v>-224234</v>
      </c>
      <c r="AZ86" s="166">
        <v>0</v>
      </c>
      <c r="BA86" s="166">
        <v>-11847</v>
      </c>
      <c r="BB86" s="166">
        <v>-218096</v>
      </c>
      <c r="BC86" s="166">
        <v>-13377</v>
      </c>
      <c r="BD86" s="166">
        <v>-556465</v>
      </c>
      <c r="BE86" s="166">
        <v>3579826</v>
      </c>
      <c r="BF86" s="166"/>
      <c r="BG86" s="760">
        <v>19641325</v>
      </c>
      <c r="BH86" s="760">
        <v>0</v>
      </c>
      <c r="BI86" s="815">
        <v>4904433</v>
      </c>
      <c r="BJ86" s="1044" t="s">
        <v>2454</v>
      </c>
      <c r="BK86" s="1044" t="s">
        <v>2457</v>
      </c>
      <c r="BL86" s="1044" t="s">
        <v>2543</v>
      </c>
      <c r="BM86" s="650"/>
      <c r="BN86" s="746" t="s">
        <v>50</v>
      </c>
      <c r="BO86" s="142" t="b">
        <v>1</v>
      </c>
      <c r="BP86" s="544"/>
      <c r="BQ86" s="544"/>
      <c r="BR86" s="544"/>
      <c r="BS86" s="544"/>
      <c r="BT86" s="544"/>
      <c r="BU86" s="544"/>
      <c r="BV86" s="544"/>
      <c r="BW86" s="544"/>
      <c r="BX86" s="544"/>
      <c r="BY86" s="544"/>
      <c r="BZ86" s="544"/>
      <c r="CA86" s="544"/>
      <c r="CB86" s="544"/>
      <c r="CC86" s="544"/>
      <c r="CD86" s="544"/>
      <c r="CE86" s="544"/>
      <c r="CF86" s="544"/>
      <c r="CG86" s="544"/>
      <c r="CH86" s="544"/>
      <c r="CI86" s="544"/>
      <c r="CJ86" s="544"/>
      <c r="CK86" s="544"/>
      <c r="CL86" s="544"/>
      <c r="CM86" s="544"/>
      <c r="CN86" s="544"/>
      <c r="CO86" s="544"/>
      <c r="CP86" s="544"/>
      <c r="CQ86" s="544"/>
      <c r="CR86" s="544"/>
      <c r="CS86" s="544"/>
    </row>
    <row r="87" spans="1:98" s="142" customFormat="1" ht="12.75" hidden="1" x14ac:dyDescent="0.2">
      <c r="A87" s="735">
        <v>80</v>
      </c>
      <c r="B87" s="732" t="s">
        <v>598</v>
      </c>
      <c r="C87" s="738" t="s">
        <v>52</v>
      </c>
      <c r="D87" s="905">
        <v>459981.21524640702</v>
      </c>
      <c r="E87" s="905">
        <v>291354606</v>
      </c>
      <c r="F87" s="905">
        <v>12462</v>
      </c>
      <c r="G87" s="166">
        <v>145406423</v>
      </c>
      <c r="H87" s="166">
        <v>-14035708</v>
      </c>
      <c r="I87" s="166">
        <v>2561644</v>
      </c>
      <c r="J87" s="166">
        <v>-11474064</v>
      </c>
      <c r="K87" s="166">
        <v>-4751432</v>
      </c>
      <c r="L87" s="166">
        <v>-117620</v>
      </c>
      <c r="M87" s="166">
        <v>-95996</v>
      </c>
      <c r="N87" s="166">
        <v>-79164</v>
      </c>
      <c r="O87" s="166">
        <v>0</v>
      </c>
      <c r="P87" s="166">
        <v>-2493506</v>
      </c>
      <c r="Q87" s="166">
        <v>-130811</v>
      </c>
      <c r="R87" s="166">
        <v>-411360</v>
      </c>
      <c r="S87" s="166">
        <v>-23477</v>
      </c>
      <c r="T87" s="166"/>
      <c r="U87" s="166">
        <v>-29815</v>
      </c>
      <c r="V87" s="166">
        <v>0</v>
      </c>
      <c r="W87" s="166">
        <v>0</v>
      </c>
      <c r="X87" s="166">
        <v>0</v>
      </c>
      <c r="Y87" s="166">
        <v>-47998</v>
      </c>
      <c r="Z87" s="166">
        <v>107029462</v>
      </c>
      <c r="AA87" s="166">
        <v>-5550680</v>
      </c>
      <c r="AB87" s="166"/>
      <c r="AC87" s="166">
        <v>-11535398</v>
      </c>
      <c r="AD87" s="166">
        <v>479</v>
      </c>
      <c r="AE87" s="166">
        <v>9</v>
      </c>
      <c r="AF87" s="166">
        <v>52</v>
      </c>
      <c r="AG87" s="166"/>
      <c r="AH87" s="166">
        <v>36</v>
      </c>
      <c r="AI87" s="166">
        <v>0</v>
      </c>
      <c r="AJ87" s="166">
        <v>948</v>
      </c>
      <c r="AK87" s="166">
        <v>216</v>
      </c>
      <c r="AL87" s="166">
        <v>65</v>
      </c>
      <c r="AM87" s="166">
        <v>0</v>
      </c>
      <c r="AN87" s="166">
        <v>11</v>
      </c>
      <c r="AO87" s="166">
        <v>7</v>
      </c>
      <c r="AP87" s="166">
        <v>5</v>
      </c>
      <c r="AQ87" s="166">
        <v>0</v>
      </c>
      <c r="AR87" s="166">
        <v>1829</v>
      </c>
      <c r="AS87" s="166">
        <v>2327</v>
      </c>
      <c r="AT87" s="166">
        <v>6390</v>
      </c>
      <c r="AU87" s="166">
        <v>6130</v>
      </c>
      <c r="AV87" s="166">
        <v>260</v>
      </c>
      <c r="AW87" s="166">
        <v>3730</v>
      </c>
      <c r="AX87" s="166">
        <v>-240775</v>
      </c>
      <c r="AY87" s="166">
        <v>-324916</v>
      </c>
      <c r="AZ87" s="166">
        <v>0</v>
      </c>
      <c r="BA87" s="166">
        <v>-14898</v>
      </c>
      <c r="BB87" s="166">
        <v>-1410363</v>
      </c>
      <c r="BC87" s="166">
        <v>-502554</v>
      </c>
      <c r="BD87" s="166">
        <v>-500000</v>
      </c>
      <c r="BE87" s="166">
        <v>-2390586</v>
      </c>
      <c r="BF87" s="166"/>
      <c r="BG87" s="760">
        <v>37641325</v>
      </c>
      <c r="BH87" s="760">
        <v>0</v>
      </c>
      <c r="BI87" s="815">
        <v>-67186</v>
      </c>
      <c r="BJ87" s="1044" t="s">
        <v>515</v>
      </c>
      <c r="BK87" s="1044" t="s">
        <v>2469</v>
      </c>
      <c r="BL87" s="1044" t="s">
        <v>2544</v>
      </c>
      <c r="BM87" s="650"/>
      <c r="BN87" s="746" t="s">
        <v>52</v>
      </c>
      <c r="BO87" s="142" t="b">
        <v>1</v>
      </c>
      <c r="BP87" s="544"/>
      <c r="BQ87" s="544"/>
      <c r="BR87" s="544"/>
      <c r="BS87" s="544"/>
      <c r="BT87" s="544"/>
      <c r="BU87" s="544"/>
      <c r="BV87" s="544"/>
      <c r="BW87" s="544"/>
      <c r="BX87" s="544"/>
      <c r="BY87" s="544"/>
      <c r="BZ87" s="544"/>
      <c r="CA87" s="544"/>
      <c r="CB87" s="544"/>
      <c r="CC87" s="544"/>
      <c r="CD87" s="544"/>
      <c r="CE87" s="544"/>
      <c r="CF87" s="544"/>
      <c r="CG87" s="544"/>
      <c r="CH87" s="544"/>
      <c r="CI87" s="544"/>
      <c r="CJ87" s="544"/>
      <c r="CK87" s="544"/>
      <c r="CL87" s="544"/>
      <c r="CM87" s="544"/>
      <c r="CN87" s="544"/>
      <c r="CO87" s="544"/>
      <c r="CP87" s="544"/>
      <c r="CQ87" s="544"/>
      <c r="CR87" s="544"/>
      <c r="CS87" s="544"/>
    </row>
    <row r="88" spans="1:98" s="142" customFormat="1" ht="12.75" x14ac:dyDescent="0.2">
      <c r="A88" s="735">
        <v>81</v>
      </c>
      <c r="B88" s="732" t="s">
        <v>55</v>
      </c>
      <c r="C88" s="738" t="s">
        <v>56</v>
      </c>
      <c r="D88" s="905">
        <v>170060.48835413301</v>
      </c>
      <c r="E88" s="905">
        <v>155676046</v>
      </c>
      <c r="F88" s="905">
        <v>4174</v>
      </c>
      <c r="G88" s="166">
        <v>77193095</v>
      </c>
      <c r="H88" s="166">
        <v>-4586907</v>
      </c>
      <c r="I88" s="166">
        <v>0</v>
      </c>
      <c r="J88" s="166">
        <v>-4586907</v>
      </c>
      <c r="K88" s="166">
        <v>-3133809</v>
      </c>
      <c r="L88" s="166">
        <v>-48282</v>
      </c>
      <c r="M88" s="166">
        <v>0</v>
      </c>
      <c r="N88" s="166">
        <v>-15332</v>
      </c>
      <c r="O88" s="166">
        <v>-7914</v>
      </c>
      <c r="P88" s="166">
        <v>-1565284</v>
      </c>
      <c r="Q88" s="166">
        <v>-25257</v>
      </c>
      <c r="R88" s="166">
        <v>0</v>
      </c>
      <c r="S88" s="166">
        <v>0</v>
      </c>
      <c r="T88" s="166"/>
      <c r="U88" s="166">
        <v>0</v>
      </c>
      <c r="V88" s="166">
        <v>0</v>
      </c>
      <c r="W88" s="166">
        <v>0</v>
      </c>
      <c r="X88" s="166">
        <v>0</v>
      </c>
      <c r="Y88" s="166">
        <v>0</v>
      </c>
      <c r="Z88" s="166">
        <v>59935172</v>
      </c>
      <c r="AA88" s="166">
        <v>-2876845</v>
      </c>
      <c r="AB88" s="166"/>
      <c r="AC88" s="166">
        <v>-3668189</v>
      </c>
      <c r="AD88" s="166">
        <v>165</v>
      </c>
      <c r="AE88" s="166">
        <v>10</v>
      </c>
      <c r="AF88" s="166">
        <v>0</v>
      </c>
      <c r="AG88" s="166"/>
      <c r="AH88" s="166">
        <v>9</v>
      </c>
      <c r="AI88" s="166">
        <v>0</v>
      </c>
      <c r="AJ88" s="166">
        <v>270</v>
      </c>
      <c r="AK88" s="166">
        <v>0</v>
      </c>
      <c r="AL88" s="166">
        <v>0</v>
      </c>
      <c r="AM88" s="166">
        <v>0</v>
      </c>
      <c r="AN88" s="166">
        <v>0</v>
      </c>
      <c r="AO88" s="166">
        <v>0</v>
      </c>
      <c r="AP88" s="166">
        <v>0</v>
      </c>
      <c r="AQ88" s="166">
        <v>0</v>
      </c>
      <c r="AR88" s="166">
        <v>396</v>
      </c>
      <c r="AS88" s="166">
        <v>999</v>
      </c>
      <c r="AT88" s="166">
        <v>1710</v>
      </c>
      <c r="AU88" s="166">
        <v>1561</v>
      </c>
      <c r="AV88" s="166">
        <v>149</v>
      </c>
      <c r="AW88" s="166">
        <v>1479</v>
      </c>
      <c r="AX88" s="166">
        <v>-104602</v>
      </c>
      <c r="AY88" s="166">
        <v>-1130843</v>
      </c>
      <c r="AZ88" s="166">
        <v>0</v>
      </c>
      <c r="BA88" s="166">
        <v>0</v>
      </c>
      <c r="BB88" s="166">
        <v>-276692</v>
      </c>
      <c r="BC88" s="166">
        <v>-53147</v>
      </c>
      <c r="BD88" s="166">
        <v>-365997</v>
      </c>
      <c r="BE88" s="166">
        <v>4170567</v>
      </c>
      <c r="BF88" s="166"/>
      <c r="BG88" s="760">
        <v>16901425</v>
      </c>
      <c r="BH88" s="760">
        <v>0</v>
      </c>
      <c r="BI88" s="815">
        <v>5163996</v>
      </c>
      <c r="BJ88" s="1044" t="s">
        <v>2454</v>
      </c>
      <c r="BK88" s="1044" t="s">
        <v>2478</v>
      </c>
      <c r="BL88" s="1044" t="s">
        <v>2545</v>
      </c>
      <c r="BM88" s="650"/>
      <c r="BN88" s="746" t="s">
        <v>56</v>
      </c>
      <c r="BO88" s="142" t="b">
        <v>1</v>
      </c>
      <c r="BP88" s="544"/>
      <c r="BQ88" s="544"/>
      <c r="BR88" s="544"/>
      <c r="BS88" s="544"/>
      <c r="BT88" s="544"/>
      <c r="BU88" s="544"/>
      <c r="BV88" s="544"/>
      <c r="BW88" s="544"/>
      <c r="BX88" s="544"/>
      <c r="BY88" s="544"/>
      <c r="BZ88" s="544"/>
      <c r="CA88" s="544"/>
      <c r="CB88" s="544"/>
      <c r="CC88" s="544"/>
      <c r="CD88" s="544"/>
      <c r="CE88" s="544"/>
      <c r="CF88" s="544"/>
      <c r="CG88" s="544"/>
      <c r="CH88" s="544"/>
      <c r="CI88" s="544"/>
      <c r="CJ88" s="544"/>
      <c r="CK88" s="544"/>
      <c r="CL88" s="544"/>
      <c r="CM88" s="544"/>
      <c r="CN88" s="544"/>
      <c r="CO88" s="544"/>
      <c r="CP88" s="544"/>
      <c r="CQ88" s="544"/>
      <c r="CR88" s="544"/>
      <c r="CS88" s="544"/>
    </row>
    <row r="89" spans="1:98" s="142" customFormat="1" ht="12.75" x14ac:dyDescent="0.2">
      <c r="A89" s="735">
        <v>82</v>
      </c>
      <c r="B89" s="739" t="s">
        <v>1223</v>
      </c>
      <c r="C89" s="740" t="s">
        <v>1224</v>
      </c>
      <c r="D89" s="905">
        <v>473269.34724068397</v>
      </c>
      <c r="E89" s="905">
        <v>258667580</v>
      </c>
      <c r="F89" s="905">
        <v>13110</v>
      </c>
      <c r="G89" s="166">
        <v>128918150</v>
      </c>
      <c r="H89" s="166">
        <v>-10999895</v>
      </c>
      <c r="I89" s="166">
        <v>2428050</v>
      </c>
      <c r="J89" s="166">
        <v>-8571845</v>
      </c>
      <c r="K89" s="166">
        <v>-6829428</v>
      </c>
      <c r="L89" s="166">
        <v>-69725</v>
      </c>
      <c r="M89" s="166">
        <v>-98497</v>
      </c>
      <c r="N89" s="166">
        <v>-85937</v>
      </c>
      <c r="O89" s="166">
        <v>0</v>
      </c>
      <c r="P89" s="166">
        <v>-1652919</v>
      </c>
      <c r="Q89" s="166">
        <v>-117767</v>
      </c>
      <c r="R89" s="166">
        <v>-398192</v>
      </c>
      <c r="S89" s="166">
        <v>-484</v>
      </c>
      <c r="T89" s="166"/>
      <c r="U89" s="166">
        <v>0</v>
      </c>
      <c r="V89" s="166">
        <v>-85382</v>
      </c>
      <c r="W89" s="166">
        <v>-9272</v>
      </c>
      <c r="X89" s="166">
        <v>0</v>
      </c>
      <c r="Y89" s="166">
        <v>-54341</v>
      </c>
      <c r="Z89" s="166">
        <v>94935504</v>
      </c>
      <c r="AA89" s="166">
        <v>-4383217</v>
      </c>
      <c r="AB89" s="166"/>
      <c r="AC89" s="166">
        <v>-8732868</v>
      </c>
      <c r="AD89" s="166">
        <v>635</v>
      </c>
      <c r="AE89" s="166">
        <v>32</v>
      </c>
      <c r="AF89" s="166">
        <v>33</v>
      </c>
      <c r="AG89" s="166"/>
      <c r="AH89" s="166">
        <v>57</v>
      </c>
      <c r="AI89" s="166">
        <v>0</v>
      </c>
      <c r="AJ89" s="166">
        <v>824</v>
      </c>
      <c r="AK89" s="166">
        <v>170</v>
      </c>
      <c r="AL89" s="166">
        <v>22</v>
      </c>
      <c r="AM89" s="166">
        <v>1</v>
      </c>
      <c r="AN89" s="166">
        <v>0</v>
      </c>
      <c r="AO89" s="166">
        <v>3</v>
      </c>
      <c r="AP89" s="166">
        <v>3</v>
      </c>
      <c r="AQ89" s="166">
        <v>0</v>
      </c>
      <c r="AR89" s="166">
        <v>1477</v>
      </c>
      <c r="AS89" s="166">
        <v>2079</v>
      </c>
      <c r="AT89" s="166">
        <v>6832</v>
      </c>
      <c r="AU89" s="166">
        <v>6653</v>
      </c>
      <c r="AV89" s="166">
        <v>179</v>
      </c>
      <c r="AW89" s="166">
        <v>4180</v>
      </c>
      <c r="AX89" s="166">
        <v>-60620</v>
      </c>
      <c r="AY89" s="166">
        <v>-496394</v>
      </c>
      <c r="AZ89" s="166">
        <v>0</v>
      </c>
      <c r="BA89" s="166">
        <v>-55500</v>
      </c>
      <c r="BB89" s="166">
        <v>-1040405</v>
      </c>
      <c r="BC89" s="166">
        <v>0</v>
      </c>
      <c r="BD89" s="166">
        <v>-901129</v>
      </c>
      <c r="BE89" s="166">
        <v>2451187</v>
      </c>
      <c r="BF89" s="166"/>
      <c r="BG89" s="760">
        <v>26056120</v>
      </c>
      <c r="BH89" s="760">
        <v>108750</v>
      </c>
      <c r="BI89" s="815">
        <v>4298655</v>
      </c>
      <c r="BJ89" s="1044" t="s">
        <v>2454</v>
      </c>
      <c r="BK89" s="1044" t="s">
        <v>2462</v>
      </c>
      <c r="BL89" s="1044" t="s">
        <v>2546</v>
      </c>
      <c r="BM89" s="650"/>
      <c r="BN89" s="746" t="s">
        <v>1224</v>
      </c>
      <c r="BO89" s="142" t="b">
        <v>1</v>
      </c>
      <c r="BP89" s="544"/>
      <c r="BQ89" s="544"/>
      <c r="BR89" s="544"/>
      <c r="BS89" s="544"/>
      <c r="BT89" s="544"/>
      <c r="BU89" s="544"/>
      <c r="BV89" s="544"/>
      <c r="BW89" s="544"/>
      <c r="BX89" s="544"/>
      <c r="BY89" s="544"/>
      <c r="BZ89" s="544"/>
      <c r="CA89" s="544"/>
      <c r="CB89" s="544"/>
      <c r="CC89" s="544"/>
      <c r="CD89" s="544"/>
      <c r="CE89" s="544"/>
      <c r="CF89" s="544"/>
      <c r="CG89" s="544"/>
      <c r="CH89" s="544"/>
      <c r="CI89" s="544"/>
      <c r="CJ89" s="544"/>
      <c r="CK89" s="544"/>
      <c r="CL89" s="544"/>
      <c r="CM89" s="544"/>
      <c r="CN89" s="544"/>
      <c r="CO89" s="544"/>
      <c r="CP89" s="544"/>
      <c r="CQ89" s="544"/>
      <c r="CR89" s="544"/>
      <c r="CS89" s="544"/>
      <c r="CT89" s="544"/>
    </row>
    <row r="90" spans="1:98" s="142" customFormat="1" ht="12.75" x14ac:dyDescent="0.2">
      <c r="A90" s="735">
        <v>83</v>
      </c>
      <c r="B90" s="732" t="s">
        <v>57</v>
      </c>
      <c r="C90" s="738" t="s">
        <v>58</v>
      </c>
      <c r="D90" s="905">
        <v>121022.781698197</v>
      </c>
      <c r="E90" s="905">
        <v>90642403</v>
      </c>
      <c r="F90" s="905">
        <v>3117</v>
      </c>
      <c r="G90" s="166">
        <v>46388978</v>
      </c>
      <c r="H90" s="166">
        <v>-3602168</v>
      </c>
      <c r="I90" s="166">
        <v>858332</v>
      </c>
      <c r="J90" s="166">
        <v>-2743836</v>
      </c>
      <c r="K90" s="166">
        <v>-4301442</v>
      </c>
      <c r="L90" s="166">
        <v>-149856</v>
      </c>
      <c r="M90" s="166">
        <v>0</v>
      </c>
      <c r="N90" s="166">
        <v>-6016</v>
      </c>
      <c r="O90" s="166">
        <v>0</v>
      </c>
      <c r="P90" s="166">
        <v>-560227</v>
      </c>
      <c r="Q90" s="166">
        <v>-118921</v>
      </c>
      <c r="R90" s="166">
        <v>-79254</v>
      </c>
      <c r="S90" s="166">
        <v>0</v>
      </c>
      <c r="T90" s="166"/>
      <c r="U90" s="166">
        <v>0</v>
      </c>
      <c r="V90" s="166">
        <v>0</v>
      </c>
      <c r="W90" s="166">
        <v>0</v>
      </c>
      <c r="X90" s="166">
        <v>0</v>
      </c>
      <c r="Y90" s="166">
        <v>0</v>
      </c>
      <c r="Z90" s="166">
        <v>31709445</v>
      </c>
      <c r="AA90" s="166">
        <v>-331500</v>
      </c>
      <c r="AB90" s="166"/>
      <c r="AC90" s="166">
        <v>-4952768</v>
      </c>
      <c r="AD90" s="166">
        <v>169</v>
      </c>
      <c r="AE90" s="166">
        <v>12</v>
      </c>
      <c r="AF90" s="166">
        <v>0</v>
      </c>
      <c r="AG90" s="166"/>
      <c r="AH90" s="166">
        <v>0</v>
      </c>
      <c r="AI90" s="166">
        <v>0</v>
      </c>
      <c r="AJ90" s="166">
        <v>67</v>
      </c>
      <c r="AK90" s="166">
        <v>72</v>
      </c>
      <c r="AL90" s="166">
        <v>9</v>
      </c>
      <c r="AM90" s="166">
        <v>0</v>
      </c>
      <c r="AN90" s="166">
        <v>0</v>
      </c>
      <c r="AO90" s="166">
        <v>0</v>
      </c>
      <c r="AP90" s="166">
        <v>0</v>
      </c>
      <c r="AQ90" s="166">
        <v>0</v>
      </c>
      <c r="AR90" s="166">
        <v>422</v>
      </c>
      <c r="AS90" s="166">
        <v>687</v>
      </c>
      <c r="AT90" s="166">
        <v>2857</v>
      </c>
      <c r="AU90" s="166">
        <v>98</v>
      </c>
      <c r="AV90" s="166">
        <v>2759</v>
      </c>
      <c r="AW90" s="166">
        <v>1211</v>
      </c>
      <c r="AX90" s="166">
        <v>-9146</v>
      </c>
      <c r="AY90" s="166">
        <v>-86347</v>
      </c>
      <c r="AZ90" s="166">
        <v>0</v>
      </c>
      <c r="BA90" s="166">
        <v>0</v>
      </c>
      <c r="BB90" s="166">
        <v>-457610</v>
      </c>
      <c r="BC90" s="166">
        <v>-7124</v>
      </c>
      <c r="BD90" s="166">
        <v>-103891</v>
      </c>
      <c r="BE90" s="166">
        <v>-4929112</v>
      </c>
      <c r="BF90" s="166"/>
      <c r="BG90" s="760">
        <v>13825625</v>
      </c>
      <c r="BH90" s="760">
        <v>0</v>
      </c>
      <c r="BI90" s="815">
        <v>-6444572</v>
      </c>
      <c r="BJ90" s="1044" t="s">
        <v>2454</v>
      </c>
      <c r="BK90" s="1044" t="s">
        <v>2455</v>
      </c>
      <c r="BL90" s="1044" t="s">
        <v>2547</v>
      </c>
      <c r="BM90" s="650"/>
      <c r="BN90" s="746" t="s">
        <v>58</v>
      </c>
      <c r="BO90" s="142" t="b">
        <v>1</v>
      </c>
      <c r="BP90" s="544"/>
      <c r="BQ90" s="544"/>
      <c r="BR90" s="544"/>
      <c r="BS90" s="544"/>
      <c r="BT90" s="544"/>
      <c r="BU90" s="544"/>
      <c r="BV90" s="544"/>
      <c r="BW90" s="544"/>
      <c r="BX90" s="544"/>
      <c r="BY90" s="544"/>
      <c r="BZ90" s="544"/>
      <c r="CA90" s="544"/>
      <c r="CB90" s="544"/>
      <c r="CC90" s="544"/>
      <c r="CD90" s="544"/>
      <c r="CE90" s="544"/>
      <c r="CF90" s="544"/>
      <c r="CG90" s="544"/>
      <c r="CH90" s="544"/>
      <c r="CI90" s="544"/>
      <c r="CJ90" s="544"/>
      <c r="CK90" s="544"/>
      <c r="CL90" s="544"/>
      <c r="CM90" s="544"/>
      <c r="CN90" s="544"/>
      <c r="CO90" s="544"/>
      <c r="CP90" s="544"/>
      <c r="CQ90" s="544"/>
      <c r="CR90" s="544"/>
      <c r="CS90" s="544"/>
    </row>
    <row r="91" spans="1:98" s="142" customFormat="1" ht="12.75" x14ac:dyDescent="0.2">
      <c r="A91" s="735">
        <v>84</v>
      </c>
      <c r="B91" s="732" t="s">
        <v>59</v>
      </c>
      <c r="C91" s="738" t="s">
        <v>60</v>
      </c>
      <c r="D91" s="905">
        <v>141440.86681301301</v>
      </c>
      <c r="E91" s="905">
        <v>147324628</v>
      </c>
      <c r="F91" s="905">
        <v>3149</v>
      </c>
      <c r="G91" s="166">
        <v>73707938</v>
      </c>
      <c r="H91" s="166">
        <v>-3127131</v>
      </c>
      <c r="I91" s="166">
        <v>1508626</v>
      </c>
      <c r="J91" s="166">
        <v>-1618505</v>
      </c>
      <c r="K91" s="166">
        <v>-2457532</v>
      </c>
      <c r="L91" s="166">
        <v>0</v>
      </c>
      <c r="M91" s="166">
        <v>0</v>
      </c>
      <c r="N91" s="166">
        <v>-5107</v>
      </c>
      <c r="O91" s="166">
        <v>0</v>
      </c>
      <c r="P91" s="166">
        <v>-488258</v>
      </c>
      <c r="Q91" s="166">
        <v>-102220</v>
      </c>
      <c r="R91" s="166">
        <v>-514063</v>
      </c>
      <c r="S91" s="166">
        <v>0</v>
      </c>
      <c r="T91" s="166"/>
      <c r="U91" s="166">
        <v>0</v>
      </c>
      <c r="V91" s="166">
        <v>0</v>
      </c>
      <c r="W91" s="166">
        <v>0</v>
      </c>
      <c r="X91" s="166">
        <v>0</v>
      </c>
      <c r="Y91" s="166">
        <v>0</v>
      </c>
      <c r="Z91" s="166">
        <v>65456087</v>
      </c>
      <c r="AA91" s="166">
        <v>-1305414</v>
      </c>
      <c r="AB91" s="166"/>
      <c r="AC91" s="166">
        <v>-2233556</v>
      </c>
      <c r="AD91" s="166">
        <v>157</v>
      </c>
      <c r="AE91" s="166">
        <v>0</v>
      </c>
      <c r="AF91" s="166">
        <v>0</v>
      </c>
      <c r="AG91" s="166"/>
      <c r="AH91" s="166">
        <v>4</v>
      </c>
      <c r="AI91" s="166">
        <v>0</v>
      </c>
      <c r="AJ91" s="166">
        <v>61</v>
      </c>
      <c r="AK91" s="166">
        <v>65</v>
      </c>
      <c r="AL91" s="166">
        <v>2</v>
      </c>
      <c r="AM91" s="166">
        <v>0</v>
      </c>
      <c r="AN91" s="166">
        <v>0</v>
      </c>
      <c r="AO91" s="166">
        <v>0</v>
      </c>
      <c r="AP91" s="166">
        <v>0</v>
      </c>
      <c r="AQ91" s="166">
        <v>0</v>
      </c>
      <c r="AR91" s="166">
        <v>602</v>
      </c>
      <c r="AS91" s="166">
        <v>897</v>
      </c>
      <c r="AT91" s="166">
        <v>961</v>
      </c>
      <c r="AU91" s="166">
        <v>869</v>
      </c>
      <c r="AV91" s="166">
        <v>92</v>
      </c>
      <c r="AW91" s="166">
        <v>1302</v>
      </c>
      <c r="AX91" s="166">
        <v>-97228</v>
      </c>
      <c r="AY91" s="166">
        <v>-64000</v>
      </c>
      <c r="AZ91" s="166">
        <v>0</v>
      </c>
      <c r="BA91" s="166">
        <v>-37632</v>
      </c>
      <c r="BB91" s="166">
        <v>-281077</v>
      </c>
      <c r="BC91" s="166">
        <v>-8321</v>
      </c>
      <c r="BD91" s="166">
        <v>-608120</v>
      </c>
      <c r="BE91" s="166">
        <v>2995457</v>
      </c>
      <c r="BF91" s="166"/>
      <c r="BG91" s="760">
        <v>19328700</v>
      </c>
      <c r="BH91" s="760">
        <v>0</v>
      </c>
      <c r="BI91" s="815">
        <v>-1339002</v>
      </c>
      <c r="BJ91" s="1044" t="s">
        <v>2454</v>
      </c>
      <c r="BK91" s="1044" t="s">
        <v>2455</v>
      </c>
      <c r="BL91" s="1044" t="s">
        <v>2548</v>
      </c>
      <c r="BM91" s="650"/>
      <c r="BN91" s="746" t="s">
        <v>60</v>
      </c>
      <c r="BO91" s="142" t="b">
        <v>1</v>
      </c>
      <c r="BP91" s="544"/>
      <c r="BQ91" s="544"/>
      <c r="BR91" s="544"/>
      <c r="BS91" s="544"/>
      <c r="BT91" s="544"/>
      <c r="BU91" s="544"/>
      <c r="BV91" s="544"/>
      <c r="BW91" s="544"/>
      <c r="BX91" s="544"/>
      <c r="BY91" s="544"/>
      <c r="BZ91" s="544"/>
      <c r="CA91" s="544"/>
      <c r="CB91" s="544"/>
      <c r="CC91" s="544"/>
      <c r="CD91" s="544"/>
      <c r="CE91" s="544"/>
      <c r="CF91" s="544"/>
      <c r="CG91" s="544"/>
      <c r="CH91" s="544"/>
      <c r="CI91" s="544"/>
      <c r="CJ91" s="544"/>
      <c r="CK91" s="544"/>
      <c r="CL91" s="544"/>
      <c r="CM91" s="544"/>
      <c r="CN91" s="544"/>
      <c r="CO91" s="544"/>
      <c r="CP91" s="544"/>
      <c r="CQ91" s="544"/>
      <c r="CR91" s="544"/>
      <c r="CS91" s="544"/>
    </row>
    <row r="92" spans="1:98" s="142" customFormat="1" ht="12.75" x14ac:dyDescent="0.2">
      <c r="A92" s="735">
        <v>85</v>
      </c>
      <c r="B92" s="732" t="s">
        <v>61</v>
      </c>
      <c r="C92" s="738" t="s">
        <v>62</v>
      </c>
      <c r="D92" s="905">
        <v>177356.38854230999</v>
      </c>
      <c r="E92" s="905">
        <v>159065783</v>
      </c>
      <c r="F92" s="905">
        <v>3835</v>
      </c>
      <c r="G92" s="166">
        <v>81205339</v>
      </c>
      <c r="H92" s="166">
        <v>-3679012</v>
      </c>
      <c r="I92" s="166">
        <v>1588061</v>
      </c>
      <c r="J92" s="166">
        <v>-2090951</v>
      </c>
      <c r="K92" s="166">
        <v>-5957629</v>
      </c>
      <c r="L92" s="166">
        <v>-57265</v>
      </c>
      <c r="M92" s="166">
        <v>0</v>
      </c>
      <c r="N92" s="166">
        <v>-1867</v>
      </c>
      <c r="O92" s="166">
        <v>0</v>
      </c>
      <c r="P92" s="166">
        <v>-2964522</v>
      </c>
      <c r="Q92" s="166">
        <v>-136317</v>
      </c>
      <c r="R92" s="166">
        <v>-518073</v>
      </c>
      <c r="S92" s="166">
        <v>0</v>
      </c>
      <c r="T92" s="166"/>
      <c r="U92" s="166">
        <v>0</v>
      </c>
      <c r="V92" s="166">
        <v>0</v>
      </c>
      <c r="W92" s="166">
        <v>0</v>
      </c>
      <c r="X92" s="166">
        <v>0</v>
      </c>
      <c r="Y92" s="166">
        <v>0</v>
      </c>
      <c r="Z92" s="166">
        <v>58745076</v>
      </c>
      <c r="AA92" s="166">
        <v>-2761019</v>
      </c>
      <c r="AB92" s="166"/>
      <c r="AC92" s="166">
        <v>-6882011</v>
      </c>
      <c r="AD92" s="166">
        <v>211</v>
      </c>
      <c r="AE92" s="166">
        <v>16</v>
      </c>
      <c r="AF92" s="166">
        <v>0</v>
      </c>
      <c r="AG92" s="166"/>
      <c r="AH92" s="166">
        <v>2</v>
      </c>
      <c r="AI92" s="166">
        <v>0</v>
      </c>
      <c r="AJ92" s="166">
        <v>322</v>
      </c>
      <c r="AK92" s="166">
        <v>95</v>
      </c>
      <c r="AL92" s="166">
        <v>8</v>
      </c>
      <c r="AM92" s="166">
        <v>0</v>
      </c>
      <c r="AN92" s="166">
        <v>0</v>
      </c>
      <c r="AO92" s="166">
        <v>0</v>
      </c>
      <c r="AP92" s="166">
        <v>0</v>
      </c>
      <c r="AQ92" s="166">
        <v>0</v>
      </c>
      <c r="AR92" s="166">
        <v>671</v>
      </c>
      <c r="AS92" s="166">
        <v>1007</v>
      </c>
      <c r="AT92" s="166">
        <v>1206</v>
      </c>
      <c r="AU92" s="166">
        <v>1067</v>
      </c>
      <c r="AV92" s="166">
        <v>139</v>
      </c>
      <c r="AW92" s="166">
        <v>1711</v>
      </c>
      <c r="AX92" s="166">
        <v>-428212</v>
      </c>
      <c r="AY92" s="166">
        <v>-996780</v>
      </c>
      <c r="AZ92" s="166">
        <v>0</v>
      </c>
      <c r="BA92" s="166">
        <v>-176596</v>
      </c>
      <c r="BB92" s="166">
        <v>-607954</v>
      </c>
      <c r="BC92" s="166">
        <v>-754980</v>
      </c>
      <c r="BD92" s="166">
        <v>-381572</v>
      </c>
      <c r="BE92" s="166">
        <v>-991997</v>
      </c>
      <c r="BF92" s="166"/>
      <c r="BG92" s="760">
        <v>23124650</v>
      </c>
      <c r="BH92" s="760">
        <v>0</v>
      </c>
      <c r="BI92" s="815">
        <v>1407364</v>
      </c>
      <c r="BJ92" s="1044" t="s">
        <v>2454</v>
      </c>
      <c r="BK92" s="1044" t="s">
        <v>2455</v>
      </c>
      <c r="BL92" s="1044" t="s">
        <v>2549</v>
      </c>
      <c r="BM92" s="650"/>
      <c r="BN92" s="746" t="s">
        <v>62</v>
      </c>
      <c r="BO92" s="142" t="b">
        <v>1</v>
      </c>
      <c r="BP92" s="544"/>
      <c r="BQ92" s="544"/>
      <c r="BR92" s="544"/>
      <c r="BS92" s="544"/>
      <c r="BT92" s="544"/>
      <c r="BU92" s="544"/>
      <c r="BV92" s="544"/>
      <c r="BW92" s="544"/>
      <c r="BX92" s="544"/>
      <c r="BY92" s="544"/>
      <c r="BZ92" s="544"/>
      <c r="CA92" s="544"/>
      <c r="CB92" s="544"/>
      <c r="CC92" s="544"/>
      <c r="CD92" s="544"/>
      <c r="CE92" s="544"/>
      <c r="CF92" s="544"/>
      <c r="CG92" s="544"/>
      <c r="CH92" s="544"/>
      <c r="CI92" s="544"/>
      <c r="CJ92" s="544"/>
      <c r="CK92" s="544"/>
      <c r="CL92" s="544"/>
      <c r="CM92" s="544"/>
      <c r="CN92" s="544"/>
      <c r="CO92" s="544"/>
      <c r="CP92" s="544"/>
      <c r="CQ92" s="544"/>
      <c r="CR92" s="544"/>
      <c r="CS92" s="544"/>
    </row>
    <row r="93" spans="1:98" s="142" customFormat="1" ht="12.75" hidden="1" x14ac:dyDescent="0.2">
      <c r="A93" s="735">
        <v>86</v>
      </c>
      <c r="B93" s="732" t="s">
        <v>63</v>
      </c>
      <c r="C93" s="738" t="s">
        <v>64</v>
      </c>
      <c r="D93" s="905">
        <v>328209.35674435302</v>
      </c>
      <c r="E93" s="905">
        <v>329654024</v>
      </c>
      <c r="F93" s="905">
        <v>7031</v>
      </c>
      <c r="G93" s="166">
        <v>162062727</v>
      </c>
      <c r="H93" s="166">
        <v>-7114680</v>
      </c>
      <c r="I93" s="166">
        <v>3241372</v>
      </c>
      <c r="J93" s="166">
        <v>-3873308</v>
      </c>
      <c r="K93" s="166">
        <v>-8174817</v>
      </c>
      <c r="L93" s="166">
        <v>-116079</v>
      </c>
      <c r="M93" s="166">
        <v>0</v>
      </c>
      <c r="N93" s="166">
        <v>-1941</v>
      </c>
      <c r="O93" s="166">
        <v>0</v>
      </c>
      <c r="P93" s="166">
        <v>-1767846</v>
      </c>
      <c r="Q93" s="166">
        <v>-221159</v>
      </c>
      <c r="R93" s="166">
        <v>-227547</v>
      </c>
      <c r="S93" s="166">
        <v>0</v>
      </c>
      <c r="T93" s="166"/>
      <c r="U93" s="166">
        <v>0</v>
      </c>
      <c r="V93" s="166">
        <v>0</v>
      </c>
      <c r="W93" s="166">
        <v>0</v>
      </c>
      <c r="X93" s="166">
        <v>0</v>
      </c>
      <c r="Y93" s="166">
        <v>0</v>
      </c>
      <c r="Z93" s="166">
        <v>119315661</v>
      </c>
      <c r="AA93" s="166">
        <v>-4530500</v>
      </c>
      <c r="AB93" s="166"/>
      <c r="AC93" s="166">
        <v>-14456549</v>
      </c>
      <c r="AD93" s="166">
        <v>327</v>
      </c>
      <c r="AE93" s="166">
        <v>19</v>
      </c>
      <c r="AF93" s="166">
        <v>0</v>
      </c>
      <c r="AG93" s="166"/>
      <c r="AH93" s="166">
        <v>1</v>
      </c>
      <c r="AI93" s="166">
        <v>0</v>
      </c>
      <c r="AJ93" s="166">
        <v>204</v>
      </c>
      <c r="AK93" s="166">
        <v>34</v>
      </c>
      <c r="AL93" s="166">
        <v>83</v>
      </c>
      <c r="AM93" s="166">
        <v>0</v>
      </c>
      <c r="AN93" s="166">
        <v>0</v>
      </c>
      <c r="AO93" s="166">
        <v>0</v>
      </c>
      <c r="AP93" s="166">
        <v>0</v>
      </c>
      <c r="AQ93" s="166">
        <v>0</v>
      </c>
      <c r="AR93" s="166">
        <v>1463</v>
      </c>
      <c r="AS93" s="166">
        <v>1730</v>
      </c>
      <c r="AT93" s="166">
        <v>2190</v>
      </c>
      <c r="AU93" s="166">
        <v>1826</v>
      </c>
      <c r="AV93" s="166">
        <v>364</v>
      </c>
      <c r="AW93" s="166">
        <v>3169</v>
      </c>
      <c r="AX93" s="166">
        <v>-321996</v>
      </c>
      <c r="AY93" s="166">
        <v>-98220</v>
      </c>
      <c r="AZ93" s="166">
        <v>0</v>
      </c>
      <c r="BA93" s="166">
        <v>-26716</v>
      </c>
      <c r="BB93" s="166">
        <v>-1306877</v>
      </c>
      <c r="BC93" s="166">
        <v>-14037</v>
      </c>
      <c r="BD93" s="166">
        <v>0</v>
      </c>
      <c r="BE93" s="166">
        <v>-10519853</v>
      </c>
      <c r="BF93" s="166"/>
      <c r="BG93" s="760">
        <v>26477150</v>
      </c>
      <c r="BH93" s="760">
        <v>0</v>
      </c>
      <c r="BI93" s="815">
        <v>-8083052</v>
      </c>
      <c r="BJ93" s="1044" t="s">
        <v>2464</v>
      </c>
      <c r="BK93" s="1044" t="s">
        <v>2465</v>
      </c>
      <c r="BL93" s="1044" t="s">
        <v>2550</v>
      </c>
      <c r="BM93" s="650"/>
      <c r="BN93" s="746" t="s">
        <v>64</v>
      </c>
      <c r="BO93" s="142" t="b">
        <v>1</v>
      </c>
      <c r="BP93" s="544"/>
      <c r="BQ93" s="544"/>
      <c r="BR93" s="544"/>
      <c r="BS93" s="544"/>
      <c r="BT93" s="544"/>
      <c r="BU93" s="544"/>
      <c r="BV93" s="544"/>
      <c r="BW93" s="544"/>
      <c r="BX93" s="544"/>
      <c r="BY93" s="544"/>
      <c r="BZ93" s="544"/>
      <c r="CA93" s="544"/>
      <c r="CB93" s="544"/>
      <c r="CC93" s="544"/>
      <c r="CD93" s="544"/>
      <c r="CE93" s="544"/>
      <c r="CF93" s="544"/>
      <c r="CG93" s="544"/>
      <c r="CH93" s="544"/>
      <c r="CI93" s="544"/>
      <c r="CJ93" s="544"/>
      <c r="CK93" s="544"/>
      <c r="CL93" s="544"/>
      <c r="CM93" s="544"/>
      <c r="CN93" s="544"/>
      <c r="CO93" s="544"/>
      <c r="CP93" s="544"/>
      <c r="CQ93" s="544"/>
      <c r="CR93" s="544"/>
      <c r="CS93" s="544"/>
    </row>
    <row r="94" spans="1:98" s="142" customFormat="1" ht="12.75" x14ac:dyDescent="0.2">
      <c r="A94" s="735">
        <v>87</v>
      </c>
      <c r="B94" s="732" t="s">
        <v>65</v>
      </c>
      <c r="C94" s="738" t="s">
        <v>66</v>
      </c>
      <c r="D94" s="905">
        <v>179545.55187477</v>
      </c>
      <c r="E94" s="905">
        <v>109895254</v>
      </c>
      <c r="F94" s="905">
        <v>4556</v>
      </c>
      <c r="G94" s="166">
        <v>54970341</v>
      </c>
      <c r="H94" s="166">
        <v>-5491469</v>
      </c>
      <c r="I94" s="166">
        <v>801923</v>
      </c>
      <c r="J94" s="166">
        <v>-4689546</v>
      </c>
      <c r="K94" s="166">
        <v>-3870290</v>
      </c>
      <c r="L94" s="166">
        <v>-37329</v>
      </c>
      <c r="M94" s="166">
        <v>-7398</v>
      </c>
      <c r="N94" s="166">
        <v>0</v>
      </c>
      <c r="O94" s="166">
        <v>0</v>
      </c>
      <c r="P94" s="166">
        <v>-965301</v>
      </c>
      <c r="Q94" s="166">
        <v>-20327</v>
      </c>
      <c r="R94" s="166">
        <v>-45951</v>
      </c>
      <c r="S94" s="166">
        <v>0</v>
      </c>
      <c r="T94" s="166"/>
      <c r="U94" s="166">
        <v>-6293</v>
      </c>
      <c r="V94" s="166">
        <v>0</v>
      </c>
      <c r="W94" s="166">
        <v>0</v>
      </c>
      <c r="X94" s="166">
        <v>0</v>
      </c>
      <c r="Y94" s="166">
        <v>-3699</v>
      </c>
      <c r="Z94" s="166">
        <v>34532898</v>
      </c>
      <c r="AA94" s="166">
        <v>-1381316</v>
      </c>
      <c r="AB94" s="166"/>
      <c r="AC94" s="166">
        <v>-5618390</v>
      </c>
      <c r="AD94" s="166">
        <v>153</v>
      </c>
      <c r="AE94" s="166">
        <v>5</v>
      </c>
      <c r="AF94" s="166">
        <v>2</v>
      </c>
      <c r="AG94" s="166"/>
      <c r="AH94" s="166">
        <v>10</v>
      </c>
      <c r="AI94" s="166">
        <v>0</v>
      </c>
      <c r="AJ94" s="166">
        <v>219</v>
      </c>
      <c r="AK94" s="166">
        <v>12</v>
      </c>
      <c r="AL94" s="166">
        <v>23</v>
      </c>
      <c r="AM94" s="166">
        <v>0</v>
      </c>
      <c r="AN94" s="166">
        <v>3</v>
      </c>
      <c r="AO94" s="166">
        <v>0</v>
      </c>
      <c r="AP94" s="166">
        <v>0</v>
      </c>
      <c r="AQ94" s="166">
        <v>0</v>
      </c>
      <c r="AR94" s="166">
        <v>631</v>
      </c>
      <c r="AS94" s="166">
        <v>804</v>
      </c>
      <c r="AT94" s="166">
        <v>1881</v>
      </c>
      <c r="AU94" s="166">
        <v>1651</v>
      </c>
      <c r="AV94" s="166">
        <v>230</v>
      </c>
      <c r="AW94" s="166">
        <v>1888</v>
      </c>
      <c r="AX94" s="166">
        <v>-130097</v>
      </c>
      <c r="AY94" s="166">
        <v>-225272</v>
      </c>
      <c r="AZ94" s="166">
        <v>0</v>
      </c>
      <c r="BA94" s="166">
        <v>-4045</v>
      </c>
      <c r="BB94" s="166">
        <v>-287247</v>
      </c>
      <c r="BC94" s="166">
        <v>-318640</v>
      </c>
      <c r="BD94" s="166">
        <v>-950447</v>
      </c>
      <c r="BE94" s="166">
        <v>1377785</v>
      </c>
      <c r="BF94" s="166"/>
      <c r="BG94" s="760">
        <v>21313450</v>
      </c>
      <c r="BH94" s="760">
        <v>0</v>
      </c>
      <c r="BI94" s="815">
        <v>2586264</v>
      </c>
      <c r="BJ94" s="1044" t="s">
        <v>2454</v>
      </c>
      <c r="BK94" s="1044" t="s">
        <v>2462</v>
      </c>
      <c r="BL94" s="1044" t="s">
        <v>2551</v>
      </c>
      <c r="BM94" s="650"/>
      <c r="BN94" s="746" t="s">
        <v>66</v>
      </c>
      <c r="BO94" s="142" t="b">
        <v>1</v>
      </c>
      <c r="BP94" s="544"/>
      <c r="BQ94" s="544"/>
      <c r="BR94" s="544"/>
      <c r="BS94" s="544"/>
      <c r="BT94" s="544"/>
      <c r="BU94" s="544"/>
      <c r="BV94" s="544"/>
      <c r="BW94" s="544"/>
      <c r="BX94" s="544"/>
      <c r="BY94" s="544"/>
      <c r="BZ94" s="544"/>
      <c r="CA94" s="544"/>
      <c r="CB94" s="544"/>
      <c r="CC94" s="544"/>
      <c r="CD94" s="544"/>
      <c r="CE94" s="544"/>
      <c r="CF94" s="544"/>
      <c r="CG94" s="544"/>
      <c r="CH94" s="544"/>
      <c r="CI94" s="544"/>
      <c r="CJ94" s="544"/>
      <c r="CK94" s="544"/>
      <c r="CL94" s="544"/>
      <c r="CM94" s="544"/>
      <c r="CN94" s="544"/>
      <c r="CO94" s="544"/>
      <c r="CP94" s="544"/>
      <c r="CQ94" s="544"/>
      <c r="CR94" s="544"/>
      <c r="CS94" s="544"/>
    </row>
    <row r="95" spans="1:98" s="142" customFormat="1" ht="12.75" x14ac:dyDescent="0.2">
      <c r="A95" s="735">
        <v>88</v>
      </c>
      <c r="B95" s="732" t="s">
        <v>995</v>
      </c>
      <c r="C95" s="738" t="s">
        <v>68</v>
      </c>
      <c r="D95" s="905">
        <v>78577.549648726199</v>
      </c>
      <c r="E95" s="905">
        <v>64729296</v>
      </c>
      <c r="F95" s="905">
        <v>1751</v>
      </c>
      <c r="G95" s="166">
        <v>32514065</v>
      </c>
      <c r="H95" s="166">
        <v>-1799272</v>
      </c>
      <c r="I95" s="166">
        <v>631653</v>
      </c>
      <c r="J95" s="166">
        <v>-1167619</v>
      </c>
      <c r="K95" s="166">
        <v>-3665857</v>
      </c>
      <c r="L95" s="166">
        <v>-39342</v>
      </c>
      <c r="M95" s="166">
        <v>0</v>
      </c>
      <c r="N95" s="166">
        <v>-4557</v>
      </c>
      <c r="O95" s="166">
        <v>0</v>
      </c>
      <c r="P95" s="166">
        <v>-625210</v>
      </c>
      <c r="Q95" s="166">
        <v>-98856</v>
      </c>
      <c r="R95" s="166">
        <v>-790</v>
      </c>
      <c r="S95" s="166">
        <v>-7068</v>
      </c>
      <c r="T95" s="166"/>
      <c r="U95" s="166">
        <v>0</v>
      </c>
      <c r="V95" s="166">
        <v>0</v>
      </c>
      <c r="W95" s="166">
        <v>0</v>
      </c>
      <c r="X95" s="166">
        <v>0</v>
      </c>
      <c r="Y95" s="166">
        <v>0</v>
      </c>
      <c r="Z95" s="166">
        <v>24133278</v>
      </c>
      <c r="AA95" s="166">
        <v>-181000</v>
      </c>
      <c r="AB95" s="166"/>
      <c r="AC95" s="166">
        <v>-1101873</v>
      </c>
      <c r="AD95" s="166">
        <v>96</v>
      </c>
      <c r="AE95" s="166">
        <v>4</v>
      </c>
      <c r="AF95" s="166">
        <v>0</v>
      </c>
      <c r="AG95" s="166"/>
      <c r="AH95" s="166">
        <v>3</v>
      </c>
      <c r="AI95" s="166">
        <v>0</v>
      </c>
      <c r="AJ95" s="166">
        <v>98</v>
      </c>
      <c r="AK95" s="166">
        <v>33</v>
      </c>
      <c r="AL95" s="166">
        <v>1</v>
      </c>
      <c r="AM95" s="166">
        <v>0</v>
      </c>
      <c r="AN95" s="166">
        <v>0</v>
      </c>
      <c r="AO95" s="166">
        <v>4</v>
      </c>
      <c r="AP95" s="166">
        <v>0</v>
      </c>
      <c r="AQ95" s="166">
        <v>0</v>
      </c>
      <c r="AR95" s="166">
        <v>378</v>
      </c>
      <c r="AS95" s="166">
        <v>519</v>
      </c>
      <c r="AT95" s="166">
        <v>501</v>
      </c>
      <c r="AU95" s="166">
        <v>443</v>
      </c>
      <c r="AV95" s="166">
        <v>58</v>
      </c>
      <c r="AW95" s="166">
        <v>728</v>
      </c>
      <c r="AX95" s="166">
        <v>-24448</v>
      </c>
      <c r="AY95" s="166">
        <v>-476058</v>
      </c>
      <c r="AZ95" s="166">
        <v>0</v>
      </c>
      <c r="BA95" s="166">
        <v>-8832</v>
      </c>
      <c r="BB95" s="166">
        <v>-115872</v>
      </c>
      <c r="BC95" s="166">
        <v>0</v>
      </c>
      <c r="BD95" s="166">
        <v>-232932</v>
      </c>
      <c r="BE95" s="166">
        <v>-2711936</v>
      </c>
      <c r="BF95" s="166"/>
      <c r="BG95" s="760">
        <v>8607050</v>
      </c>
      <c r="BH95" s="760">
        <v>0</v>
      </c>
      <c r="BI95" s="815">
        <v>-4209817</v>
      </c>
      <c r="BJ95" s="1044" t="s">
        <v>2454</v>
      </c>
      <c r="BK95" s="1044" t="s">
        <v>2455</v>
      </c>
      <c r="BL95" s="1044" t="s">
        <v>2552</v>
      </c>
      <c r="BM95" s="650"/>
      <c r="BN95" s="746" t="s">
        <v>68</v>
      </c>
      <c r="BO95" s="142" t="b">
        <v>1</v>
      </c>
      <c r="BP95" s="544"/>
      <c r="BQ95" s="544"/>
      <c r="BR95" s="544"/>
      <c r="BS95" s="544"/>
      <c r="BT95" s="544"/>
      <c r="BU95" s="544"/>
      <c r="BV95" s="544"/>
      <c r="BW95" s="544"/>
      <c r="BX95" s="544"/>
      <c r="BY95" s="544"/>
      <c r="BZ95" s="544"/>
      <c r="CA95" s="544"/>
      <c r="CB95" s="544"/>
      <c r="CC95" s="544"/>
      <c r="CD95" s="544"/>
      <c r="CE95" s="544"/>
      <c r="CF95" s="544"/>
      <c r="CG95" s="544"/>
      <c r="CH95" s="544"/>
      <c r="CI95" s="544"/>
      <c r="CJ95" s="544"/>
      <c r="CK95" s="544"/>
      <c r="CL95" s="544"/>
      <c r="CM95" s="544"/>
      <c r="CN95" s="544"/>
      <c r="CO95" s="544"/>
      <c r="CP95" s="544"/>
      <c r="CQ95" s="544"/>
      <c r="CR95" s="544"/>
      <c r="CS95" s="544"/>
    </row>
    <row r="96" spans="1:98" s="142" customFormat="1" ht="12.75" x14ac:dyDescent="0.2">
      <c r="A96" s="735">
        <v>89</v>
      </c>
      <c r="B96" s="732" t="s">
        <v>69</v>
      </c>
      <c r="C96" s="738" t="s">
        <v>70</v>
      </c>
      <c r="D96" s="905">
        <v>132132.39964787301</v>
      </c>
      <c r="E96" s="905">
        <v>69171808</v>
      </c>
      <c r="F96" s="905">
        <v>3711</v>
      </c>
      <c r="G96" s="166">
        <v>34402555</v>
      </c>
      <c r="H96" s="166">
        <v>-4415299</v>
      </c>
      <c r="I96" s="166">
        <v>512148</v>
      </c>
      <c r="J96" s="166">
        <v>-3903151</v>
      </c>
      <c r="K96" s="166">
        <v>-2652129</v>
      </c>
      <c r="L96" s="166">
        <v>-49746</v>
      </c>
      <c r="M96" s="166">
        <v>-4865</v>
      </c>
      <c r="N96" s="166">
        <v>-17109</v>
      </c>
      <c r="O96" s="166">
        <v>0</v>
      </c>
      <c r="P96" s="166">
        <v>-900000</v>
      </c>
      <c r="Q96" s="166">
        <v>-17748</v>
      </c>
      <c r="R96" s="166">
        <v>-18094</v>
      </c>
      <c r="S96" s="166">
        <v>0</v>
      </c>
      <c r="T96" s="166"/>
      <c r="U96" s="166">
        <v>0</v>
      </c>
      <c r="V96" s="166">
        <v>0</v>
      </c>
      <c r="W96" s="166">
        <v>0</v>
      </c>
      <c r="X96" s="166">
        <v>0</v>
      </c>
      <c r="Y96" s="166">
        <v>-4865</v>
      </c>
      <c r="Z96" s="166">
        <v>23138889</v>
      </c>
      <c r="AA96" s="166">
        <v>-1500000</v>
      </c>
      <c r="AB96" s="166"/>
      <c r="AC96" s="166">
        <v>-2891749</v>
      </c>
      <c r="AD96" s="166">
        <v>147</v>
      </c>
      <c r="AE96" s="166">
        <v>13</v>
      </c>
      <c r="AF96" s="166">
        <v>0</v>
      </c>
      <c r="AG96" s="166"/>
      <c r="AH96" s="166">
        <v>11</v>
      </c>
      <c r="AI96" s="166">
        <v>0</v>
      </c>
      <c r="AJ96" s="166">
        <v>234</v>
      </c>
      <c r="AK96" s="166">
        <v>16</v>
      </c>
      <c r="AL96" s="166">
        <v>20</v>
      </c>
      <c r="AM96" s="166">
        <v>2</v>
      </c>
      <c r="AN96" s="166">
        <v>0</v>
      </c>
      <c r="AO96" s="166">
        <v>0</v>
      </c>
      <c r="AP96" s="166">
        <v>0</v>
      </c>
      <c r="AQ96" s="166">
        <v>0</v>
      </c>
      <c r="AR96" s="166">
        <v>419</v>
      </c>
      <c r="AS96" s="166">
        <v>726</v>
      </c>
      <c r="AT96" s="166">
        <v>1751</v>
      </c>
      <c r="AU96" s="166">
        <v>1642</v>
      </c>
      <c r="AV96" s="166">
        <v>109</v>
      </c>
      <c r="AW96" s="166">
        <v>1194</v>
      </c>
      <c r="AX96" s="166">
        <v>-305412</v>
      </c>
      <c r="AY96" s="166">
        <v>0</v>
      </c>
      <c r="AZ96" s="166">
        <v>0</v>
      </c>
      <c r="BA96" s="166">
        <v>0</v>
      </c>
      <c r="BB96" s="166">
        <v>-575526</v>
      </c>
      <c r="BC96" s="166">
        <v>-19062</v>
      </c>
      <c r="BD96" s="166">
        <v>-20000</v>
      </c>
      <c r="BE96" s="166">
        <v>-1965558</v>
      </c>
      <c r="BF96" s="166"/>
      <c r="BG96" s="760">
        <v>12999667</v>
      </c>
      <c r="BH96" s="760">
        <v>0</v>
      </c>
      <c r="BI96" s="815">
        <v>-1252682</v>
      </c>
      <c r="BJ96" s="1044" t="s">
        <v>2454</v>
      </c>
      <c r="BK96" s="1044" t="s">
        <v>2457</v>
      </c>
      <c r="BL96" s="1044" t="s">
        <v>2553</v>
      </c>
      <c r="BM96" s="650"/>
      <c r="BN96" s="746" t="s">
        <v>70</v>
      </c>
      <c r="BO96" s="142" t="b">
        <v>1</v>
      </c>
      <c r="BP96" s="544"/>
      <c r="BQ96" s="544"/>
      <c r="BR96" s="544"/>
      <c r="BS96" s="544"/>
      <c r="BT96" s="544"/>
      <c r="BU96" s="544"/>
      <c r="BV96" s="544"/>
      <c r="BW96" s="544"/>
      <c r="BX96" s="544"/>
      <c r="BY96" s="544"/>
      <c r="BZ96" s="544"/>
      <c r="CA96" s="544"/>
      <c r="CB96" s="544"/>
      <c r="CC96" s="544"/>
      <c r="CD96" s="544"/>
      <c r="CE96" s="544"/>
      <c r="CF96" s="544"/>
      <c r="CG96" s="544"/>
      <c r="CH96" s="544"/>
      <c r="CI96" s="544"/>
      <c r="CJ96" s="544"/>
      <c r="CK96" s="544"/>
      <c r="CL96" s="544"/>
      <c r="CM96" s="544"/>
      <c r="CN96" s="544"/>
      <c r="CO96" s="544"/>
      <c r="CP96" s="544"/>
      <c r="CQ96" s="544"/>
      <c r="CR96" s="544"/>
      <c r="CS96" s="544"/>
    </row>
    <row r="97" spans="1:98" s="741" customFormat="1" ht="12.75" x14ac:dyDescent="0.2">
      <c r="A97" s="735">
        <v>90</v>
      </c>
      <c r="B97" s="732" t="s">
        <v>71</v>
      </c>
      <c r="C97" s="738" t="s">
        <v>72</v>
      </c>
      <c r="D97" s="905">
        <v>210748.89543931099</v>
      </c>
      <c r="E97" s="905">
        <v>193660441</v>
      </c>
      <c r="F97" s="905">
        <v>5166</v>
      </c>
      <c r="G97" s="166">
        <v>96160538</v>
      </c>
      <c r="H97" s="166">
        <v>-3933625</v>
      </c>
      <c r="I97" s="166">
        <v>1930495</v>
      </c>
      <c r="J97" s="166">
        <v>-2003130</v>
      </c>
      <c r="K97" s="166">
        <v>-7664107</v>
      </c>
      <c r="L97" s="166">
        <v>-41447</v>
      </c>
      <c r="M97" s="166">
        <v>0</v>
      </c>
      <c r="N97" s="166">
        <v>-15089</v>
      </c>
      <c r="O97" s="166">
        <v>0</v>
      </c>
      <c r="P97" s="166">
        <v>-1497970</v>
      </c>
      <c r="Q97" s="166">
        <v>-178305</v>
      </c>
      <c r="R97" s="166">
        <v>-24586</v>
      </c>
      <c r="S97" s="166">
        <v>-5255</v>
      </c>
      <c r="T97" s="166"/>
      <c r="U97" s="166">
        <v>0</v>
      </c>
      <c r="V97" s="166">
        <v>0</v>
      </c>
      <c r="W97" s="166">
        <v>0</v>
      </c>
      <c r="X97" s="166">
        <v>0</v>
      </c>
      <c r="Y97" s="166">
        <v>0</v>
      </c>
      <c r="Z97" s="166">
        <v>71985952</v>
      </c>
      <c r="AA97" s="166">
        <v>-3000000</v>
      </c>
      <c r="AB97" s="166"/>
      <c r="AC97" s="166">
        <v>-8311292</v>
      </c>
      <c r="AD97" s="166">
        <v>311</v>
      </c>
      <c r="AE97" s="166">
        <v>15</v>
      </c>
      <c r="AF97" s="166">
        <v>0</v>
      </c>
      <c r="AG97" s="166"/>
      <c r="AH97" s="166">
        <v>5</v>
      </c>
      <c r="AI97" s="166">
        <v>0</v>
      </c>
      <c r="AJ97" s="166">
        <v>307</v>
      </c>
      <c r="AK97" s="166">
        <v>100</v>
      </c>
      <c r="AL97" s="166">
        <v>4</v>
      </c>
      <c r="AM97" s="166">
        <v>0</v>
      </c>
      <c r="AN97" s="166">
        <v>0</v>
      </c>
      <c r="AO97" s="166">
        <v>7</v>
      </c>
      <c r="AP97" s="166">
        <v>0</v>
      </c>
      <c r="AQ97" s="166">
        <v>0</v>
      </c>
      <c r="AR97" s="166">
        <v>725</v>
      </c>
      <c r="AS97" s="166">
        <v>1563</v>
      </c>
      <c r="AT97" s="166">
        <v>1355</v>
      </c>
      <c r="AU97" s="166">
        <v>1224</v>
      </c>
      <c r="AV97" s="166">
        <v>131</v>
      </c>
      <c r="AW97" s="166">
        <v>2255</v>
      </c>
      <c r="AX97" s="166">
        <v>-111516</v>
      </c>
      <c r="AY97" s="166">
        <v>-781404</v>
      </c>
      <c r="AZ97" s="166">
        <v>0</v>
      </c>
      <c r="BA97" s="166">
        <v>0</v>
      </c>
      <c r="BB97" s="166">
        <v>-605050</v>
      </c>
      <c r="BC97" s="166">
        <v>0</v>
      </c>
      <c r="BD97" s="166">
        <v>0</v>
      </c>
      <c r="BE97" s="166">
        <v>-41662</v>
      </c>
      <c r="BF97" s="166"/>
      <c r="BG97" s="760">
        <v>24144200</v>
      </c>
      <c r="BH97" s="760">
        <v>0</v>
      </c>
      <c r="BI97" s="815">
        <v>-735133</v>
      </c>
      <c r="BJ97" s="1044" t="s">
        <v>2454</v>
      </c>
      <c r="BK97" s="1044" t="s">
        <v>2474</v>
      </c>
      <c r="BL97" s="1044" t="s">
        <v>2554</v>
      </c>
      <c r="BM97" s="650"/>
      <c r="BN97" s="746" t="s">
        <v>72</v>
      </c>
      <c r="BO97" s="142" t="b">
        <v>1</v>
      </c>
      <c r="BP97" s="544"/>
      <c r="BQ97" s="544"/>
      <c r="BR97" s="544"/>
      <c r="BS97" s="544"/>
      <c r="BT97" s="544"/>
      <c r="BU97" s="544"/>
      <c r="BV97" s="544"/>
      <c r="BW97" s="544"/>
      <c r="BX97" s="544"/>
      <c r="BY97" s="544"/>
      <c r="BZ97" s="544"/>
      <c r="CA97" s="544"/>
      <c r="CB97" s="544"/>
      <c r="CC97" s="544"/>
      <c r="CD97" s="544"/>
      <c r="CE97" s="544"/>
      <c r="CF97" s="544"/>
      <c r="CG97" s="544"/>
      <c r="CH97" s="544"/>
      <c r="CI97" s="544"/>
      <c r="CJ97" s="544"/>
      <c r="CK97" s="544"/>
      <c r="CL97" s="544"/>
      <c r="CM97" s="544"/>
      <c r="CN97" s="544"/>
      <c r="CO97" s="544"/>
      <c r="CP97" s="544"/>
      <c r="CQ97" s="544"/>
      <c r="CR97" s="544"/>
      <c r="CS97" s="544"/>
      <c r="CT97" s="142"/>
    </row>
    <row r="98" spans="1:98" s="142" customFormat="1" ht="12.75" x14ac:dyDescent="0.2">
      <c r="A98" s="735">
        <v>91</v>
      </c>
      <c r="B98" s="732" t="s">
        <v>73</v>
      </c>
      <c r="C98" s="738" t="s">
        <v>74</v>
      </c>
      <c r="D98" s="905">
        <v>138717.317881339</v>
      </c>
      <c r="E98" s="905">
        <v>114425716</v>
      </c>
      <c r="F98" s="905">
        <v>3360</v>
      </c>
      <c r="G98" s="166">
        <v>57054153</v>
      </c>
      <c r="H98" s="166">
        <v>-3245893</v>
      </c>
      <c r="I98" s="166">
        <v>1042042</v>
      </c>
      <c r="J98" s="166">
        <v>-2203851</v>
      </c>
      <c r="K98" s="166">
        <v>-2830067</v>
      </c>
      <c r="L98" s="166">
        <v>0</v>
      </c>
      <c r="M98" s="166">
        <v>0</v>
      </c>
      <c r="N98" s="166">
        <v>-7283</v>
      </c>
      <c r="O98" s="166">
        <v>-10000</v>
      </c>
      <c r="P98" s="166">
        <v>-1152538</v>
      </c>
      <c r="Q98" s="166">
        <v>-126076</v>
      </c>
      <c r="R98" s="166">
        <v>-630609</v>
      </c>
      <c r="S98" s="166">
        <v>0</v>
      </c>
      <c r="T98" s="166"/>
      <c r="U98" s="166">
        <v>0</v>
      </c>
      <c r="V98" s="166">
        <v>-19412</v>
      </c>
      <c r="W98" s="166">
        <v>-19412</v>
      </c>
      <c r="X98" s="166">
        <v>0</v>
      </c>
      <c r="Y98" s="166">
        <v>0</v>
      </c>
      <c r="Z98" s="166">
        <v>41475055</v>
      </c>
      <c r="AA98" s="166">
        <v>-1327202</v>
      </c>
      <c r="AB98" s="166"/>
      <c r="AC98" s="166">
        <v>-3725258</v>
      </c>
      <c r="AD98" s="166">
        <v>125</v>
      </c>
      <c r="AE98" s="166">
        <v>0</v>
      </c>
      <c r="AF98" s="166">
        <v>0</v>
      </c>
      <c r="AG98" s="166"/>
      <c r="AH98" s="166">
        <v>6</v>
      </c>
      <c r="AI98" s="166">
        <v>0</v>
      </c>
      <c r="AJ98" s="166">
        <v>365</v>
      </c>
      <c r="AK98" s="166">
        <v>102</v>
      </c>
      <c r="AL98" s="166">
        <v>40</v>
      </c>
      <c r="AM98" s="166">
        <v>0</v>
      </c>
      <c r="AN98" s="166">
        <v>0</v>
      </c>
      <c r="AO98" s="166">
        <v>0</v>
      </c>
      <c r="AP98" s="166">
        <v>13</v>
      </c>
      <c r="AQ98" s="166">
        <v>557</v>
      </c>
      <c r="AR98" s="166">
        <v>622</v>
      </c>
      <c r="AS98" s="166">
        <v>958</v>
      </c>
      <c r="AT98" s="166">
        <v>1326</v>
      </c>
      <c r="AU98" s="166">
        <v>1240</v>
      </c>
      <c r="AV98" s="166">
        <v>86</v>
      </c>
      <c r="AW98" s="166">
        <v>1091</v>
      </c>
      <c r="AX98" s="166">
        <v>-353391</v>
      </c>
      <c r="AY98" s="166">
        <v>-209139</v>
      </c>
      <c r="AZ98" s="166">
        <v>0</v>
      </c>
      <c r="BA98" s="166">
        <v>0</v>
      </c>
      <c r="BB98" s="166">
        <v>-135217</v>
      </c>
      <c r="BC98" s="166">
        <v>-454791</v>
      </c>
      <c r="BD98" s="166">
        <v>-600161</v>
      </c>
      <c r="BE98" s="166">
        <v>-5251451</v>
      </c>
      <c r="BF98" s="166"/>
      <c r="BG98" s="760">
        <v>15487700</v>
      </c>
      <c r="BH98" s="760">
        <v>29000</v>
      </c>
      <c r="BI98" s="815">
        <v>-5779052</v>
      </c>
      <c r="BJ98" s="1044" t="s">
        <v>2454</v>
      </c>
      <c r="BK98" s="1044" t="s">
        <v>2455</v>
      </c>
      <c r="BL98" s="1044" t="s">
        <v>2555</v>
      </c>
      <c r="BM98" s="650"/>
      <c r="BN98" s="746" t="s">
        <v>74</v>
      </c>
      <c r="BO98" s="142" t="b">
        <v>1</v>
      </c>
      <c r="BP98" s="544"/>
      <c r="BQ98" s="544"/>
      <c r="BR98" s="544"/>
      <c r="BS98" s="544"/>
      <c r="BT98" s="544"/>
      <c r="BU98" s="544"/>
      <c r="BV98" s="544"/>
      <c r="BW98" s="544"/>
      <c r="BX98" s="544"/>
      <c r="BY98" s="544"/>
      <c r="BZ98" s="544"/>
      <c r="CA98" s="544"/>
      <c r="CB98" s="544"/>
      <c r="CC98" s="544"/>
      <c r="CD98" s="544"/>
      <c r="CE98" s="544"/>
      <c r="CF98" s="544"/>
      <c r="CG98" s="544"/>
      <c r="CH98" s="544"/>
      <c r="CI98" s="544"/>
      <c r="CJ98" s="544"/>
      <c r="CK98" s="544"/>
      <c r="CL98" s="544"/>
      <c r="CM98" s="544"/>
      <c r="CN98" s="544"/>
      <c r="CO98" s="544"/>
      <c r="CP98" s="544"/>
      <c r="CQ98" s="544"/>
      <c r="CR98" s="544"/>
      <c r="CS98" s="544"/>
    </row>
    <row r="99" spans="1:98" s="142" customFormat="1" ht="12.75" x14ac:dyDescent="0.2">
      <c r="A99" s="735">
        <v>92</v>
      </c>
      <c r="B99" s="732" t="s">
        <v>75</v>
      </c>
      <c r="C99" s="738" t="s">
        <v>76</v>
      </c>
      <c r="D99" s="905">
        <v>120847.34435788399</v>
      </c>
      <c r="E99" s="905">
        <v>76879225</v>
      </c>
      <c r="F99" s="905">
        <v>3141</v>
      </c>
      <c r="G99" s="166">
        <v>38289785</v>
      </c>
      <c r="H99" s="166">
        <v>-3667358</v>
      </c>
      <c r="I99" s="166">
        <v>679893</v>
      </c>
      <c r="J99" s="166">
        <v>-2987465</v>
      </c>
      <c r="K99" s="166">
        <v>-2755492</v>
      </c>
      <c r="L99" s="166">
        <v>-36964</v>
      </c>
      <c r="M99" s="166">
        <v>-37781</v>
      </c>
      <c r="N99" s="166">
        <v>-9822</v>
      </c>
      <c r="O99" s="166">
        <v>0</v>
      </c>
      <c r="P99" s="166">
        <v>-509502</v>
      </c>
      <c r="Q99" s="166">
        <v>-15478</v>
      </c>
      <c r="R99" s="166">
        <v>-52883</v>
      </c>
      <c r="S99" s="166">
        <v>-1101</v>
      </c>
      <c r="T99" s="166"/>
      <c r="U99" s="166">
        <v>-2541</v>
      </c>
      <c r="V99" s="166">
        <v>0</v>
      </c>
      <c r="W99" s="166">
        <v>0</v>
      </c>
      <c r="X99" s="166">
        <v>0</v>
      </c>
      <c r="Y99" s="166">
        <v>-18822</v>
      </c>
      <c r="Z99" s="166">
        <v>26882722</v>
      </c>
      <c r="AA99" s="166">
        <v>-1803264</v>
      </c>
      <c r="AB99" s="166"/>
      <c r="AC99" s="166">
        <v>-1648657</v>
      </c>
      <c r="AD99" s="166">
        <v>170</v>
      </c>
      <c r="AE99" s="166">
        <v>14</v>
      </c>
      <c r="AF99" s="166">
        <v>14</v>
      </c>
      <c r="AG99" s="166"/>
      <c r="AH99" s="166">
        <v>6</v>
      </c>
      <c r="AI99" s="166">
        <v>0</v>
      </c>
      <c r="AJ99" s="166">
        <v>193</v>
      </c>
      <c r="AK99" s="166">
        <v>26</v>
      </c>
      <c r="AL99" s="166">
        <v>15</v>
      </c>
      <c r="AM99" s="166">
        <v>1</v>
      </c>
      <c r="AN99" s="166">
        <v>1</v>
      </c>
      <c r="AO99" s="166">
        <v>1</v>
      </c>
      <c r="AP99" s="166">
        <v>0</v>
      </c>
      <c r="AQ99" s="166">
        <v>0</v>
      </c>
      <c r="AR99" s="166">
        <v>290</v>
      </c>
      <c r="AS99" s="166">
        <v>659</v>
      </c>
      <c r="AT99" s="166">
        <v>1459</v>
      </c>
      <c r="AU99" s="166">
        <v>1389</v>
      </c>
      <c r="AV99" s="166">
        <v>70</v>
      </c>
      <c r="AW99" s="166">
        <v>1013</v>
      </c>
      <c r="AX99" s="166">
        <v>-42030</v>
      </c>
      <c r="AY99" s="166">
        <v>-231827</v>
      </c>
      <c r="AZ99" s="166">
        <v>0</v>
      </c>
      <c r="BA99" s="166">
        <v>0</v>
      </c>
      <c r="BB99" s="166">
        <v>-235645</v>
      </c>
      <c r="BC99" s="166">
        <v>0</v>
      </c>
      <c r="BD99" s="166">
        <v>-374647</v>
      </c>
      <c r="BE99" s="166">
        <v>-527619</v>
      </c>
      <c r="BF99" s="166"/>
      <c r="BG99" s="760">
        <v>9628850</v>
      </c>
      <c r="BH99" s="760">
        <v>0</v>
      </c>
      <c r="BI99" s="815">
        <v>371737</v>
      </c>
      <c r="BJ99" s="1044" t="s">
        <v>2454</v>
      </c>
      <c r="BK99" s="1044" t="s">
        <v>2462</v>
      </c>
      <c r="BL99" s="1044" t="s">
        <v>2556</v>
      </c>
      <c r="BM99" s="650"/>
      <c r="BN99" s="746" t="s">
        <v>76</v>
      </c>
      <c r="BO99" s="142" t="b">
        <v>1</v>
      </c>
      <c r="BP99" s="544"/>
      <c r="BQ99" s="544"/>
      <c r="BR99" s="544"/>
      <c r="BS99" s="544"/>
      <c r="BT99" s="544"/>
      <c r="BU99" s="544"/>
      <c r="BV99" s="544"/>
      <c r="BW99" s="544"/>
      <c r="BX99" s="544"/>
      <c r="BY99" s="544"/>
      <c r="BZ99" s="544"/>
      <c r="CA99" s="544"/>
      <c r="CB99" s="544"/>
      <c r="CC99" s="544"/>
      <c r="CD99" s="544"/>
      <c r="CE99" s="544"/>
      <c r="CF99" s="544"/>
      <c r="CG99" s="544"/>
      <c r="CH99" s="544"/>
      <c r="CI99" s="544"/>
      <c r="CJ99" s="544"/>
      <c r="CK99" s="544"/>
      <c r="CL99" s="544"/>
      <c r="CM99" s="544"/>
      <c r="CN99" s="544"/>
      <c r="CO99" s="544"/>
      <c r="CP99" s="544"/>
      <c r="CQ99" s="544"/>
      <c r="CR99" s="544"/>
      <c r="CS99" s="544"/>
    </row>
    <row r="100" spans="1:98" s="142" customFormat="1" ht="12" customHeight="1" x14ac:dyDescent="0.2">
      <c r="A100" s="735">
        <v>93</v>
      </c>
      <c r="B100" s="732" t="s">
        <v>1205</v>
      </c>
      <c r="C100" s="738" t="s">
        <v>319</v>
      </c>
      <c r="D100" s="905">
        <v>148716.93202880901</v>
      </c>
      <c r="E100" s="905">
        <v>78719612</v>
      </c>
      <c r="F100" s="905">
        <v>4136</v>
      </c>
      <c r="G100" s="166">
        <v>39537451</v>
      </c>
      <c r="H100" s="166">
        <v>-4453554</v>
      </c>
      <c r="I100" s="166">
        <v>641531</v>
      </c>
      <c r="J100" s="166">
        <v>-3812023</v>
      </c>
      <c r="K100" s="166">
        <v>-2973806</v>
      </c>
      <c r="L100" s="166">
        <v>-97245</v>
      </c>
      <c r="M100" s="166">
        <v>-25782</v>
      </c>
      <c r="N100" s="166">
        <v>-38810</v>
      </c>
      <c r="O100" s="166">
        <v>-2999</v>
      </c>
      <c r="P100" s="166">
        <v>-807233</v>
      </c>
      <c r="Q100" s="166">
        <v>-105342</v>
      </c>
      <c r="R100" s="166">
        <v>-8698</v>
      </c>
      <c r="S100" s="166">
        <v>-2916</v>
      </c>
      <c r="T100" s="166"/>
      <c r="U100" s="166">
        <v>0</v>
      </c>
      <c r="V100" s="166">
        <v>0</v>
      </c>
      <c r="W100" s="166">
        <v>0</v>
      </c>
      <c r="X100" s="166">
        <v>0</v>
      </c>
      <c r="Y100" s="166">
        <v>-11554</v>
      </c>
      <c r="Z100" s="166">
        <v>26655011</v>
      </c>
      <c r="AA100" s="166">
        <v>-1301862</v>
      </c>
      <c r="AB100" s="166"/>
      <c r="AC100" s="166">
        <v>-2842923</v>
      </c>
      <c r="AD100" s="166">
        <v>210</v>
      </c>
      <c r="AE100" s="166">
        <v>22</v>
      </c>
      <c r="AF100" s="166">
        <v>11</v>
      </c>
      <c r="AG100" s="166"/>
      <c r="AH100" s="166">
        <v>22</v>
      </c>
      <c r="AI100" s="166">
        <v>0</v>
      </c>
      <c r="AJ100" s="166">
        <v>271</v>
      </c>
      <c r="AK100" s="166">
        <v>61</v>
      </c>
      <c r="AL100" s="166">
        <v>2</v>
      </c>
      <c r="AM100" s="166">
        <v>0</v>
      </c>
      <c r="AN100" s="166">
        <v>1</v>
      </c>
      <c r="AO100" s="166">
        <v>4</v>
      </c>
      <c r="AP100" s="166">
        <v>0</v>
      </c>
      <c r="AQ100" s="166">
        <v>0</v>
      </c>
      <c r="AR100" s="166">
        <v>454</v>
      </c>
      <c r="AS100" s="166">
        <v>743</v>
      </c>
      <c r="AT100" s="166">
        <v>2002</v>
      </c>
      <c r="AU100" s="166">
        <v>1913</v>
      </c>
      <c r="AV100" s="166">
        <v>89</v>
      </c>
      <c r="AW100" s="166">
        <v>1261</v>
      </c>
      <c r="AX100" s="166">
        <v>-17292</v>
      </c>
      <c r="AY100" s="166">
        <v>-133148</v>
      </c>
      <c r="AZ100" s="166">
        <v>0</v>
      </c>
      <c r="BA100" s="166">
        <v>0</v>
      </c>
      <c r="BB100" s="166">
        <v>-633029</v>
      </c>
      <c r="BC100" s="166">
        <v>-23764</v>
      </c>
      <c r="BD100" s="166">
        <v>-255289</v>
      </c>
      <c r="BE100" s="166">
        <v>288628</v>
      </c>
      <c r="BF100" s="166"/>
      <c r="BG100" s="760">
        <v>9445050</v>
      </c>
      <c r="BH100" s="760">
        <v>0</v>
      </c>
      <c r="BI100" s="815">
        <v>-319786</v>
      </c>
      <c r="BJ100" s="1044" t="s">
        <v>2454</v>
      </c>
      <c r="BK100" s="1044" t="s">
        <v>2455</v>
      </c>
      <c r="BL100" s="1044" t="s">
        <v>2557</v>
      </c>
      <c r="BM100" s="650"/>
      <c r="BN100" s="746" t="s">
        <v>319</v>
      </c>
      <c r="BO100" s="142" t="b">
        <v>1</v>
      </c>
      <c r="BP100" s="741"/>
      <c r="BQ100" s="741"/>
      <c r="BR100" s="741"/>
      <c r="BS100" s="741"/>
      <c r="BT100" s="741"/>
      <c r="BU100" s="741"/>
      <c r="BV100" s="741"/>
      <c r="BW100" s="741"/>
      <c r="BX100" s="741"/>
      <c r="BY100" s="741"/>
      <c r="BZ100" s="741"/>
      <c r="CA100" s="741"/>
      <c r="CB100" s="741"/>
      <c r="CC100" s="741"/>
      <c r="CD100" s="741"/>
      <c r="CE100" s="741"/>
      <c r="CF100" s="741"/>
      <c r="CG100" s="741"/>
      <c r="CH100" s="741"/>
      <c r="CI100" s="741"/>
      <c r="CJ100" s="741"/>
      <c r="CK100" s="741"/>
      <c r="CL100" s="741"/>
      <c r="CM100" s="741"/>
      <c r="CN100" s="741"/>
      <c r="CO100" s="741"/>
      <c r="CP100" s="741"/>
      <c r="CQ100" s="741"/>
      <c r="CR100" s="741"/>
      <c r="CS100" s="741"/>
      <c r="CT100" s="741"/>
    </row>
    <row r="101" spans="1:98" s="142" customFormat="1" ht="12.75" x14ac:dyDescent="0.2">
      <c r="A101" s="735">
        <v>94</v>
      </c>
      <c r="B101" s="732" t="s">
        <v>77</v>
      </c>
      <c r="C101" s="738" t="s">
        <v>78</v>
      </c>
      <c r="D101" s="905">
        <v>121341.661374063</v>
      </c>
      <c r="E101" s="905">
        <v>51239385</v>
      </c>
      <c r="F101" s="905">
        <v>3442</v>
      </c>
      <c r="G101" s="166">
        <v>25256065</v>
      </c>
      <c r="H101" s="166">
        <v>-3748801</v>
      </c>
      <c r="I101" s="166">
        <v>3635043</v>
      </c>
      <c r="J101" s="166">
        <v>-113758</v>
      </c>
      <c r="K101" s="166">
        <v>-2314026</v>
      </c>
      <c r="L101" s="166">
        <v>-7583</v>
      </c>
      <c r="M101" s="166">
        <v>-16188</v>
      </c>
      <c r="N101" s="166">
        <v>-13754</v>
      </c>
      <c r="O101" s="166">
        <v>0</v>
      </c>
      <c r="P101" s="166">
        <v>-299097</v>
      </c>
      <c r="Q101" s="166">
        <v>-21565</v>
      </c>
      <c r="R101" s="166">
        <v>-12698</v>
      </c>
      <c r="S101" s="166">
        <v>0</v>
      </c>
      <c r="T101" s="166"/>
      <c r="U101" s="166">
        <v>0</v>
      </c>
      <c r="V101" s="166">
        <v>0</v>
      </c>
      <c r="W101" s="166">
        <v>0</v>
      </c>
      <c r="X101" s="166">
        <v>0</v>
      </c>
      <c r="Y101" s="166">
        <v>-8094</v>
      </c>
      <c r="Z101" s="166">
        <v>16876947</v>
      </c>
      <c r="AA101" s="166">
        <v>-1150000</v>
      </c>
      <c r="AB101" s="166"/>
      <c r="AC101" s="166">
        <v>-1808454</v>
      </c>
      <c r="AD101" s="166">
        <v>236</v>
      </c>
      <c r="AE101" s="166">
        <v>6</v>
      </c>
      <c r="AF101" s="166">
        <v>9</v>
      </c>
      <c r="AG101" s="166"/>
      <c r="AH101" s="166">
        <v>11</v>
      </c>
      <c r="AI101" s="166">
        <v>0</v>
      </c>
      <c r="AJ101" s="166">
        <v>207</v>
      </c>
      <c r="AK101" s="166">
        <v>35</v>
      </c>
      <c r="AL101" s="166">
        <v>1</v>
      </c>
      <c r="AM101" s="166">
        <v>0</v>
      </c>
      <c r="AN101" s="166">
        <v>0</v>
      </c>
      <c r="AO101" s="166">
        <v>0</v>
      </c>
      <c r="AP101" s="166">
        <v>0</v>
      </c>
      <c r="AQ101" s="166">
        <v>0</v>
      </c>
      <c r="AR101" s="166">
        <v>349</v>
      </c>
      <c r="AS101" s="166">
        <v>685</v>
      </c>
      <c r="AT101" s="166">
        <v>1879</v>
      </c>
      <c r="AU101" s="166">
        <v>1792</v>
      </c>
      <c r="AV101" s="166">
        <v>87</v>
      </c>
      <c r="AW101" s="166">
        <v>843</v>
      </c>
      <c r="AX101" s="166">
        <v>-68510</v>
      </c>
      <c r="AY101" s="166">
        <v>-41017</v>
      </c>
      <c r="AZ101" s="166">
        <v>0</v>
      </c>
      <c r="BA101" s="166">
        <v>0</v>
      </c>
      <c r="BB101" s="166">
        <v>-179768</v>
      </c>
      <c r="BC101" s="166">
        <v>-9802</v>
      </c>
      <c r="BD101" s="166">
        <v>-478270</v>
      </c>
      <c r="BE101" s="166">
        <v>-2150283</v>
      </c>
      <c r="BF101" s="166"/>
      <c r="BG101" s="760">
        <v>6500526</v>
      </c>
      <c r="BH101" s="760">
        <v>0</v>
      </c>
      <c r="BI101" s="815">
        <v>-1963951</v>
      </c>
      <c r="BJ101" s="1044" t="s">
        <v>2454</v>
      </c>
      <c r="BK101" s="1044" t="s">
        <v>2474</v>
      </c>
      <c r="BL101" s="1044" t="s">
        <v>2558</v>
      </c>
      <c r="BM101" s="650"/>
      <c r="BN101" s="746" t="s">
        <v>78</v>
      </c>
      <c r="BO101" s="142" t="b">
        <v>1</v>
      </c>
      <c r="BP101" s="544"/>
      <c r="BQ101" s="544"/>
      <c r="BR101" s="544"/>
      <c r="BS101" s="544"/>
      <c r="BT101" s="544"/>
      <c r="BU101" s="544"/>
      <c r="BV101" s="544"/>
      <c r="BW101" s="544"/>
      <c r="BX101" s="544"/>
      <c r="BY101" s="544"/>
      <c r="BZ101" s="544"/>
      <c r="CA101" s="544"/>
      <c r="CB101" s="544"/>
      <c r="CC101" s="544"/>
      <c r="CD101" s="544"/>
      <c r="CE101" s="544"/>
      <c r="CF101" s="544"/>
      <c r="CG101" s="544"/>
      <c r="CH101" s="544"/>
      <c r="CI101" s="544"/>
      <c r="CJ101" s="544"/>
      <c r="CK101" s="544"/>
      <c r="CL101" s="544"/>
      <c r="CM101" s="544"/>
      <c r="CN101" s="544"/>
      <c r="CO101" s="544"/>
      <c r="CP101" s="544"/>
      <c r="CQ101" s="544"/>
      <c r="CR101" s="544"/>
      <c r="CS101" s="544"/>
    </row>
    <row r="102" spans="1:98" s="142" customFormat="1" ht="12.75" x14ac:dyDescent="0.2">
      <c r="A102" s="735">
        <v>95</v>
      </c>
      <c r="B102" s="732" t="s">
        <v>79</v>
      </c>
      <c r="C102" s="738" t="s">
        <v>80</v>
      </c>
      <c r="D102" s="905">
        <v>113548.624594703</v>
      </c>
      <c r="E102" s="905">
        <v>69078752</v>
      </c>
      <c r="F102" s="905">
        <v>3102</v>
      </c>
      <c r="G102" s="166">
        <v>34315684</v>
      </c>
      <c r="H102" s="166">
        <v>-3887089</v>
      </c>
      <c r="I102" s="166">
        <v>577217</v>
      </c>
      <c r="J102" s="166">
        <v>-3309872</v>
      </c>
      <c r="K102" s="166">
        <v>-1488555</v>
      </c>
      <c r="L102" s="166">
        <v>-8479</v>
      </c>
      <c r="M102" s="166">
        <v>-9052</v>
      </c>
      <c r="N102" s="166">
        <v>-8721</v>
      </c>
      <c r="O102" s="166">
        <v>-5</v>
      </c>
      <c r="P102" s="166">
        <v>-276917</v>
      </c>
      <c r="Q102" s="166">
        <v>-59766</v>
      </c>
      <c r="R102" s="166">
        <v>-23545</v>
      </c>
      <c r="S102" s="166">
        <v>-1170</v>
      </c>
      <c r="T102" s="166"/>
      <c r="U102" s="166">
        <v>0</v>
      </c>
      <c r="V102" s="166">
        <v>-166137</v>
      </c>
      <c r="W102" s="166">
        <v>-166137</v>
      </c>
      <c r="X102" s="166">
        <v>0</v>
      </c>
      <c r="Y102" s="166">
        <v>-4526</v>
      </c>
      <c r="Z102" s="166">
        <v>23714221</v>
      </c>
      <c r="AA102" s="166">
        <v>-887249</v>
      </c>
      <c r="AB102" s="166"/>
      <c r="AC102" s="166">
        <v>-3759003</v>
      </c>
      <c r="AD102" s="166">
        <v>111</v>
      </c>
      <c r="AE102" s="166">
        <v>4</v>
      </c>
      <c r="AF102" s="166">
        <v>5</v>
      </c>
      <c r="AG102" s="166"/>
      <c r="AH102" s="166">
        <v>0</v>
      </c>
      <c r="AI102" s="166">
        <v>0</v>
      </c>
      <c r="AJ102" s="166">
        <v>198</v>
      </c>
      <c r="AK102" s="166">
        <v>37</v>
      </c>
      <c r="AL102" s="166">
        <v>7</v>
      </c>
      <c r="AM102" s="166">
        <v>0</v>
      </c>
      <c r="AN102" s="166">
        <v>0</v>
      </c>
      <c r="AO102" s="166">
        <v>4</v>
      </c>
      <c r="AP102" s="166">
        <v>20</v>
      </c>
      <c r="AQ102" s="166">
        <v>4</v>
      </c>
      <c r="AR102" s="166">
        <v>473</v>
      </c>
      <c r="AS102" s="166">
        <v>498</v>
      </c>
      <c r="AT102" s="166">
        <v>1498</v>
      </c>
      <c r="AU102" s="166">
        <v>1439</v>
      </c>
      <c r="AV102" s="166">
        <v>59</v>
      </c>
      <c r="AW102" s="166">
        <v>1113</v>
      </c>
      <c r="AX102" s="166">
        <v>-7676</v>
      </c>
      <c r="AY102" s="166">
        <v>-108474</v>
      </c>
      <c r="AZ102" s="166">
        <v>0</v>
      </c>
      <c r="BA102" s="166">
        <v>-5632</v>
      </c>
      <c r="BB102" s="166">
        <v>-155135</v>
      </c>
      <c r="BC102" s="166">
        <v>0</v>
      </c>
      <c r="BD102" s="166">
        <v>-248792</v>
      </c>
      <c r="BE102" s="166">
        <v>-3613481</v>
      </c>
      <c r="BF102" s="166"/>
      <c r="BG102" s="760">
        <v>8393900</v>
      </c>
      <c r="BH102" s="760">
        <v>629250</v>
      </c>
      <c r="BI102" s="815">
        <v>-2926092</v>
      </c>
      <c r="BJ102" s="1044" t="s">
        <v>2454</v>
      </c>
      <c r="BK102" s="1044" t="s">
        <v>2481</v>
      </c>
      <c r="BL102" s="1044" t="s">
        <v>2559</v>
      </c>
      <c r="BM102" s="650"/>
      <c r="BN102" s="746" t="s">
        <v>80</v>
      </c>
      <c r="BO102" s="142" t="b">
        <v>1</v>
      </c>
      <c r="BP102" s="544"/>
      <c r="BQ102" s="544"/>
      <c r="BR102" s="544"/>
      <c r="BS102" s="544"/>
      <c r="BT102" s="544"/>
      <c r="BU102" s="544"/>
      <c r="BV102" s="544"/>
      <c r="BW102" s="544"/>
      <c r="BX102" s="544"/>
      <c r="BY102" s="544"/>
      <c r="BZ102" s="544"/>
      <c r="CA102" s="544"/>
      <c r="CB102" s="544"/>
      <c r="CC102" s="544"/>
      <c r="CD102" s="544"/>
      <c r="CE102" s="544"/>
      <c r="CF102" s="544"/>
      <c r="CG102" s="544"/>
      <c r="CH102" s="544"/>
      <c r="CI102" s="544"/>
      <c r="CJ102" s="544"/>
      <c r="CK102" s="544"/>
      <c r="CL102" s="544"/>
      <c r="CM102" s="544"/>
      <c r="CN102" s="544"/>
      <c r="CO102" s="544"/>
      <c r="CP102" s="544"/>
      <c r="CQ102" s="544"/>
      <c r="CR102" s="544"/>
      <c r="CS102" s="544"/>
    </row>
    <row r="103" spans="1:98" s="142" customFormat="1" ht="12.75" hidden="1" x14ac:dyDescent="0.2">
      <c r="A103" s="735">
        <v>96</v>
      </c>
      <c r="B103" s="732" t="s">
        <v>81</v>
      </c>
      <c r="C103" s="738" t="s">
        <v>82</v>
      </c>
      <c r="D103" s="905">
        <v>267579.77126074198</v>
      </c>
      <c r="E103" s="905">
        <v>204611132</v>
      </c>
      <c r="F103" s="905">
        <v>6932</v>
      </c>
      <c r="G103" s="166">
        <v>103247659</v>
      </c>
      <c r="H103" s="166">
        <v>-6976133</v>
      </c>
      <c r="I103" s="166">
        <v>1916861</v>
      </c>
      <c r="J103" s="166">
        <v>-5059272</v>
      </c>
      <c r="K103" s="166">
        <v>-4507654</v>
      </c>
      <c r="L103" s="166">
        <v>-92848</v>
      </c>
      <c r="M103" s="166">
        <v>-8901</v>
      </c>
      <c r="N103" s="166">
        <v>0</v>
      </c>
      <c r="O103" s="166">
        <v>-24000</v>
      </c>
      <c r="P103" s="166">
        <v>-4670000</v>
      </c>
      <c r="Q103" s="166">
        <v>-86590</v>
      </c>
      <c r="R103" s="166">
        <v>0</v>
      </c>
      <c r="S103" s="166">
        <v>-739</v>
      </c>
      <c r="T103" s="166"/>
      <c r="U103" s="166">
        <v>0</v>
      </c>
      <c r="V103" s="166">
        <v>-100000</v>
      </c>
      <c r="W103" s="166">
        <v>0</v>
      </c>
      <c r="X103" s="166">
        <v>0</v>
      </c>
      <c r="Y103" s="166">
        <v>-8901</v>
      </c>
      <c r="Z103" s="166">
        <v>77684563</v>
      </c>
      <c r="AA103" s="166">
        <v>-4700000</v>
      </c>
      <c r="AB103" s="166"/>
      <c r="AC103" s="166">
        <v>-6437355</v>
      </c>
      <c r="AD103" s="166">
        <v>264</v>
      </c>
      <c r="AE103" s="166">
        <v>15</v>
      </c>
      <c r="AF103" s="166">
        <v>4</v>
      </c>
      <c r="AG103" s="166"/>
      <c r="AH103" s="166">
        <v>0</v>
      </c>
      <c r="AI103" s="166">
        <v>0</v>
      </c>
      <c r="AJ103" s="166">
        <v>436</v>
      </c>
      <c r="AK103" s="166">
        <v>62</v>
      </c>
      <c r="AL103" s="166">
        <v>0</v>
      </c>
      <c r="AM103" s="166">
        <v>0</v>
      </c>
      <c r="AN103" s="166">
        <v>0</v>
      </c>
      <c r="AO103" s="166">
        <v>2</v>
      </c>
      <c r="AP103" s="166">
        <v>0</v>
      </c>
      <c r="AQ103" s="166">
        <v>0</v>
      </c>
      <c r="AR103" s="166">
        <v>683</v>
      </c>
      <c r="AS103" s="166">
        <v>1827</v>
      </c>
      <c r="AT103" s="166">
        <v>2642</v>
      </c>
      <c r="AU103" s="166">
        <v>2474</v>
      </c>
      <c r="AV103" s="166">
        <v>168</v>
      </c>
      <c r="AW103" s="166">
        <v>2500</v>
      </c>
      <c r="AX103" s="166">
        <v>-531980</v>
      </c>
      <c r="AY103" s="166">
        <v>-352000</v>
      </c>
      <c r="AZ103" s="166">
        <v>0</v>
      </c>
      <c r="BA103" s="166">
        <v>-50650</v>
      </c>
      <c r="BB103" s="166">
        <v>-3735370</v>
      </c>
      <c r="BC103" s="166">
        <v>0</v>
      </c>
      <c r="BD103" s="166">
        <v>-556862</v>
      </c>
      <c r="BE103" s="166">
        <v>-2355186</v>
      </c>
      <c r="BF103" s="166"/>
      <c r="BG103" s="760">
        <v>26027300</v>
      </c>
      <c r="BH103" s="760">
        <v>520000</v>
      </c>
      <c r="BI103" s="815">
        <v>4761267</v>
      </c>
      <c r="BJ103" s="1044" t="s">
        <v>2468</v>
      </c>
      <c r="BK103" s="1044" t="s">
        <v>867</v>
      </c>
      <c r="BL103" s="1044" t="s">
        <v>2560</v>
      </c>
      <c r="BM103" s="650"/>
      <c r="BN103" s="746" t="s">
        <v>82</v>
      </c>
      <c r="BO103" s="142" t="b">
        <v>1</v>
      </c>
      <c r="BP103" s="544"/>
      <c r="BQ103" s="544"/>
      <c r="BR103" s="544"/>
      <c r="BS103" s="544"/>
      <c r="BT103" s="544"/>
      <c r="BU103" s="544"/>
      <c r="BV103" s="544"/>
      <c r="BW103" s="544"/>
      <c r="BX103" s="544"/>
      <c r="BY103" s="544"/>
      <c r="BZ103" s="544"/>
      <c r="CA103" s="544"/>
      <c r="CB103" s="544"/>
      <c r="CC103" s="544"/>
      <c r="CD103" s="544"/>
      <c r="CE103" s="544"/>
      <c r="CF103" s="544"/>
      <c r="CG103" s="544"/>
      <c r="CH103" s="544"/>
      <c r="CI103" s="544"/>
      <c r="CJ103" s="544"/>
      <c r="CK103" s="544"/>
      <c r="CL103" s="544"/>
      <c r="CM103" s="544"/>
      <c r="CN103" s="544"/>
      <c r="CO103" s="544"/>
      <c r="CP103" s="544"/>
      <c r="CQ103" s="544"/>
      <c r="CR103" s="544"/>
      <c r="CS103" s="544"/>
    </row>
    <row r="104" spans="1:98" s="142" customFormat="1" ht="12.75" x14ac:dyDescent="0.2">
      <c r="A104" s="735">
        <v>97</v>
      </c>
      <c r="B104" s="732" t="s">
        <v>83</v>
      </c>
      <c r="C104" s="738" t="s">
        <v>84</v>
      </c>
      <c r="D104" s="905">
        <v>99759.858659844598</v>
      </c>
      <c r="E104" s="905">
        <v>66242595</v>
      </c>
      <c r="F104" s="905">
        <v>2636</v>
      </c>
      <c r="G104" s="166">
        <v>32660188</v>
      </c>
      <c r="H104" s="166">
        <v>-3053772</v>
      </c>
      <c r="I104" s="166">
        <v>557195</v>
      </c>
      <c r="J104" s="166">
        <v>-2496577</v>
      </c>
      <c r="K104" s="166">
        <v>-2109901</v>
      </c>
      <c r="L104" s="166">
        <v>-44090</v>
      </c>
      <c r="M104" s="166">
        <v>0</v>
      </c>
      <c r="N104" s="166">
        <v>-5018</v>
      </c>
      <c r="O104" s="166">
        <v>0</v>
      </c>
      <c r="P104" s="166">
        <v>-158022</v>
      </c>
      <c r="Q104" s="166">
        <v>-80015</v>
      </c>
      <c r="R104" s="166">
        <v>-42506</v>
      </c>
      <c r="S104" s="166">
        <v>-5826</v>
      </c>
      <c r="T104" s="166"/>
      <c r="U104" s="166">
        <v>0</v>
      </c>
      <c r="V104" s="166">
        <v>0</v>
      </c>
      <c r="W104" s="166">
        <v>0</v>
      </c>
      <c r="X104" s="166">
        <v>0</v>
      </c>
      <c r="Y104" s="166">
        <v>0</v>
      </c>
      <c r="Z104" s="166">
        <v>24211399</v>
      </c>
      <c r="AA104" s="166">
        <v>-890204</v>
      </c>
      <c r="AB104" s="166"/>
      <c r="AC104" s="166">
        <v>-1428502</v>
      </c>
      <c r="AD104" s="166">
        <v>129</v>
      </c>
      <c r="AE104" s="166">
        <v>4</v>
      </c>
      <c r="AF104" s="166">
        <v>0</v>
      </c>
      <c r="AG104" s="166"/>
      <c r="AH104" s="166">
        <v>4</v>
      </c>
      <c r="AI104" s="166">
        <v>0</v>
      </c>
      <c r="AJ104" s="166">
        <v>92</v>
      </c>
      <c r="AK104" s="166">
        <v>58</v>
      </c>
      <c r="AL104" s="166">
        <v>11</v>
      </c>
      <c r="AM104" s="166">
        <v>0</v>
      </c>
      <c r="AN104" s="166">
        <v>0</v>
      </c>
      <c r="AO104" s="166">
        <v>2</v>
      </c>
      <c r="AP104" s="166">
        <v>0</v>
      </c>
      <c r="AQ104" s="166">
        <v>0</v>
      </c>
      <c r="AR104" s="166">
        <v>157</v>
      </c>
      <c r="AS104" s="166">
        <v>509</v>
      </c>
      <c r="AT104" s="166">
        <v>1181</v>
      </c>
      <c r="AU104" s="166">
        <v>1097</v>
      </c>
      <c r="AV104" s="166">
        <v>84</v>
      </c>
      <c r="AW104" s="166">
        <v>927</v>
      </c>
      <c r="AX104" s="166">
        <v>-23198</v>
      </c>
      <c r="AY104" s="166">
        <v>-33274</v>
      </c>
      <c r="AZ104" s="166">
        <v>0</v>
      </c>
      <c r="BA104" s="166">
        <v>0</v>
      </c>
      <c r="BB104" s="166">
        <v>-86900</v>
      </c>
      <c r="BC104" s="166">
        <v>-14650</v>
      </c>
      <c r="BD104" s="166">
        <v>-506797</v>
      </c>
      <c r="BE104" s="166">
        <v>3438501</v>
      </c>
      <c r="BF104" s="166"/>
      <c r="BG104" s="760">
        <v>9607750</v>
      </c>
      <c r="BH104" s="760">
        <v>63500</v>
      </c>
      <c r="BI104" s="815">
        <v>4254284</v>
      </c>
      <c r="BJ104" s="1044" t="s">
        <v>2454</v>
      </c>
      <c r="BK104" s="1044" t="s">
        <v>2457</v>
      </c>
      <c r="BL104" s="1044" t="s">
        <v>2561</v>
      </c>
      <c r="BM104" s="650"/>
      <c r="BN104" s="746" t="s">
        <v>84</v>
      </c>
      <c r="BO104" s="142" t="b">
        <v>1</v>
      </c>
      <c r="BP104" s="544"/>
      <c r="BQ104" s="544"/>
      <c r="BR104" s="544"/>
      <c r="BS104" s="544"/>
      <c r="BT104" s="544"/>
      <c r="BU104" s="544"/>
      <c r="BV104" s="544"/>
      <c r="BW104" s="544"/>
      <c r="BX104" s="544"/>
      <c r="BY104" s="544"/>
      <c r="BZ104" s="544"/>
      <c r="CA104" s="544"/>
      <c r="CB104" s="544"/>
      <c r="CC104" s="544"/>
      <c r="CD104" s="544"/>
      <c r="CE104" s="544"/>
      <c r="CF104" s="544"/>
      <c r="CG104" s="544"/>
      <c r="CH104" s="544"/>
      <c r="CI104" s="544"/>
      <c r="CJ104" s="544"/>
      <c r="CK104" s="544"/>
      <c r="CL104" s="544"/>
      <c r="CM104" s="544"/>
      <c r="CN104" s="544"/>
      <c r="CO104" s="544"/>
      <c r="CP104" s="544"/>
      <c r="CQ104" s="544"/>
      <c r="CR104" s="544"/>
      <c r="CS104" s="544"/>
    </row>
    <row r="105" spans="1:98" s="142" customFormat="1" ht="12.75" x14ac:dyDescent="0.2">
      <c r="A105" s="735">
        <v>98</v>
      </c>
      <c r="B105" s="732" t="s">
        <v>85</v>
      </c>
      <c r="C105" s="738" t="s">
        <v>86</v>
      </c>
      <c r="D105" s="905">
        <v>169295.86535502301</v>
      </c>
      <c r="E105" s="905">
        <v>141463539</v>
      </c>
      <c r="F105" s="905">
        <v>4170</v>
      </c>
      <c r="G105" s="166">
        <v>70161088</v>
      </c>
      <c r="H105" s="166">
        <v>-2788250</v>
      </c>
      <c r="I105" s="166">
        <v>1377404</v>
      </c>
      <c r="J105" s="166">
        <v>-1410846</v>
      </c>
      <c r="K105" s="166">
        <v>-4239305</v>
      </c>
      <c r="L105" s="166">
        <v>-55593</v>
      </c>
      <c r="M105" s="166">
        <v>0</v>
      </c>
      <c r="N105" s="166">
        <v>-10598</v>
      </c>
      <c r="O105" s="166">
        <v>-80000</v>
      </c>
      <c r="P105" s="166">
        <v>-2027686</v>
      </c>
      <c r="Q105" s="166">
        <v>0</v>
      </c>
      <c r="R105" s="166">
        <v>-96763</v>
      </c>
      <c r="S105" s="166">
        <v>0</v>
      </c>
      <c r="T105" s="166"/>
      <c r="U105" s="166">
        <v>0</v>
      </c>
      <c r="V105" s="166">
        <v>0</v>
      </c>
      <c r="W105" s="166">
        <v>0</v>
      </c>
      <c r="X105" s="166">
        <v>0</v>
      </c>
      <c r="Y105" s="166">
        <v>0</v>
      </c>
      <c r="Z105" s="166">
        <v>52475549</v>
      </c>
      <c r="AA105" s="166">
        <v>-1051111</v>
      </c>
      <c r="AB105" s="166"/>
      <c r="AC105" s="166">
        <v>-4452769</v>
      </c>
      <c r="AD105" s="166">
        <v>231</v>
      </c>
      <c r="AE105" s="166">
        <v>15</v>
      </c>
      <c r="AF105" s="166">
        <v>0</v>
      </c>
      <c r="AG105" s="166"/>
      <c r="AH105" s="166">
        <v>3</v>
      </c>
      <c r="AI105" s="166">
        <v>0</v>
      </c>
      <c r="AJ105" s="166">
        <v>452</v>
      </c>
      <c r="AK105" s="166">
        <v>0</v>
      </c>
      <c r="AL105" s="166">
        <v>19</v>
      </c>
      <c r="AM105" s="166">
        <v>0</v>
      </c>
      <c r="AN105" s="166">
        <v>0</v>
      </c>
      <c r="AO105" s="166">
        <v>0</v>
      </c>
      <c r="AP105" s="166">
        <v>0</v>
      </c>
      <c r="AQ105" s="166">
        <v>0</v>
      </c>
      <c r="AR105" s="166">
        <v>457</v>
      </c>
      <c r="AS105" s="166">
        <v>1322</v>
      </c>
      <c r="AT105" s="166">
        <v>1193</v>
      </c>
      <c r="AU105" s="166">
        <v>1044</v>
      </c>
      <c r="AV105" s="166">
        <v>149</v>
      </c>
      <c r="AW105" s="166">
        <v>1642</v>
      </c>
      <c r="AX105" s="166">
        <v>-167152</v>
      </c>
      <c r="AY105" s="166">
        <v>-612345</v>
      </c>
      <c r="AZ105" s="166">
        <v>0</v>
      </c>
      <c r="BA105" s="166">
        <v>0</v>
      </c>
      <c r="BB105" s="166">
        <v>-1028385</v>
      </c>
      <c r="BC105" s="166">
        <v>-219804</v>
      </c>
      <c r="BD105" s="166">
        <v>-639322</v>
      </c>
      <c r="BE105" s="166">
        <v>1744525</v>
      </c>
      <c r="BF105" s="166"/>
      <c r="BG105" s="760">
        <v>17311050</v>
      </c>
      <c r="BH105" s="760">
        <v>0</v>
      </c>
      <c r="BI105" s="815">
        <v>579308</v>
      </c>
      <c r="BJ105" s="1044" t="s">
        <v>2454</v>
      </c>
      <c r="BK105" s="1044" t="s">
        <v>2474</v>
      </c>
      <c r="BL105" s="1044" t="s">
        <v>2562</v>
      </c>
      <c r="BM105" s="650"/>
      <c r="BN105" s="746" t="s">
        <v>86</v>
      </c>
      <c r="BO105" s="142" t="b">
        <v>1</v>
      </c>
      <c r="BP105" s="544"/>
      <c r="BQ105" s="544"/>
      <c r="BR105" s="544"/>
      <c r="BS105" s="544"/>
      <c r="BT105" s="544"/>
      <c r="BU105" s="544"/>
      <c r="BV105" s="544"/>
      <c r="BW105" s="544"/>
      <c r="BX105" s="544"/>
      <c r="BY105" s="544"/>
      <c r="BZ105" s="544"/>
      <c r="CA105" s="544"/>
      <c r="CB105" s="544"/>
      <c r="CC105" s="544"/>
      <c r="CD105" s="544"/>
      <c r="CE105" s="544"/>
      <c r="CF105" s="544"/>
      <c r="CG105" s="544"/>
      <c r="CH105" s="544"/>
      <c r="CI105" s="544"/>
      <c r="CJ105" s="544"/>
      <c r="CK105" s="544"/>
      <c r="CL105" s="544"/>
      <c r="CM105" s="544"/>
      <c r="CN105" s="544"/>
      <c r="CO105" s="544"/>
      <c r="CP105" s="544"/>
      <c r="CQ105" s="544"/>
      <c r="CR105" s="544"/>
      <c r="CS105" s="544"/>
    </row>
    <row r="106" spans="1:98" s="142" customFormat="1" ht="12.75" x14ac:dyDescent="0.2">
      <c r="A106" s="735">
        <v>99</v>
      </c>
      <c r="B106" s="732" t="s">
        <v>87</v>
      </c>
      <c r="C106" s="738" t="s">
        <v>88</v>
      </c>
      <c r="D106" s="905">
        <v>78412.376443983798</v>
      </c>
      <c r="E106" s="905">
        <v>49662997</v>
      </c>
      <c r="F106" s="905">
        <v>2035</v>
      </c>
      <c r="G106" s="166">
        <v>24802582</v>
      </c>
      <c r="H106" s="166">
        <v>-2139589</v>
      </c>
      <c r="I106" s="166">
        <v>430239</v>
      </c>
      <c r="J106" s="166">
        <v>-1709350</v>
      </c>
      <c r="K106" s="166">
        <v>-1303761</v>
      </c>
      <c r="L106" s="166">
        <v>-25024</v>
      </c>
      <c r="M106" s="166">
        <v>0</v>
      </c>
      <c r="N106" s="166">
        <v>-6630</v>
      </c>
      <c r="O106" s="166">
        <v>-1000</v>
      </c>
      <c r="P106" s="166">
        <v>-220487</v>
      </c>
      <c r="Q106" s="166">
        <v>-93908</v>
      </c>
      <c r="R106" s="166">
        <v>-77530</v>
      </c>
      <c r="S106" s="166">
        <v>0</v>
      </c>
      <c r="T106" s="166"/>
      <c r="U106" s="166">
        <v>0</v>
      </c>
      <c r="V106" s="166">
        <v>0</v>
      </c>
      <c r="W106" s="166">
        <v>0</v>
      </c>
      <c r="X106" s="166">
        <v>0</v>
      </c>
      <c r="Y106" s="166">
        <v>0</v>
      </c>
      <c r="Z106" s="166">
        <v>18320418</v>
      </c>
      <c r="AA106" s="166">
        <v>-1424900</v>
      </c>
      <c r="AB106" s="166"/>
      <c r="AC106" s="166">
        <v>-700065</v>
      </c>
      <c r="AD106" s="166">
        <v>88</v>
      </c>
      <c r="AE106" s="166">
        <v>3</v>
      </c>
      <c r="AF106" s="166">
        <v>0</v>
      </c>
      <c r="AG106" s="166"/>
      <c r="AH106" s="166">
        <v>3</v>
      </c>
      <c r="AI106" s="166">
        <v>0</v>
      </c>
      <c r="AJ106" s="166">
        <v>163</v>
      </c>
      <c r="AK106" s="166">
        <v>51</v>
      </c>
      <c r="AL106" s="166">
        <v>12</v>
      </c>
      <c r="AM106" s="166">
        <v>0</v>
      </c>
      <c r="AN106" s="166">
        <v>0</v>
      </c>
      <c r="AO106" s="166">
        <v>0</v>
      </c>
      <c r="AP106" s="166">
        <v>3</v>
      </c>
      <c r="AQ106" s="166">
        <v>0</v>
      </c>
      <c r="AR106" s="166">
        <v>117</v>
      </c>
      <c r="AS106" s="166">
        <v>452</v>
      </c>
      <c r="AT106" s="166">
        <v>826</v>
      </c>
      <c r="AU106" s="166">
        <v>772</v>
      </c>
      <c r="AV106" s="166">
        <v>54</v>
      </c>
      <c r="AW106" s="166">
        <v>869</v>
      </c>
      <c r="AX106" s="166">
        <v>-2574</v>
      </c>
      <c r="AY106" s="166">
        <v>-51218</v>
      </c>
      <c r="AZ106" s="166">
        <v>0</v>
      </c>
      <c r="BA106" s="166">
        <v>0</v>
      </c>
      <c r="BB106" s="166">
        <v>-66078</v>
      </c>
      <c r="BC106" s="166">
        <v>-100617</v>
      </c>
      <c r="BD106" s="166">
        <v>-259347</v>
      </c>
      <c r="BE106" s="166">
        <v>932836</v>
      </c>
      <c r="BF106" s="166"/>
      <c r="BG106" s="760">
        <v>5873800</v>
      </c>
      <c r="BH106" s="760">
        <v>500750</v>
      </c>
      <c r="BI106" s="815">
        <v>2083262</v>
      </c>
      <c r="BJ106" s="1044" t="s">
        <v>2454</v>
      </c>
      <c r="BK106" s="1044" t="s">
        <v>2455</v>
      </c>
      <c r="BL106" s="1044" t="s">
        <v>2563</v>
      </c>
      <c r="BM106" s="650"/>
      <c r="BN106" s="746" t="s">
        <v>88</v>
      </c>
      <c r="BO106" s="142" t="b">
        <v>1</v>
      </c>
      <c r="BP106" s="544"/>
      <c r="BQ106" s="544"/>
      <c r="BR106" s="544"/>
      <c r="BS106" s="544"/>
      <c r="BT106" s="544"/>
      <c r="BU106" s="544"/>
      <c r="BV106" s="544"/>
      <c r="BW106" s="544"/>
      <c r="BX106" s="544"/>
      <c r="BY106" s="544"/>
      <c r="BZ106" s="544"/>
      <c r="CA106" s="544"/>
      <c r="CB106" s="544"/>
      <c r="CC106" s="544"/>
      <c r="CD106" s="544"/>
      <c r="CE106" s="544"/>
      <c r="CF106" s="544"/>
      <c r="CG106" s="544"/>
      <c r="CH106" s="544"/>
      <c r="CI106" s="544"/>
      <c r="CJ106" s="544"/>
      <c r="CK106" s="544"/>
      <c r="CL106" s="544"/>
      <c r="CM106" s="544"/>
      <c r="CN106" s="544"/>
      <c r="CO106" s="544"/>
      <c r="CP106" s="544"/>
      <c r="CQ106" s="544"/>
      <c r="CR106" s="544"/>
      <c r="CS106" s="544"/>
    </row>
    <row r="107" spans="1:98" s="142" customFormat="1" ht="12.75" x14ac:dyDescent="0.2">
      <c r="A107" s="735">
        <v>100</v>
      </c>
      <c r="B107" s="732" t="s">
        <v>89</v>
      </c>
      <c r="C107" s="738" t="s">
        <v>90</v>
      </c>
      <c r="D107" s="905">
        <v>91559.612252163293</v>
      </c>
      <c r="E107" s="905">
        <v>75842964</v>
      </c>
      <c r="F107" s="905">
        <v>2299</v>
      </c>
      <c r="G107" s="166">
        <v>36774500</v>
      </c>
      <c r="H107" s="166">
        <v>-2433720</v>
      </c>
      <c r="I107" s="166">
        <v>652740</v>
      </c>
      <c r="J107" s="166">
        <v>-1780980</v>
      </c>
      <c r="K107" s="166">
        <v>-3386449</v>
      </c>
      <c r="L107" s="166">
        <v>-45250</v>
      </c>
      <c r="M107" s="166">
        <v>-5320</v>
      </c>
      <c r="N107" s="166">
        <v>-10680</v>
      </c>
      <c r="O107" s="166">
        <v>0</v>
      </c>
      <c r="P107" s="166">
        <v>-1107900</v>
      </c>
      <c r="Q107" s="166">
        <v>-135500</v>
      </c>
      <c r="R107" s="166">
        <v>0</v>
      </c>
      <c r="S107" s="166">
        <v>0</v>
      </c>
      <c r="T107" s="166"/>
      <c r="U107" s="166">
        <v>0</v>
      </c>
      <c r="V107" s="166">
        <v>-55000</v>
      </c>
      <c r="W107" s="166">
        <v>-55000</v>
      </c>
      <c r="X107" s="166">
        <v>0</v>
      </c>
      <c r="Y107" s="166">
        <v>-2660</v>
      </c>
      <c r="Z107" s="166">
        <v>24580211</v>
      </c>
      <c r="AA107" s="166">
        <v>-500000</v>
      </c>
      <c r="AB107" s="166"/>
      <c r="AC107" s="166">
        <v>-2197910</v>
      </c>
      <c r="AD107" s="166">
        <v>114</v>
      </c>
      <c r="AE107" s="166">
        <v>15</v>
      </c>
      <c r="AF107" s="166">
        <v>2</v>
      </c>
      <c r="AG107" s="166"/>
      <c r="AH107" s="166">
        <v>5</v>
      </c>
      <c r="AI107" s="166">
        <v>0</v>
      </c>
      <c r="AJ107" s="166">
        <v>201</v>
      </c>
      <c r="AK107" s="166">
        <v>19</v>
      </c>
      <c r="AL107" s="166">
        <v>0</v>
      </c>
      <c r="AM107" s="166">
        <v>0</v>
      </c>
      <c r="AN107" s="166">
        <v>0</v>
      </c>
      <c r="AO107" s="166">
        <v>0</v>
      </c>
      <c r="AP107" s="166">
        <v>1</v>
      </c>
      <c r="AQ107" s="166">
        <v>0</v>
      </c>
      <c r="AR107" s="166">
        <v>345</v>
      </c>
      <c r="AS107" s="166">
        <v>193</v>
      </c>
      <c r="AT107" s="166">
        <v>970</v>
      </c>
      <c r="AU107" s="166">
        <v>892</v>
      </c>
      <c r="AV107" s="166">
        <v>78</v>
      </c>
      <c r="AW107" s="166">
        <v>1137</v>
      </c>
      <c r="AX107" s="166">
        <v>0</v>
      </c>
      <c r="AY107" s="166">
        <v>-229924</v>
      </c>
      <c r="AZ107" s="166">
        <v>0</v>
      </c>
      <c r="BA107" s="166">
        <v>-30497</v>
      </c>
      <c r="BB107" s="166">
        <v>-847479</v>
      </c>
      <c r="BC107" s="166">
        <v>0</v>
      </c>
      <c r="BD107" s="166">
        <v>-8270</v>
      </c>
      <c r="BE107" s="166">
        <v>-2220000</v>
      </c>
      <c r="BF107" s="166"/>
      <c r="BG107" s="760">
        <v>6602095</v>
      </c>
      <c r="BH107" s="760">
        <v>0</v>
      </c>
      <c r="BI107" s="815">
        <v>-5000000</v>
      </c>
      <c r="BJ107" s="1044" t="s">
        <v>2454</v>
      </c>
      <c r="BK107" s="1044" t="s">
        <v>2455</v>
      </c>
      <c r="BL107" s="1044" t="s">
        <v>2564</v>
      </c>
      <c r="BM107" s="650"/>
      <c r="BN107" s="746" t="s">
        <v>90</v>
      </c>
      <c r="BO107" s="142" t="b">
        <v>1</v>
      </c>
      <c r="BP107" s="544"/>
      <c r="BQ107" s="544"/>
      <c r="BR107" s="544"/>
      <c r="BS107" s="544"/>
      <c r="BT107" s="544"/>
      <c r="BU107" s="544"/>
      <c r="BV107" s="544"/>
      <c r="BW107" s="544"/>
      <c r="BX107" s="544"/>
      <c r="BY107" s="544"/>
      <c r="BZ107" s="544"/>
      <c r="CA107" s="544"/>
      <c r="CB107" s="544"/>
      <c r="CC107" s="544"/>
      <c r="CD107" s="544"/>
      <c r="CE107" s="544"/>
      <c r="CF107" s="544"/>
      <c r="CG107" s="544"/>
      <c r="CH107" s="544"/>
      <c r="CI107" s="544"/>
      <c r="CJ107" s="544"/>
      <c r="CK107" s="544"/>
      <c r="CL107" s="544"/>
      <c r="CM107" s="544"/>
      <c r="CN107" s="544"/>
      <c r="CO107" s="544"/>
      <c r="CP107" s="544"/>
      <c r="CQ107" s="544"/>
      <c r="CR107" s="544"/>
      <c r="CS107" s="544"/>
    </row>
    <row r="108" spans="1:98" s="142" customFormat="1" ht="12.75" x14ac:dyDescent="0.2">
      <c r="A108" s="735">
        <v>101</v>
      </c>
      <c r="B108" s="732" t="s">
        <v>91</v>
      </c>
      <c r="C108" s="738" t="s">
        <v>92</v>
      </c>
      <c r="D108" s="905">
        <v>183960.23603031301</v>
      </c>
      <c r="E108" s="905">
        <v>81873460</v>
      </c>
      <c r="F108" s="905">
        <v>5297</v>
      </c>
      <c r="G108" s="166">
        <v>41209006</v>
      </c>
      <c r="H108" s="166">
        <v>-4171800</v>
      </c>
      <c r="I108" s="166">
        <v>673542</v>
      </c>
      <c r="J108" s="166">
        <v>-3498258</v>
      </c>
      <c r="K108" s="166">
        <v>-2385560</v>
      </c>
      <c r="L108" s="166">
        <v>0</v>
      </c>
      <c r="M108" s="166">
        <v>-1450</v>
      </c>
      <c r="N108" s="166">
        <v>-27229</v>
      </c>
      <c r="O108" s="166">
        <v>0</v>
      </c>
      <c r="P108" s="166">
        <v>-909490</v>
      </c>
      <c r="Q108" s="166">
        <v>-73066</v>
      </c>
      <c r="R108" s="166">
        <v>-36921</v>
      </c>
      <c r="S108" s="166">
        <v>0</v>
      </c>
      <c r="T108" s="166"/>
      <c r="U108" s="166">
        <v>0</v>
      </c>
      <c r="V108" s="166">
        <v>0</v>
      </c>
      <c r="W108" s="166">
        <v>0</v>
      </c>
      <c r="X108" s="166">
        <v>0</v>
      </c>
      <c r="Y108" s="166">
        <v>-725</v>
      </c>
      <c r="Z108" s="166">
        <v>26928172</v>
      </c>
      <c r="AA108" s="166">
        <v>-484725</v>
      </c>
      <c r="AB108" s="166"/>
      <c r="AC108" s="166">
        <v>-4235144</v>
      </c>
      <c r="AD108" s="166">
        <v>187</v>
      </c>
      <c r="AE108" s="166">
        <v>0</v>
      </c>
      <c r="AF108" s="166">
        <v>2</v>
      </c>
      <c r="AG108" s="166"/>
      <c r="AH108" s="166">
        <v>13</v>
      </c>
      <c r="AI108" s="166">
        <v>0</v>
      </c>
      <c r="AJ108" s="166">
        <v>397</v>
      </c>
      <c r="AK108" s="166">
        <v>101</v>
      </c>
      <c r="AL108" s="166">
        <v>8</v>
      </c>
      <c r="AM108" s="166">
        <v>2</v>
      </c>
      <c r="AN108" s="166">
        <v>0</v>
      </c>
      <c r="AO108" s="166">
        <v>0</v>
      </c>
      <c r="AP108" s="166">
        <v>0</v>
      </c>
      <c r="AQ108" s="166">
        <v>0</v>
      </c>
      <c r="AR108" s="166">
        <v>1093</v>
      </c>
      <c r="AS108" s="166">
        <v>989</v>
      </c>
      <c r="AT108" s="166">
        <v>2408</v>
      </c>
      <c r="AU108" s="166">
        <v>2349</v>
      </c>
      <c r="AV108" s="166">
        <v>59</v>
      </c>
      <c r="AW108" s="166">
        <v>2076</v>
      </c>
      <c r="AX108" s="166">
        <v>-3971</v>
      </c>
      <c r="AY108" s="166">
        <v>-138549</v>
      </c>
      <c r="AZ108" s="166">
        <v>0</v>
      </c>
      <c r="BA108" s="166">
        <v>0</v>
      </c>
      <c r="BB108" s="166">
        <v>-723944</v>
      </c>
      <c r="BC108" s="166">
        <v>-43026</v>
      </c>
      <c r="BD108" s="166">
        <v>-325654</v>
      </c>
      <c r="BE108" s="166">
        <v>-1301781</v>
      </c>
      <c r="BF108" s="166"/>
      <c r="BG108" s="760">
        <v>11637475</v>
      </c>
      <c r="BH108" s="760">
        <v>348750</v>
      </c>
      <c r="BI108" s="815">
        <v>-3176430</v>
      </c>
      <c r="BJ108" s="1044" t="s">
        <v>2454</v>
      </c>
      <c r="BK108" s="1044" t="s">
        <v>2462</v>
      </c>
      <c r="BL108" s="1044" t="s">
        <v>2565</v>
      </c>
      <c r="BM108" s="650"/>
      <c r="BN108" s="746" t="s">
        <v>92</v>
      </c>
      <c r="BO108" s="142" t="b">
        <v>1</v>
      </c>
      <c r="BP108" s="544"/>
      <c r="BQ108" s="544"/>
      <c r="BR108" s="544"/>
      <c r="BS108" s="544"/>
      <c r="BT108" s="544"/>
      <c r="BU108" s="544"/>
      <c r="BV108" s="544"/>
      <c r="BW108" s="544"/>
      <c r="BX108" s="544"/>
      <c r="BY108" s="544"/>
      <c r="BZ108" s="544"/>
      <c r="CA108" s="544"/>
      <c r="CB108" s="544"/>
      <c r="CC108" s="544"/>
      <c r="CD108" s="544"/>
      <c r="CE108" s="544"/>
      <c r="CF108" s="544"/>
      <c r="CG108" s="544"/>
      <c r="CH108" s="544"/>
      <c r="CI108" s="544"/>
      <c r="CJ108" s="544"/>
      <c r="CK108" s="544"/>
      <c r="CL108" s="544"/>
      <c r="CM108" s="544"/>
      <c r="CN108" s="544"/>
      <c r="CO108" s="544"/>
      <c r="CP108" s="544"/>
      <c r="CQ108" s="544"/>
      <c r="CR108" s="544"/>
      <c r="CS108" s="544"/>
    </row>
    <row r="109" spans="1:98" s="142" customFormat="1" ht="12.75" hidden="1" x14ac:dyDescent="0.2">
      <c r="A109" s="735">
        <v>102</v>
      </c>
      <c r="B109" s="732" t="s">
        <v>93</v>
      </c>
      <c r="C109" s="738" t="s">
        <v>94</v>
      </c>
      <c r="D109" s="905">
        <v>319242.98880336399</v>
      </c>
      <c r="E109" s="905">
        <v>266762393</v>
      </c>
      <c r="F109" s="905">
        <v>6171</v>
      </c>
      <c r="G109" s="166">
        <v>133310859</v>
      </c>
      <c r="H109" s="166">
        <v>-7217018</v>
      </c>
      <c r="I109" s="166">
        <v>2642290</v>
      </c>
      <c r="J109" s="166">
        <v>-4574728</v>
      </c>
      <c r="K109" s="166">
        <v>-12819760</v>
      </c>
      <c r="L109" s="166">
        <v>-117300</v>
      </c>
      <c r="M109" s="166">
        <v>0</v>
      </c>
      <c r="N109" s="166">
        <v>-29728</v>
      </c>
      <c r="O109" s="166">
        <v>0</v>
      </c>
      <c r="P109" s="166">
        <v>-3371195</v>
      </c>
      <c r="Q109" s="166">
        <v>-714293</v>
      </c>
      <c r="R109" s="166">
        <v>-25043</v>
      </c>
      <c r="S109" s="166">
        <v>0</v>
      </c>
      <c r="T109" s="166"/>
      <c r="U109" s="166">
        <v>0</v>
      </c>
      <c r="V109" s="166">
        <v>0</v>
      </c>
      <c r="W109" s="166">
        <v>0</v>
      </c>
      <c r="X109" s="166">
        <v>0</v>
      </c>
      <c r="Y109" s="166">
        <v>0</v>
      </c>
      <c r="Z109" s="166">
        <v>97818010</v>
      </c>
      <c r="AA109" s="166">
        <v>-7573770</v>
      </c>
      <c r="AB109" s="166"/>
      <c r="AC109" s="166">
        <v>-5205553</v>
      </c>
      <c r="AD109" s="166">
        <v>374</v>
      </c>
      <c r="AE109" s="166">
        <v>0</v>
      </c>
      <c r="AF109" s="166">
        <v>0</v>
      </c>
      <c r="AG109" s="166"/>
      <c r="AH109" s="166">
        <v>0</v>
      </c>
      <c r="AI109" s="166">
        <v>1</v>
      </c>
      <c r="AJ109" s="166">
        <v>580</v>
      </c>
      <c r="AK109" s="166">
        <v>137</v>
      </c>
      <c r="AL109" s="166">
        <v>6</v>
      </c>
      <c r="AM109" s="166">
        <v>0</v>
      </c>
      <c r="AN109" s="166">
        <v>0</v>
      </c>
      <c r="AO109" s="166">
        <v>0</v>
      </c>
      <c r="AP109" s="166">
        <v>0</v>
      </c>
      <c r="AQ109" s="166">
        <v>702</v>
      </c>
      <c r="AR109" s="166">
        <v>675</v>
      </c>
      <c r="AS109" s="166">
        <v>1649</v>
      </c>
      <c r="AT109" s="166">
        <v>2332</v>
      </c>
      <c r="AU109" s="166">
        <v>2158</v>
      </c>
      <c r="AV109" s="166">
        <v>174</v>
      </c>
      <c r="AW109" s="166">
        <v>2330</v>
      </c>
      <c r="AX109" s="166">
        <v>-359039</v>
      </c>
      <c r="AY109" s="166">
        <v>-1309521</v>
      </c>
      <c r="AZ109" s="166">
        <v>0</v>
      </c>
      <c r="BA109" s="166">
        <v>-4770</v>
      </c>
      <c r="BB109" s="166">
        <v>-641774</v>
      </c>
      <c r="BC109" s="166">
        <v>-1056091</v>
      </c>
      <c r="BD109" s="166">
        <v>0</v>
      </c>
      <c r="BE109" s="166">
        <v>20881087</v>
      </c>
      <c r="BF109" s="166"/>
      <c r="BG109" s="760">
        <v>17908000</v>
      </c>
      <c r="BH109" s="760">
        <v>0</v>
      </c>
      <c r="BI109" s="815">
        <v>25714264</v>
      </c>
      <c r="BJ109" s="1044" t="s">
        <v>2506</v>
      </c>
      <c r="BK109" s="1044" t="s">
        <v>2465</v>
      </c>
      <c r="BL109" s="1044" t="s">
        <v>2566</v>
      </c>
      <c r="BM109" s="650"/>
      <c r="BN109" s="746" t="s">
        <v>94</v>
      </c>
      <c r="BO109" s="142" t="b">
        <v>1</v>
      </c>
      <c r="BP109" s="544"/>
      <c r="BQ109" s="544"/>
      <c r="BR109" s="544"/>
      <c r="BS109" s="544"/>
      <c r="BT109" s="544"/>
      <c r="BU109" s="544"/>
      <c r="BV109" s="544"/>
      <c r="BW109" s="544"/>
      <c r="BX109" s="544"/>
      <c r="BY109" s="544"/>
      <c r="BZ109" s="544"/>
      <c r="CA109" s="544"/>
      <c r="CB109" s="544"/>
      <c r="CC109" s="544"/>
      <c r="CD109" s="544"/>
      <c r="CE109" s="544"/>
      <c r="CF109" s="544"/>
      <c r="CG109" s="544"/>
      <c r="CH109" s="544"/>
      <c r="CI109" s="544"/>
      <c r="CJ109" s="544"/>
      <c r="CK109" s="544"/>
      <c r="CL109" s="544"/>
      <c r="CM109" s="544"/>
      <c r="CN109" s="544"/>
      <c r="CO109" s="544"/>
      <c r="CP109" s="544"/>
      <c r="CQ109" s="544"/>
      <c r="CR109" s="544"/>
      <c r="CS109" s="544"/>
    </row>
    <row r="110" spans="1:98" s="142" customFormat="1" ht="12.75" x14ac:dyDescent="0.2">
      <c r="A110" s="735">
        <v>103</v>
      </c>
      <c r="B110" s="732" t="s">
        <v>95</v>
      </c>
      <c r="C110" s="738" t="s">
        <v>96</v>
      </c>
      <c r="D110" s="905">
        <v>216780.87559777201</v>
      </c>
      <c r="E110" s="905">
        <v>218825123</v>
      </c>
      <c r="F110" s="905">
        <v>4467</v>
      </c>
      <c r="G110" s="166">
        <v>109128773</v>
      </c>
      <c r="H110" s="166">
        <v>-3030526</v>
      </c>
      <c r="I110" s="166">
        <v>2355453</v>
      </c>
      <c r="J110" s="166">
        <v>-675073</v>
      </c>
      <c r="K110" s="166">
        <v>-12218353</v>
      </c>
      <c r="L110" s="166">
        <v>-35292</v>
      </c>
      <c r="M110" s="166">
        <v>-14559</v>
      </c>
      <c r="N110" s="166">
        <v>-6989</v>
      </c>
      <c r="O110" s="166">
        <v>0</v>
      </c>
      <c r="P110" s="166">
        <v>-2473566</v>
      </c>
      <c r="Q110" s="166">
        <v>-158228</v>
      </c>
      <c r="R110" s="166">
        <v>-5739</v>
      </c>
      <c r="S110" s="166">
        <v>0</v>
      </c>
      <c r="T110" s="166"/>
      <c r="U110" s="166">
        <v>-10479</v>
      </c>
      <c r="V110" s="166">
        <v>0</v>
      </c>
      <c r="W110" s="166">
        <v>0</v>
      </c>
      <c r="X110" s="166">
        <v>0</v>
      </c>
      <c r="Y110" s="166">
        <v>-6718</v>
      </c>
      <c r="Z110" s="166">
        <v>79240765</v>
      </c>
      <c r="AA110" s="166">
        <v>-3675000</v>
      </c>
      <c r="AB110" s="166"/>
      <c r="AC110" s="166">
        <v>-7110231</v>
      </c>
      <c r="AD110" s="166">
        <v>300</v>
      </c>
      <c r="AE110" s="166">
        <v>16</v>
      </c>
      <c r="AF110" s="166">
        <v>10</v>
      </c>
      <c r="AG110" s="166"/>
      <c r="AH110" s="166">
        <v>4</v>
      </c>
      <c r="AI110" s="166">
        <v>0</v>
      </c>
      <c r="AJ110" s="166">
        <v>263</v>
      </c>
      <c r="AK110" s="166">
        <v>100</v>
      </c>
      <c r="AL110" s="166">
        <v>1</v>
      </c>
      <c r="AM110" s="166">
        <v>0</v>
      </c>
      <c r="AN110" s="166">
        <v>2</v>
      </c>
      <c r="AO110" s="166">
        <v>0</v>
      </c>
      <c r="AP110" s="166">
        <v>0</v>
      </c>
      <c r="AQ110" s="166">
        <v>0</v>
      </c>
      <c r="AR110" s="166">
        <v>599</v>
      </c>
      <c r="AS110" s="166">
        <v>1566</v>
      </c>
      <c r="AT110" s="166">
        <v>1172</v>
      </c>
      <c r="AU110" s="166">
        <v>1087</v>
      </c>
      <c r="AV110" s="166">
        <v>85</v>
      </c>
      <c r="AW110" s="166">
        <v>1728</v>
      </c>
      <c r="AX110" s="166">
        <v>-68654</v>
      </c>
      <c r="AY110" s="166">
        <v>-1356802</v>
      </c>
      <c r="AZ110" s="166">
        <v>0</v>
      </c>
      <c r="BA110" s="166">
        <v>-54666</v>
      </c>
      <c r="BB110" s="166">
        <v>-823729</v>
      </c>
      <c r="BC110" s="166">
        <v>-169715</v>
      </c>
      <c r="BD110" s="166">
        <v>-585030</v>
      </c>
      <c r="BE110" s="166">
        <v>5742879</v>
      </c>
      <c r="BF110" s="166"/>
      <c r="BG110" s="760">
        <v>22479750</v>
      </c>
      <c r="BH110" s="760">
        <v>0</v>
      </c>
      <c r="BI110" s="815">
        <v>-1522142</v>
      </c>
      <c r="BJ110" s="1044" t="s">
        <v>2454</v>
      </c>
      <c r="BK110" s="1044" t="s">
        <v>2455</v>
      </c>
      <c r="BL110" s="1044" t="s">
        <v>2567</v>
      </c>
      <c r="BM110" s="650"/>
      <c r="BN110" s="746" t="s">
        <v>96</v>
      </c>
      <c r="BO110" s="142" t="b">
        <v>1</v>
      </c>
      <c r="BP110" s="544"/>
      <c r="BQ110" s="544"/>
      <c r="BR110" s="544"/>
      <c r="BS110" s="544"/>
      <c r="BT110" s="544"/>
      <c r="BU110" s="544"/>
      <c r="BV110" s="544"/>
      <c r="BW110" s="544"/>
      <c r="BX110" s="544"/>
      <c r="BY110" s="544"/>
      <c r="BZ110" s="544"/>
      <c r="CA110" s="544"/>
      <c r="CB110" s="544"/>
      <c r="CC110" s="544"/>
      <c r="CD110" s="544"/>
      <c r="CE110" s="544"/>
      <c r="CF110" s="544"/>
      <c r="CG110" s="544"/>
      <c r="CH110" s="544"/>
      <c r="CI110" s="544"/>
      <c r="CJ110" s="544"/>
      <c r="CK110" s="544"/>
      <c r="CL110" s="544"/>
      <c r="CM110" s="544"/>
      <c r="CN110" s="544"/>
      <c r="CO110" s="544"/>
      <c r="CP110" s="544"/>
      <c r="CQ110" s="544"/>
      <c r="CR110" s="544"/>
      <c r="CS110" s="544"/>
    </row>
    <row r="111" spans="1:98" s="142" customFormat="1" ht="12.75" hidden="1" x14ac:dyDescent="0.2">
      <c r="A111" s="735">
        <v>104</v>
      </c>
      <c r="B111" s="732" t="s">
        <v>97</v>
      </c>
      <c r="C111" s="738" t="s">
        <v>98</v>
      </c>
      <c r="D111" s="905">
        <v>615743.11880742095</v>
      </c>
      <c r="E111" s="905">
        <v>473061145</v>
      </c>
      <c r="F111" s="905">
        <v>12277</v>
      </c>
      <c r="G111" s="166">
        <v>229874858</v>
      </c>
      <c r="H111" s="166">
        <v>-10316926</v>
      </c>
      <c r="I111" s="166">
        <v>4166016</v>
      </c>
      <c r="J111" s="166">
        <v>-6150910</v>
      </c>
      <c r="K111" s="166">
        <v>-17131450</v>
      </c>
      <c r="L111" s="166">
        <v>0</v>
      </c>
      <c r="M111" s="166">
        <v>0</v>
      </c>
      <c r="N111" s="166">
        <v>-12507</v>
      </c>
      <c r="O111" s="166">
        <v>0</v>
      </c>
      <c r="P111" s="166">
        <v>-1462247</v>
      </c>
      <c r="Q111" s="166">
        <v>-536810</v>
      </c>
      <c r="R111" s="166">
        <v>0</v>
      </c>
      <c r="S111" s="166">
        <v>0</v>
      </c>
      <c r="T111" s="166"/>
      <c r="U111" s="166">
        <v>0</v>
      </c>
      <c r="V111" s="166">
        <v>0</v>
      </c>
      <c r="W111" s="166">
        <v>0</v>
      </c>
      <c r="X111" s="166">
        <v>0</v>
      </c>
      <c r="Y111" s="166">
        <v>0</v>
      </c>
      <c r="Z111" s="166">
        <v>156344848</v>
      </c>
      <c r="AA111" s="166">
        <v>-2000000</v>
      </c>
      <c r="AB111" s="166"/>
      <c r="AC111" s="166">
        <v>-19173168</v>
      </c>
      <c r="AD111" s="166">
        <v>586</v>
      </c>
      <c r="AE111" s="166">
        <v>0</v>
      </c>
      <c r="AF111" s="166">
        <v>0</v>
      </c>
      <c r="AG111" s="166"/>
      <c r="AH111" s="166">
        <v>5</v>
      </c>
      <c r="AI111" s="166">
        <v>1</v>
      </c>
      <c r="AJ111" s="166">
        <v>932</v>
      </c>
      <c r="AK111" s="166">
        <v>72</v>
      </c>
      <c r="AL111" s="166">
        <v>3</v>
      </c>
      <c r="AM111" s="166">
        <v>0</v>
      </c>
      <c r="AN111" s="166">
        <v>0</v>
      </c>
      <c r="AO111" s="166">
        <v>0</v>
      </c>
      <c r="AP111" s="166">
        <v>0</v>
      </c>
      <c r="AQ111" s="166">
        <v>0</v>
      </c>
      <c r="AR111" s="166">
        <v>1994</v>
      </c>
      <c r="AS111" s="166">
        <v>3217</v>
      </c>
      <c r="AT111" s="166">
        <v>3206</v>
      </c>
      <c r="AU111" s="166">
        <v>2753</v>
      </c>
      <c r="AV111" s="166">
        <v>453</v>
      </c>
      <c r="AW111" s="166">
        <v>6122</v>
      </c>
      <c r="AX111" s="166">
        <v>-224747</v>
      </c>
      <c r="AY111" s="166">
        <v>-474938</v>
      </c>
      <c r="AZ111" s="166">
        <v>0</v>
      </c>
      <c r="BA111" s="166">
        <v>-42113</v>
      </c>
      <c r="BB111" s="166">
        <v>-230743</v>
      </c>
      <c r="BC111" s="166">
        <v>-489706</v>
      </c>
      <c r="BD111" s="166">
        <v>-9182580</v>
      </c>
      <c r="BE111" s="166">
        <v>-695816</v>
      </c>
      <c r="BF111" s="166"/>
      <c r="BG111" s="760">
        <v>46543350</v>
      </c>
      <c r="BH111" s="760">
        <v>0</v>
      </c>
      <c r="BI111" s="815">
        <v>-1346525</v>
      </c>
      <c r="BJ111" s="1044" t="s">
        <v>2506</v>
      </c>
      <c r="BK111" s="1044" t="s">
        <v>2465</v>
      </c>
      <c r="BL111" s="1044" t="s">
        <v>2568</v>
      </c>
      <c r="BM111" s="650"/>
      <c r="BN111" s="746" t="s">
        <v>98</v>
      </c>
      <c r="BO111" s="142" t="b">
        <v>1</v>
      </c>
      <c r="BP111" s="544"/>
      <c r="BQ111" s="544"/>
      <c r="BR111" s="544"/>
      <c r="BS111" s="544"/>
      <c r="BT111" s="544"/>
      <c r="BU111" s="544"/>
      <c r="BV111" s="544"/>
      <c r="BW111" s="544"/>
      <c r="BX111" s="544"/>
      <c r="BY111" s="544"/>
      <c r="BZ111" s="544"/>
      <c r="CA111" s="544"/>
      <c r="CB111" s="544"/>
      <c r="CC111" s="544"/>
      <c r="CD111" s="544"/>
      <c r="CE111" s="544"/>
      <c r="CF111" s="544"/>
      <c r="CG111" s="544"/>
      <c r="CH111" s="544"/>
      <c r="CI111" s="544"/>
      <c r="CJ111" s="544"/>
      <c r="CK111" s="544"/>
      <c r="CL111" s="544"/>
      <c r="CM111" s="544"/>
      <c r="CN111" s="544"/>
      <c r="CO111" s="544"/>
      <c r="CP111" s="544"/>
      <c r="CQ111" s="544"/>
      <c r="CR111" s="544"/>
      <c r="CS111" s="544"/>
    </row>
    <row r="112" spans="1:98" s="142" customFormat="1" ht="12.75" hidden="1" x14ac:dyDescent="0.2">
      <c r="A112" s="735">
        <v>105</v>
      </c>
      <c r="B112" s="732" t="s">
        <v>541</v>
      </c>
      <c r="C112" s="738" t="s">
        <v>100</v>
      </c>
      <c r="D112" s="905">
        <v>157305.53012767801</v>
      </c>
      <c r="E112" s="905">
        <v>145404753</v>
      </c>
      <c r="F112" s="905">
        <v>3782</v>
      </c>
      <c r="G112" s="166">
        <v>71228061</v>
      </c>
      <c r="H112" s="166">
        <v>-3821120</v>
      </c>
      <c r="I112" s="166">
        <v>1458051</v>
      </c>
      <c r="J112" s="166">
        <v>-2363069</v>
      </c>
      <c r="K112" s="166">
        <v>-2350208</v>
      </c>
      <c r="L112" s="166">
        <v>-107110</v>
      </c>
      <c r="M112" s="166">
        <v>0</v>
      </c>
      <c r="N112" s="166">
        <v>-6144</v>
      </c>
      <c r="O112" s="166">
        <v>0</v>
      </c>
      <c r="P112" s="166">
        <v>-2063698</v>
      </c>
      <c r="Q112" s="166">
        <v>-47896</v>
      </c>
      <c r="R112" s="166">
        <v>-78257</v>
      </c>
      <c r="S112" s="166">
        <v>-14703</v>
      </c>
      <c r="T112" s="166"/>
      <c r="U112" s="166">
        <v>0</v>
      </c>
      <c r="V112" s="166">
        <v>0</v>
      </c>
      <c r="W112" s="166">
        <v>0</v>
      </c>
      <c r="X112" s="166">
        <v>0</v>
      </c>
      <c r="Y112" s="166">
        <v>0</v>
      </c>
      <c r="Z112" s="166">
        <v>57517555</v>
      </c>
      <c r="AA112" s="166">
        <v>-1839939</v>
      </c>
      <c r="AB112" s="166"/>
      <c r="AC112" s="166">
        <v>-2526780</v>
      </c>
      <c r="AD112" s="166">
        <v>126</v>
      </c>
      <c r="AE112" s="166">
        <v>7</v>
      </c>
      <c r="AF112" s="166">
        <v>0</v>
      </c>
      <c r="AG112" s="166"/>
      <c r="AH112" s="166">
        <v>2</v>
      </c>
      <c r="AI112" s="166">
        <v>0</v>
      </c>
      <c r="AJ112" s="166">
        <v>557</v>
      </c>
      <c r="AK112" s="166">
        <v>51</v>
      </c>
      <c r="AL112" s="166">
        <v>26</v>
      </c>
      <c r="AM112" s="166">
        <v>0</v>
      </c>
      <c r="AN112" s="166">
        <v>0</v>
      </c>
      <c r="AO112" s="166">
        <v>4</v>
      </c>
      <c r="AP112" s="166">
        <v>18</v>
      </c>
      <c r="AQ112" s="166">
        <v>0</v>
      </c>
      <c r="AR112" s="166">
        <v>418</v>
      </c>
      <c r="AS112" s="166">
        <v>1106</v>
      </c>
      <c r="AT112" s="166">
        <v>1337</v>
      </c>
      <c r="AU112" s="166">
        <v>1273</v>
      </c>
      <c r="AV112" s="166">
        <v>64</v>
      </c>
      <c r="AW112" s="166">
        <v>1996</v>
      </c>
      <c r="AX112" s="166">
        <v>-246549</v>
      </c>
      <c r="AY112" s="166">
        <v>-54605</v>
      </c>
      <c r="AZ112" s="166">
        <v>0</v>
      </c>
      <c r="BA112" s="166">
        <v>0</v>
      </c>
      <c r="BB112" s="166">
        <v>-1356364</v>
      </c>
      <c r="BC112" s="166">
        <v>-406180</v>
      </c>
      <c r="BD112" s="166">
        <v>-196440</v>
      </c>
      <c r="BE112" s="166">
        <v>1952690</v>
      </c>
      <c r="BF112" s="166"/>
      <c r="BG112" s="760">
        <v>16389250</v>
      </c>
      <c r="BH112" s="760">
        <v>365250</v>
      </c>
      <c r="BI112" s="815">
        <v>1635853</v>
      </c>
      <c r="BJ112" s="1044" t="s">
        <v>515</v>
      </c>
      <c r="BK112" s="1044" t="s">
        <v>2481</v>
      </c>
      <c r="BL112" s="1044" t="s">
        <v>2569</v>
      </c>
      <c r="BM112" s="650"/>
      <c r="BN112" s="746" t="s">
        <v>100</v>
      </c>
      <c r="BO112" s="142" t="b">
        <v>1</v>
      </c>
      <c r="BP112" s="544"/>
      <c r="BQ112" s="544"/>
      <c r="BR112" s="544"/>
      <c r="BS112" s="544"/>
      <c r="BT112" s="544"/>
      <c r="BU112" s="544"/>
      <c r="BV112" s="544"/>
      <c r="BW112" s="544"/>
      <c r="BX112" s="544"/>
      <c r="BY112" s="544"/>
      <c r="BZ112" s="544"/>
      <c r="CA112" s="544"/>
      <c r="CB112" s="544"/>
      <c r="CC112" s="544"/>
      <c r="CD112" s="544"/>
      <c r="CE112" s="544"/>
      <c r="CF112" s="544"/>
      <c r="CG112" s="544"/>
      <c r="CH112" s="544"/>
      <c r="CI112" s="544"/>
      <c r="CJ112" s="544"/>
      <c r="CK112" s="544"/>
      <c r="CL112" s="544"/>
      <c r="CM112" s="544"/>
      <c r="CN112" s="544"/>
      <c r="CO112" s="544"/>
      <c r="CP112" s="544"/>
      <c r="CQ112" s="544"/>
      <c r="CR112" s="544"/>
      <c r="CS112" s="544"/>
    </row>
    <row r="113" spans="1:97" s="142" customFormat="1" ht="12.75" hidden="1" x14ac:dyDescent="0.2">
      <c r="A113" s="735">
        <v>106</v>
      </c>
      <c r="B113" s="732" t="s">
        <v>101</v>
      </c>
      <c r="C113" s="738" t="s">
        <v>102</v>
      </c>
      <c r="D113" s="905">
        <v>568115.75374791306</v>
      </c>
      <c r="E113" s="905">
        <v>560684393</v>
      </c>
      <c r="F113" s="905">
        <v>10205</v>
      </c>
      <c r="G113" s="166">
        <v>278071482</v>
      </c>
      <c r="H113" s="166">
        <v>-4938709</v>
      </c>
      <c r="I113" s="166">
        <v>6105035</v>
      </c>
      <c r="J113" s="166">
        <v>1166326</v>
      </c>
      <c r="K113" s="166">
        <v>-12827694</v>
      </c>
      <c r="L113" s="166">
        <v>0</v>
      </c>
      <c r="M113" s="166">
        <v>0</v>
      </c>
      <c r="N113" s="166">
        <v>0</v>
      </c>
      <c r="O113" s="166">
        <v>0</v>
      </c>
      <c r="P113" s="166">
        <v>-12636330</v>
      </c>
      <c r="Q113" s="166">
        <v>-106936</v>
      </c>
      <c r="R113" s="166">
        <v>-84477</v>
      </c>
      <c r="S113" s="166">
        <v>0</v>
      </c>
      <c r="T113" s="166"/>
      <c r="U113" s="166">
        <v>0</v>
      </c>
      <c r="V113" s="166">
        <v>0</v>
      </c>
      <c r="W113" s="166">
        <v>0</v>
      </c>
      <c r="X113" s="166">
        <v>0</v>
      </c>
      <c r="Y113" s="166">
        <v>0</v>
      </c>
      <c r="Z113" s="166">
        <v>218290927</v>
      </c>
      <c r="AA113" s="166">
        <v>-6199000</v>
      </c>
      <c r="AB113" s="166"/>
      <c r="AC113" s="166">
        <v>-24171249</v>
      </c>
      <c r="AD113" s="166">
        <v>305</v>
      </c>
      <c r="AE113" s="166">
        <v>0</v>
      </c>
      <c r="AF113" s="166">
        <v>0</v>
      </c>
      <c r="AG113" s="166"/>
      <c r="AH113" s="166">
        <v>0</v>
      </c>
      <c r="AI113" s="166">
        <v>0</v>
      </c>
      <c r="AJ113" s="166">
        <v>1118</v>
      </c>
      <c r="AK113" s="166">
        <v>19</v>
      </c>
      <c r="AL113" s="166">
        <v>20</v>
      </c>
      <c r="AM113" s="166">
        <v>0</v>
      </c>
      <c r="AN113" s="166">
        <v>0</v>
      </c>
      <c r="AO113" s="166">
        <v>0</v>
      </c>
      <c r="AP113" s="166">
        <v>0</v>
      </c>
      <c r="AQ113" s="166">
        <v>0</v>
      </c>
      <c r="AR113" s="166">
        <v>1877</v>
      </c>
      <c r="AS113" s="166">
        <v>3572</v>
      </c>
      <c r="AT113" s="166">
        <v>1622</v>
      </c>
      <c r="AU113" s="166">
        <v>1352</v>
      </c>
      <c r="AV113" s="166">
        <v>270</v>
      </c>
      <c r="AW113" s="166">
        <v>5016</v>
      </c>
      <c r="AX113" s="166">
        <v>-189545</v>
      </c>
      <c r="AY113" s="166">
        <v>-2053403</v>
      </c>
      <c r="AZ113" s="166">
        <v>0</v>
      </c>
      <c r="BA113" s="166">
        <v>-16163</v>
      </c>
      <c r="BB113" s="166">
        <v>-1195662</v>
      </c>
      <c r="BC113" s="166">
        <v>-9181557</v>
      </c>
      <c r="BD113" s="166">
        <v>-922542</v>
      </c>
      <c r="BE113" s="166">
        <v>25775801</v>
      </c>
      <c r="BF113" s="166"/>
      <c r="BG113" s="760">
        <v>38039650</v>
      </c>
      <c r="BH113" s="760">
        <v>0</v>
      </c>
      <c r="BI113" s="815">
        <v>45897428</v>
      </c>
      <c r="BJ113" s="1044" t="s">
        <v>2506</v>
      </c>
      <c r="BK113" s="1044" t="s">
        <v>2465</v>
      </c>
      <c r="BL113" s="1044" t="s">
        <v>2570</v>
      </c>
      <c r="BM113" s="650"/>
      <c r="BN113" s="746" t="s">
        <v>102</v>
      </c>
      <c r="BO113" s="142" t="b">
        <v>1</v>
      </c>
      <c r="BP113" s="544"/>
      <c r="BQ113" s="544"/>
      <c r="BR113" s="544"/>
      <c r="BS113" s="544"/>
      <c r="BT113" s="544"/>
      <c r="BU113" s="544"/>
      <c r="BV113" s="544"/>
      <c r="BW113" s="544"/>
      <c r="BX113" s="544"/>
      <c r="BY113" s="544"/>
      <c r="BZ113" s="544"/>
      <c r="CA113" s="544"/>
      <c r="CB113" s="544"/>
      <c r="CC113" s="544"/>
      <c r="CD113" s="544"/>
      <c r="CE113" s="544"/>
      <c r="CF113" s="544"/>
      <c r="CG113" s="544"/>
      <c r="CH113" s="544"/>
      <c r="CI113" s="544"/>
      <c r="CJ113" s="544"/>
      <c r="CK113" s="544"/>
      <c r="CL113" s="544"/>
      <c r="CM113" s="544"/>
      <c r="CN113" s="544"/>
      <c r="CO113" s="544"/>
      <c r="CP113" s="544"/>
      <c r="CQ113" s="544"/>
      <c r="CR113" s="544"/>
      <c r="CS113" s="544"/>
    </row>
    <row r="114" spans="1:97" s="142" customFormat="1" ht="12.75" x14ac:dyDescent="0.2">
      <c r="A114" s="735">
        <v>107</v>
      </c>
      <c r="B114" s="732" t="s">
        <v>103</v>
      </c>
      <c r="C114" s="738" t="s">
        <v>104</v>
      </c>
      <c r="D114" s="905">
        <v>139805.51393231301</v>
      </c>
      <c r="E114" s="905">
        <v>146065417</v>
      </c>
      <c r="F114" s="905">
        <v>3268</v>
      </c>
      <c r="G114" s="166">
        <v>72085023</v>
      </c>
      <c r="H114" s="166">
        <v>-3747451</v>
      </c>
      <c r="I114" s="166">
        <v>1364174</v>
      </c>
      <c r="J114" s="166">
        <v>-2383277</v>
      </c>
      <c r="K114" s="166">
        <v>-2388053</v>
      </c>
      <c r="L114" s="166">
        <v>-37764</v>
      </c>
      <c r="M114" s="166">
        <v>-33300</v>
      </c>
      <c r="N114" s="166">
        <v>-3938</v>
      </c>
      <c r="O114" s="166">
        <v>0</v>
      </c>
      <c r="P114" s="166">
        <v>-337056</v>
      </c>
      <c r="Q114" s="166">
        <v>-33593</v>
      </c>
      <c r="R114" s="166">
        <v>-28883</v>
      </c>
      <c r="S114" s="166">
        <v>-9441</v>
      </c>
      <c r="T114" s="166"/>
      <c r="U114" s="166">
        <v>-2994</v>
      </c>
      <c r="V114" s="166">
        <v>0</v>
      </c>
      <c r="W114" s="166">
        <v>0</v>
      </c>
      <c r="X114" s="166">
        <v>0</v>
      </c>
      <c r="Y114" s="166">
        <v>-16650</v>
      </c>
      <c r="Z114" s="166">
        <v>62143777</v>
      </c>
      <c r="AA114" s="166">
        <v>-300000</v>
      </c>
      <c r="AB114" s="166"/>
      <c r="AC114" s="166">
        <v>-3015152</v>
      </c>
      <c r="AD114" s="166">
        <v>180</v>
      </c>
      <c r="AE114" s="166">
        <v>12</v>
      </c>
      <c r="AF114" s="166">
        <v>18</v>
      </c>
      <c r="AG114" s="166"/>
      <c r="AH114" s="166">
        <v>2</v>
      </c>
      <c r="AI114" s="166">
        <v>0</v>
      </c>
      <c r="AJ114" s="166">
        <v>83</v>
      </c>
      <c r="AK114" s="166">
        <v>79</v>
      </c>
      <c r="AL114" s="166">
        <v>21</v>
      </c>
      <c r="AM114" s="166">
        <v>0</v>
      </c>
      <c r="AN114" s="166">
        <v>1</v>
      </c>
      <c r="AO114" s="166">
        <v>13</v>
      </c>
      <c r="AP114" s="166">
        <v>0</v>
      </c>
      <c r="AQ114" s="166">
        <v>0</v>
      </c>
      <c r="AR114" s="166">
        <v>351</v>
      </c>
      <c r="AS114" s="166">
        <v>649</v>
      </c>
      <c r="AT114" s="166">
        <v>1302</v>
      </c>
      <c r="AU114" s="166">
        <v>1182</v>
      </c>
      <c r="AV114" s="166">
        <v>120</v>
      </c>
      <c r="AW114" s="166">
        <v>1325</v>
      </c>
      <c r="AX114" s="166">
        <v>-25147</v>
      </c>
      <c r="AY114" s="166">
        <v>-93314</v>
      </c>
      <c r="AZ114" s="166">
        <v>0</v>
      </c>
      <c r="BA114" s="166">
        <v>0</v>
      </c>
      <c r="BB114" s="166">
        <v>-213363</v>
      </c>
      <c r="BC114" s="166">
        <v>-5232</v>
      </c>
      <c r="BD114" s="166">
        <v>-208485</v>
      </c>
      <c r="BE114" s="166">
        <v>3325345</v>
      </c>
      <c r="BF114" s="166"/>
      <c r="BG114" s="760">
        <v>14185550</v>
      </c>
      <c r="BH114" s="760">
        <v>0</v>
      </c>
      <c r="BI114" s="815">
        <v>4988060</v>
      </c>
      <c r="BJ114" s="1044" t="s">
        <v>2454</v>
      </c>
      <c r="BK114" s="1044" t="s">
        <v>2457</v>
      </c>
      <c r="BL114" s="1044" t="s">
        <v>2571</v>
      </c>
      <c r="BM114" s="650"/>
      <c r="BN114" s="746" t="s">
        <v>104</v>
      </c>
      <c r="BO114" s="142" t="b">
        <v>1</v>
      </c>
      <c r="BP114" s="544"/>
      <c r="BQ114" s="544"/>
      <c r="BR114" s="544"/>
      <c r="BS114" s="544"/>
      <c r="BT114" s="544"/>
      <c r="BU114" s="544"/>
      <c r="BV114" s="544"/>
      <c r="BW114" s="544"/>
      <c r="BX114" s="544"/>
      <c r="BY114" s="544"/>
      <c r="BZ114" s="544"/>
      <c r="CA114" s="544"/>
      <c r="CB114" s="544"/>
      <c r="CC114" s="544"/>
      <c r="CD114" s="544"/>
      <c r="CE114" s="544"/>
      <c r="CF114" s="544"/>
      <c r="CG114" s="544"/>
      <c r="CH114" s="544"/>
      <c r="CI114" s="544"/>
      <c r="CJ114" s="544"/>
      <c r="CK114" s="544"/>
      <c r="CL114" s="544"/>
      <c r="CM114" s="544"/>
      <c r="CN114" s="544"/>
      <c r="CO114" s="544"/>
      <c r="CP114" s="544"/>
      <c r="CQ114" s="544"/>
      <c r="CR114" s="544"/>
      <c r="CS114" s="544"/>
    </row>
    <row r="115" spans="1:97" s="142" customFormat="1" ht="12.75" hidden="1" x14ac:dyDescent="0.2">
      <c r="A115" s="735">
        <v>108</v>
      </c>
      <c r="B115" s="732" t="s">
        <v>105</v>
      </c>
      <c r="C115" s="738" t="s">
        <v>106</v>
      </c>
      <c r="D115" s="905">
        <v>297954.59938683698</v>
      </c>
      <c r="E115" s="905">
        <v>211822575</v>
      </c>
      <c r="F115" s="905">
        <v>7173</v>
      </c>
      <c r="G115" s="166">
        <v>105816620</v>
      </c>
      <c r="H115" s="166">
        <v>-7642461</v>
      </c>
      <c r="I115" s="166">
        <v>1813551</v>
      </c>
      <c r="J115" s="166">
        <v>-5828910</v>
      </c>
      <c r="K115" s="166">
        <v>-7138425</v>
      </c>
      <c r="L115" s="166">
        <v>-36777</v>
      </c>
      <c r="M115" s="166">
        <v>0</v>
      </c>
      <c r="N115" s="166">
        <v>0</v>
      </c>
      <c r="O115" s="166">
        <v>0</v>
      </c>
      <c r="P115" s="166">
        <v>-1384753</v>
      </c>
      <c r="Q115" s="166">
        <v>-356288</v>
      </c>
      <c r="R115" s="166">
        <v>-301029</v>
      </c>
      <c r="S115" s="166">
        <v>0</v>
      </c>
      <c r="T115" s="166"/>
      <c r="U115" s="166">
        <v>0</v>
      </c>
      <c r="V115" s="166">
        <v>0</v>
      </c>
      <c r="W115" s="166">
        <v>0</v>
      </c>
      <c r="X115" s="166">
        <v>0</v>
      </c>
      <c r="Y115" s="166">
        <v>0</v>
      </c>
      <c r="Z115" s="166">
        <v>67171398</v>
      </c>
      <c r="AA115" s="166">
        <v>-2822000</v>
      </c>
      <c r="AB115" s="166"/>
      <c r="AC115" s="166">
        <v>-14363256</v>
      </c>
      <c r="AD115" s="166">
        <v>297</v>
      </c>
      <c r="AE115" s="166">
        <v>9</v>
      </c>
      <c r="AF115" s="166">
        <v>0</v>
      </c>
      <c r="AG115" s="166"/>
      <c r="AH115" s="166">
        <v>0</v>
      </c>
      <c r="AI115" s="166">
        <v>0</v>
      </c>
      <c r="AJ115" s="166">
        <v>681</v>
      </c>
      <c r="AK115" s="166">
        <v>66</v>
      </c>
      <c r="AL115" s="166">
        <v>32</v>
      </c>
      <c r="AM115" s="166">
        <v>0</v>
      </c>
      <c r="AN115" s="166">
        <v>0</v>
      </c>
      <c r="AO115" s="166">
        <v>0</v>
      </c>
      <c r="AP115" s="166">
        <v>0</v>
      </c>
      <c r="AQ115" s="166">
        <v>0</v>
      </c>
      <c r="AR115" s="166">
        <v>1730</v>
      </c>
      <c r="AS115" s="166">
        <v>1541</v>
      </c>
      <c r="AT115" s="166">
        <v>3911</v>
      </c>
      <c r="AU115" s="166">
        <v>3408</v>
      </c>
      <c r="AV115" s="166">
        <v>503</v>
      </c>
      <c r="AW115" s="166">
        <v>1710</v>
      </c>
      <c r="AX115" s="166">
        <v>0</v>
      </c>
      <c r="AY115" s="166">
        <v>-408400</v>
      </c>
      <c r="AZ115" s="166">
        <v>0</v>
      </c>
      <c r="BA115" s="166">
        <v>-51784</v>
      </c>
      <c r="BB115" s="166">
        <v>-924569</v>
      </c>
      <c r="BC115" s="166">
        <v>0</v>
      </c>
      <c r="BD115" s="166">
        <v>0</v>
      </c>
      <c r="BE115" s="166">
        <v>-3129623</v>
      </c>
      <c r="BF115" s="166"/>
      <c r="BG115" s="760">
        <v>28886450</v>
      </c>
      <c r="BH115" s="760">
        <v>0</v>
      </c>
      <c r="BI115" s="815">
        <v>8269509</v>
      </c>
      <c r="BJ115" s="1044" t="s">
        <v>2464</v>
      </c>
      <c r="BK115" s="1044" t="s">
        <v>2465</v>
      </c>
      <c r="BL115" s="1044" t="s">
        <v>2572</v>
      </c>
      <c r="BM115" s="650"/>
      <c r="BN115" s="746" t="s">
        <v>106</v>
      </c>
      <c r="BO115" s="142" t="b">
        <v>1</v>
      </c>
      <c r="BP115" s="544"/>
      <c r="BQ115" s="544"/>
      <c r="BR115" s="544"/>
      <c r="BS115" s="544"/>
      <c r="BT115" s="544"/>
      <c r="BU115" s="544"/>
      <c r="BV115" s="544"/>
      <c r="BW115" s="544"/>
      <c r="BX115" s="544"/>
      <c r="BY115" s="544"/>
      <c r="BZ115" s="544"/>
      <c r="CA115" s="544"/>
      <c r="CB115" s="544"/>
      <c r="CC115" s="544"/>
      <c r="CD115" s="544"/>
      <c r="CE115" s="544"/>
      <c r="CF115" s="544"/>
      <c r="CG115" s="544"/>
      <c r="CH115" s="544"/>
      <c r="CI115" s="544"/>
      <c r="CJ115" s="544"/>
      <c r="CK115" s="544"/>
      <c r="CL115" s="544"/>
      <c r="CM115" s="544"/>
      <c r="CN115" s="544"/>
      <c r="CO115" s="544"/>
      <c r="CP115" s="544"/>
      <c r="CQ115" s="544"/>
      <c r="CR115" s="544"/>
      <c r="CS115" s="544"/>
    </row>
    <row r="116" spans="1:97" s="142" customFormat="1" ht="12.75" x14ac:dyDescent="0.2">
      <c r="A116" s="735">
        <v>109</v>
      </c>
      <c r="B116" s="732" t="s">
        <v>107</v>
      </c>
      <c r="C116" s="738" t="s">
        <v>108</v>
      </c>
      <c r="D116" s="905">
        <v>112545.56183780701</v>
      </c>
      <c r="E116" s="905">
        <v>117787417</v>
      </c>
      <c r="F116" s="905">
        <v>2414</v>
      </c>
      <c r="G116" s="166">
        <v>58433156</v>
      </c>
      <c r="H116" s="166">
        <v>-1623476</v>
      </c>
      <c r="I116" s="166">
        <v>1220425</v>
      </c>
      <c r="J116" s="166">
        <v>-403051</v>
      </c>
      <c r="K116" s="166">
        <v>-3271039</v>
      </c>
      <c r="L116" s="166">
        <v>-73748</v>
      </c>
      <c r="M116" s="166">
        <v>0</v>
      </c>
      <c r="N116" s="166">
        <v>-6198</v>
      </c>
      <c r="O116" s="166">
        <v>0</v>
      </c>
      <c r="P116" s="166">
        <v>-684429</v>
      </c>
      <c r="Q116" s="166">
        <v>-35788</v>
      </c>
      <c r="R116" s="166">
        <v>-12974</v>
      </c>
      <c r="S116" s="166">
        <v>0</v>
      </c>
      <c r="T116" s="166"/>
      <c r="U116" s="166">
        <v>0</v>
      </c>
      <c r="V116" s="166">
        <v>-24042</v>
      </c>
      <c r="W116" s="166">
        <v>0</v>
      </c>
      <c r="X116" s="166">
        <v>0</v>
      </c>
      <c r="Y116" s="166">
        <v>0</v>
      </c>
      <c r="Z116" s="166">
        <v>47552951</v>
      </c>
      <c r="AA116" s="166">
        <v>-741500</v>
      </c>
      <c r="AB116" s="166"/>
      <c r="AC116" s="166">
        <v>-3546566</v>
      </c>
      <c r="AD116" s="166">
        <v>132</v>
      </c>
      <c r="AE116" s="166">
        <v>8</v>
      </c>
      <c r="AF116" s="166">
        <v>0</v>
      </c>
      <c r="AG116" s="166"/>
      <c r="AH116" s="166">
        <v>1</v>
      </c>
      <c r="AI116" s="166">
        <v>1</v>
      </c>
      <c r="AJ116" s="166">
        <v>104</v>
      </c>
      <c r="AK116" s="166">
        <v>29</v>
      </c>
      <c r="AL116" s="166">
        <v>1</v>
      </c>
      <c r="AM116" s="166">
        <v>0</v>
      </c>
      <c r="AN116" s="166">
        <v>0</v>
      </c>
      <c r="AO116" s="166">
        <v>0</v>
      </c>
      <c r="AP116" s="166">
        <v>1</v>
      </c>
      <c r="AQ116" s="166">
        <v>0</v>
      </c>
      <c r="AR116" s="166">
        <v>331</v>
      </c>
      <c r="AS116" s="166">
        <v>750</v>
      </c>
      <c r="AT116" s="166">
        <v>583</v>
      </c>
      <c r="AU116" s="166">
        <v>510</v>
      </c>
      <c r="AV116" s="166">
        <v>73</v>
      </c>
      <c r="AW116" s="166">
        <v>1063</v>
      </c>
      <c r="AX116" s="166">
        <v>-196503</v>
      </c>
      <c r="AY116" s="166">
        <v>-49252</v>
      </c>
      <c r="AZ116" s="166">
        <v>0</v>
      </c>
      <c r="BA116" s="166">
        <v>0</v>
      </c>
      <c r="BB116" s="166">
        <v>-390945</v>
      </c>
      <c r="BC116" s="166">
        <v>-47729</v>
      </c>
      <c r="BD116" s="166">
        <v>0</v>
      </c>
      <c r="BE116" s="166">
        <v>-4699611</v>
      </c>
      <c r="BF116" s="166"/>
      <c r="BG116" s="760">
        <v>13451300</v>
      </c>
      <c r="BH116" s="760">
        <v>1077750</v>
      </c>
      <c r="BI116" s="815">
        <v>-478999</v>
      </c>
      <c r="BJ116" s="1044" t="s">
        <v>2454</v>
      </c>
      <c r="BK116" s="1044" t="s">
        <v>2462</v>
      </c>
      <c r="BL116" s="1044" t="s">
        <v>2573</v>
      </c>
      <c r="BM116" s="650"/>
      <c r="BN116" s="746" t="s">
        <v>108</v>
      </c>
      <c r="BO116" s="142" t="b">
        <v>1</v>
      </c>
      <c r="BP116" s="544"/>
      <c r="BQ116" s="544"/>
      <c r="BR116" s="544"/>
      <c r="BS116" s="544"/>
      <c r="BT116" s="544"/>
      <c r="BU116" s="544"/>
      <c r="BV116" s="544"/>
      <c r="BW116" s="544"/>
      <c r="BX116" s="544"/>
      <c r="BY116" s="544"/>
      <c r="BZ116" s="544"/>
      <c r="CA116" s="544"/>
      <c r="CB116" s="544"/>
      <c r="CC116" s="544"/>
      <c r="CD116" s="544"/>
      <c r="CE116" s="544"/>
      <c r="CF116" s="544"/>
      <c r="CG116" s="544"/>
      <c r="CH116" s="544"/>
      <c r="CI116" s="544"/>
      <c r="CJ116" s="544"/>
      <c r="CK116" s="544"/>
      <c r="CL116" s="544"/>
      <c r="CM116" s="544"/>
      <c r="CN116" s="544"/>
      <c r="CO116" s="544"/>
      <c r="CP116" s="544"/>
      <c r="CQ116" s="544"/>
      <c r="CR116" s="544"/>
      <c r="CS116" s="544"/>
    </row>
    <row r="117" spans="1:97" s="142" customFormat="1" ht="12.75" hidden="1" x14ac:dyDescent="0.2">
      <c r="A117" s="735">
        <v>110</v>
      </c>
      <c r="B117" s="732" t="s">
        <v>109</v>
      </c>
      <c r="C117" s="738" t="s">
        <v>110</v>
      </c>
      <c r="D117" s="905">
        <v>231179.74745760701</v>
      </c>
      <c r="E117" s="905">
        <v>144374486</v>
      </c>
      <c r="F117" s="905">
        <v>5522</v>
      </c>
      <c r="G117" s="166">
        <v>72555473</v>
      </c>
      <c r="H117" s="166">
        <v>-7200000</v>
      </c>
      <c r="I117" s="166">
        <v>1090000</v>
      </c>
      <c r="J117" s="166">
        <v>-6110000</v>
      </c>
      <c r="K117" s="166">
        <v>-6200438</v>
      </c>
      <c r="L117" s="166">
        <v>-85000</v>
      </c>
      <c r="M117" s="166">
        <v>0</v>
      </c>
      <c r="N117" s="166">
        <v>0</v>
      </c>
      <c r="O117" s="166">
        <v>-250000</v>
      </c>
      <c r="P117" s="166">
        <v>-1307000</v>
      </c>
      <c r="Q117" s="166">
        <v>-35000</v>
      </c>
      <c r="R117" s="166">
        <v>-25000</v>
      </c>
      <c r="S117" s="166">
        <v>0</v>
      </c>
      <c r="T117" s="166"/>
      <c r="U117" s="166">
        <v>0</v>
      </c>
      <c r="V117" s="166">
        <v>0</v>
      </c>
      <c r="W117" s="166">
        <v>0</v>
      </c>
      <c r="X117" s="166">
        <v>0</v>
      </c>
      <c r="Y117" s="166">
        <v>0</v>
      </c>
      <c r="Z117" s="166">
        <v>45943035</v>
      </c>
      <c r="AA117" s="166">
        <v>-2500000</v>
      </c>
      <c r="AB117" s="166"/>
      <c r="AC117" s="166">
        <v>-12000000</v>
      </c>
      <c r="AD117" s="166">
        <v>209</v>
      </c>
      <c r="AE117" s="166">
        <v>11</v>
      </c>
      <c r="AF117" s="166">
        <v>0</v>
      </c>
      <c r="AG117" s="166"/>
      <c r="AH117" s="166">
        <v>0</v>
      </c>
      <c r="AI117" s="166">
        <v>1</v>
      </c>
      <c r="AJ117" s="166">
        <v>277</v>
      </c>
      <c r="AK117" s="166">
        <v>26</v>
      </c>
      <c r="AL117" s="166">
        <v>3</v>
      </c>
      <c r="AM117" s="166">
        <v>0</v>
      </c>
      <c r="AN117" s="166">
        <v>0</v>
      </c>
      <c r="AO117" s="166">
        <v>11</v>
      </c>
      <c r="AP117" s="166">
        <v>0</v>
      </c>
      <c r="AQ117" s="166">
        <v>0</v>
      </c>
      <c r="AR117" s="166">
        <v>1185</v>
      </c>
      <c r="AS117" s="166">
        <v>865</v>
      </c>
      <c r="AT117" s="166">
        <v>2080</v>
      </c>
      <c r="AU117" s="166">
        <v>1787</v>
      </c>
      <c r="AV117" s="166">
        <v>293</v>
      </c>
      <c r="AW117" s="166">
        <v>2605</v>
      </c>
      <c r="AX117" s="166">
        <v>-24600</v>
      </c>
      <c r="AY117" s="166">
        <v>-115000</v>
      </c>
      <c r="AZ117" s="166">
        <v>0</v>
      </c>
      <c r="BA117" s="166">
        <v>-23400</v>
      </c>
      <c r="BB117" s="166">
        <v>-692000</v>
      </c>
      <c r="BC117" s="166">
        <v>-452000</v>
      </c>
      <c r="BD117" s="166">
        <v>-100000</v>
      </c>
      <c r="BE117" s="166">
        <v>5060524</v>
      </c>
      <c r="BF117" s="166"/>
      <c r="BG117" s="760">
        <v>19811800</v>
      </c>
      <c r="BH117" s="760">
        <v>0</v>
      </c>
      <c r="BI117" s="815">
        <v>2142558</v>
      </c>
      <c r="BJ117" s="1044" t="s">
        <v>2464</v>
      </c>
      <c r="BK117" s="1044" t="s">
        <v>2465</v>
      </c>
      <c r="BL117" s="1044" t="s">
        <v>2574</v>
      </c>
      <c r="BM117" s="650"/>
      <c r="BN117" s="746" t="s">
        <v>110</v>
      </c>
      <c r="BO117" s="142" t="b">
        <v>1</v>
      </c>
      <c r="BP117" s="544"/>
      <c r="BQ117" s="544"/>
      <c r="BR117" s="544"/>
      <c r="BS117" s="544"/>
      <c r="BT117" s="544"/>
      <c r="BU117" s="544"/>
      <c r="BV117" s="544"/>
      <c r="BW117" s="544"/>
      <c r="BX117" s="544"/>
      <c r="BY117" s="544"/>
      <c r="BZ117" s="544"/>
      <c r="CA117" s="544"/>
      <c r="CB117" s="544"/>
      <c r="CC117" s="544"/>
      <c r="CD117" s="544"/>
      <c r="CE117" s="544"/>
      <c r="CF117" s="544"/>
      <c r="CG117" s="544"/>
      <c r="CH117" s="544"/>
      <c r="CI117" s="544"/>
      <c r="CJ117" s="544"/>
      <c r="CK117" s="544"/>
      <c r="CL117" s="544"/>
      <c r="CM117" s="544"/>
      <c r="CN117" s="544"/>
      <c r="CO117" s="544"/>
      <c r="CP117" s="544"/>
      <c r="CQ117" s="544"/>
      <c r="CR117" s="544"/>
      <c r="CS117" s="544"/>
    </row>
    <row r="118" spans="1:97" s="142" customFormat="1" ht="12.75" x14ac:dyDescent="0.2">
      <c r="A118" s="735">
        <v>111</v>
      </c>
      <c r="B118" s="732" t="s">
        <v>111</v>
      </c>
      <c r="C118" s="738" t="s">
        <v>112</v>
      </c>
      <c r="D118" s="905">
        <v>96849.343082043997</v>
      </c>
      <c r="E118" s="905">
        <v>81203940</v>
      </c>
      <c r="F118" s="905">
        <v>2334</v>
      </c>
      <c r="G118" s="166">
        <v>39396019</v>
      </c>
      <c r="H118" s="166">
        <v>-2269966</v>
      </c>
      <c r="I118" s="166">
        <v>732890</v>
      </c>
      <c r="J118" s="166">
        <v>-1537076</v>
      </c>
      <c r="K118" s="166">
        <v>-1968588</v>
      </c>
      <c r="L118" s="166">
        <v>-6180</v>
      </c>
      <c r="M118" s="166">
        <v>0</v>
      </c>
      <c r="N118" s="166">
        <v>-2769</v>
      </c>
      <c r="O118" s="166">
        <v>0</v>
      </c>
      <c r="P118" s="166">
        <v>-1685768</v>
      </c>
      <c r="Q118" s="166">
        <v>-163134</v>
      </c>
      <c r="R118" s="166">
        <v>-23245</v>
      </c>
      <c r="S118" s="166">
        <v>-1545</v>
      </c>
      <c r="T118" s="166"/>
      <c r="U118" s="166">
        <v>0</v>
      </c>
      <c r="V118" s="166">
        <v>0</v>
      </c>
      <c r="W118" s="166">
        <v>0</v>
      </c>
      <c r="X118" s="166">
        <v>0</v>
      </c>
      <c r="Y118" s="166">
        <v>0</v>
      </c>
      <c r="Z118" s="166">
        <v>29593447</v>
      </c>
      <c r="AA118" s="166">
        <v>-74920</v>
      </c>
      <c r="AB118" s="166"/>
      <c r="AC118" s="166">
        <v>-1670356</v>
      </c>
      <c r="AD118" s="166">
        <v>95</v>
      </c>
      <c r="AE118" s="166">
        <v>2</v>
      </c>
      <c r="AF118" s="166">
        <v>1</v>
      </c>
      <c r="AG118" s="166"/>
      <c r="AH118" s="166">
        <v>2</v>
      </c>
      <c r="AI118" s="166">
        <v>0</v>
      </c>
      <c r="AJ118" s="166">
        <v>235</v>
      </c>
      <c r="AK118" s="166">
        <v>69</v>
      </c>
      <c r="AL118" s="166">
        <v>9</v>
      </c>
      <c r="AM118" s="166">
        <v>0</v>
      </c>
      <c r="AN118" s="166">
        <v>0</v>
      </c>
      <c r="AO118" s="166">
        <v>2</v>
      </c>
      <c r="AP118" s="166">
        <v>0</v>
      </c>
      <c r="AQ118" s="166">
        <v>0</v>
      </c>
      <c r="AR118" s="166">
        <v>201</v>
      </c>
      <c r="AS118" s="166">
        <v>551</v>
      </c>
      <c r="AT118" s="166">
        <v>832</v>
      </c>
      <c r="AU118" s="166">
        <v>735</v>
      </c>
      <c r="AV118" s="166">
        <v>97</v>
      </c>
      <c r="AW118" s="166">
        <v>938</v>
      </c>
      <c r="AX118" s="166">
        <v>-30556</v>
      </c>
      <c r="AY118" s="166">
        <v>-441012</v>
      </c>
      <c r="AZ118" s="166">
        <v>0</v>
      </c>
      <c r="BA118" s="166">
        <v>-32364</v>
      </c>
      <c r="BB118" s="166">
        <v>-21356</v>
      </c>
      <c r="BC118" s="166">
        <v>-1160480</v>
      </c>
      <c r="BD118" s="166">
        <v>-230832</v>
      </c>
      <c r="BE118" s="166">
        <v>-1855082</v>
      </c>
      <c r="BF118" s="166"/>
      <c r="BG118" s="760">
        <v>11082850</v>
      </c>
      <c r="BH118" s="760">
        <v>0</v>
      </c>
      <c r="BI118" s="815">
        <v>-1400194</v>
      </c>
      <c r="BJ118" s="1044" t="s">
        <v>2454</v>
      </c>
      <c r="BK118" s="1044" t="s">
        <v>2455</v>
      </c>
      <c r="BL118" s="1044" t="s">
        <v>2575</v>
      </c>
      <c r="BM118" s="650"/>
      <c r="BN118" s="746" t="s">
        <v>112</v>
      </c>
      <c r="BO118" s="142" t="b">
        <v>1</v>
      </c>
      <c r="BP118" s="544"/>
      <c r="BQ118" s="544"/>
      <c r="BR118" s="544"/>
      <c r="BS118" s="544"/>
      <c r="BT118" s="544"/>
      <c r="BU118" s="544"/>
      <c r="BV118" s="544"/>
      <c r="BW118" s="544"/>
      <c r="BX118" s="544"/>
      <c r="BY118" s="544"/>
      <c r="BZ118" s="544"/>
      <c r="CA118" s="544"/>
      <c r="CB118" s="544"/>
      <c r="CC118" s="544"/>
      <c r="CD118" s="544"/>
      <c r="CE118" s="544"/>
      <c r="CF118" s="544"/>
      <c r="CG118" s="544"/>
      <c r="CH118" s="544"/>
      <c r="CI118" s="544"/>
      <c r="CJ118" s="544"/>
      <c r="CK118" s="544"/>
      <c r="CL118" s="544"/>
      <c r="CM118" s="544"/>
      <c r="CN118" s="544"/>
      <c r="CO118" s="544"/>
      <c r="CP118" s="544"/>
      <c r="CQ118" s="544"/>
      <c r="CR118" s="544"/>
      <c r="CS118" s="544"/>
    </row>
    <row r="119" spans="1:97" s="142" customFormat="1" ht="12.75" hidden="1" x14ac:dyDescent="0.2">
      <c r="A119" s="735">
        <v>112</v>
      </c>
      <c r="B119" s="732" t="s">
        <v>546</v>
      </c>
      <c r="C119" s="738" t="s">
        <v>114</v>
      </c>
      <c r="D119" s="905">
        <v>112129.660626953</v>
      </c>
      <c r="E119" s="905">
        <v>79751307</v>
      </c>
      <c r="F119" s="905">
        <v>2959</v>
      </c>
      <c r="G119" s="166">
        <v>39424329</v>
      </c>
      <c r="H119" s="166">
        <v>-3226126</v>
      </c>
      <c r="I119" s="166">
        <v>774527</v>
      </c>
      <c r="J119" s="166">
        <v>-2451599</v>
      </c>
      <c r="K119" s="166">
        <v>-2414168</v>
      </c>
      <c r="L119" s="166">
        <v>-26758</v>
      </c>
      <c r="M119" s="166">
        <v>0</v>
      </c>
      <c r="N119" s="166">
        <v>0</v>
      </c>
      <c r="O119" s="166">
        <v>-18701</v>
      </c>
      <c r="P119" s="166">
        <v>-793454</v>
      </c>
      <c r="Q119" s="166">
        <v>-47024</v>
      </c>
      <c r="R119" s="166">
        <v>-47550</v>
      </c>
      <c r="S119" s="166">
        <v>-1761</v>
      </c>
      <c r="T119" s="166"/>
      <c r="U119" s="166">
        <v>0</v>
      </c>
      <c r="V119" s="166">
        <v>0</v>
      </c>
      <c r="W119" s="166">
        <v>0</v>
      </c>
      <c r="X119" s="166">
        <v>0</v>
      </c>
      <c r="Y119" s="166">
        <v>0</v>
      </c>
      <c r="Z119" s="166">
        <v>30965718</v>
      </c>
      <c r="AA119" s="166">
        <v>-1500000</v>
      </c>
      <c r="AB119" s="166"/>
      <c r="AC119" s="166">
        <v>-1344365</v>
      </c>
      <c r="AD119" s="166">
        <v>118</v>
      </c>
      <c r="AE119" s="166">
        <v>4</v>
      </c>
      <c r="AF119" s="166">
        <v>0</v>
      </c>
      <c r="AG119" s="166"/>
      <c r="AH119" s="166">
        <v>0</v>
      </c>
      <c r="AI119" s="166">
        <v>0</v>
      </c>
      <c r="AJ119" s="166">
        <v>195</v>
      </c>
      <c r="AK119" s="166">
        <v>43</v>
      </c>
      <c r="AL119" s="166">
        <v>13</v>
      </c>
      <c r="AM119" s="166">
        <v>0</v>
      </c>
      <c r="AN119" s="166">
        <v>0</v>
      </c>
      <c r="AO119" s="166">
        <v>2</v>
      </c>
      <c r="AP119" s="166">
        <v>0</v>
      </c>
      <c r="AQ119" s="166">
        <v>0</v>
      </c>
      <c r="AR119" s="166">
        <v>201</v>
      </c>
      <c r="AS119" s="166">
        <v>672</v>
      </c>
      <c r="AT119" s="166">
        <v>1444</v>
      </c>
      <c r="AU119" s="166">
        <v>1395</v>
      </c>
      <c r="AV119" s="166">
        <v>49</v>
      </c>
      <c r="AW119" s="166">
        <v>1268</v>
      </c>
      <c r="AX119" s="166">
        <v>-12206</v>
      </c>
      <c r="AY119" s="166">
        <v>-85449</v>
      </c>
      <c r="AZ119" s="166">
        <v>-16276</v>
      </c>
      <c r="BA119" s="166">
        <v>-24414</v>
      </c>
      <c r="BB119" s="166">
        <v>-146484</v>
      </c>
      <c r="BC119" s="166">
        <v>-508625</v>
      </c>
      <c r="BD119" s="166">
        <v>-81721</v>
      </c>
      <c r="BE119" s="166">
        <v>-775624</v>
      </c>
      <c r="BF119" s="166"/>
      <c r="BG119" s="760">
        <v>7687750</v>
      </c>
      <c r="BH119" s="760">
        <v>25250</v>
      </c>
      <c r="BI119" s="815">
        <v>799700</v>
      </c>
      <c r="BJ119" s="1044" t="s">
        <v>515</v>
      </c>
      <c r="BK119" s="1044" t="s">
        <v>867</v>
      </c>
      <c r="BL119" s="1044" t="s">
        <v>2576</v>
      </c>
      <c r="BM119" s="650"/>
      <c r="BN119" s="746" t="s">
        <v>114</v>
      </c>
      <c r="BO119" s="142" t="b">
        <v>1</v>
      </c>
      <c r="BP119" s="544"/>
      <c r="BQ119" s="544"/>
      <c r="BR119" s="544"/>
      <c r="BS119" s="544"/>
      <c r="BT119" s="544"/>
      <c r="BU119" s="544"/>
      <c r="BV119" s="544"/>
      <c r="BW119" s="544"/>
      <c r="BX119" s="544"/>
      <c r="BY119" s="544"/>
      <c r="BZ119" s="544"/>
      <c r="CA119" s="544"/>
      <c r="CB119" s="544"/>
      <c r="CC119" s="544"/>
      <c r="CD119" s="544"/>
      <c r="CE119" s="544"/>
      <c r="CF119" s="544"/>
      <c r="CG119" s="544"/>
      <c r="CH119" s="544"/>
      <c r="CI119" s="544"/>
      <c r="CJ119" s="544"/>
      <c r="CK119" s="544"/>
      <c r="CL119" s="544"/>
      <c r="CM119" s="544"/>
      <c r="CN119" s="544"/>
      <c r="CO119" s="544"/>
      <c r="CP119" s="544"/>
      <c r="CQ119" s="544"/>
      <c r="CR119" s="544"/>
      <c r="CS119" s="544"/>
    </row>
    <row r="120" spans="1:97" s="142" customFormat="1" ht="12.75" x14ac:dyDescent="0.2">
      <c r="A120" s="735">
        <v>113</v>
      </c>
      <c r="B120" s="732" t="s">
        <v>115</v>
      </c>
      <c r="C120" s="738" t="s">
        <v>116</v>
      </c>
      <c r="D120" s="905">
        <v>128032.202572077</v>
      </c>
      <c r="E120" s="905">
        <v>64963338</v>
      </c>
      <c r="F120" s="905">
        <v>3577</v>
      </c>
      <c r="G120" s="166">
        <v>33688719</v>
      </c>
      <c r="H120" s="166">
        <v>-4173712</v>
      </c>
      <c r="I120" s="166">
        <v>521268</v>
      </c>
      <c r="J120" s="166">
        <v>-3652444</v>
      </c>
      <c r="K120" s="166">
        <v>-3364754</v>
      </c>
      <c r="L120" s="166">
        <v>-42506</v>
      </c>
      <c r="M120" s="166">
        <v>0</v>
      </c>
      <c r="N120" s="166">
        <v>-26066</v>
      </c>
      <c r="O120" s="166">
        <v>0</v>
      </c>
      <c r="P120" s="166">
        <v>-928614</v>
      </c>
      <c r="Q120" s="166">
        <v>-125054</v>
      </c>
      <c r="R120" s="166">
        <v>-23953</v>
      </c>
      <c r="S120" s="166">
        <v>0</v>
      </c>
      <c r="T120" s="166"/>
      <c r="U120" s="166">
        <v>0</v>
      </c>
      <c r="V120" s="166">
        <v>0</v>
      </c>
      <c r="W120" s="166">
        <v>0</v>
      </c>
      <c r="X120" s="166">
        <v>0</v>
      </c>
      <c r="Y120" s="166">
        <v>0</v>
      </c>
      <c r="Z120" s="166">
        <v>24618556</v>
      </c>
      <c r="AA120" s="166">
        <v>-632943</v>
      </c>
      <c r="AB120" s="166"/>
      <c r="AC120" s="166">
        <v>-906772</v>
      </c>
      <c r="AD120" s="166">
        <v>217</v>
      </c>
      <c r="AE120" s="166">
        <v>7</v>
      </c>
      <c r="AF120" s="166">
        <v>0</v>
      </c>
      <c r="AG120" s="166"/>
      <c r="AH120" s="166">
        <v>0</v>
      </c>
      <c r="AI120" s="166">
        <v>0</v>
      </c>
      <c r="AJ120" s="166">
        <v>1526</v>
      </c>
      <c r="AK120" s="166">
        <v>48</v>
      </c>
      <c r="AL120" s="166">
        <v>5</v>
      </c>
      <c r="AM120" s="166">
        <v>0</v>
      </c>
      <c r="AN120" s="166">
        <v>0</v>
      </c>
      <c r="AO120" s="166">
        <v>2</v>
      </c>
      <c r="AP120" s="166">
        <v>0</v>
      </c>
      <c r="AQ120" s="166">
        <v>0</v>
      </c>
      <c r="AR120" s="166">
        <v>508</v>
      </c>
      <c r="AS120" s="166">
        <v>745</v>
      </c>
      <c r="AT120" s="166">
        <v>1896</v>
      </c>
      <c r="AU120" s="166">
        <v>1825</v>
      </c>
      <c r="AV120" s="166">
        <v>71</v>
      </c>
      <c r="AW120" s="166">
        <v>1055</v>
      </c>
      <c r="AX120" s="166">
        <v>-193524</v>
      </c>
      <c r="AY120" s="166">
        <v>-201246</v>
      </c>
      <c r="AZ120" s="166">
        <v>0</v>
      </c>
      <c r="BA120" s="166">
        <v>-27059</v>
      </c>
      <c r="BB120" s="166">
        <v>-506785</v>
      </c>
      <c r="BC120" s="166">
        <v>0</v>
      </c>
      <c r="BD120" s="166">
        <v>0</v>
      </c>
      <c r="BE120" s="166">
        <v>-4048161</v>
      </c>
      <c r="BF120" s="166"/>
      <c r="BG120" s="760">
        <v>9605600</v>
      </c>
      <c r="BH120" s="760">
        <v>0</v>
      </c>
      <c r="BI120" s="815">
        <v>-3823586</v>
      </c>
      <c r="BJ120" s="1044" t="s">
        <v>2454</v>
      </c>
      <c r="BK120" s="1044" t="s">
        <v>2455</v>
      </c>
      <c r="BL120" s="1044" t="s">
        <v>2577</v>
      </c>
      <c r="BM120" s="650"/>
      <c r="BN120" s="746" t="s">
        <v>116</v>
      </c>
      <c r="BO120" s="142" t="b">
        <v>1</v>
      </c>
      <c r="BP120" s="544"/>
      <c r="BQ120" s="544"/>
      <c r="BR120" s="544"/>
      <c r="BS120" s="544"/>
      <c r="BT120" s="544"/>
      <c r="BU120" s="544"/>
      <c r="BV120" s="544"/>
      <c r="BW120" s="544"/>
      <c r="BX120" s="544"/>
      <c r="BY120" s="544"/>
      <c r="BZ120" s="544"/>
      <c r="CA120" s="544"/>
      <c r="CB120" s="544"/>
      <c r="CC120" s="544"/>
      <c r="CD120" s="544"/>
      <c r="CE120" s="544"/>
      <c r="CF120" s="544"/>
      <c r="CG120" s="544"/>
      <c r="CH120" s="544"/>
      <c r="CI120" s="544"/>
      <c r="CJ120" s="544"/>
      <c r="CK120" s="544"/>
      <c r="CL120" s="544"/>
      <c r="CM120" s="544"/>
      <c r="CN120" s="544"/>
      <c r="CO120" s="544"/>
      <c r="CP120" s="544"/>
      <c r="CQ120" s="544"/>
      <c r="CR120" s="544"/>
      <c r="CS120" s="544"/>
    </row>
    <row r="121" spans="1:97" s="142" customFormat="1" ht="12.75" x14ac:dyDescent="0.2">
      <c r="A121" s="735">
        <v>114</v>
      </c>
      <c r="B121" s="732" t="s">
        <v>117</v>
      </c>
      <c r="C121" s="738" t="s">
        <v>118</v>
      </c>
      <c r="D121" s="905">
        <v>132957.95813350999</v>
      </c>
      <c r="E121" s="905">
        <v>90141303</v>
      </c>
      <c r="F121" s="905">
        <v>3397</v>
      </c>
      <c r="G121" s="166">
        <v>45057118</v>
      </c>
      <c r="H121" s="166">
        <v>-3378112</v>
      </c>
      <c r="I121" s="166">
        <v>818662</v>
      </c>
      <c r="J121" s="166">
        <v>-2559450</v>
      </c>
      <c r="K121" s="166">
        <v>-2320877</v>
      </c>
      <c r="L121" s="166">
        <v>-11020</v>
      </c>
      <c r="M121" s="166">
        <v>-3344</v>
      </c>
      <c r="N121" s="166">
        <v>-12650</v>
      </c>
      <c r="O121" s="166">
        <v>0</v>
      </c>
      <c r="P121" s="166">
        <v>-1202106</v>
      </c>
      <c r="Q121" s="166">
        <v>-125926</v>
      </c>
      <c r="R121" s="166">
        <v>-70209</v>
      </c>
      <c r="S121" s="166">
        <v>-394</v>
      </c>
      <c r="T121" s="166"/>
      <c r="U121" s="166">
        <v>0</v>
      </c>
      <c r="V121" s="166">
        <v>0</v>
      </c>
      <c r="W121" s="166">
        <v>0</v>
      </c>
      <c r="X121" s="166">
        <v>0</v>
      </c>
      <c r="Y121" s="166">
        <v>-1672</v>
      </c>
      <c r="Z121" s="166">
        <v>34060786</v>
      </c>
      <c r="AA121" s="166">
        <v>-1566796</v>
      </c>
      <c r="AB121" s="166"/>
      <c r="AC121" s="166">
        <v>-1907561</v>
      </c>
      <c r="AD121" s="166">
        <v>154</v>
      </c>
      <c r="AE121" s="166">
        <v>4</v>
      </c>
      <c r="AF121" s="166">
        <v>1</v>
      </c>
      <c r="AG121" s="166"/>
      <c r="AH121" s="166">
        <v>7</v>
      </c>
      <c r="AI121" s="166">
        <v>0</v>
      </c>
      <c r="AJ121" s="166">
        <v>306</v>
      </c>
      <c r="AK121" s="166">
        <v>48</v>
      </c>
      <c r="AL121" s="166">
        <v>11</v>
      </c>
      <c r="AM121" s="166">
        <v>0</v>
      </c>
      <c r="AN121" s="166">
        <v>0</v>
      </c>
      <c r="AO121" s="166">
        <v>1</v>
      </c>
      <c r="AP121" s="166">
        <v>0</v>
      </c>
      <c r="AQ121" s="166">
        <v>0</v>
      </c>
      <c r="AR121" s="166">
        <v>288</v>
      </c>
      <c r="AS121" s="166">
        <v>717</v>
      </c>
      <c r="AT121" s="166">
        <v>1571</v>
      </c>
      <c r="AU121" s="166">
        <v>1487</v>
      </c>
      <c r="AV121" s="166">
        <v>84</v>
      </c>
      <c r="AW121" s="166">
        <v>1138</v>
      </c>
      <c r="AX121" s="166">
        <v>-9061</v>
      </c>
      <c r="AY121" s="166">
        <v>-182064</v>
      </c>
      <c r="AZ121" s="166">
        <v>0</v>
      </c>
      <c r="BA121" s="166">
        <v>0</v>
      </c>
      <c r="BB121" s="166">
        <v>-76532</v>
      </c>
      <c r="BC121" s="166">
        <v>-934449</v>
      </c>
      <c r="BD121" s="166">
        <v>-272902</v>
      </c>
      <c r="BE121" s="166">
        <v>-1804852</v>
      </c>
      <c r="BF121" s="166"/>
      <c r="BG121" s="760">
        <v>13015500</v>
      </c>
      <c r="BH121" s="760">
        <v>0</v>
      </c>
      <c r="BI121" s="815">
        <v>-2129915</v>
      </c>
      <c r="BJ121" s="1044" t="s">
        <v>2454</v>
      </c>
      <c r="BK121" s="1044" t="s">
        <v>2455</v>
      </c>
      <c r="BL121" s="1044" t="s">
        <v>2578</v>
      </c>
      <c r="BM121" s="650"/>
      <c r="BN121" s="746" t="s">
        <v>118</v>
      </c>
      <c r="BO121" s="142" t="b">
        <v>1</v>
      </c>
      <c r="BP121" s="544"/>
      <c r="BQ121" s="544"/>
      <c r="BR121" s="544"/>
      <c r="BS121" s="544"/>
      <c r="BT121" s="544"/>
      <c r="BU121" s="544"/>
      <c r="BV121" s="544"/>
      <c r="BW121" s="544"/>
      <c r="BX121" s="544"/>
      <c r="BY121" s="544"/>
      <c r="BZ121" s="544"/>
      <c r="CA121" s="544"/>
      <c r="CB121" s="544"/>
      <c r="CC121" s="544"/>
      <c r="CD121" s="544"/>
      <c r="CE121" s="544"/>
      <c r="CF121" s="544"/>
      <c r="CG121" s="544"/>
      <c r="CH121" s="544"/>
      <c r="CI121" s="544"/>
      <c r="CJ121" s="544"/>
      <c r="CK121" s="544"/>
      <c r="CL121" s="544"/>
      <c r="CM121" s="544"/>
      <c r="CN121" s="544"/>
      <c r="CO121" s="544"/>
      <c r="CP121" s="544"/>
      <c r="CQ121" s="544"/>
      <c r="CR121" s="544"/>
      <c r="CS121" s="544"/>
    </row>
    <row r="122" spans="1:97" s="142" customFormat="1" ht="12.75" hidden="1" x14ac:dyDescent="0.2">
      <c r="A122" s="735">
        <v>115</v>
      </c>
      <c r="B122" s="732" t="s">
        <v>119</v>
      </c>
      <c r="C122" s="738" t="s">
        <v>120</v>
      </c>
      <c r="D122" s="905">
        <v>263535.79846311797</v>
      </c>
      <c r="E122" s="905">
        <v>223143921</v>
      </c>
      <c r="F122" s="905">
        <v>6021</v>
      </c>
      <c r="G122" s="166">
        <v>112081043</v>
      </c>
      <c r="H122" s="166">
        <v>-6570625</v>
      </c>
      <c r="I122" s="166">
        <v>2083341</v>
      </c>
      <c r="J122" s="166">
        <v>-4487284</v>
      </c>
      <c r="K122" s="166">
        <v>-6382994</v>
      </c>
      <c r="L122" s="166">
        <v>-494169</v>
      </c>
      <c r="M122" s="166">
        <v>0</v>
      </c>
      <c r="N122" s="166">
        <v>0</v>
      </c>
      <c r="O122" s="166">
        <v>0</v>
      </c>
      <c r="P122" s="166">
        <v>-2073445</v>
      </c>
      <c r="Q122" s="166">
        <v>-231024</v>
      </c>
      <c r="R122" s="166">
        <v>-12366</v>
      </c>
      <c r="S122" s="166">
        <v>-114756</v>
      </c>
      <c r="T122" s="166"/>
      <c r="U122" s="166">
        <v>0</v>
      </c>
      <c r="V122" s="166">
        <v>0</v>
      </c>
      <c r="W122" s="166">
        <v>0</v>
      </c>
      <c r="X122" s="166">
        <v>0</v>
      </c>
      <c r="Y122" s="166">
        <v>0</v>
      </c>
      <c r="Z122" s="166">
        <v>77219197</v>
      </c>
      <c r="AA122" s="166">
        <v>-2871500</v>
      </c>
      <c r="AB122" s="166"/>
      <c r="AC122" s="166">
        <v>-12861981</v>
      </c>
      <c r="AD122" s="166">
        <v>213</v>
      </c>
      <c r="AE122" s="166">
        <v>17</v>
      </c>
      <c r="AF122" s="166">
        <v>0</v>
      </c>
      <c r="AG122" s="166"/>
      <c r="AH122" s="166">
        <v>0</v>
      </c>
      <c r="AI122" s="166">
        <v>0</v>
      </c>
      <c r="AJ122" s="166">
        <v>173</v>
      </c>
      <c r="AK122" s="166">
        <v>61</v>
      </c>
      <c r="AL122" s="166">
        <v>2</v>
      </c>
      <c r="AM122" s="166">
        <v>0</v>
      </c>
      <c r="AN122" s="166">
        <v>0</v>
      </c>
      <c r="AO122" s="166">
        <v>5</v>
      </c>
      <c r="AP122" s="166">
        <v>0</v>
      </c>
      <c r="AQ122" s="166">
        <v>0</v>
      </c>
      <c r="AR122" s="166">
        <v>1151</v>
      </c>
      <c r="AS122" s="166">
        <v>1368</v>
      </c>
      <c r="AT122" s="166">
        <v>2052</v>
      </c>
      <c r="AU122" s="166">
        <v>1706</v>
      </c>
      <c r="AV122" s="166">
        <v>346</v>
      </c>
      <c r="AW122" s="166">
        <v>2623</v>
      </c>
      <c r="AX122" s="166">
        <v>-296478</v>
      </c>
      <c r="AY122" s="166">
        <v>-14720</v>
      </c>
      <c r="AZ122" s="166">
        <v>0</v>
      </c>
      <c r="BA122" s="166">
        <v>-71346</v>
      </c>
      <c r="BB122" s="166">
        <v>-1346377</v>
      </c>
      <c r="BC122" s="166">
        <v>-344524</v>
      </c>
      <c r="BD122" s="166">
        <v>-1555557</v>
      </c>
      <c r="BE122" s="166">
        <v>-586441</v>
      </c>
      <c r="BF122" s="166"/>
      <c r="BG122" s="760">
        <v>21731300</v>
      </c>
      <c r="BH122" s="760">
        <v>0</v>
      </c>
      <c r="BI122" s="815">
        <v>12051736</v>
      </c>
      <c r="BJ122" s="1044" t="s">
        <v>2464</v>
      </c>
      <c r="BK122" s="1044" t="s">
        <v>2465</v>
      </c>
      <c r="BL122" s="1044" t="s">
        <v>2579</v>
      </c>
      <c r="BM122" s="650"/>
      <c r="BN122" s="746" t="s">
        <v>120</v>
      </c>
      <c r="BO122" s="142" t="b">
        <v>1</v>
      </c>
      <c r="BP122" s="544"/>
      <c r="BQ122" s="544"/>
      <c r="BR122" s="544"/>
      <c r="BS122" s="544"/>
      <c r="BT122" s="544"/>
      <c r="BU122" s="544"/>
      <c r="BV122" s="544"/>
      <c r="BW122" s="544"/>
      <c r="BX122" s="544"/>
      <c r="BY122" s="544"/>
      <c r="BZ122" s="544"/>
      <c r="CA122" s="544"/>
      <c r="CB122" s="544"/>
      <c r="CC122" s="544"/>
      <c r="CD122" s="544"/>
      <c r="CE122" s="544"/>
      <c r="CF122" s="544"/>
      <c r="CG122" s="544"/>
      <c r="CH122" s="544"/>
      <c r="CI122" s="544"/>
      <c r="CJ122" s="544"/>
      <c r="CK122" s="544"/>
      <c r="CL122" s="544"/>
      <c r="CM122" s="544"/>
      <c r="CN122" s="544"/>
      <c r="CO122" s="544"/>
      <c r="CP122" s="544"/>
      <c r="CQ122" s="544"/>
      <c r="CR122" s="544"/>
      <c r="CS122" s="544"/>
    </row>
    <row r="123" spans="1:97" s="142" customFormat="1" ht="12.75" hidden="1" x14ac:dyDescent="0.2">
      <c r="A123" s="735">
        <v>116</v>
      </c>
      <c r="B123" s="732" t="s">
        <v>591</v>
      </c>
      <c r="C123" s="738" t="s">
        <v>122</v>
      </c>
      <c r="D123" s="905">
        <v>298203.30329850002</v>
      </c>
      <c r="E123" s="905">
        <v>147276705</v>
      </c>
      <c r="F123" s="905">
        <v>8455</v>
      </c>
      <c r="G123" s="166">
        <v>71687542</v>
      </c>
      <c r="H123" s="166">
        <v>-8654033</v>
      </c>
      <c r="I123" s="166">
        <v>1101407</v>
      </c>
      <c r="J123" s="166">
        <v>-7552626</v>
      </c>
      <c r="K123" s="166">
        <v>-4944643</v>
      </c>
      <c r="L123" s="166">
        <v>-92290</v>
      </c>
      <c r="M123" s="166">
        <v>-145350</v>
      </c>
      <c r="N123" s="166">
        <v>-28656</v>
      </c>
      <c r="O123" s="166">
        <v>0</v>
      </c>
      <c r="P123" s="166">
        <v>-1709668</v>
      </c>
      <c r="Q123" s="166">
        <v>-402383</v>
      </c>
      <c r="R123" s="166">
        <v>-170943</v>
      </c>
      <c r="S123" s="166">
        <v>-13770</v>
      </c>
      <c r="T123" s="166"/>
      <c r="U123" s="166">
        <v>0</v>
      </c>
      <c r="V123" s="166">
        <v>-212031</v>
      </c>
      <c r="W123" s="166">
        <v>-212031</v>
      </c>
      <c r="X123" s="166">
        <v>0</v>
      </c>
      <c r="Y123" s="166">
        <v>-72675</v>
      </c>
      <c r="Z123" s="166">
        <v>40869766</v>
      </c>
      <c r="AA123" s="166">
        <v>-1500000</v>
      </c>
      <c r="AB123" s="166"/>
      <c r="AC123" s="166">
        <v>-8578059</v>
      </c>
      <c r="AD123" s="166">
        <v>543</v>
      </c>
      <c r="AE123" s="166">
        <v>18</v>
      </c>
      <c r="AF123" s="166">
        <v>75</v>
      </c>
      <c r="AG123" s="166"/>
      <c r="AH123" s="166">
        <v>24</v>
      </c>
      <c r="AI123" s="166">
        <v>0</v>
      </c>
      <c r="AJ123" s="166">
        <v>706</v>
      </c>
      <c r="AK123" s="166">
        <v>347</v>
      </c>
      <c r="AL123" s="166">
        <v>25</v>
      </c>
      <c r="AM123" s="166">
        <v>0</v>
      </c>
      <c r="AN123" s="166">
        <v>0</v>
      </c>
      <c r="AO123" s="166">
        <v>14</v>
      </c>
      <c r="AP123" s="166">
        <v>19</v>
      </c>
      <c r="AQ123" s="166">
        <v>0</v>
      </c>
      <c r="AR123" s="166">
        <v>1130</v>
      </c>
      <c r="AS123" s="166">
        <v>1763</v>
      </c>
      <c r="AT123" s="166">
        <v>4186</v>
      </c>
      <c r="AU123" s="166">
        <v>4024</v>
      </c>
      <c r="AV123" s="166">
        <v>162</v>
      </c>
      <c r="AW123" s="166">
        <v>2548</v>
      </c>
      <c r="AX123" s="166">
        <v>-19731</v>
      </c>
      <c r="AY123" s="166">
        <v>-591281</v>
      </c>
      <c r="AZ123" s="166">
        <v>0</v>
      </c>
      <c r="BA123" s="166">
        <v>-9760</v>
      </c>
      <c r="BB123" s="166">
        <v>-1077595</v>
      </c>
      <c r="BC123" s="166">
        <v>-11301</v>
      </c>
      <c r="BD123" s="166">
        <v>-1500000</v>
      </c>
      <c r="BE123" s="166">
        <v>4375348</v>
      </c>
      <c r="BF123" s="166"/>
      <c r="BG123" s="760">
        <v>23650875</v>
      </c>
      <c r="BH123" s="760">
        <v>379500</v>
      </c>
      <c r="BI123" s="815">
        <v>6363950</v>
      </c>
      <c r="BJ123" s="1044" t="s">
        <v>515</v>
      </c>
      <c r="BK123" s="1044" t="s">
        <v>2478</v>
      </c>
      <c r="BL123" s="1044" t="s">
        <v>2580</v>
      </c>
      <c r="BM123" s="650"/>
      <c r="BN123" s="746" t="s">
        <v>122</v>
      </c>
      <c r="BO123" s="142" t="b">
        <v>1</v>
      </c>
      <c r="BP123" s="544"/>
      <c r="BQ123" s="544"/>
      <c r="BR123" s="544"/>
      <c r="BS123" s="544"/>
      <c r="BT123" s="544"/>
      <c r="BU123" s="544"/>
      <c r="BV123" s="544"/>
      <c r="BW123" s="544"/>
      <c r="BX123" s="544"/>
      <c r="BY123" s="544"/>
      <c r="BZ123" s="544"/>
      <c r="CA123" s="544"/>
      <c r="CB123" s="544"/>
      <c r="CC123" s="544"/>
      <c r="CD123" s="544"/>
      <c r="CE123" s="544"/>
      <c r="CF123" s="544"/>
      <c r="CG123" s="544"/>
      <c r="CH123" s="544"/>
      <c r="CI123" s="544"/>
      <c r="CJ123" s="544"/>
      <c r="CK123" s="544"/>
      <c r="CL123" s="544"/>
      <c r="CM123" s="544"/>
      <c r="CN123" s="544"/>
      <c r="CO123" s="544"/>
      <c r="CP123" s="544"/>
      <c r="CQ123" s="544"/>
      <c r="CR123" s="544"/>
      <c r="CS123" s="544"/>
    </row>
    <row r="124" spans="1:97" s="142" customFormat="1" ht="12.75" x14ac:dyDescent="0.2">
      <c r="A124" s="735">
        <v>117</v>
      </c>
      <c r="B124" s="732" t="s">
        <v>123</v>
      </c>
      <c r="C124" s="738" t="s">
        <v>124</v>
      </c>
      <c r="D124" s="905">
        <v>161600.74359088301</v>
      </c>
      <c r="E124" s="905">
        <v>188246819</v>
      </c>
      <c r="F124" s="905">
        <v>3202</v>
      </c>
      <c r="G124" s="166">
        <v>77719557</v>
      </c>
      <c r="H124" s="166">
        <v>-2891349</v>
      </c>
      <c r="I124" s="166">
        <v>1548434</v>
      </c>
      <c r="J124" s="166">
        <v>-1342915</v>
      </c>
      <c r="K124" s="166">
        <v>-6554340</v>
      </c>
      <c r="L124" s="166">
        <v>-31293</v>
      </c>
      <c r="M124" s="166">
        <v>0</v>
      </c>
      <c r="N124" s="166">
        <v>0</v>
      </c>
      <c r="O124" s="166">
        <v>0</v>
      </c>
      <c r="P124" s="166">
        <v>-1993850</v>
      </c>
      <c r="Q124" s="166">
        <v>-89171</v>
      </c>
      <c r="R124" s="166">
        <v>-33749</v>
      </c>
      <c r="S124" s="166">
        <v>0</v>
      </c>
      <c r="T124" s="166"/>
      <c r="U124" s="166">
        <v>0</v>
      </c>
      <c r="V124" s="166">
        <v>0</v>
      </c>
      <c r="W124" s="166">
        <v>0</v>
      </c>
      <c r="X124" s="166">
        <v>0</v>
      </c>
      <c r="Y124" s="166">
        <v>0</v>
      </c>
      <c r="Z124" s="166">
        <v>44165533</v>
      </c>
      <c r="AA124" s="166">
        <v>-2250000</v>
      </c>
      <c r="AB124" s="166"/>
      <c r="AC124" s="166">
        <v>-7231823</v>
      </c>
      <c r="AD124" s="166">
        <v>148</v>
      </c>
      <c r="AE124" s="166">
        <v>7</v>
      </c>
      <c r="AF124" s="166">
        <v>0</v>
      </c>
      <c r="AG124" s="166"/>
      <c r="AH124" s="166">
        <v>0</v>
      </c>
      <c r="AI124" s="166">
        <v>0</v>
      </c>
      <c r="AJ124" s="166">
        <v>134</v>
      </c>
      <c r="AK124" s="166">
        <v>55</v>
      </c>
      <c r="AL124" s="166">
        <v>6</v>
      </c>
      <c r="AM124" s="166">
        <v>0</v>
      </c>
      <c r="AN124" s="166">
        <v>0</v>
      </c>
      <c r="AO124" s="166">
        <v>0</v>
      </c>
      <c r="AP124" s="166">
        <v>0</v>
      </c>
      <c r="AQ124" s="166">
        <v>0</v>
      </c>
      <c r="AR124" s="166">
        <v>678</v>
      </c>
      <c r="AS124" s="166">
        <v>859</v>
      </c>
      <c r="AT124" s="166">
        <v>833</v>
      </c>
      <c r="AU124" s="166">
        <v>662</v>
      </c>
      <c r="AV124" s="166">
        <v>171</v>
      </c>
      <c r="AW124" s="166">
        <v>1505</v>
      </c>
      <c r="AX124" s="166">
        <v>-268954</v>
      </c>
      <c r="AY124" s="166">
        <v>-108749</v>
      </c>
      <c r="AZ124" s="166">
        <v>0</v>
      </c>
      <c r="BA124" s="166">
        <v>-9728</v>
      </c>
      <c r="BB124" s="166">
        <v>-1582950</v>
      </c>
      <c r="BC124" s="166">
        <v>-23469</v>
      </c>
      <c r="BD124" s="166">
        <v>-1859899</v>
      </c>
      <c r="BE124" s="166">
        <v>-6506649</v>
      </c>
      <c r="BF124" s="166"/>
      <c r="BG124" s="760">
        <v>18749450</v>
      </c>
      <c r="BH124" s="760">
        <v>0</v>
      </c>
      <c r="BI124" s="815">
        <v>4483536</v>
      </c>
      <c r="BJ124" s="1044" t="s">
        <v>2454</v>
      </c>
      <c r="BK124" s="1044" t="s">
        <v>2462</v>
      </c>
      <c r="BL124" s="1044" t="s">
        <v>2581</v>
      </c>
      <c r="BM124" s="650"/>
      <c r="BN124" s="746" t="s">
        <v>124</v>
      </c>
      <c r="BO124" s="142" t="b">
        <v>1</v>
      </c>
      <c r="BP124" s="544"/>
      <c r="BQ124" s="544"/>
      <c r="BR124" s="544"/>
      <c r="BS124" s="544"/>
      <c r="BT124" s="544"/>
      <c r="BU124" s="544"/>
      <c r="BV124" s="544"/>
      <c r="BW124" s="544"/>
      <c r="BX124" s="544"/>
      <c r="BY124" s="544"/>
      <c r="BZ124" s="544"/>
      <c r="CA124" s="544"/>
      <c r="CB124" s="544"/>
      <c r="CC124" s="544"/>
      <c r="CD124" s="544"/>
      <c r="CE124" s="544"/>
      <c r="CF124" s="544"/>
      <c r="CG124" s="544"/>
      <c r="CH124" s="544"/>
      <c r="CI124" s="544"/>
      <c r="CJ124" s="544"/>
      <c r="CK124" s="544"/>
      <c r="CL124" s="544"/>
      <c r="CM124" s="544"/>
      <c r="CN124" s="544"/>
      <c r="CO124" s="544"/>
      <c r="CP124" s="544"/>
      <c r="CQ124" s="544"/>
      <c r="CR124" s="544"/>
      <c r="CS124" s="544"/>
    </row>
    <row r="125" spans="1:97" s="142" customFormat="1" ht="12.75" x14ac:dyDescent="0.2">
      <c r="A125" s="735">
        <v>118</v>
      </c>
      <c r="B125" s="732" t="s">
        <v>125</v>
      </c>
      <c r="C125" s="738" t="s">
        <v>126</v>
      </c>
      <c r="D125" s="905">
        <v>138750.22913762301</v>
      </c>
      <c r="E125" s="905">
        <v>78044150</v>
      </c>
      <c r="F125" s="905">
        <v>3848</v>
      </c>
      <c r="G125" s="166">
        <v>39053923</v>
      </c>
      <c r="H125" s="166">
        <v>-5662329</v>
      </c>
      <c r="I125" s="166">
        <v>626205</v>
      </c>
      <c r="J125" s="166">
        <v>-5036124</v>
      </c>
      <c r="K125" s="166">
        <v>-1471636</v>
      </c>
      <c r="L125" s="166">
        <v>-91380</v>
      </c>
      <c r="M125" s="166">
        <v>-30558</v>
      </c>
      <c r="N125" s="166">
        <v>-35756</v>
      </c>
      <c r="O125" s="166">
        <v>-50000</v>
      </c>
      <c r="P125" s="166">
        <v>-673902</v>
      </c>
      <c r="Q125" s="166">
        <v>-48581</v>
      </c>
      <c r="R125" s="166">
        <v>-319655</v>
      </c>
      <c r="S125" s="166">
        <v>-495</v>
      </c>
      <c r="T125" s="166"/>
      <c r="U125" s="166">
        <v>0</v>
      </c>
      <c r="V125" s="166">
        <v>0</v>
      </c>
      <c r="W125" s="166">
        <v>0</v>
      </c>
      <c r="X125" s="166">
        <v>0</v>
      </c>
      <c r="Y125" s="166">
        <v>-14608</v>
      </c>
      <c r="Z125" s="166">
        <v>25820813</v>
      </c>
      <c r="AA125" s="166">
        <v>-669216</v>
      </c>
      <c r="AB125" s="166"/>
      <c r="AC125" s="166">
        <v>-2925023</v>
      </c>
      <c r="AD125" s="166">
        <v>166</v>
      </c>
      <c r="AE125" s="166">
        <v>18</v>
      </c>
      <c r="AF125" s="166">
        <v>7</v>
      </c>
      <c r="AG125" s="166"/>
      <c r="AH125" s="166">
        <v>20</v>
      </c>
      <c r="AI125" s="166">
        <v>0</v>
      </c>
      <c r="AJ125" s="166">
        <v>221</v>
      </c>
      <c r="AK125" s="166">
        <v>54</v>
      </c>
      <c r="AL125" s="166">
        <v>30</v>
      </c>
      <c r="AM125" s="166">
        <v>8</v>
      </c>
      <c r="AN125" s="166">
        <v>1</v>
      </c>
      <c r="AO125" s="166">
        <v>1</v>
      </c>
      <c r="AP125" s="166">
        <v>0</v>
      </c>
      <c r="AQ125" s="166">
        <v>0</v>
      </c>
      <c r="AR125" s="166">
        <v>504</v>
      </c>
      <c r="AS125" s="166">
        <v>709</v>
      </c>
      <c r="AT125" s="166">
        <v>1984</v>
      </c>
      <c r="AU125" s="166">
        <v>1887</v>
      </c>
      <c r="AV125" s="166">
        <v>97</v>
      </c>
      <c r="AW125" s="166">
        <v>1103</v>
      </c>
      <c r="AX125" s="166">
        <v>-87663</v>
      </c>
      <c r="AY125" s="166">
        <v>-137617</v>
      </c>
      <c r="AZ125" s="166">
        <v>0</v>
      </c>
      <c r="BA125" s="166">
        <v>-31048</v>
      </c>
      <c r="BB125" s="166">
        <v>-377667</v>
      </c>
      <c r="BC125" s="166">
        <v>-39907</v>
      </c>
      <c r="BD125" s="166">
        <v>-50000</v>
      </c>
      <c r="BE125" s="166">
        <v>1329806</v>
      </c>
      <c r="BF125" s="166"/>
      <c r="BG125" s="760">
        <v>11641900</v>
      </c>
      <c r="BH125" s="760">
        <v>0</v>
      </c>
      <c r="BI125" s="815">
        <v>-1259308</v>
      </c>
      <c r="BJ125" s="1044" t="s">
        <v>2454</v>
      </c>
      <c r="BK125" s="1044" t="s">
        <v>2457</v>
      </c>
      <c r="BL125" s="1044" t="s">
        <v>2582</v>
      </c>
      <c r="BM125" s="650"/>
      <c r="BN125" s="746" t="s">
        <v>126</v>
      </c>
      <c r="BO125" s="142" t="b">
        <v>1</v>
      </c>
      <c r="BP125" s="544"/>
      <c r="BQ125" s="544"/>
      <c r="BR125" s="544"/>
      <c r="BS125" s="544"/>
      <c r="BT125" s="544"/>
      <c r="BU125" s="544"/>
      <c r="BV125" s="544"/>
      <c r="BW125" s="544"/>
      <c r="BX125" s="544"/>
      <c r="BY125" s="544"/>
      <c r="BZ125" s="544"/>
      <c r="CA125" s="544"/>
      <c r="CB125" s="544"/>
      <c r="CC125" s="544"/>
      <c r="CD125" s="544"/>
      <c r="CE125" s="544"/>
      <c r="CF125" s="544"/>
      <c r="CG125" s="544"/>
      <c r="CH125" s="544"/>
      <c r="CI125" s="544"/>
      <c r="CJ125" s="544"/>
      <c r="CK125" s="544"/>
      <c r="CL125" s="544"/>
      <c r="CM125" s="544"/>
      <c r="CN125" s="544"/>
      <c r="CO125" s="544"/>
      <c r="CP125" s="544"/>
      <c r="CQ125" s="544"/>
      <c r="CR125" s="544"/>
      <c r="CS125" s="544"/>
    </row>
    <row r="126" spans="1:97" s="142" customFormat="1" ht="12.75" hidden="1" x14ac:dyDescent="0.2">
      <c r="A126" s="735">
        <v>119</v>
      </c>
      <c r="B126" s="732" t="s">
        <v>127</v>
      </c>
      <c r="C126" s="738" t="s">
        <v>128</v>
      </c>
      <c r="D126" s="905">
        <v>560739.88850095996</v>
      </c>
      <c r="E126" s="905">
        <v>839011683</v>
      </c>
      <c r="F126" s="905">
        <v>8977</v>
      </c>
      <c r="G126" s="166">
        <v>422259171</v>
      </c>
      <c r="H126" s="166">
        <v>-8427000</v>
      </c>
      <c r="I126" s="166">
        <v>9332000</v>
      </c>
      <c r="J126" s="166">
        <v>905000</v>
      </c>
      <c r="K126" s="166">
        <v>-9076000</v>
      </c>
      <c r="L126" s="166">
        <v>-100000</v>
      </c>
      <c r="M126" s="166">
        <v>0</v>
      </c>
      <c r="N126" s="166">
        <v>-20000</v>
      </c>
      <c r="O126" s="166">
        <v>-79000</v>
      </c>
      <c r="P126" s="166">
        <v>-13553000</v>
      </c>
      <c r="Q126" s="166">
        <v>-226000</v>
      </c>
      <c r="R126" s="166">
        <v>0</v>
      </c>
      <c r="S126" s="166">
        <v>0</v>
      </c>
      <c r="T126" s="166"/>
      <c r="U126" s="166">
        <v>0</v>
      </c>
      <c r="V126" s="166">
        <v>0</v>
      </c>
      <c r="W126" s="166">
        <v>0</v>
      </c>
      <c r="X126" s="166">
        <v>0</v>
      </c>
      <c r="Y126" s="166">
        <v>0</v>
      </c>
      <c r="Z126" s="166">
        <v>368121337</v>
      </c>
      <c r="AA126" s="166">
        <v>-23000000</v>
      </c>
      <c r="AB126" s="166"/>
      <c r="AC126" s="166">
        <v>-16500000</v>
      </c>
      <c r="AD126" s="166">
        <v>290</v>
      </c>
      <c r="AE126" s="166">
        <v>13</v>
      </c>
      <c r="AF126" s="166">
        <v>0</v>
      </c>
      <c r="AG126" s="166"/>
      <c r="AH126" s="166">
        <v>7</v>
      </c>
      <c r="AI126" s="166">
        <v>0</v>
      </c>
      <c r="AJ126" s="166">
        <v>727</v>
      </c>
      <c r="AK126" s="166">
        <v>151</v>
      </c>
      <c r="AL126" s="166">
        <v>0</v>
      </c>
      <c r="AM126" s="166">
        <v>0</v>
      </c>
      <c r="AN126" s="166">
        <v>0</v>
      </c>
      <c r="AO126" s="166">
        <v>0</v>
      </c>
      <c r="AP126" s="166">
        <v>0</v>
      </c>
      <c r="AQ126" s="166">
        <v>0</v>
      </c>
      <c r="AR126" s="166">
        <v>1281</v>
      </c>
      <c r="AS126" s="166">
        <v>3042</v>
      </c>
      <c r="AT126" s="166">
        <v>2425</v>
      </c>
      <c r="AU126" s="166">
        <v>2068</v>
      </c>
      <c r="AV126" s="166">
        <v>357</v>
      </c>
      <c r="AW126" s="166">
        <v>3383</v>
      </c>
      <c r="AX126" s="166">
        <v>-3133231</v>
      </c>
      <c r="AY126" s="166">
        <v>-6620404</v>
      </c>
      <c r="AZ126" s="166">
        <v>0</v>
      </c>
      <c r="BA126" s="166">
        <v>0</v>
      </c>
      <c r="BB126" s="166">
        <v>-894790</v>
      </c>
      <c r="BC126" s="166">
        <v>-2904575</v>
      </c>
      <c r="BD126" s="166">
        <v>-25000</v>
      </c>
      <c r="BE126" s="166">
        <v>14704013</v>
      </c>
      <c r="BF126" s="166"/>
      <c r="BG126" s="760">
        <v>23676200</v>
      </c>
      <c r="BH126" s="760">
        <v>0</v>
      </c>
      <c r="BI126" s="815">
        <v>12617559</v>
      </c>
      <c r="BJ126" s="1044" t="s">
        <v>2464</v>
      </c>
      <c r="BK126" s="1044" t="s">
        <v>2465</v>
      </c>
      <c r="BL126" s="1044" t="s">
        <v>2583</v>
      </c>
      <c r="BM126" s="650"/>
      <c r="BN126" s="746" t="s">
        <v>128</v>
      </c>
      <c r="BO126" s="142" t="b">
        <v>1</v>
      </c>
      <c r="BP126" s="544"/>
      <c r="BQ126" s="544"/>
      <c r="BR126" s="544"/>
      <c r="BS126" s="544"/>
      <c r="BT126" s="544"/>
      <c r="BU126" s="544"/>
      <c r="BV126" s="544"/>
      <c r="BW126" s="544"/>
      <c r="BX126" s="544"/>
      <c r="BY126" s="544"/>
      <c r="BZ126" s="544"/>
      <c r="CA126" s="544"/>
      <c r="CB126" s="544"/>
      <c r="CC126" s="544"/>
      <c r="CD126" s="544"/>
      <c r="CE126" s="544"/>
      <c r="CF126" s="544"/>
      <c r="CG126" s="544"/>
      <c r="CH126" s="544"/>
      <c r="CI126" s="544"/>
      <c r="CJ126" s="544"/>
      <c r="CK126" s="544"/>
      <c r="CL126" s="544"/>
      <c r="CM126" s="544"/>
      <c r="CN126" s="544"/>
      <c r="CO126" s="544"/>
      <c r="CP126" s="544"/>
      <c r="CQ126" s="544"/>
      <c r="CR126" s="544"/>
      <c r="CS126" s="544"/>
    </row>
    <row r="127" spans="1:97" s="142" customFormat="1" ht="12.75" x14ac:dyDescent="0.2">
      <c r="A127" s="735">
        <v>120</v>
      </c>
      <c r="B127" s="732" t="s">
        <v>129</v>
      </c>
      <c r="C127" s="738" t="s">
        <v>130</v>
      </c>
      <c r="D127" s="905">
        <v>130280.93371624099</v>
      </c>
      <c r="E127" s="905">
        <v>106494552</v>
      </c>
      <c r="F127" s="905">
        <v>3313</v>
      </c>
      <c r="G127" s="166">
        <v>53968280</v>
      </c>
      <c r="H127" s="166">
        <v>-4156059</v>
      </c>
      <c r="I127" s="166">
        <v>1003754</v>
      </c>
      <c r="J127" s="166">
        <v>-3152305</v>
      </c>
      <c r="K127" s="166">
        <v>-2868763</v>
      </c>
      <c r="L127" s="166">
        <v>-4751</v>
      </c>
      <c r="M127" s="166">
        <v>-8106</v>
      </c>
      <c r="N127" s="166">
        <v>-6963</v>
      </c>
      <c r="O127" s="166">
        <v>0</v>
      </c>
      <c r="P127" s="166">
        <v>-250474</v>
      </c>
      <c r="Q127" s="166">
        <v>-68193</v>
      </c>
      <c r="R127" s="166">
        <v>-77299</v>
      </c>
      <c r="S127" s="166">
        <v>-1188</v>
      </c>
      <c r="T127" s="166"/>
      <c r="U127" s="166">
        <v>0</v>
      </c>
      <c r="V127" s="166">
        <v>-50000</v>
      </c>
      <c r="W127" s="166">
        <v>0</v>
      </c>
      <c r="X127" s="166">
        <v>0</v>
      </c>
      <c r="Y127" s="166">
        <v>-3200</v>
      </c>
      <c r="Z127" s="166">
        <v>41434154</v>
      </c>
      <c r="AA127" s="166">
        <v>-832730</v>
      </c>
      <c r="AB127" s="166"/>
      <c r="AC127" s="166">
        <v>-2463738</v>
      </c>
      <c r="AD127" s="166">
        <v>119</v>
      </c>
      <c r="AE127" s="166">
        <v>2</v>
      </c>
      <c r="AF127" s="166">
        <v>3</v>
      </c>
      <c r="AG127" s="166"/>
      <c r="AH127" s="166">
        <v>3</v>
      </c>
      <c r="AI127" s="166">
        <v>0</v>
      </c>
      <c r="AJ127" s="166">
        <v>88</v>
      </c>
      <c r="AK127" s="166">
        <v>65</v>
      </c>
      <c r="AL127" s="166">
        <v>18</v>
      </c>
      <c r="AM127" s="166">
        <v>0</v>
      </c>
      <c r="AN127" s="166">
        <v>5</v>
      </c>
      <c r="AO127" s="166">
        <v>2</v>
      </c>
      <c r="AP127" s="166">
        <v>1</v>
      </c>
      <c r="AQ127" s="166">
        <v>4</v>
      </c>
      <c r="AR127" s="166">
        <v>281</v>
      </c>
      <c r="AS127" s="166">
        <v>561</v>
      </c>
      <c r="AT127" s="166">
        <v>1547</v>
      </c>
      <c r="AU127" s="166">
        <v>1413</v>
      </c>
      <c r="AV127" s="166">
        <v>134</v>
      </c>
      <c r="AW127" s="166">
        <v>1179</v>
      </c>
      <c r="AX127" s="166">
        <v>-76656</v>
      </c>
      <c r="AY127" s="166">
        <v>-98804</v>
      </c>
      <c r="AZ127" s="166">
        <v>0</v>
      </c>
      <c r="BA127" s="166">
        <v>0</v>
      </c>
      <c r="BB127" s="166">
        <v>-73504</v>
      </c>
      <c r="BC127" s="166">
        <v>-1510</v>
      </c>
      <c r="BD127" s="166">
        <v>-579386</v>
      </c>
      <c r="BE127" s="166">
        <v>-233388</v>
      </c>
      <c r="BF127" s="166"/>
      <c r="BG127" s="760">
        <v>12012225</v>
      </c>
      <c r="BH127" s="760">
        <v>129000</v>
      </c>
      <c r="BI127" s="815">
        <v>450914</v>
      </c>
      <c r="BJ127" s="1044" t="s">
        <v>2454</v>
      </c>
      <c r="BK127" s="1044" t="s">
        <v>2457</v>
      </c>
      <c r="BL127" s="1044" t="s">
        <v>2584</v>
      </c>
      <c r="BM127" s="650"/>
      <c r="BN127" s="746" t="s">
        <v>130</v>
      </c>
      <c r="BO127" s="142" t="b">
        <v>1</v>
      </c>
      <c r="BP127" s="544"/>
      <c r="BQ127" s="544"/>
      <c r="BR127" s="544"/>
      <c r="BS127" s="544"/>
      <c r="BT127" s="544"/>
      <c r="BU127" s="544"/>
      <c r="BV127" s="544"/>
      <c r="BW127" s="544"/>
      <c r="BX127" s="544"/>
      <c r="BY127" s="544"/>
      <c r="BZ127" s="544"/>
      <c r="CA127" s="544"/>
      <c r="CB127" s="544"/>
      <c r="CC127" s="544"/>
      <c r="CD127" s="544"/>
      <c r="CE127" s="544"/>
      <c r="CF127" s="544"/>
      <c r="CG127" s="544"/>
      <c r="CH127" s="544"/>
      <c r="CI127" s="544"/>
      <c r="CJ127" s="544"/>
      <c r="CK127" s="544"/>
      <c r="CL127" s="544"/>
      <c r="CM127" s="544"/>
      <c r="CN127" s="544"/>
      <c r="CO127" s="544"/>
      <c r="CP127" s="544"/>
      <c r="CQ127" s="544"/>
      <c r="CR127" s="544"/>
      <c r="CS127" s="544"/>
    </row>
    <row r="128" spans="1:97" s="142" customFormat="1" ht="12.75" x14ac:dyDescent="0.2">
      <c r="A128" s="735">
        <v>121</v>
      </c>
      <c r="B128" s="732" t="s">
        <v>131</v>
      </c>
      <c r="C128" s="738" t="s">
        <v>132</v>
      </c>
      <c r="D128" s="905">
        <v>187583.321026121</v>
      </c>
      <c r="E128" s="905">
        <v>131220705</v>
      </c>
      <c r="F128" s="905">
        <v>4970</v>
      </c>
      <c r="G128" s="166">
        <v>65574275</v>
      </c>
      <c r="H128" s="166">
        <v>-5323484</v>
      </c>
      <c r="I128" s="166">
        <v>1055388</v>
      </c>
      <c r="J128" s="166">
        <v>-4268096</v>
      </c>
      <c r="K128" s="166">
        <v>-3985169</v>
      </c>
      <c r="L128" s="166">
        <v>-65706</v>
      </c>
      <c r="M128" s="166">
        <v>-14960</v>
      </c>
      <c r="N128" s="166">
        <v>-7136</v>
      </c>
      <c r="O128" s="166">
        <v>-50000</v>
      </c>
      <c r="P128" s="166">
        <v>-277981</v>
      </c>
      <c r="Q128" s="166">
        <v>-41307</v>
      </c>
      <c r="R128" s="166">
        <v>-242263</v>
      </c>
      <c r="S128" s="166">
        <v>-1907</v>
      </c>
      <c r="T128" s="166"/>
      <c r="U128" s="166">
        <v>0</v>
      </c>
      <c r="V128" s="166">
        <v>0</v>
      </c>
      <c r="W128" s="166">
        <v>0</v>
      </c>
      <c r="X128" s="166">
        <v>0</v>
      </c>
      <c r="Y128" s="166">
        <v>-7480</v>
      </c>
      <c r="Z128" s="166">
        <v>45319860</v>
      </c>
      <c r="AA128" s="166">
        <v>-2400000</v>
      </c>
      <c r="AB128" s="166"/>
      <c r="AC128" s="166">
        <v>-3925949</v>
      </c>
      <c r="AD128" s="166">
        <v>206</v>
      </c>
      <c r="AE128" s="166">
        <v>11</v>
      </c>
      <c r="AF128" s="166">
        <v>5</v>
      </c>
      <c r="AG128" s="166"/>
      <c r="AH128" s="166">
        <v>4</v>
      </c>
      <c r="AI128" s="166">
        <v>0</v>
      </c>
      <c r="AJ128" s="166">
        <v>68</v>
      </c>
      <c r="AK128" s="166">
        <v>26</v>
      </c>
      <c r="AL128" s="166">
        <v>3</v>
      </c>
      <c r="AM128" s="166">
        <v>0</v>
      </c>
      <c r="AN128" s="166">
        <v>0</v>
      </c>
      <c r="AO128" s="166">
        <v>1</v>
      </c>
      <c r="AP128" s="166">
        <v>0</v>
      </c>
      <c r="AQ128" s="166">
        <v>0</v>
      </c>
      <c r="AR128" s="166">
        <v>588</v>
      </c>
      <c r="AS128" s="166">
        <v>858</v>
      </c>
      <c r="AT128" s="166">
        <v>1964</v>
      </c>
      <c r="AU128" s="166">
        <v>1746</v>
      </c>
      <c r="AV128" s="166">
        <v>218</v>
      </c>
      <c r="AW128" s="166">
        <v>2166</v>
      </c>
      <c r="AX128" s="166">
        <v>-63609</v>
      </c>
      <c r="AY128" s="166">
        <v>-77291</v>
      </c>
      <c r="AZ128" s="166">
        <v>0</v>
      </c>
      <c r="BA128" s="166">
        <v>0</v>
      </c>
      <c r="BB128" s="166">
        <v>-119545</v>
      </c>
      <c r="BC128" s="166">
        <v>-17536</v>
      </c>
      <c r="BD128" s="166">
        <v>-2149786</v>
      </c>
      <c r="BE128" s="166">
        <v>3564044</v>
      </c>
      <c r="BF128" s="166"/>
      <c r="BG128" s="760">
        <v>22667625</v>
      </c>
      <c r="BH128" s="760">
        <v>0</v>
      </c>
      <c r="BI128" s="815">
        <v>1668548</v>
      </c>
      <c r="BJ128" s="1044" t="s">
        <v>2454</v>
      </c>
      <c r="BK128" s="1044" t="s">
        <v>2455</v>
      </c>
      <c r="BL128" s="1044" t="s">
        <v>2585</v>
      </c>
      <c r="BM128" s="650"/>
      <c r="BN128" s="746" t="s">
        <v>132</v>
      </c>
      <c r="BO128" s="142" t="b">
        <v>1</v>
      </c>
      <c r="BP128" s="544"/>
      <c r="BQ128" s="544"/>
      <c r="BR128" s="544"/>
      <c r="BS128" s="544"/>
      <c r="BT128" s="544"/>
      <c r="BU128" s="544"/>
      <c r="BV128" s="544"/>
      <c r="BW128" s="544"/>
      <c r="BX128" s="544"/>
      <c r="BY128" s="544"/>
      <c r="BZ128" s="544"/>
      <c r="CA128" s="544"/>
      <c r="CB128" s="544"/>
      <c r="CC128" s="544"/>
      <c r="CD128" s="544"/>
      <c r="CE128" s="544"/>
      <c r="CF128" s="544"/>
      <c r="CG128" s="544"/>
      <c r="CH128" s="544"/>
      <c r="CI128" s="544"/>
      <c r="CJ128" s="544"/>
      <c r="CK128" s="544"/>
      <c r="CL128" s="544"/>
      <c r="CM128" s="544"/>
      <c r="CN128" s="544"/>
      <c r="CO128" s="544"/>
      <c r="CP128" s="544"/>
      <c r="CQ128" s="544"/>
      <c r="CR128" s="544"/>
      <c r="CS128" s="544"/>
    </row>
    <row r="129" spans="1:97" s="142" customFormat="1" ht="12.75" hidden="1" x14ac:dyDescent="0.2">
      <c r="A129" s="735">
        <v>122</v>
      </c>
      <c r="B129" s="732" t="s">
        <v>133</v>
      </c>
      <c r="C129" s="738" t="s">
        <v>134</v>
      </c>
      <c r="D129" s="905">
        <v>409069.45059633901</v>
      </c>
      <c r="E129" s="905">
        <v>491539981</v>
      </c>
      <c r="F129" s="905">
        <v>7638</v>
      </c>
      <c r="G129" s="166">
        <v>245294547</v>
      </c>
      <c r="H129" s="166">
        <v>-5789971</v>
      </c>
      <c r="I129" s="166">
        <v>5541755</v>
      </c>
      <c r="J129" s="166">
        <v>-248216</v>
      </c>
      <c r="K129" s="166">
        <v>-6842296</v>
      </c>
      <c r="L129" s="166">
        <v>-85904</v>
      </c>
      <c r="M129" s="166">
        <v>0</v>
      </c>
      <c r="N129" s="166">
        <v>0</v>
      </c>
      <c r="O129" s="166">
        <v>0</v>
      </c>
      <c r="P129" s="166">
        <v>-4385735</v>
      </c>
      <c r="Q129" s="166">
        <v>-229679</v>
      </c>
      <c r="R129" s="166">
        <v>-215402</v>
      </c>
      <c r="S129" s="166">
        <v>-2125</v>
      </c>
      <c r="T129" s="166"/>
      <c r="U129" s="166">
        <v>0</v>
      </c>
      <c r="V129" s="166">
        <v>0</v>
      </c>
      <c r="W129" s="166">
        <v>0</v>
      </c>
      <c r="X129" s="166">
        <v>0</v>
      </c>
      <c r="Y129" s="166">
        <v>0</v>
      </c>
      <c r="Z129" s="166">
        <v>202620297</v>
      </c>
      <c r="AA129" s="166">
        <v>-13000000</v>
      </c>
      <c r="AB129" s="166"/>
      <c r="AC129" s="166">
        <v>-15612380</v>
      </c>
      <c r="AD129" s="166">
        <v>236</v>
      </c>
      <c r="AE129" s="166">
        <v>11</v>
      </c>
      <c r="AF129" s="166">
        <v>0</v>
      </c>
      <c r="AG129" s="166"/>
      <c r="AH129" s="166">
        <v>0</v>
      </c>
      <c r="AI129" s="166">
        <v>3</v>
      </c>
      <c r="AJ129" s="166">
        <v>472</v>
      </c>
      <c r="AK129" s="166">
        <v>54</v>
      </c>
      <c r="AL129" s="166">
        <v>11</v>
      </c>
      <c r="AM129" s="166">
        <v>0</v>
      </c>
      <c r="AN129" s="166">
        <v>0</v>
      </c>
      <c r="AO129" s="166">
        <v>1</v>
      </c>
      <c r="AP129" s="166">
        <v>0</v>
      </c>
      <c r="AQ129" s="166">
        <v>0</v>
      </c>
      <c r="AR129" s="166">
        <v>1231</v>
      </c>
      <c r="AS129" s="166">
        <v>2269</v>
      </c>
      <c r="AT129" s="166">
        <v>1939</v>
      </c>
      <c r="AU129" s="166">
        <v>1722</v>
      </c>
      <c r="AV129" s="166">
        <v>217</v>
      </c>
      <c r="AW129" s="166">
        <v>3449</v>
      </c>
      <c r="AX129" s="166">
        <v>-230337</v>
      </c>
      <c r="AY129" s="166">
        <v>-718345</v>
      </c>
      <c r="AZ129" s="166">
        <v>0</v>
      </c>
      <c r="BA129" s="166">
        <v>-224000</v>
      </c>
      <c r="BB129" s="166">
        <v>-3213053</v>
      </c>
      <c r="BC129" s="166">
        <v>0</v>
      </c>
      <c r="BD129" s="166">
        <v>-992048</v>
      </c>
      <c r="BE129" s="166">
        <v>9831098</v>
      </c>
      <c r="BF129" s="166"/>
      <c r="BG129" s="760">
        <v>32027300</v>
      </c>
      <c r="BH129" s="760">
        <v>0</v>
      </c>
      <c r="BI129" s="815">
        <v>16339013</v>
      </c>
      <c r="BJ129" s="1044" t="s">
        <v>2464</v>
      </c>
      <c r="BK129" s="1044" t="s">
        <v>2465</v>
      </c>
      <c r="BL129" s="1044" t="s">
        <v>2586</v>
      </c>
      <c r="BM129" s="650"/>
      <c r="BN129" s="746" t="s">
        <v>134</v>
      </c>
      <c r="BO129" s="142" t="b">
        <v>1</v>
      </c>
      <c r="BP129" s="544"/>
      <c r="BQ129" s="544"/>
      <c r="BR129" s="544"/>
      <c r="BS129" s="544"/>
      <c r="BT129" s="544"/>
      <c r="BU129" s="544"/>
      <c r="BV129" s="544"/>
      <c r="BW129" s="544"/>
      <c r="BX129" s="544"/>
      <c r="BY129" s="544"/>
      <c r="BZ129" s="544"/>
      <c r="CA129" s="544"/>
      <c r="CB129" s="544"/>
      <c r="CC129" s="544"/>
      <c r="CD129" s="544"/>
      <c r="CE129" s="544"/>
      <c r="CF129" s="544"/>
      <c r="CG129" s="544"/>
      <c r="CH129" s="544"/>
      <c r="CI129" s="544"/>
      <c r="CJ129" s="544"/>
      <c r="CK129" s="544"/>
      <c r="CL129" s="544"/>
      <c r="CM129" s="544"/>
      <c r="CN129" s="544"/>
      <c r="CO129" s="544"/>
      <c r="CP129" s="544"/>
      <c r="CQ129" s="544"/>
      <c r="CR129" s="544"/>
      <c r="CS129" s="544"/>
    </row>
    <row r="130" spans="1:97" s="142" customFormat="1" ht="12.75" x14ac:dyDescent="0.2">
      <c r="A130" s="735">
        <v>123</v>
      </c>
      <c r="B130" s="732" t="s">
        <v>135</v>
      </c>
      <c r="C130" s="738" t="s">
        <v>136</v>
      </c>
      <c r="D130" s="905">
        <v>230516.14347119699</v>
      </c>
      <c r="E130" s="905">
        <v>177795517</v>
      </c>
      <c r="F130" s="905">
        <v>5710</v>
      </c>
      <c r="G130" s="166">
        <v>87803005</v>
      </c>
      <c r="H130" s="166">
        <v>-5637549</v>
      </c>
      <c r="I130" s="166">
        <v>1584410</v>
      </c>
      <c r="J130" s="166">
        <v>-4053139</v>
      </c>
      <c r="K130" s="166">
        <v>-3594410</v>
      </c>
      <c r="L130" s="166">
        <v>-201366</v>
      </c>
      <c r="M130" s="166">
        <v>-63516</v>
      </c>
      <c r="N130" s="166">
        <v>-8879</v>
      </c>
      <c r="O130" s="166">
        <v>0</v>
      </c>
      <c r="P130" s="166">
        <v>-1536774</v>
      </c>
      <c r="Q130" s="166">
        <v>0</v>
      </c>
      <c r="R130" s="166">
        <v>-10610</v>
      </c>
      <c r="S130" s="166">
        <v>0</v>
      </c>
      <c r="T130" s="166"/>
      <c r="U130" s="166">
        <v>0</v>
      </c>
      <c r="V130" s="166">
        <v>0</v>
      </c>
      <c r="W130" s="166">
        <v>0</v>
      </c>
      <c r="X130" s="166">
        <v>0</v>
      </c>
      <c r="Y130" s="166">
        <v>-31758</v>
      </c>
      <c r="Z130" s="166">
        <v>66261157</v>
      </c>
      <c r="AA130" s="166">
        <v>-750000</v>
      </c>
      <c r="AB130" s="166"/>
      <c r="AC130" s="166">
        <v>-4645884</v>
      </c>
      <c r="AD130" s="166">
        <v>298</v>
      </c>
      <c r="AE130" s="166">
        <v>25</v>
      </c>
      <c r="AF130" s="166">
        <v>26</v>
      </c>
      <c r="AG130" s="166"/>
      <c r="AH130" s="166">
        <v>7</v>
      </c>
      <c r="AI130" s="166">
        <v>0</v>
      </c>
      <c r="AJ130" s="166">
        <v>248</v>
      </c>
      <c r="AK130" s="166">
        <v>0</v>
      </c>
      <c r="AL130" s="166">
        <v>2</v>
      </c>
      <c r="AM130" s="166">
        <v>0</v>
      </c>
      <c r="AN130" s="166">
        <v>0</v>
      </c>
      <c r="AO130" s="166">
        <v>0</v>
      </c>
      <c r="AP130" s="166">
        <v>0</v>
      </c>
      <c r="AQ130" s="166">
        <v>0</v>
      </c>
      <c r="AR130" s="166">
        <v>655</v>
      </c>
      <c r="AS130" s="166">
        <v>1360</v>
      </c>
      <c r="AT130" s="166">
        <v>2245</v>
      </c>
      <c r="AU130" s="166">
        <v>2067</v>
      </c>
      <c r="AV130" s="166">
        <v>178</v>
      </c>
      <c r="AW130" s="166">
        <v>2018</v>
      </c>
      <c r="AX130" s="166">
        <v>-749509</v>
      </c>
      <c r="AY130" s="166">
        <v>-587619</v>
      </c>
      <c r="AZ130" s="166">
        <v>0</v>
      </c>
      <c r="BA130" s="166">
        <v>0</v>
      </c>
      <c r="BB130" s="166">
        <v>-169396</v>
      </c>
      <c r="BC130" s="166">
        <v>-30250</v>
      </c>
      <c r="BD130" s="166">
        <v>-1000000</v>
      </c>
      <c r="BE130" s="166">
        <v>-4176631</v>
      </c>
      <c r="BF130" s="166"/>
      <c r="BG130" s="760">
        <v>26052051</v>
      </c>
      <c r="BH130" s="760">
        <v>188750</v>
      </c>
      <c r="BI130" s="815">
        <v>-5209293</v>
      </c>
      <c r="BJ130" s="1044" t="s">
        <v>2454</v>
      </c>
      <c r="BK130" s="1044" t="s">
        <v>2462</v>
      </c>
      <c r="BL130" s="1044" t="s">
        <v>2587</v>
      </c>
      <c r="BM130" s="650"/>
      <c r="BN130" s="746" t="s">
        <v>136</v>
      </c>
      <c r="BO130" s="142" t="b">
        <v>1</v>
      </c>
      <c r="BP130" s="544"/>
      <c r="BQ130" s="544"/>
      <c r="BR130" s="544"/>
      <c r="BS130" s="544"/>
      <c r="BT130" s="544"/>
      <c r="BU130" s="544"/>
      <c r="BV130" s="544"/>
      <c r="BW130" s="544"/>
      <c r="BX130" s="544"/>
      <c r="BY130" s="544"/>
      <c r="BZ130" s="544"/>
      <c r="CA130" s="544"/>
      <c r="CB130" s="544"/>
      <c r="CC130" s="544"/>
      <c r="CD130" s="544"/>
      <c r="CE130" s="544"/>
      <c r="CF130" s="544"/>
      <c r="CG130" s="544"/>
      <c r="CH130" s="544"/>
      <c r="CI130" s="544"/>
      <c r="CJ130" s="544"/>
      <c r="CK130" s="544"/>
      <c r="CL130" s="544"/>
      <c r="CM130" s="544"/>
      <c r="CN130" s="544"/>
      <c r="CO130" s="544"/>
      <c r="CP130" s="544"/>
      <c r="CQ130" s="544"/>
      <c r="CR130" s="544"/>
      <c r="CS130" s="544"/>
    </row>
    <row r="131" spans="1:97" s="142" customFormat="1" ht="12.75" x14ac:dyDescent="0.2">
      <c r="A131" s="735">
        <v>124</v>
      </c>
      <c r="B131" s="732" t="s">
        <v>137</v>
      </c>
      <c r="C131" s="738" t="s">
        <v>138</v>
      </c>
      <c r="D131" s="905">
        <v>123426.71776165599</v>
      </c>
      <c r="E131" s="905">
        <v>66550734</v>
      </c>
      <c r="F131" s="905">
        <v>3449</v>
      </c>
      <c r="G131" s="166">
        <v>32960222</v>
      </c>
      <c r="H131" s="166">
        <v>-4521100</v>
      </c>
      <c r="I131" s="166">
        <v>580360</v>
      </c>
      <c r="J131" s="166">
        <v>-3940740</v>
      </c>
      <c r="K131" s="166">
        <v>-1658336</v>
      </c>
      <c r="L131" s="166">
        <v>-51241</v>
      </c>
      <c r="M131" s="166">
        <v>0</v>
      </c>
      <c r="N131" s="166">
        <v>0</v>
      </c>
      <c r="O131" s="166">
        <v>0</v>
      </c>
      <c r="P131" s="166">
        <v>-744159</v>
      </c>
      <c r="Q131" s="166">
        <v>-119844</v>
      </c>
      <c r="R131" s="166">
        <v>-68825</v>
      </c>
      <c r="S131" s="166">
        <v>0</v>
      </c>
      <c r="T131" s="166"/>
      <c r="U131" s="166">
        <v>0</v>
      </c>
      <c r="V131" s="166">
        <v>0</v>
      </c>
      <c r="W131" s="166">
        <v>0</v>
      </c>
      <c r="X131" s="166">
        <v>0</v>
      </c>
      <c r="Y131" s="166">
        <v>0</v>
      </c>
      <c r="Z131" s="166">
        <v>21042203</v>
      </c>
      <c r="AA131" s="166">
        <v>-2331142</v>
      </c>
      <c r="AB131" s="166"/>
      <c r="AC131" s="166">
        <v>-1286319</v>
      </c>
      <c r="AD131" s="166">
        <v>130</v>
      </c>
      <c r="AE131" s="166">
        <v>6</v>
      </c>
      <c r="AF131" s="166">
        <v>0</v>
      </c>
      <c r="AG131" s="166"/>
      <c r="AH131" s="166">
        <v>0</v>
      </c>
      <c r="AI131" s="166">
        <v>0</v>
      </c>
      <c r="AJ131" s="166">
        <v>460</v>
      </c>
      <c r="AK131" s="166">
        <v>67</v>
      </c>
      <c r="AL131" s="166">
        <v>18</v>
      </c>
      <c r="AM131" s="166">
        <v>0</v>
      </c>
      <c r="AN131" s="166">
        <v>0</v>
      </c>
      <c r="AO131" s="166">
        <v>0</v>
      </c>
      <c r="AP131" s="166">
        <v>0</v>
      </c>
      <c r="AQ131" s="166">
        <v>0</v>
      </c>
      <c r="AR131" s="166">
        <v>193</v>
      </c>
      <c r="AS131" s="166">
        <v>788</v>
      </c>
      <c r="AT131" s="166">
        <v>1907</v>
      </c>
      <c r="AU131" s="166">
        <v>1854</v>
      </c>
      <c r="AV131" s="166">
        <v>53</v>
      </c>
      <c r="AW131" s="166">
        <v>754</v>
      </c>
      <c r="AX131" s="166">
        <v>-9986</v>
      </c>
      <c r="AY131" s="166">
        <v>-194774</v>
      </c>
      <c r="AZ131" s="166">
        <v>0</v>
      </c>
      <c r="BA131" s="166">
        <v>-97762</v>
      </c>
      <c r="BB131" s="166">
        <v>-436848</v>
      </c>
      <c r="BC131" s="166">
        <v>-4789</v>
      </c>
      <c r="BD131" s="166">
        <v>0</v>
      </c>
      <c r="BE131" s="166">
        <v>13725251</v>
      </c>
      <c r="BF131" s="166"/>
      <c r="BG131" s="760">
        <v>7387750</v>
      </c>
      <c r="BH131" s="760">
        <v>0</v>
      </c>
      <c r="BI131" s="815">
        <v>10034041</v>
      </c>
      <c r="BJ131" s="1044" t="s">
        <v>2454</v>
      </c>
      <c r="BK131" s="1044" t="s">
        <v>2481</v>
      </c>
      <c r="BL131" s="1044" t="s">
        <v>2588</v>
      </c>
      <c r="BM131" s="650"/>
      <c r="BN131" s="746" t="s">
        <v>138</v>
      </c>
      <c r="BO131" s="142" t="b">
        <v>1</v>
      </c>
      <c r="BP131" s="544"/>
      <c r="BQ131" s="544"/>
      <c r="BR131" s="544"/>
      <c r="BS131" s="544"/>
      <c r="BT131" s="544"/>
      <c r="BU131" s="544"/>
      <c r="BV131" s="544"/>
      <c r="BW131" s="544"/>
      <c r="BX131" s="544"/>
      <c r="BY131" s="544"/>
      <c r="BZ131" s="544"/>
      <c r="CA131" s="544"/>
      <c r="CB131" s="544"/>
      <c r="CC131" s="544"/>
      <c r="CD131" s="544"/>
      <c r="CE131" s="544"/>
      <c r="CF131" s="544"/>
      <c r="CG131" s="544"/>
      <c r="CH131" s="544"/>
      <c r="CI131" s="544"/>
      <c r="CJ131" s="544"/>
      <c r="CK131" s="544"/>
      <c r="CL131" s="544"/>
      <c r="CM131" s="544"/>
      <c r="CN131" s="544"/>
      <c r="CO131" s="544"/>
      <c r="CP131" s="544"/>
      <c r="CQ131" s="544"/>
      <c r="CR131" s="544"/>
      <c r="CS131" s="544"/>
    </row>
    <row r="132" spans="1:97" s="142" customFormat="1" ht="12.75" x14ac:dyDescent="0.2">
      <c r="A132" s="735">
        <v>125</v>
      </c>
      <c r="B132" s="732" t="s">
        <v>139</v>
      </c>
      <c r="C132" s="738" t="s">
        <v>140</v>
      </c>
      <c r="D132" s="905">
        <v>183359.95410546099</v>
      </c>
      <c r="E132" s="905">
        <v>141965589</v>
      </c>
      <c r="F132" s="905">
        <v>4702</v>
      </c>
      <c r="G132" s="166">
        <v>70736503</v>
      </c>
      <c r="H132" s="166">
        <v>-4406072</v>
      </c>
      <c r="I132" s="166">
        <v>1364716</v>
      </c>
      <c r="J132" s="166">
        <v>-3041356</v>
      </c>
      <c r="K132" s="166">
        <v>-5267832</v>
      </c>
      <c r="L132" s="166">
        <v>-101772</v>
      </c>
      <c r="M132" s="166">
        <v>0</v>
      </c>
      <c r="N132" s="166">
        <v>-9467</v>
      </c>
      <c r="O132" s="166">
        <v>0</v>
      </c>
      <c r="P132" s="166">
        <v>-1396056</v>
      </c>
      <c r="Q132" s="166">
        <v>-143906</v>
      </c>
      <c r="R132" s="166">
        <v>-47199</v>
      </c>
      <c r="S132" s="166">
        <v>0</v>
      </c>
      <c r="T132" s="166"/>
      <c r="U132" s="166">
        <v>0</v>
      </c>
      <c r="V132" s="166">
        <v>-166020</v>
      </c>
      <c r="W132" s="166">
        <v>-166020</v>
      </c>
      <c r="X132" s="166">
        <v>0</v>
      </c>
      <c r="Y132" s="166">
        <v>0</v>
      </c>
      <c r="Z132" s="166">
        <v>50974628</v>
      </c>
      <c r="AA132" s="166">
        <v>-1286105</v>
      </c>
      <c r="AB132" s="166"/>
      <c r="AC132" s="166">
        <v>-5886259</v>
      </c>
      <c r="AD132" s="166">
        <v>299</v>
      </c>
      <c r="AE132" s="166">
        <v>4</v>
      </c>
      <c r="AF132" s="166">
        <v>0</v>
      </c>
      <c r="AG132" s="166"/>
      <c r="AH132" s="166">
        <v>2</v>
      </c>
      <c r="AI132" s="166">
        <v>0</v>
      </c>
      <c r="AJ132" s="166">
        <v>537</v>
      </c>
      <c r="AK132" s="166">
        <v>61</v>
      </c>
      <c r="AL132" s="166">
        <v>15</v>
      </c>
      <c r="AM132" s="166">
        <v>0</v>
      </c>
      <c r="AN132" s="166">
        <v>0</v>
      </c>
      <c r="AO132" s="166">
        <v>0</v>
      </c>
      <c r="AP132" s="166">
        <v>13</v>
      </c>
      <c r="AQ132" s="166">
        <v>0</v>
      </c>
      <c r="AR132" s="166">
        <v>623</v>
      </c>
      <c r="AS132" s="166">
        <v>1513</v>
      </c>
      <c r="AT132" s="166">
        <v>1682</v>
      </c>
      <c r="AU132" s="166">
        <v>1557</v>
      </c>
      <c r="AV132" s="166">
        <v>125</v>
      </c>
      <c r="AW132" s="166">
        <v>1479</v>
      </c>
      <c r="AX132" s="166">
        <v>-23906</v>
      </c>
      <c r="AY132" s="166">
        <v>-754692</v>
      </c>
      <c r="AZ132" s="166">
        <v>0</v>
      </c>
      <c r="BA132" s="166">
        <v>-19518</v>
      </c>
      <c r="BB132" s="166">
        <v>-597940</v>
      </c>
      <c r="BC132" s="166">
        <v>0</v>
      </c>
      <c r="BD132" s="166">
        <v>-366962</v>
      </c>
      <c r="BE132" s="166">
        <v>-2060207</v>
      </c>
      <c r="BF132" s="166"/>
      <c r="BG132" s="760">
        <v>18010450</v>
      </c>
      <c r="BH132" s="760">
        <v>147250</v>
      </c>
      <c r="BI132" s="815">
        <v>-137395</v>
      </c>
      <c r="BJ132" s="1044" t="s">
        <v>2454</v>
      </c>
      <c r="BK132" s="1044" t="s">
        <v>2462</v>
      </c>
      <c r="BL132" s="1044" t="s">
        <v>2589</v>
      </c>
      <c r="BM132" s="650"/>
      <c r="BN132" s="746" t="s">
        <v>140</v>
      </c>
      <c r="BO132" s="142" t="b">
        <v>1</v>
      </c>
      <c r="BP132" s="544"/>
      <c r="BQ132" s="544"/>
      <c r="BR132" s="544"/>
      <c r="BS132" s="544"/>
      <c r="BT132" s="544"/>
      <c r="BU132" s="544"/>
      <c r="BV132" s="544"/>
      <c r="BW132" s="544"/>
      <c r="BX132" s="544"/>
      <c r="BY132" s="544"/>
      <c r="BZ132" s="544"/>
      <c r="CA132" s="544"/>
      <c r="CB132" s="544"/>
      <c r="CC132" s="544"/>
      <c r="CD132" s="544"/>
      <c r="CE132" s="544"/>
      <c r="CF132" s="544"/>
      <c r="CG132" s="544"/>
      <c r="CH132" s="544"/>
      <c r="CI132" s="544"/>
      <c r="CJ132" s="544"/>
      <c r="CK132" s="544"/>
      <c r="CL132" s="544"/>
      <c r="CM132" s="544"/>
      <c r="CN132" s="544"/>
      <c r="CO132" s="544"/>
      <c r="CP132" s="544"/>
      <c r="CQ132" s="544"/>
      <c r="CR132" s="544"/>
      <c r="CS132" s="544"/>
    </row>
    <row r="133" spans="1:97" s="142" customFormat="1" ht="12.75" hidden="1" x14ac:dyDescent="0.2">
      <c r="A133" s="735">
        <v>126</v>
      </c>
      <c r="B133" s="732" t="s">
        <v>993</v>
      </c>
      <c r="C133" s="738" t="s">
        <v>142</v>
      </c>
      <c r="D133" s="905">
        <v>273556.44001264201</v>
      </c>
      <c r="E133" s="905">
        <v>116981096</v>
      </c>
      <c r="F133" s="905">
        <v>7608</v>
      </c>
      <c r="G133" s="166">
        <v>58578979</v>
      </c>
      <c r="H133" s="166">
        <v>-8670409</v>
      </c>
      <c r="I133" s="166">
        <v>786637</v>
      </c>
      <c r="J133" s="166">
        <v>-7883772</v>
      </c>
      <c r="K133" s="166">
        <v>-3587048</v>
      </c>
      <c r="L133" s="166">
        <v>-107992</v>
      </c>
      <c r="M133" s="166">
        <v>-1400</v>
      </c>
      <c r="N133" s="166">
        <v>-53847</v>
      </c>
      <c r="O133" s="166">
        <v>-10000</v>
      </c>
      <c r="P133" s="166">
        <v>-1551121</v>
      </c>
      <c r="Q133" s="166">
        <v>-168521</v>
      </c>
      <c r="R133" s="166">
        <v>-21104</v>
      </c>
      <c r="S133" s="166">
        <v>-1029</v>
      </c>
      <c r="T133" s="166"/>
      <c r="U133" s="166">
        <v>0</v>
      </c>
      <c r="V133" s="166">
        <v>0</v>
      </c>
      <c r="W133" s="166">
        <v>0</v>
      </c>
      <c r="X133" s="166">
        <v>0</v>
      </c>
      <c r="Y133" s="166">
        <v>-700</v>
      </c>
      <c r="Z133" s="166">
        <v>32556861</v>
      </c>
      <c r="AA133" s="166">
        <v>-1863381</v>
      </c>
      <c r="AB133" s="166"/>
      <c r="AC133" s="166">
        <v>-7459594</v>
      </c>
      <c r="AD133" s="166">
        <v>323</v>
      </c>
      <c r="AE133" s="166">
        <v>20</v>
      </c>
      <c r="AF133" s="166">
        <v>1</v>
      </c>
      <c r="AG133" s="166"/>
      <c r="AH133" s="166">
        <v>27</v>
      </c>
      <c r="AI133" s="166">
        <v>0</v>
      </c>
      <c r="AJ133" s="166">
        <v>435</v>
      </c>
      <c r="AK133" s="166">
        <v>119</v>
      </c>
      <c r="AL133" s="166">
        <v>7</v>
      </c>
      <c r="AM133" s="166">
        <v>1</v>
      </c>
      <c r="AN133" s="166">
        <v>0</v>
      </c>
      <c r="AO133" s="166">
        <v>1</v>
      </c>
      <c r="AP133" s="166">
        <v>0</v>
      </c>
      <c r="AQ133" s="166">
        <v>0</v>
      </c>
      <c r="AR133" s="166">
        <v>1170</v>
      </c>
      <c r="AS133" s="166">
        <v>1118</v>
      </c>
      <c r="AT133" s="166">
        <v>4320</v>
      </c>
      <c r="AU133" s="166">
        <v>4169</v>
      </c>
      <c r="AV133" s="166">
        <v>151</v>
      </c>
      <c r="AW133" s="166">
        <v>2053</v>
      </c>
      <c r="AX133" s="166">
        <v>-96263</v>
      </c>
      <c r="AY133" s="166">
        <v>-547337</v>
      </c>
      <c r="AZ133" s="166">
        <v>0</v>
      </c>
      <c r="BA133" s="166">
        <v>-4959</v>
      </c>
      <c r="BB133" s="166">
        <v>-235522</v>
      </c>
      <c r="BC133" s="166">
        <v>-215201</v>
      </c>
      <c r="BD133" s="166">
        <v>-800258</v>
      </c>
      <c r="BE133" s="166">
        <v>-334522</v>
      </c>
      <c r="BF133" s="166"/>
      <c r="BG133" s="760">
        <v>16510700</v>
      </c>
      <c r="BH133" s="760">
        <v>0</v>
      </c>
      <c r="BI133" s="815">
        <v>1920680</v>
      </c>
      <c r="BJ133" s="1044" t="s">
        <v>515</v>
      </c>
      <c r="BK133" s="1044" t="s">
        <v>2455</v>
      </c>
      <c r="BL133" s="1044" t="s">
        <v>2590</v>
      </c>
      <c r="BM133" s="650"/>
      <c r="BN133" s="746" t="s">
        <v>142</v>
      </c>
      <c r="BO133" s="142" t="b">
        <v>1</v>
      </c>
      <c r="BP133" s="544"/>
      <c r="BQ133" s="544"/>
      <c r="BR133" s="544"/>
      <c r="BS133" s="544"/>
      <c r="BT133" s="544"/>
      <c r="BU133" s="544"/>
      <c r="BV133" s="544"/>
      <c r="BW133" s="544"/>
      <c r="BX133" s="544"/>
      <c r="BY133" s="544"/>
      <c r="BZ133" s="544"/>
      <c r="CA133" s="544"/>
      <c r="CB133" s="544"/>
      <c r="CC133" s="544"/>
      <c r="CD133" s="544"/>
      <c r="CE133" s="544"/>
      <c r="CF133" s="544"/>
      <c r="CG133" s="544"/>
      <c r="CH133" s="544"/>
      <c r="CI133" s="544"/>
      <c r="CJ133" s="544"/>
      <c r="CK133" s="544"/>
      <c r="CL133" s="544"/>
      <c r="CM133" s="544"/>
      <c r="CN133" s="544"/>
      <c r="CO133" s="544"/>
      <c r="CP133" s="544"/>
      <c r="CQ133" s="544"/>
      <c r="CR133" s="544"/>
      <c r="CS133" s="544"/>
    </row>
    <row r="134" spans="1:97" s="142" customFormat="1" ht="12.75" hidden="1" x14ac:dyDescent="0.2">
      <c r="A134" s="735">
        <v>127</v>
      </c>
      <c r="B134" s="732" t="s">
        <v>994</v>
      </c>
      <c r="C134" s="738" t="s">
        <v>144</v>
      </c>
      <c r="D134" s="905">
        <v>26448.794694383701</v>
      </c>
      <c r="E134" s="905">
        <v>4717320</v>
      </c>
      <c r="F134" s="905">
        <v>536</v>
      </c>
      <c r="G134" s="166">
        <v>2340906</v>
      </c>
      <c r="H134" s="166">
        <v>-604953</v>
      </c>
      <c r="I134" s="166">
        <v>19571</v>
      </c>
      <c r="J134" s="166">
        <v>-585382</v>
      </c>
      <c r="K134" s="166">
        <v>-46226</v>
      </c>
      <c r="L134" s="166">
        <v>-6614</v>
      </c>
      <c r="M134" s="166">
        <v>-4746</v>
      </c>
      <c r="N134" s="166">
        <v>-4544</v>
      </c>
      <c r="O134" s="166">
        <v>0</v>
      </c>
      <c r="P134" s="166">
        <v>-20869</v>
      </c>
      <c r="Q134" s="166">
        <v>-2906</v>
      </c>
      <c r="R134" s="166">
        <v>-4340</v>
      </c>
      <c r="S134" s="166">
        <v>-1347</v>
      </c>
      <c r="T134" s="166"/>
      <c r="U134" s="166">
        <v>0</v>
      </c>
      <c r="V134" s="166">
        <v>0</v>
      </c>
      <c r="W134" s="166">
        <v>0</v>
      </c>
      <c r="X134" s="166">
        <v>0</v>
      </c>
      <c r="Y134" s="166">
        <v>-2373</v>
      </c>
      <c r="Z134" s="166">
        <v>1078998</v>
      </c>
      <c r="AA134" s="166">
        <v>0</v>
      </c>
      <c r="AB134" s="166"/>
      <c r="AC134" s="166">
        <v>-387802</v>
      </c>
      <c r="AD134" s="166">
        <v>12</v>
      </c>
      <c r="AE134" s="166">
        <v>2</v>
      </c>
      <c r="AF134" s="166">
        <v>2</v>
      </c>
      <c r="AG134" s="166"/>
      <c r="AH134" s="166">
        <v>4</v>
      </c>
      <c r="AI134" s="166">
        <v>0</v>
      </c>
      <c r="AJ134" s="166">
        <v>4</v>
      </c>
      <c r="AK134" s="166">
        <v>5</v>
      </c>
      <c r="AL134" s="166">
        <v>7</v>
      </c>
      <c r="AM134" s="166">
        <v>0</v>
      </c>
      <c r="AN134" s="166">
        <v>0</v>
      </c>
      <c r="AO134" s="166">
        <v>1</v>
      </c>
      <c r="AP134" s="166">
        <v>0</v>
      </c>
      <c r="AQ134" s="166">
        <v>0</v>
      </c>
      <c r="AR134" s="166">
        <v>76</v>
      </c>
      <c r="AS134" s="166">
        <v>41</v>
      </c>
      <c r="AT134" s="166">
        <v>294</v>
      </c>
      <c r="AU134" s="166">
        <v>287</v>
      </c>
      <c r="AV134" s="166">
        <v>7</v>
      </c>
      <c r="AW134" s="166">
        <v>195</v>
      </c>
      <c r="AX134" s="166">
        <v>-17453</v>
      </c>
      <c r="AY134" s="166">
        <v>0</v>
      </c>
      <c r="AZ134" s="166">
        <v>0</v>
      </c>
      <c r="BA134" s="166">
        <v>0</v>
      </c>
      <c r="BB134" s="166">
        <v>0</v>
      </c>
      <c r="BC134" s="166">
        <v>-3416</v>
      </c>
      <c r="BD134" s="166">
        <v>-26033</v>
      </c>
      <c r="BE134" s="166">
        <v>4016</v>
      </c>
      <c r="BF134" s="166"/>
      <c r="BG134" s="760">
        <v>702750</v>
      </c>
      <c r="BH134" s="760">
        <v>0</v>
      </c>
      <c r="BI134" s="815">
        <v>3347</v>
      </c>
      <c r="BJ134" s="1044" t="s">
        <v>515</v>
      </c>
      <c r="BK134" s="1044" t="s">
        <v>2474</v>
      </c>
      <c r="BL134" s="1044" t="s">
        <v>2591</v>
      </c>
      <c r="BM134" s="650"/>
      <c r="BN134" s="746" t="s">
        <v>144</v>
      </c>
      <c r="BO134" s="142" t="b">
        <v>1</v>
      </c>
      <c r="BP134" s="544"/>
      <c r="BQ134" s="544"/>
      <c r="BR134" s="544"/>
      <c r="BS134" s="544"/>
      <c r="BT134" s="544"/>
      <c r="BU134" s="544"/>
      <c r="BV134" s="544"/>
      <c r="BW134" s="544"/>
      <c r="BX134" s="544"/>
      <c r="BY134" s="544"/>
      <c r="BZ134" s="544"/>
      <c r="CA134" s="544"/>
      <c r="CB134" s="544"/>
      <c r="CC134" s="544"/>
      <c r="CD134" s="544"/>
      <c r="CE134" s="544"/>
      <c r="CF134" s="544"/>
      <c r="CG134" s="544"/>
      <c r="CH134" s="544"/>
      <c r="CI134" s="544"/>
      <c r="CJ134" s="544"/>
      <c r="CK134" s="544"/>
      <c r="CL134" s="544"/>
      <c r="CM134" s="544"/>
      <c r="CN134" s="544"/>
      <c r="CO134" s="544"/>
      <c r="CP134" s="544"/>
      <c r="CQ134" s="544"/>
      <c r="CR134" s="544"/>
      <c r="CS134" s="544"/>
    </row>
    <row r="135" spans="1:97" s="142" customFormat="1" ht="12.75" hidden="1" x14ac:dyDescent="0.2">
      <c r="A135" s="735">
        <v>128</v>
      </c>
      <c r="B135" s="732" t="s">
        <v>145</v>
      </c>
      <c r="C135" s="738" t="s">
        <v>146</v>
      </c>
      <c r="D135" s="905">
        <v>684130.09991428501</v>
      </c>
      <c r="E135" s="905">
        <v>697863368</v>
      </c>
      <c r="F135" s="905">
        <v>12084</v>
      </c>
      <c r="G135" s="166">
        <v>344649330</v>
      </c>
      <c r="H135" s="166">
        <v>-7290272</v>
      </c>
      <c r="I135" s="166">
        <v>7394065</v>
      </c>
      <c r="J135" s="166">
        <v>103793</v>
      </c>
      <c r="K135" s="166">
        <v>-25190313</v>
      </c>
      <c r="L135" s="166">
        <v>0</v>
      </c>
      <c r="M135" s="166">
        <v>0</v>
      </c>
      <c r="N135" s="166">
        <v>0</v>
      </c>
      <c r="O135" s="166">
        <v>0</v>
      </c>
      <c r="P135" s="166">
        <v>-17072450</v>
      </c>
      <c r="Q135" s="166">
        <v>-898802</v>
      </c>
      <c r="R135" s="166">
        <v>-339452</v>
      </c>
      <c r="S135" s="166">
        <v>0</v>
      </c>
      <c r="T135" s="166"/>
      <c r="U135" s="166">
        <v>0</v>
      </c>
      <c r="V135" s="166">
        <v>0</v>
      </c>
      <c r="W135" s="166">
        <v>0</v>
      </c>
      <c r="X135" s="166">
        <v>0</v>
      </c>
      <c r="Y135" s="166">
        <v>0</v>
      </c>
      <c r="Z135" s="166">
        <v>260511507</v>
      </c>
      <c r="AA135" s="166">
        <v>-7611000</v>
      </c>
      <c r="AB135" s="166"/>
      <c r="AC135" s="166">
        <v>-35572637</v>
      </c>
      <c r="AD135" s="166">
        <v>668</v>
      </c>
      <c r="AE135" s="166">
        <v>1</v>
      </c>
      <c r="AF135" s="166">
        <v>0</v>
      </c>
      <c r="AG135" s="166"/>
      <c r="AH135" s="166">
        <v>0</v>
      </c>
      <c r="AI135" s="166">
        <v>0</v>
      </c>
      <c r="AJ135" s="166">
        <v>1599</v>
      </c>
      <c r="AK135" s="166">
        <v>140</v>
      </c>
      <c r="AL135" s="166">
        <v>33</v>
      </c>
      <c r="AM135" s="166">
        <v>0</v>
      </c>
      <c r="AN135" s="166">
        <v>0</v>
      </c>
      <c r="AO135" s="166">
        <v>0</v>
      </c>
      <c r="AP135" s="166">
        <v>0</v>
      </c>
      <c r="AQ135" s="166">
        <v>0</v>
      </c>
      <c r="AR135" s="166">
        <v>2545</v>
      </c>
      <c r="AS135" s="166">
        <v>2608</v>
      </c>
      <c r="AT135" s="166">
        <v>2103</v>
      </c>
      <c r="AU135" s="166">
        <v>1711</v>
      </c>
      <c r="AV135" s="166">
        <v>392</v>
      </c>
      <c r="AW135" s="166">
        <v>7451</v>
      </c>
      <c r="AX135" s="166">
        <v>-2039298</v>
      </c>
      <c r="AY135" s="166">
        <v>-1291911</v>
      </c>
      <c r="AZ135" s="166">
        <v>-10677</v>
      </c>
      <c r="BA135" s="166">
        <v>-42708</v>
      </c>
      <c r="BB135" s="166">
        <v>-416401</v>
      </c>
      <c r="BC135" s="166">
        <v>-13271455</v>
      </c>
      <c r="BD135" s="166">
        <v>-68476</v>
      </c>
      <c r="BE135" s="166">
        <v>21269127</v>
      </c>
      <c r="BF135" s="166"/>
      <c r="BG135" s="760">
        <v>37017750</v>
      </c>
      <c r="BH135" s="760">
        <v>0</v>
      </c>
      <c r="BI135" s="815">
        <v>33877189</v>
      </c>
      <c r="BJ135" s="1044" t="s">
        <v>2506</v>
      </c>
      <c r="BK135" s="1044" t="s">
        <v>2465</v>
      </c>
      <c r="BL135" s="1044" t="s">
        <v>2592</v>
      </c>
      <c r="BM135" s="650"/>
      <c r="BN135" s="746" t="s">
        <v>146</v>
      </c>
      <c r="BO135" s="142" t="b">
        <v>1</v>
      </c>
      <c r="BP135" s="544"/>
      <c r="BQ135" s="544"/>
      <c r="BR135" s="544"/>
      <c r="BS135" s="544"/>
      <c r="BT135" s="544"/>
      <c r="BU135" s="544"/>
      <c r="BV135" s="544"/>
      <c r="BW135" s="544"/>
      <c r="BX135" s="544"/>
      <c r="BY135" s="544"/>
      <c r="BZ135" s="544"/>
      <c r="CA135" s="544"/>
      <c r="CB135" s="544"/>
      <c r="CC135" s="544"/>
      <c r="CD135" s="544"/>
      <c r="CE135" s="544"/>
      <c r="CF135" s="544"/>
      <c r="CG135" s="544"/>
      <c r="CH135" s="544"/>
      <c r="CI135" s="544"/>
      <c r="CJ135" s="544"/>
      <c r="CK135" s="544"/>
      <c r="CL135" s="544"/>
      <c r="CM135" s="544"/>
      <c r="CN135" s="544"/>
      <c r="CO135" s="544"/>
      <c r="CP135" s="544"/>
      <c r="CQ135" s="544"/>
      <c r="CR135" s="544"/>
      <c r="CS135" s="544"/>
    </row>
    <row r="136" spans="1:97" s="142" customFormat="1" ht="12.75" hidden="1" x14ac:dyDescent="0.2">
      <c r="A136" s="735">
        <v>129</v>
      </c>
      <c r="B136" s="732" t="s">
        <v>147</v>
      </c>
      <c r="C136" s="738" t="s">
        <v>148</v>
      </c>
      <c r="D136" s="905">
        <v>552286.20810519904</v>
      </c>
      <c r="E136" s="905">
        <v>665875735</v>
      </c>
      <c r="F136" s="905">
        <v>8829</v>
      </c>
      <c r="G136" s="166">
        <v>336399692</v>
      </c>
      <c r="H136" s="166">
        <v>-4361853</v>
      </c>
      <c r="I136" s="166">
        <v>7532864</v>
      </c>
      <c r="J136" s="166">
        <v>3171011</v>
      </c>
      <c r="K136" s="166">
        <v>-28444267</v>
      </c>
      <c r="L136" s="166">
        <v>0</v>
      </c>
      <c r="M136" s="166">
        <v>0</v>
      </c>
      <c r="N136" s="166">
        <v>0</v>
      </c>
      <c r="O136" s="166">
        <v>0</v>
      </c>
      <c r="P136" s="166">
        <v>-11505000</v>
      </c>
      <c r="Q136" s="166">
        <v>-114404</v>
      </c>
      <c r="R136" s="166">
        <v>-158896</v>
      </c>
      <c r="S136" s="166">
        <v>0</v>
      </c>
      <c r="T136" s="166"/>
      <c r="U136" s="166">
        <v>0</v>
      </c>
      <c r="V136" s="166">
        <v>0</v>
      </c>
      <c r="W136" s="166">
        <v>0</v>
      </c>
      <c r="X136" s="166">
        <v>0</v>
      </c>
      <c r="Y136" s="166">
        <v>0</v>
      </c>
      <c r="Z136" s="166">
        <v>248476503</v>
      </c>
      <c r="AA136" s="166">
        <v>-6636500</v>
      </c>
      <c r="AB136" s="166"/>
      <c r="AC136" s="166">
        <v>-46005723</v>
      </c>
      <c r="AD136" s="166">
        <v>309</v>
      </c>
      <c r="AE136" s="166">
        <v>0</v>
      </c>
      <c r="AF136" s="166">
        <v>0</v>
      </c>
      <c r="AG136" s="166"/>
      <c r="AH136" s="166">
        <v>0</v>
      </c>
      <c r="AI136" s="166">
        <v>0</v>
      </c>
      <c r="AJ136" s="166">
        <v>685</v>
      </c>
      <c r="AK136" s="166">
        <v>53</v>
      </c>
      <c r="AL136" s="166">
        <v>15</v>
      </c>
      <c r="AM136" s="166">
        <v>0</v>
      </c>
      <c r="AN136" s="166">
        <v>0</v>
      </c>
      <c r="AO136" s="166">
        <v>0</v>
      </c>
      <c r="AP136" s="166">
        <v>0</v>
      </c>
      <c r="AQ136" s="166">
        <v>0</v>
      </c>
      <c r="AR136" s="166">
        <v>1955</v>
      </c>
      <c r="AS136" s="166">
        <v>3826</v>
      </c>
      <c r="AT136" s="166">
        <v>6804</v>
      </c>
      <c r="AU136" s="166">
        <v>203</v>
      </c>
      <c r="AV136" s="166">
        <v>6601</v>
      </c>
      <c r="AW136" s="166">
        <v>3907</v>
      </c>
      <c r="AX136" s="166">
        <v>-54553</v>
      </c>
      <c r="AY136" s="166">
        <v>-4780223</v>
      </c>
      <c r="AZ136" s="166">
        <v>0</v>
      </c>
      <c r="BA136" s="166">
        <v>0</v>
      </c>
      <c r="BB136" s="166">
        <v>-6098833</v>
      </c>
      <c r="BC136" s="166">
        <v>-571391</v>
      </c>
      <c r="BD136" s="166">
        <v>-557789</v>
      </c>
      <c r="BE136" s="166">
        <v>-10168364</v>
      </c>
      <c r="BF136" s="166"/>
      <c r="BG136" s="760">
        <v>0</v>
      </c>
      <c r="BH136" s="760">
        <v>0</v>
      </c>
      <c r="BI136" s="815">
        <v>-40529242</v>
      </c>
      <c r="BJ136" s="1044" t="s">
        <v>2506</v>
      </c>
      <c r="BK136" s="1044" t="s">
        <v>2465</v>
      </c>
      <c r="BL136" s="1044" t="s">
        <v>2593</v>
      </c>
      <c r="BM136" s="650"/>
      <c r="BN136" s="746" t="s">
        <v>148</v>
      </c>
      <c r="BO136" s="142" t="b">
        <v>1</v>
      </c>
      <c r="BP136" s="544"/>
      <c r="BQ136" s="544"/>
      <c r="BR136" s="544"/>
      <c r="BS136" s="544"/>
      <c r="BT136" s="544"/>
      <c r="BU136" s="544"/>
      <c r="BV136" s="544"/>
      <c r="BW136" s="544"/>
      <c r="BX136" s="544"/>
      <c r="BY136" s="544"/>
      <c r="BZ136" s="544"/>
      <c r="CA136" s="544"/>
      <c r="CB136" s="544"/>
      <c r="CC136" s="544"/>
      <c r="CD136" s="544"/>
      <c r="CE136" s="544"/>
      <c r="CF136" s="544"/>
      <c r="CG136" s="544"/>
      <c r="CH136" s="544"/>
      <c r="CI136" s="544"/>
      <c r="CJ136" s="544"/>
      <c r="CK136" s="544"/>
      <c r="CL136" s="544"/>
      <c r="CM136" s="544"/>
      <c r="CN136" s="544"/>
      <c r="CO136" s="544"/>
      <c r="CP136" s="544"/>
      <c r="CQ136" s="544"/>
      <c r="CR136" s="544"/>
      <c r="CS136" s="544"/>
    </row>
    <row r="137" spans="1:97" s="142" customFormat="1" ht="12.75" x14ac:dyDescent="0.2">
      <c r="A137" s="735">
        <v>130</v>
      </c>
      <c r="B137" s="732" t="s">
        <v>996</v>
      </c>
      <c r="C137" s="738" t="s">
        <v>150</v>
      </c>
      <c r="D137" s="905">
        <v>241294.06806924299</v>
      </c>
      <c r="E137" s="905">
        <v>133274677</v>
      </c>
      <c r="F137" s="905">
        <v>6714</v>
      </c>
      <c r="G137" s="166">
        <v>66555603</v>
      </c>
      <c r="H137" s="166">
        <v>-6245598</v>
      </c>
      <c r="I137" s="166">
        <v>1164299</v>
      </c>
      <c r="J137" s="166">
        <v>-5081299</v>
      </c>
      <c r="K137" s="166">
        <v>-3385172</v>
      </c>
      <c r="L137" s="166">
        <v>-35724</v>
      </c>
      <c r="M137" s="166">
        <v>-95784</v>
      </c>
      <c r="N137" s="166">
        <v>-27725</v>
      </c>
      <c r="O137" s="166">
        <v>-10000</v>
      </c>
      <c r="P137" s="166">
        <v>-1100000</v>
      </c>
      <c r="Q137" s="166">
        <v>-127154</v>
      </c>
      <c r="R137" s="166">
        <v>-695133</v>
      </c>
      <c r="S137" s="166">
        <v>-8931</v>
      </c>
      <c r="T137" s="166"/>
      <c r="U137" s="166">
        <v>-8449</v>
      </c>
      <c r="V137" s="166">
        <v>-23472</v>
      </c>
      <c r="W137" s="166">
        <v>-23472</v>
      </c>
      <c r="X137" s="166">
        <v>0</v>
      </c>
      <c r="Y137" s="166">
        <v>-47892</v>
      </c>
      <c r="Z137" s="166">
        <v>46085168</v>
      </c>
      <c r="AA137" s="166">
        <v>-1674340</v>
      </c>
      <c r="AB137" s="166"/>
      <c r="AC137" s="166">
        <v>-6137064</v>
      </c>
      <c r="AD137" s="166">
        <v>338</v>
      </c>
      <c r="AE137" s="166">
        <v>10</v>
      </c>
      <c r="AF137" s="166">
        <v>46</v>
      </c>
      <c r="AG137" s="166"/>
      <c r="AH137" s="166">
        <v>13</v>
      </c>
      <c r="AI137" s="166">
        <v>0</v>
      </c>
      <c r="AJ137" s="166">
        <v>343</v>
      </c>
      <c r="AK137" s="166">
        <v>177</v>
      </c>
      <c r="AL137" s="166">
        <v>28</v>
      </c>
      <c r="AM137" s="166">
        <v>0</v>
      </c>
      <c r="AN137" s="166">
        <v>2</v>
      </c>
      <c r="AO137" s="166">
        <v>10</v>
      </c>
      <c r="AP137" s="166">
        <v>9</v>
      </c>
      <c r="AQ137" s="166">
        <v>0</v>
      </c>
      <c r="AR137" s="166">
        <v>963</v>
      </c>
      <c r="AS137" s="166">
        <v>1216</v>
      </c>
      <c r="AT137" s="166">
        <v>3354</v>
      </c>
      <c r="AU137" s="166">
        <v>3220</v>
      </c>
      <c r="AV137" s="166">
        <v>134</v>
      </c>
      <c r="AW137" s="166">
        <v>2254</v>
      </c>
      <c r="AX137" s="166">
        <v>-165275</v>
      </c>
      <c r="AY137" s="166">
        <v>-206577</v>
      </c>
      <c r="AZ137" s="166">
        <v>0</v>
      </c>
      <c r="BA137" s="166">
        <v>0</v>
      </c>
      <c r="BB137" s="166">
        <v>-386095</v>
      </c>
      <c r="BC137" s="166">
        <v>-342053</v>
      </c>
      <c r="BD137" s="166">
        <v>-50000</v>
      </c>
      <c r="BE137" s="166">
        <v>3239718</v>
      </c>
      <c r="BF137" s="166"/>
      <c r="BG137" s="760">
        <v>18154625</v>
      </c>
      <c r="BH137" s="760">
        <v>0</v>
      </c>
      <c r="BI137" s="815">
        <v>3142663</v>
      </c>
      <c r="BJ137" s="1044" t="s">
        <v>2454</v>
      </c>
      <c r="BK137" s="1044" t="s">
        <v>2462</v>
      </c>
      <c r="BL137" s="1044" t="s">
        <v>2594</v>
      </c>
      <c r="BM137" s="650"/>
      <c r="BN137" s="746" t="s">
        <v>150</v>
      </c>
      <c r="BO137" s="142" t="b">
        <v>1</v>
      </c>
      <c r="BP137" s="544"/>
      <c r="BQ137" s="544"/>
      <c r="BR137" s="544"/>
      <c r="BS137" s="544"/>
      <c r="BT137" s="544"/>
      <c r="BU137" s="544"/>
      <c r="BV137" s="544"/>
      <c r="BW137" s="544"/>
      <c r="BX137" s="544"/>
      <c r="BY137" s="544"/>
      <c r="BZ137" s="544"/>
      <c r="CA137" s="544"/>
      <c r="CB137" s="544"/>
      <c r="CC137" s="544"/>
      <c r="CD137" s="544"/>
      <c r="CE137" s="544"/>
      <c r="CF137" s="544"/>
      <c r="CG137" s="544"/>
      <c r="CH137" s="544"/>
      <c r="CI137" s="544"/>
      <c r="CJ137" s="544"/>
      <c r="CK137" s="544"/>
      <c r="CL137" s="544"/>
      <c r="CM137" s="544"/>
      <c r="CN137" s="544"/>
      <c r="CO137" s="544"/>
      <c r="CP137" s="544"/>
      <c r="CQ137" s="544"/>
      <c r="CR137" s="544"/>
      <c r="CS137" s="544"/>
    </row>
    <row r="138" spans="1:97" s="142" customFormat="1" ht="12.75" hidden="1" x14ac:dyDescent="0.2">
      <c r="A138" s="735">
        <v>131</v>
      </c>
      <c r="B138" s="732" t="s">
        <v>992</v>
      </c>
      <c r="C138" s="738" t="s">
        <v>152</v>
      </c>
      <c r="D138" s="905">
        <v>345922.28680309001</v>
      </c>
      <c r="E138" s="905">
        <v>229276190</v>
      </c>
      <c r="F138" s="905">
        <v>9280</v>
      </c>
      <c r="G138" s="166">
        <v>120252243</v>
      </c>
      <c r="H138" s="166">
        <v>-9266533</v>
      </c>
      <c r="I138" s="166">
        <v>2098015</v>
      </c>
      <c r="J138" s="166">
        <v>-7168518</v>
      </c>
      <c r="K138" s="166">
        <v>-9651179</v>
      </c>
      <c r="L138" s="166">
        <v>0</v>
      </c>
      <c r="M138" s="166">
        <v>0</v>
      </c>
      <c r="N138" s="166">
        <v>-9961</v>
      </c>
      <c r="O138" s="166">
        <v>0</v>
      </c>
      <c r="P138" s="166">
        <v>-2081267</v>
      </c>
      <c r="Q138" s="166">
        <v>-85022</v>
      </c>
      <c r="R138" s="166">
        <v>-970569</v>
      </c>
      <c r="S138" s="166">
        <v>0</v>
      </c>
      <c r="T138" s="166"/>
      <c r="U138" s="166">
        <v>0</v>
      </c>
      <c r="V138" s="166">
        <v>-224269</v>
      </c>
      <c r="W138" s="166">
        <v>-81920</v>
      </c>
      <c r="X138" s="166">
        <v>0</v>
      </c>
      <c r="Y138" s="166">
        <v>0</v>
      </c>
      <c r="Z138" s="166">
        <v>89643236</v>
      </c>
      <c r="AA138" s="166">
        <v>-295184</v>
      </c>
      <c r="AB138" s="166"/>
      <c r="AC138" s="166">
        <v>-6178421</v>
      </c>
      <c r="AD138" s="166">
        <v>496</v>
      </c>
      <c r="AE138" s="166">
        <v>0</v>
      </c>
      <c r="AF138" s="166">
        <v>0</v>
      </c>
      <c r="AG138" s="166"/>
      <c r="AH138" s="166">
        <v>4</v>
      </c>
      <c r="AI138" s="166">
        <v>0</v>
      </c>
      <c r="AJ138" s="166">
        <v>625</v>
      </c>
      <c r="AK138" s="166">
        <v>2</v>
      </c>
      <c r="AL138" s="166">
        <v>38</v>
      </c>
      <c r="AM138" s="166">
        <v>0</v>
      </c>
      <c r="AN138" s="166">
        <v>0</v>
      </c>
      <c r="AO138" s="166">
        <v>0</v>
      </c>
      <c r="AP138" s="166">
        <v>4</v>
      </c>
      <c r="AQ138" s="166">
        <v>0</v>
      </c>
      <c r="AR138" s="166">
        <v>863</v>
      </c>
      <c r="AS138" s="166">
        <v>2153</v>
      </c>
      <c r="AT138" s="166">
        <v>3654</v>
      </c>
      <c r="AU138" s="166">
        <v>3492</v>
      </c>
      <c r="AV138" s="166">
        <v>162</v>
      </c>
      <c r="AW138" s="166">
        <v>3490</v>
      </c>
      <c r="AX138" s="166">
        <v>-98247</v>
      </c>
      <c r="AY138" s="166">
        <v>-768963</v>
      </c>
      <c r="AZ138" s="166">
        <v>0</v>
      </c>
      <c r="BA138" s="166">
        <v>0</v>
      </c>
      <c r="BB138" s="166">
        <v>-1147129</v>
      </c>
      <c r="BC138" s="166">
        <v>-66928</v>
      </c>
      <c r="BD138" s="166">
        <v>-243450</v>
      </c>
      <c r="BE138" s="166">
        <v>3818190</v>
      </c>
      <c r="BF138" s="166"/>
      <c r="BG138" s="760">
        <v>31766350</v>
      </c>
      <c r="BH138" s="760">
        <v>232000</v>
      </c>
      <c r="BI138" s="815">
        <v>6596205</v>
      </c>
      <c r="BJ138" s="1044" t="s">
        <v>515</v>
      </c>
      <c r="BK138" s="1044" t="s">
        <v>2469</v>
      </c>
      <c r="BL138" s="1044" t="s">
        <v>2595</v>
      </c>
      <c r="BM138" s="650"/>
      <c r="BN138" s="746" t="s">
        <v>152</v>
      </c>
      <c r="BO138" s="142" t="b">
        <v>1</v>
      </c>
      <c r="BP138" s="544"/>
      <c r="BQ138" s="544"/>
      <c r="BR138" s="544"/>
      <c r="BS138" s="544"/>
      <c r="BT138" s="544"/>
      <c r="BU138" s="544"/>
      <c r="BV138" s="544"/>
      <c r="BW138" s="544"/>
      <c r="BX138" s="544"/>
      <c r="BY138" s="544"/>
      <c r="BZ138" s="544"/>
      <c r="CA138" s="544"/>
      <c r="CB138" s="544"/>
      <c r="CC138" s="544"/>
      <c r="CD138" s="544"/>
      <c r="CE138" s="544"/>
      <c r="CF138" s="544"/>
      <c r="CG138" s="544"/>
      <c r="CH138" s="544"/>
      <c r="CI138" s="544"/>
      <c r="CJ138" s="544"/>
      <c r="CK138" s="544"/>
      <c r="CL138" s="544"/>
      <c r="CM138" s="544"/>
      <c r="CN138" s="544"/>
      <c r="CO138" s="544"/>
      <c r="CP138" s="544"/>
      <c r="CQ138" s="544"/>
      <c r="CR138" s="544"/>
      <c r="CS138" s="544"/>
    </row>
    <row r="139" spans="1:97" s="142" customFormat="1" ht="12.75" hidden="1" x14ac:dyDescent="0.2">
      <c r="A139" s="735">
        <v>132</v>
      </c>
      <c r="B139" s="732" t="s">
        <v>153</v>
      </c>
      <c r="C139" s="738" t="s">
        <v>154</v>
      </c>
      <c r="D139" s="905">
        <v>216250.556006103</v>
      </c>
      <c r="E139" s="905">
        <v>205038767</v>
      </c>
      <c r="F139" s="905">
        <v>4533</v>
      </c>
      <c r="G139" s="166">
        <v>101823914</v>
      </c>
      <c r="H139" s="166">
        <v>-3720179</v>
      </c>
      <c r="I139" s="166">
        <v>1792307</v>
      </c>
      <c r="J139" s="166">
        <v>-1927872</v>
      </c>
      <c r="K139" s="166">
        <v>-9072902</v>
      </c>
      <c r="L139" s="166">
        <v>-119071</v>
      </c>
      <c r="M139" s="166">
        <v>0</v>
      </c>
      <c r="N139" s="166">
        <v>0</v>
      </c>
      <c r="O139" s="166">
        <v>-30000</v>
      </c>
      <c r="P139" s="166">
        <v>-3595000</v>
      </c>
      <c r="Q139" s="166">
        <v>-69693</v>
      </c>
      <c r="R139" s="166">
        <v>-357367</v>
      </c>
      <c r="S139" s="166">
        <v>0</v>
      </c>
      <c r="T139" s="166"/>
      <c r="U139" s="166">
        <v>0</v>
      </c>
      <c r="V139" s="166">
        <v>0</v>
      </c>
      <c r="W139" s="166">
        <v>0</v>
      </c>
      <c r="X139" s="166">
        <v>0</v>
      </c>
      <c r="Y139" s="166">
        <v>0</v>
      </c>
      <c r="Z139" s="166">
        <v>69245470</v>
      </c>
      <c r="AA139" s="166">
        <v>-3234000</v>
      </c>
      <c r="AB139" s="166"/>
      <c r="AC139" s="166">
        <v>-11250000</v>
      </c>
      <c r="AD139" s="166">
        <v>182</v>
      </c>
      <c r="AE139" s="166">
        <v>10</v>
      </c>
      <c r="AF139" s="166">
        <v>0</v>
      </c>
      <c r="AG139" s="166"/>
      <c r="AH139" s="166">
        <v>0</v>
      </c>
      <c r="AI139" s="166">
        <v>0</v>
      </c>
      <c r="AJ139" s="166">
        <v>634</v>
      </c>
      <c r="AK139" s="166">
        <v>18</v>
      </c>
      <c r="AL139" s="166">
        <v>25</v>
      </c>
      <c r="AM139" s="166">
        <v>0</v>
      </c>
      <c r="AN139" s="166">
        <v>0</v>
      </c>
      <c r="AO139" s="166">
        <v>0</v>
      </c>
      <c r="AP139" s="166">
        <v>0</v>
      </c>
      <c r="AQ139" s="166">
        <v>0</v>
      </c>
      <c r="AR139" s="166">
        <v>954</v>
      </c>
      <c r="AS139" s="166">
        <v>1586</v>
      </c>
      <c r="AT139" s="166">
        <v>1950</v>
      </c>
      <c r="AU139" s="166">
        <v>1687</v>
      </c>
      <c r="AV139" s="166">
        <v>263</v>
      </c>
      <c r="AW139" s="166">
        <v>1024</v>
      </c>
      <c r="AX139" s="166">
        <v>-100000</v>
      </c>
      <c r="AY139" s="166">
        <v>-2000000</v>
      </c>
      <c r="AZ139" s="166">
        <v>0</v>
      </c>
      <c r="BA139" s="166">
        <v>0</v>
      </c>
      <c r="BB139" s="166">
        <v>-595000</v>
      </c>
      <c r="BC139" s="166">
        <v>-900000</v>
      </c>
      <c r="BD139" s="166">
        <v>-500000</v>
      </c>
      <c r="BE139" s="166">
        <v>-3844842</v>
      </c>
      <c r="BF139" s="166"/>
      <c r="BG139" s="760">
        <v>18105000</v>
      </c>
      <c r="BH139" s="760">
        <v>0</v>
      </c>
      <c r="BI139" s="815">
        <v>-9063838</v>
      </c>
      <c r="BJ139" s="1044" t="s">
        <v>2464</v>
      </c>
      <c r="BK139" s="1044" t="s">
        <v>2465</v>
      </c>
      <c r="BL139" s="1044" t="s">
        <v>2596</v>
      </c>
      <c r="BM139" s="650"/>
      <c r="BN139" s="746" t="s">
        <v>154</v>
      </c>
      <c r="BO139" s="142" t="b">
        <v>1</v>
      </c>
      <c r="BP139" s="544"/>
      <c r="BQ139" s="544"/>
      <c r="BR139" s="544"/>
      <c r="BS139" s="544"/>
      <c r="BT139" s="544"/>
      <c r="BU139" s="544"/>
      <c r="BV139" s="544"/>
      <c r="BW139" s="544"/>
      <c r="BX139" s="544"/>
      <c r="BY139" s="544"/>
      <c r="BZ139" s="544"/>
      <c r="CA139" s="544"/>
      <c r="CB139" s="544"/>
      <c r="CC139" s="544"/>
      <c r="CD139" s="544"/>
      <c r="CE139" s="544"/>
      <c r="CF139" s="544"/>
      <c r="CG139" s="544"/>
      <c r="CH139" s="544"/>
      <c r="CI139" s="544"/>
      <c r="CJ139" s="544"/>
      <c r="CK139" s="544"/>
      <c r="CL139" s="544"/>
      <c r="CM139" s="544"/>
      <c r="CN139" s="544"/>
      <c r="CO139" s="544"/>
      <c r="CP139" s="544"/>
      <c r="CQ139" s="544"/>
      <c r="CR139" s="544"/>
      <c r="CS139" s="544"/>
    </row>
    <row r="140" spans="1:97" s="142" customFormat="1" ht="12.75" hidden="1" x14ac:dyDescent="0.2">
      <c r="A140" s="735">
        <v>133</v>
      </c>
      <c r="B140" s="732" t="s">
        <v>155</v>
      </c>
      <c r="C140" s="738" t="s">
        <v>156</v>
      </c>
      <c r="D140" s="905">
        <v>587360.61652286199</v>
      </c>
      <c r="E140" s="905">
        <v>302711798</v>
      </c>
      <c r="F140" s="905">
        <v>16434</v>
      </c>
      <c r="G140" s="166">
        <v>150218084</v>
      </c>
      <c r="H140" s="166">
        <v>-20089499</v>
      </c>
      <c r="I140" s="166">
        <v>2308889</v>
      </c>
      <c r="J140" s="166">
        <v>-17780610</v>
      </c>
      <c r="K140" s="166">
        <v>-9004649</v>
      </c>
      <c r="L140" s="166">
        <v>-153784</v>
      </c>
      <c r="M140" s="166">
        <v>-2071</v>
      </c>
      <c r="N140" s="166">
        <v>-4303</v>
      </c>
      <c r="O140" s="166">
        <v>-20256</v>
      </c>
      <c r="P140" s="166">
        <v>-4207243</v>
      </c>
      <c r="Q140" s="166">
        <v>-266139</v>
      </c>
      <c r="R140" s="166">
        <v>-95750</v>
      </c>
      <c r="S140" s="166">
        <v>0</v>
      </c>
      <c r="T140" s="166"/>
      <c r="U140" s="166">
        <v>-70891</v>
      </c>
      <c r="V140" s="166">
        <v>-165000</v>
      </c>
      <c r="W140" s="166">
        <v>-165000</v>
      </c>
      <c r="X140" s="166">
        <v>0</v>
      </c>
      <c r="Y140" s="166">
        <v>0</v>
      </c>
      <c r="Z140" s="166">
        <v>98239832</v>
      </c>
      <c r="AA140" s="166">
        <v>-3748000</v>
      </c>
      <c r="AB140" s="166"/>
      <c r="AC140" s="166">
        <v>-11934441</v>
      </c>
      <c r="AD140" s="166">
        <v>462</v>
      </c>
      <c r="AE140" s="166">
        <v>23</v>
      </c>
      <c r="AF140" s="166">
        <v>1</v>
      </c>
      <c r="AG140" s="166"/>
      <c r="AH140" s="166">
        <v>3</v>
      </c>
      <c r="AI140" s="166">
        <v>0</v>
      </c>
      <c r="AJ140" s="166">
        <v>1855</v>
      </c>
      <c r="AK140" s="166">
        <v>65</v>
      </c>
      <c r="AL140" s="166">
        <v>22</v>
      </c>
      <c r="AM140" s="166">
        <v>0</v>
      </c>
      <c r="AN140" s="166">
        <v>14</v>
      </c>
      <c r="AO140" s="166">
        <v>0</v>
      </c>
      <c r="AP140" s="166">
        <v>3</v>
      </c>
      <c r="AQ140" s="166">
        <v>0</v>
      </c>
      <c r="AR140" s="166">
        <v>1613</v>
      </c>
      <c r="AS140" s="166">
        <v>3902</v>
      </c>
      <c r="AT140" s="166">
        <v>8481</v>
      </c>
      <c r="AU140" s="166">
        <v>8135</v>
      </c>
      <c r="AV140" s="166">
        <v>346</v>
      </c>
      <c r="AW140" s="166">
        <v>4035</v>
      </c>
      <c r="AX140" s="166">
        <v>-698190</v>
      </c>
      <c r="AY140" s="166">
        <v>-1962395</v>
      </c>
      <c r="AZ140" s="166">
        <v>0</v>
      </c>
      <c r="BA140" s="166">
        <v>-99875</v>
      </c>
      <c r="BB140" s="166">
        <v>-1052875</v>
      </c>
      <c r="BC140" s="166">
        <v>-393908</v>
      </c>
      <c r="BD140" s="166">
        <v>-22488</v>
      </c>
      <c r="BE140" s="166">
        <v>3543925</v>
      </c>
      <c r="BF140" s="166"/>
      <c r="BG140" s="760">
        <v>38865551</v>
      </c>
      <c r="BH140" s="760">
        <v>0</v>
      </c>
      <c r="BI140" s="815">
        <v>2544686</v>
      </c>
      <c r="BJ140" s="1044" t="s">
        <v>2468</v>
      </c>
      <c r="BK140" s="1044" t="s">
        <v>2469</v>
      </c>
      <c r="BL140" s="1044" t="s">
        <v>2597</v>
      </c>
      <c r="BM140" s="650"/>
      <c r="BN140" s="746" t="s">
        <v>156</v>
      </c>
      <c r="BO140" s="142" t="b">
        <v>1</v>
      </c>
      <c r="BP140" s="544"/>
      <c r="BQ140" s="544"/>
      <c r="BR140" s="544"/>
      <c r="BS140" s="544"/>
      <c r="BT140" s="544"/>
      <c r="BU140" s="544"/>
      <c r="BV140" s="544"/>
      <c r="BW140" s="544"/>
      <c r="BX140" s="544"/>
      <c r="BY140" s="544"/>
      <c r="BZ140" s="544"/>
      <c r="CA140" s="544"/>
      <c r="CB140" s="544"/>
      <c r="CC140" s="544"/>
      <c r="CD140" s="544"/>
      <c r="CE140" s="544"/>
      <c r="CF140" s="544"/>
      <c r="CG140" s="544"/>
      <c r="CH140" s="544"/>
      <c r="CI140" s="544"/>
      <c r="CJ140" s="544"/>
      <c r="CK140" s="544"/>
      <c r="CL140" s="544"/>
      <c r="CM140" s="544"/>
      <c r="CN140" s="544"/>
      <c r="CO140" s="544"/>
      <c r="CP140" s="544"/>
      <c r="CQ140" s="544"/>
      <c r="CR140" s="544"/>
      <c r="CS140" s="544"/>
    </row>
    <row r="141" spans="1:97" s="142" customFormat="1" ht="12.75" hidden="1" x14ac:dyDescent="0.2">
      <c r="A141" s="735">
        <v>134</v>
      </c>
      <c r="B141" s="732" t="s">
        <v>157</v>
      </c>
      <c r="C141" s="738" t="s">
        <v>158</v>
      </c>
      <c r="D141" s="905">
        <v>134119.15042637501</v>
      </c>
      <c r="E141" s="905">
        <v>124554898</v>
      </c>
      <c r="F141" s="905">
        <v>3243</v>
      </c>
      <c r="G141" s="166">
        <v>62172099</v>
      </c>
      <c r="H141" s="166">
        <v>-3442082</v>
      </c>
      <c r="I141" s="166">
        <v>1237012</v>
      </c>
      <c r="J141" s="166">
        <v>-2205070</v>
      </c>
      <c r="K141" s="166">
        <v>-3075908</v>
      </c>
      <c r="L141" s="166">
        <v>-13107</v>
      </c>
      <c r="M141" s="166">
        <v>0</v>
      </c>
      <c r="N141" s="166">
        <v>0</v>
      </c>
      <c r="O141" s="166">
        <v>-100000</v>
      </c>
      <c r="P141" s="166">
        <v>-1277463</v>
      </c>
      <c r="Q141" s="166">
        <v>-34565</v>
      </c>
      <c r="R141" s="166">
        <v>-851200</v>
      </c>
      <c r="S141" s="166">
        <v>0</v>
      </c>
      <c r="T141" s="166"/>
      <c r="U141" s="166">
        <v>0</v>
      </c>
      <c r="V141" s="166">
        <v>0</v>
      </c>
      <c r="W141" s="166">
        <v>0</v>
      </c>
      <c r="X141" s="166">
        <v>0</v>
      </c>
      <c r="Y141" s="166">
        <v>0</v>
      </c>
      <c r="Z141" s="166">
        <v>47780320</v>
      </c>
      <c r="AA141" s="166">
        <v>-2922089</v>
      </c>
      <c r="AB141" s="166"/>
      <c r="AC141" s="166">
        <v>-2424576</v>
      </c>
      <c r="AD141" s="166">
        <v>159</v>
      </c>
      <c r="AE141" s="166">
        <v>4</v>
      </c>
      <c r="AF141" s="166">
        <v>0</v>
      </c>
      <c r="AG141" s="166"/>
      <c r="AH141" s="166">
        <v>0</v>
      </c>
      <c r="AI141" s="166">
        <v>0</v>
      </c>
      <c r="AJ141" s="166">
        <v>333</v>
      </c>
      <c r="AK141" s="166">
        <v>34</v>
      </c>
      <c r="AL141" s="166">
        <v>9</v>
      </c>
      <c r="AM141" s="166">
        <v>0</v>
      </c>
      <c r="AN141" s="166">
        <v>0</v>
      </c>
      <c r="AO141" s="166">
        <v>0</v>
      </c>
      <c r="AP141" s="166">
        <v>0</v>
      </c>
      <c r="AQ141" s="166">
        <v>0</v>
      </c>
      <c r="AR141" s="166">
        <v>267</v>
      </c>
      <c r="AS141" s="166">
        <v>750</v>
      </c>
      <c r="AT141" s="166">
        <v>1166</v>
      </c>
      <c r="AU141" s="166">
        <v>1103</v>
      </c>
      <c r="AV141" s="166">
        <v>63</v>
      </c>
      <c r="AW141" s="166">
        <v>1338</v>
      </c>
      <c r="AX141" s="166">
        <v>-833197</v>
      </c>
      <c r="AY141" s="166">
        <v>-60698</v>
      </c>
      <c r="AZ141" s="166">
        <v>0</v>
      </c>
      <c r="BA141" s="166">
        <v>0</v>
      </c>
      <c r="BB141" s="166">
        <v>-383568</v>
      </c>
      <c r="BC141" s="166">
        <v>0</v>
      </c>
      <c r="BD141" s="166">
        <v>-835038</v>
      </c>
      <c r="BE141" s="166">
        <v>856784</v>
      </c>
      <c r="BF141" s="166"/>
      <c r="BG141" s="760">
        <v>12881950</v>
      </c>
      <c r="BH141" s="760">
        <v>0</v>
      </c>
      <c r="BI141" s="815">
        <v>856784</v>
      </c>
      <c r="BJ141" s="1044" t="s">
        <v>2468</v>
      </c>
      <c r="BK141" s="1044" t="s">
        <v>2481</v>
      </c>
      <c r="BL141" s="1044" t="s">
        <v>2598</v>
      </c>
      <c r="BM141" s="650"/>
      <c r="BN141" s="746" t="s">
        <v>158</v>
      </c>
      <c r="BO141" s="142" t="b">
        <v>1</v>
      </c>
      <c r="BP141" s="544"/>
      <c r="BQ141" s="544"/>
      <c r="BR141" s="544"/>
      <c r="BS141" s="544"/>
      <c r="BT141" s="544"/>
      <c r="BU141" s="544"/>
      <c r="BV141" s="544"/>
      <c r="BW141" s="544"/>
      <c r="BX141" s="544"/>
      <c r="BY141" s="544"/>
      <c r="BZ141" s="544"/>
      <c r="CA141" s="544"/>
      <c r="CB141" s="544"/>
      <c r="CC141" s="544"/>
      <c r="CD141" s="544"/>
      <c r="CE141" s="544"/>
      <c r="CF141" s="544"/>
      <c r="CG141" s="544"/>
      <c r="CH141" s="544"/>
      <c r="CI141" s="544"/>
      <c r="CJ141" s="544"/>
      <c r="CK141" s="544"/>
      <c r="CL141" s="544"/>
      <c r="CM141" s="544"/>
      <c r="CN141" s="544"/>
      <c r="CO141" s="544"/>
      <c r="CP141" s="544"/>
      <c r="CQ141" s="544"/>
      <c r="CR141" s="544"/>
      <c r="CS141" s="544"/>
    </row>
    <row r="142" spans="1:97" s="142" customFormat="1" ht="12.75" hidden="1" x14ac:dyDescent="0.2">
      <c r="A142" s="735">
        <v>135</v>
      </c>
      <c r="B142" s="732" t="s">
        <v>159</v>
      </c>
      <c r="C142" s="738" t="s">
        <v>160</v>
      </c>
      <c r="D142" s="905">
        <v>487471.04881264101</v>
      </c>
      <c r="E142" s="905">
        <v>453027286</v>
      </c>
      <c r="F142" s="905">
        <v>9010</v>
      </c>
      <c r="G142" s="166">
        <v>229331135</v>
      </c>
      <c r="H142" s="166">
        <v>-8490551</v>
      </c>
      <c r="I142" s="166">
        <v>4774767</v>
      </c>
      <c r="J142" s="166">
        <v>-3715784</v>
      </c>
      <c r="K142" s="166">
        <v>-22426099</v>
      </c>
      <c r="L142" s="166">
        <v>-7619</v>
      </c>
      <c r="M142" s="166">
        <v>0</v>
      </c>
      <c r="N142" s="166">
        <v>0</v>
      </c>
      <c r="O142" s="166">
        <v>0</v>
      </c>
      <c r="P142" s="166">
        <v>-10654200</v>
      </c>
      <c r="Q142" s="166">
        <v>-256255</v>
      </c>
      <c r="R142" s="166">
        <v>-400887</v>
      </c>
      <c r="S142" s="166">
        <v>0</v>
      </c>
      <c r="T142" s="166"/>
      <c r="U142" s="166">
        <v>0</v>
      </c>
      <c r="V142" s="166">
        <v>-1200</v>
      </c>
      <c r="W142" s="166">
        <v>0</v>
      </c>
      <c r="X142" s="166">
        <v>0</v>
      </c>
      <c r="Y142" s="166">
        <v>0</v>
      </c>
      <c r="Z142" s="166">
        <v>163694027</v>
      </c>
      <c r="AA142" s="166">
        <v>-4000000</v>
      </c>
      <c r="AB142" s="166"/>
      <c r="AC142" s="166">
        <v>-15586428</v>
      </c>
      <c r="AD142" s="166">
        <v>645</v>
      </c>
      <c r="AE142" s="166">
        <v>2</v>
      </c>
      <c r="AF142" s="166">
        <v>0</v>
      </c>
      <c r="AG142" s="166"/>
      <c r="AH142" s="166">
        <v>2</v>
      </c>
      <c r="AI142" s="166">
        <v>0</v>
      </c>
      <c r="AJ142" s="166">
        <v>911</v>
      </c>
      <c r="AK142" s="166">
        <v>64</v>
      </c>
      <c r="AL142" s="166">
        <v>26</v>
      </c>
      <c r="AM142" s="166">
        <v>0</v>
      </c>
      <c r="AN142" s="166">
        <v>0</v>
      </c>
      <c r="AO142" s="166">
        <v>0</v>
      </c>
      <c r="AP142" s="166">
        <v>0</v>
      </c>
      <c r="AQ142" s="166">
        <v>5</v>
      </c>
      <c r="AR142" s="166">
        <v>1589</v>
      </c>
      <c r="AS142" s="166">
        <v>2526</v>
      </c>
      <c r="AT142" s="166">
        <v>2817</v>
      </c>
      <c r="AU142" s="166">
        <v>2462</v>
      </c>
      <c r="AV142" s="166">
        <v>355</v>
      </c>
      <c r="AW142" s="166">
        <v>3730</v>
      </c>
      <c r="AX142" s="166">
        <v>-367365</v>
      </c>
      <c r="AY142" s="166">
        <v>-4841109</v>
      </c>
      <c r="AZ142" s="166">
        <v>0</v>
      </c>
      <c r="BA142" s="166">
        <v>-44544</v>
      </c>
      <c r="BB142" s="166">
        <v>-69196</v>
      </c>
      <c r="BC142" s="166">
        <v>-5331986</v>
      </c>
      <c r="BD142" s="166">
        <v>-1443756</v>
      </c>
      <c r="BE142" s="166">
        <v>-15095659</v>
      </c>
      <c r="BF142" s="166"/>
      <c r="BG142" s="760">
        <v>34134400</v>
      </c>
      <c r="BH142" s="760">
        <v>0</v>
      </c>
      <c r="BI142" s="815">
        <v>-17416911</v>
      </c>
      <c r="BJ142" s="1044" t="s">
        <v>2506</v>
      </c>
      <c r="BK142" s="1044" t="s">
        <v>2465</v>
      </c>
      <c r="BL142" s="1044" t="s">
        <v>2599</v>
      </c>
      <c r="BM142" s="650"/>
      <c r="BN142" s="746" t="s">
        <v>160</v>
      </c>
      <c r="BO142" s="142" t="b">
        <v>1</v>
      </c>
      <c r="BP142" s="544"/>
      <c r="BQ142" s="544"/>
      <c r="BR142" s="544"/>
      <c r="BS142" s="544"/>
      <c r="BT142" s="544"/>
      <c r="BU142" s="544"/>
      <c r="BV142" s="544"/>
      <c r="BW142" s="544"/>
      <c r="BX142" s="544"/>
      <c r="BY142" s="544"/>
      <c r="BZ142" s="544"/>
      <c r="CA142" s="544"/>
      <c r="CB142" s="544"/>
      <c r="CC142" s="544"/>
      <c r="CD142" s="544"/>
      <c r="CE142" s="544"/>
      <c r="CF142" s="544"/>
      <c r="CG142" s="544"/>
      <c r="CH142" s="544"/>
      <c r="CI142" s="544"/>
      <c r="CJ142" s="544"/>
      <c r="CK142" s="544"/>
      <c r="CL142" s="544"/>
      <c r="CM142" s="544"/>
      <c r="CN142" s="544"/>
      <c r="CO142" s="544"/>
      <c r="CP142" s="544"/>
      <c r="CQ142" s="544"/>
      <c r="CR142" s="544"/>
      <c r="CS142" s="544"/>
    </row>
    <row r="143" spans="1:97" s="142" customFormat="1" ht="12.75" x14ac:dyDescent="0.2">
      <c r="A143" s="735">
        <v>136</v>
      </c>
      <c r="B143" s="732" t="s">
        <v>161</v>
      </c>
      <c r="C143" s="738" t="s">
        <v>162</v>
      </c>
      <c r="D143" s="905">
        <v>209547.708672665</v>
      </c>
      <c r="E143" s="905">
        <v>168492044</v>
      </c>
      <c r="F143" s="905">
        <v>5354</v>
      </c>
      <c r="G143" s="166">
        <v>84368439</v>
      </c>
      <c r="H143" s="166">
        <v>-5376173</v>
      </c>
      <c r="I143" s="166">
        <v>1732640</v>
      </c>
      <c r="J143" s="166">
        <v>-3643533</v>
      </c>
      <c r="K143" s="166">
        <v>-5332501</v>
      </c>
      <c r="L143" s="166">
        <v>-49089</v>
      </c>
      <c r="M143" s="166">
        <v>-37688</v>
      </c>
      <c r="N143" s="166">
        <v>-22726</v>
      </c>
      <c r="O143" s="166">
        <v>0</v>
      </c>
      <c r="P143" s="166">
        <v>-899642</v>
      </c>
      <c r="Q143" s="166">
        <v>-126798</v>
      </c>
      <c r="R143" s="166">
        <v>-91826</v>
      </c>
      <c r="S143" s="166">
        <v>-3111</v>
      </c>
      <c r="T143" s="166"/>
      <c r="U143" s="166">
        <v>0</v>
      </c>
      <c r="V143" s="166">
        <v>0</v>
      </c>
      <c r="W143" s="166">
        <v>0</v>
      </c>
      <c r="X143" s="166">
        <v>0</v>
      </c>
      <c r="Y143" s="166">
        <v>-20337</v>
      </c>
      <c r="Z143" s="166">
        <v>65775845</v>
      </c>
      <c r="AA143" s="166">
        <v>-1983700</v>
      </c>
      <c r="AB143" s="166"/>
      <c r="AC143" s="166">
        <v>-5240711</v>
      </c>
      <c r="AD143" s="166">
        <v>266</v>
      </c>
      <c r="AE143" s="166">
        <v>27</v>
      </c>
      <c r="AF143" s="166">
        <v>13</v>
      </c>
      <c r="AG143" s="166"/>
      <c r="AH143" s="166">
        <v>12</v>
      </c>
      <c r="AI143" s="166">
        <v>0</v>
      </c>
      <c r="AJ143" s="166">
        <v>329</v>
      </c>
      <c r="AK143" s="166">
        <v>136</v>
      </c>
      <c r="AL143" s="166">
        <v>14</v>
      </c>
      <c r="AM143" s="166">
        <v>0</v>
      </c>
      <c r="AN143" s="166">
        <v>0</v>
      </c>
      <c r="AO143" s="166">
        <v>14</v>
      </c>
      <c r="AP143" s="166">
        <v>0</v>
      </c>
      <c r="AQ143" s="166">
        <v>0</v>
      </c>
      <c r="AR143" s="166">
        <v>574</v>
      </c>
      <c r="AS143" s="166">
        <v>1231</v>
      </c>
      <c r="AT143" s="166">
        <v>2458</v>
      </c>
      <c r="AU143" s="166">
        <v>2351</v>
      </c>
      <c r="AV143" s="166">
        <v>107</v>
      </c>
      <c r="AW143" s="166">
        <v>1687</v>
      </c>
      <c r="AX143" s="166">
        <v>-21271</v>
      </c>
      <c r="AY143" s="166">
        <v>-403111</v>
      </c>
      <c r="AZ143" s="166">
        <v>0</v>
      </c>
      <c r="BA143" s="166">
        <v>-10112</v>
      </c>
      <c r="BB143" s="166">
        <v>-465148</v>
      </c>
      <c r="BC143" s="166">
        <v>0</v>
      </c>
      <c r="BD143" s="166">
        <v>-337474</v>
      </c>
      <c r="BE143" s="166">
        <v>9048391</v>
      </c>
      <c r="BF143" s="166"/>
      <c r="BG143" s="760">
        <v>15670450</v>
      </c>
      <c r="BH143" s="760">
        <v>0</v>
      </c>
      <c r="BI143" s="815">
        <v>9999808</v>
      </c>
      <c r="BJ143" s="1044" t="s">
        <v>2454</v>
      </c>
      <c r="BK143" s="1044" t="s">
        <v>2481</v>
      </c>
      <c r="BL143" s="1044" t="s">
        <v>2600</v>
      </c>
      <c r="BM143" s="650"/>
      <c r="BN143" s="746" t="s">
        <v>162</v>
      </c>
      <c r="BO143" s="142" t="b">
        <v>1</v>
      </c>
      <c r="BP143" s="544"/>
      <c r="BQ143" s="544"/>
      <c r="BR143" s="544"/>
      <c r="BS143" s="544"/>
      <c r="BT143" s="544"/>
      <c r="BU143" s="544"/>
      <c r="BV143" s="544"/>
      <c r="BW143" s="544"/>
      <c r="BX143" s="544"/>
      <c r="BY143" s="544"/>
      <c r="BZ143" s="544"/>
      <c r="CA143" s="544"/>
      <c r="CB143" s="544"/>
      <c r="CC143" s="544"/>
      <c r="CD143" s="544"/>
      <c r="CE143" s="544"/>
      <c r="CF143" s="544"/>
      <c r="CG143" s="544"/>
      <c r="CH143" s="544"/>
      <c r="CI143" s="544"/>
      <c r="CJ143" s="544"/>
      <c r="CK143" s="544"/>
      <c r="CL143" s="544"/>
      <c r="CM143" s="544"/>
      <c r="CN143" s="544"/>
      <c r="CO143" s="544"/>
      <c r="CP143" s="544"/>
      <c r="CQ143" s="544"/>
      <c r="CR143" s="544"/>
      <c r="CS143" s="544"/>
    </row>
    <row r="144" spans="1:97" s="142" customFormat="1" ht="12.75" hidden="1" x14ac:dyDescent="0.2">
      <c r="A144" s="735">
        <v>137</v>
      </c>
      <c r="B144" s="732" t="s">
        <v>163</v>
      </c>
      <c r="C144" s="738" t="s">
        <v>164</v>
      </c>
      <c r="D144" s="905">
        <v>1231669.64638906</v>
      </c>
      <c r="E144" s="905">
        <v>951664802</v>
      </c>
      <c r="F144" s="905">
        <v>31598</v>
      </c>
      <c r="G144" s="166">
        <v>478758230</v>
      </c>
      <c r="H144" s="166">
        <v>-28336833</v>
      </c>
      <c r="I144" s="166">
        <v>8658056</v>
      </c>
      <c r="J144" s="166">
        <v>-19678777</v>
      </c>
      <c r="K144" s="166">
        <v>-30773430</v>
      </c>
      <c r="L144" s="166">
        <v>-380000</v>
      </c>
      <c r="M144" s="166">
        <v>-15600</v>
      </c>
      <c r="N144" s="166">
        <v>-23455</v>
      </c>
      <c r="O144" s="166">
        <v>-200000</v>
      </c>
      <c r="P144" s="166">
        <v>-23774424</v>
      </c>
      <c r="Q144" s="166">
        <v>-75000</v>
      </c>
      <c r="R144" s="166">
        <v>-470000</v>
      </c>
      <c r="S144" s="166">
        <v>-60000</v>
      </c>
      <c r="T144" s="166"/>
      <c r="U144" s="166">
        <v>-2400</v>
      </c>
      <c r="V144" s="166">
        <v>-500000</v>
      </c>
      <c r="W144" s="166">
        <v>0</v>
      </c>
      <c r="X144" s="166">
        <v>0</v>
      </c>
      <c r="Y144" s="166">
        <v>-7800</v>
      </c>
      <c r="Z144" s="166">
        <v>355182086</v>
      </c>
      <c r="AA144" s="166">
        <v>-11727497</v>
      </c>
      <c r="AB144" s="166"/>
      <c r="AC144" s="166">
        <v>-26423033</v>
      </c>
      <c r="AD144" s="166">
        <v>1094</v>
      </c>
      <c r="AE144" s="166">
        <v>65</v>
      </c>
      <c r="AF144" s="166">
        <v>3</v>
      </c>
      <c r="AG144" s="166"/>
      <c r="AH144" s="166">
        <v>12</v>
      </c>
      <c r="AI144" s="166">
        <v>0</v>
      </c>
      <c r="AJ144" s="166">
        <v>3369</v>
      </c>
      <c r="AK144" s="166">
        <v>43</v>
      </c>
      <c r="AL144" s="166">
        <v>155</v>
      </c>
      <c r="AM144" s="166">
        <v>3</v>
      </c>
      <c r="AN144" s="166">
        <v>2</v>
      </c>
      <c r="AO144" s="166">
        <v>63</v>
      </c>
      <c r="AP144" s="166">
        <v>2</v>
      </c>
      <c r="AQ144" s="166">
        <v>36</v>
      </c>
      <c r="AR144" s="166">
        <v>3006</v>
      </c>
      <c r="AS144" s="166">
        <v>8819</v>
      </c>
      <c r="AT144" s="166">
        <v>10671</v>
      </c>
      <c r="AU144" s="166">
        <v>9950</v>
      </c>
      <c r="AV144" s="166">
        <v>721</v>
      </c>
      <c r="AW144" s="166">
        <v>12095</v>
      </c>
      <c r="AX144" s="166">
        <v>-2077226</v>
      </c>
      <c r="AY144" s="166">
        <v>-9170504</v>
      </c>
      <c r="AZ144" s="166">
        <v>0</v>
      </c>
      <c r="BA144" s="166">
        <v>-408145</v>
      </c>
      <c r="BB144" s="166">
        <v>-6112891</v>
      </c>
      <c r="BC144" s="166">
        <v>-6005658</v>
      </c>
      <c r="BD144" s="166">
        <v>-2790338</v>
      </c>
      <c r="BE144" s="166">
        <v>-14602175</v>
      </c>
      <c r="BF144" s="166"/>
      <c r="BG144" s="760">
        <v>116009725</v>
      </c>
      <c r="BH144" s="760">
        <v>40000</v>
      </c>
      <c r="BI144" s="815">
        <v>-18532885</v>
      </c>
      <c r="BJ144" s="1044" t="s">
        <v>2468</v>
      </c>
      <c r="BK144" s="1044" t="s">
        <v>2469</v>
      </c>
      <c r="BL144" s="1044" t="s">
        <v>2601</v>
      </c>
      <c r="BM144" s="650"/>
      <c r="BN144" s="746" t="s">
        <v>164</v>
      </c>
      <c r="BO144" s="142" t="b">
        <v>1</v>
      </c>
      <c r="BP144" s="544"/>
      <c r="BQ144" s="544"/>
      <c r="BR144" s="544"/>
      <c r="BS144" s="544"/>
      <c r="BT144" s="544"/>
      <c r="BU144" s="544"/>
      <c r="BV144" s="544"/>
      <c r="BW144" s="544"/>
      <c r="BX144" s="544"/>
      <c r="BY144" s="544"/>
      <c r="BZ144" s="544"/>
      <c r="CA144" s="544"/>
      <c r="CB144" s="544"/>
      <c r="CC144" s="544"/>
      <c r="CD144" s="544"/>
      <c r="CE144" s="544"/>
      <c r="CF144" s="544"/>
      <c r="CG144" s="544"/>
      <c r="CH144" s="544"/>
      <c r="CI144" s="544"/>
      <c r="CJ144" s="544"/>
      <c r="CK144" s="544"/>
      <c r="CL144" s="544"/>
      <c r="CM144" s="544"/>
      <c r="CN144" s="544"/>
      <c r="CO144" s="544"/>
      <c r="CP144" s="544"/>
      <c r="CQ144" s="544"/>
      <c r="CR144" s="544"/>
      <c r="CS144" s="544"/>
    </row>
    <row r="145" spans="1:97" s="142" customFormat="1" ht="12.75" hidden="1" x14ac:dyDescent="0.2">
      <c r="A145" s="735">
        <v>138</v>
      </c>
      <c r="B145" s="732" t="s">
        <v>617</v>
      </c>
      <c r="C145" s="738" t="s">
        <v>166</v>
      </c>
      <c r="D145" s="905">
        <v>473253.28760113998</v>
      </c>
      <c r="E145" s="905">
        <v>309010193</v>
      </c>
      <c r="F145" s="905">
        <v>12738</v>
      </c>
      <c r="G145" s="166">
        <v>154658824</v>
      </c>
      <c r="H145" s="166">
        <v>-15772900</v>
      </c>
      <c r="I145" s="166">
        <v>2704711</v>
      </c>
      <c r="J145" s="166">
        <v>-13068189</v>
      </c>
      <c r="K145" s="166">
        <v>-14861400</v>
      </c>
      <c r="L145" s="166">
        <v>-57171</v>
      </c>
      <c r="M145" s="166">
        <v>0</v>
      </c>
      <c r="N145" s="166">
        <v>-20273</v>
      </c>
      <c r="O145" s="166">
        <v>-75000</v>
      </c>
      <c r="P145" s="166">
        <v>-3033763</v>
      </c>
      <c r="Q145" s="166">
        <v>-503333</v>
      </c>
      <c r="R145" s="166">
        <v>-157491</v>
      </c>
      <c r="S145" s="166">
        <v>0</v>
      </c>
      <c r="T145" s="166"/>
      <c r="U145" s="166">
        <v>0</v>
      </c>
      <c r="V145" s="166">
        <v>-542889</v>
      </c>
      <c r="W145" s="166">
        <v>-417889</v>
      </c>
      <c r="X145" s="166">
        <v>0</v>
      </c>
      <c r="Y145" s="166">
        <v>0</v>
      </c>
      <c r="Z145" s="166">
        <v>102872334</v>
      </c>
      <c r="AA145" s="166">
        <v>-4898551</v>
      </c>
      <c r="AB145" s="166"/>
      <c r="AC145" s="166">
        <v>-9762274</v>
      </c>
      <c r="AD145" s="166">
        <v>478</v>
      </c>
      <c r="AE145" s="166">
        <v>8</v>
      </c>
      <c r="AF145" s="166">
        <v>0</v>
      </c>
      <c r="AG145" s="166"/>
      <c r="AH145" s="166">
        <v>8</v>
      </c>
      <c r="AI145" s="166">
        <v>0</v>
      </c>
      <c r="AJ145" s="166">
        <v>1241</v>
      </c>
      <c r="AK145" s="166">
        <v>251</v>
      </c>
      <c r="AL145" s="166">
        <v>24</v>
      </c>
      <c r="AM145" s="166">
        <v>0</v>
      </c>
      <c r="AN145" s="166">
        <v>0</v>
      </c>
      <c r="AO145" s="166">
        <v>0</v>
      </c>
      <c r="AP145" s="166">
        <v>17</v>
      </c>
      <c r="AQ145" s="166">
        <v>0</v>
      </c>
      <c r="AR145" s="166">
        <v>1188</v>
      </c>
      <c r="AS145" s="166">
        <v>2997</v>
      </c>
      <c r="AT145" s="166">
        <v>5618</v>
      </c>
      <c r="AU145" s="166">
        <v>5141</v>
      </c>
      <c r="AV145" s="166">
        <v>477</v>
      </c>
      <c r="AW145" s="166">
        <v>3838</v>
      </c>
      <c r="AX145" s="166">
        <v>-248239</v>
      </c>
      <c r="AY145" s="166">
        <v>-610510</v>
      </c>
      <c r="AZ145" s="166">
        <v>0</v>
      </c>
      <c r="BA145" s="166">
        <v>-8960</v>
      </c>
      <c r="BB145" s="166">
        <v>-2006848</v>
      </c>
      <c r="BC145" s="166">
        <v>-159206</v>
      </c>
      <c r="BD145" s="166">
        <v>-770000</v>
      </c>
      <c r="BE145" s="166">
        <v>10992889</v>
      </c>
      <c r="BF145" s="166"/>
      <c r="BG145" s="760">
        <v>37694200</v>
      </c>
      <c r="BH145" s="760">
        <v>1323500</v>
      </c>
      <c r="BI145" s="815">
        <v>14785065</v>
      </c>
      <c r="BJ145" s="1044" t="s">
        <v>515</v>
      </c>
      <c r="BK145" s="1044" t="s">
        <v>2457</v>
      </c>
      <c r="BL145" s="1044" t="s">
        <v>2602</v>
      </c>
      <c r="BM145" s="650"/>
      <c r="BN145" s="746" t="s">
        <v>166</v>
      </c>
      <c r="BO145" s="142" t="b">
        <v>1</v>
      </c>
      <c r="BP145" s="544"/>
      <c r="BQ145" s="544"/>
      <c r="BR145" s="544"/>
      <c r="BS145" s="544"/>
      <c r="BT145" s="544"/>
      <c r="BU145" s="544"/>
      <c r="BV145" s="544"/>
      <c r="BW145" s="544"/>
      <c r="BX145" s="544"/>
      <c r="BY145" s="544"/>
      <c r="BZ145" s="544"/>
      <c r="CA145" s="544"/>
      <c r="CB145" s="544"/>
      <c r="CC145" s="544"/>
      <c r="CD145" s="544"/>
      <c r="CE145" s="544"/>
      <c r="CF145" s="544"/>
      <c r="CG145" s="544"/>
      <c r="CH145" s="544"/>
      <c r="CI145" s="544"/>
      <c r="CJ145" s="544"/>
      <c r="CK145" s="544"/>
      <c r="CL145" s="544"/>
      <c r="CM145" s="544"/>
      <c r="CN145" s="544"/>
      <c r="CO145" s="544"/>
      <c r="CP145" s="544"/>
      <c r="CQ145" s="544"/>
      <c r="CR145" s="544"/>
      <c r="CS145" s="544"/>
    </row>
    <row r="146" spans="1:97" s="142" customFormat="1" ht="12.75" x14ac:dyDescent="0.2">
      <c r="A146" s="735">
        <v>139</v>
      </c>
      <c r="B146" s="732" t="s">
        <v>167</v>
      </c>
      <c r="C146" s="738" t="s">
        <v>168</v>
      </c>
      <c r="D146" s="905">
        <v>136495.13245177901</v>
      </c>
      <c r="E146" s="905">
        <v>80705119</v>
      </c>
      <c r="F146" s="905">
        <v>3710</v>
      </c>
      <c r="G146" s="166">
        <v>40226366</v>
      </c>
      <c r="H146" s="166">
        <v>-4207512</v>
      </c>
      <c r="I146" s="166">
        <v>631637</v>
      </c>
      <c r="J146" s="166">
        <v>-3575875</v>
      </c>
      <c r="K146" s="166">
        <v>-3289595</v>
      </c>
      <c r="L146" s="166">
        <v>-105553</v>
      </c>
      <c r="M146" s="166">
        <v>-22375</v>
      </c>
      <c r="N146" s="166">
        <v>-13162</v>
      </c>
      <c r="O146" s="166">
        <v>0</v>
      </c>
      <c r="P146" s="166">
        <v>-792876</v>
      </c>
      <c r="Q146" s="166">
        <v>-164626</v>
      </c>
      <c r="R146" s="166">
        <v>-1808</v>
      </c>
      <c r="S146" s="166">
        <v>-3420</v>
      </c>
      <c r="T146" s="166"/>
      <c r="U146" s="166">
        <v>0</v>
      </c>
      <c r="V146" s="166">
        <v>-495735</v>
      </c>
      <c r="W146" s="166">
        <v>-495735</v>
      </c>
      <c r="X146" s="166">
        <v>0</v>
      </c>
      <c r="Y146" s="166">
        <v>-10488</v>
      </c>
      <c r="Z146" s="166">
        <v>25960138</v>
      </c>
      <c r="AA146" s="166">
        <v>-248000</v>
      </c>
      <c r="AB146" s="166"/>
      <c r="AC146" s="166">
        <v>-2759228</v>
      </c>
      <c r="AD146" s="166">
        <v>195</v>
      </c>
      <c r="AE146" s="166">
        <v>20</v>
      </c>
      <c r="AF146" s="166">
        <v>7</v>
      </c>
      <c r="AG146" s="166"/>
      <c r="AH146" s="166">
        <v>10</v>
      </c>
      <c r="AI146" s="166">
        <v>0</v>
      </c>
      <c r="AJ146" s="166">
        <v>152</v>
      </c>
      <c r="AK146" s="166">
        <v>79</v>
      </c>
      <c r="AL146" s="166">
        <v>1</v>
      </c>
      <c r="AM146" s="166">
        <v>0</v>
      </c>
      <c r="AN146" s="166">
        <v>0</v>
      </c>
      <c r="AO146" s="166">
        <v>2</v>
      </c>
      <c r="AP146" s="166">
        <v>31</v>
      </c>
      <c r="AQ146" s="166">
        <v>0</v>
      </c>
      <c r="AR146" s="166">
        <v>334</v>
      </c>
      <c r="AS146" s="166">
        <v>706</v>
      </c>
      <c r="AT146" s="166">
        <v>1690</v>
      </c>
      <c r="AU146" s="166">
        <v>1570</v>
      </c>
      <c r="AV146" s="166">
        <v>120</v>
      </c>
      <c r="AW146" s="166">
        <v>1332</v>
      </c>
      <c r="AX146" s="166">
        <v>-16327</v>
      </c>
      <c r="AY146" s="166">
        <v>-307940</v>
      </c>
      <c r="AZ146" s="166">
        <v>0</v>
      </c>
      <c r="BA146" s="166">
        <v>0</v>
      </c>
      <c r="BB146" s="166">
        <v>-464951</v>
      </c>
      <c r="BC146" s="166">
        <v>-3658</v>
      </c>
      <c r="BD146" s="166">
        <v>-35216</v>
      </c>
      <c r="BE146" s="166">
        <v>-3308217</v>
      </c>
      <c r="BF146" s="166"/>
      <c r="BG146" s="760">
        <v>12124750</v>
      </c>
      <c r="BH146" s="760">
        <v>1370170</v>
      </c>
      <c r="BI146" s="815">
        <v>-5025880</v>
      </c>
      <c r="BJ146" s="1044" t="s">
        <v>2454</v>
      </c>
      <c r="BK146" s="1044" t="s">
        <v>2455</v>
      </c>
      <c r="BL146" s="1044" t="s">
        <v>2603</v>
      </c>
      <c r="BM146" s="650"/>
      <c r="BN146" s="746" t="s">
        <v>168</v>
      </c>
      <c r="BO146" s="142" t="b">
        <v>1</v>
      </c>
      <c r="BP146" s="544"/>
      <c r="BQ146" s="544"/>
      <c r="BR146" s="544"/>
      <c r="BS146" s="544"/>
      <c r="BT146" s="544"/>
      <c r="BU146" s="544"/>
      <c r="BV146" s="544"/>
      <c r="BW146" s="544"/>
      <c r="BX146" s="544"/>
      <c r="BY146" s="544"/>
      <c r="BZ146" s="544"/>
      <c r="CA146" s="544"/>
      <c r="CB146" s="544"/>
      <c r="CC146" s="544"/>
      <c r="CD146" s="544"/>
      <c r="CE146" s="544"/>
      <c r="CF146" s="544"/>
      <c r="CG146" s="544"/>
      <c r="CH146" s="544"/>
      <c r="CI146" s="544"/>
      <c r="CJ146" s="544"/>
      <c r="CK146" s="544"/>
      <c r="CL146" s="544"/>
      <c r="CM146" s="544"/>
      <c r="CN146" s="544"/>
      <c r="CO146" s="544"/>
      <c r="CP146" s="544"/>
      <c r="CQ146" s="544"/>
      <c r="CR146" s="544"/>
      <c r="CS146" s="544"/>
    </row>
    <row r="147" spans="1:97" s="142" customFormat="1" ht="12.75" hidden="1" x14ac:dyDescent="0.2">
      <c r="A147" s="735">
        <v>140</v>
      </c>
      <c r="B147" s="732" t="s">
        <v>169</v>
      </c>
      <c r="C147" s="738" t="s">
        <v>170</v>
      </c>
      <c r="D147" s="905">
        <v>292664.33321899001</v>
      </c>
      <c r="E147" s="905">
        <v>172421663</v>
      </c>
      <c r="F147" s="905">
        <v>6309</v>
      </c>
      <c r="G147" s="166">
        <v>86347505</v>
      </c>
      <c r="H147" s="166">
        <v>-7610126</v>
      </c>
      <c r="I147" s="166">
        <v>1467408</v>
      </c>
      <c r="J147" s="166">
        <v>-6142718</v>
      </c>
      <c r="K147" s="166">
        <v>-10018135</v>
      </c>
      <c r="L147" s="166">
        <v>0</v>
      </c>
      <c r="M147" s="166">
        <v>0</v>
      </c>
      <c r="N147" s="166">
        <v>-6314</v>
      </c>
      <c r="O147" s="166">
        <v>0</v>
      </c>
      <c r="P147" s="166">
        <v>-1046122</v>
      </c>
      <c r="Q147" s="166">
        <v>-465412</v>
      </c>
      <c r="R147" s="166">
        <v>0</v>
      </c>
      <c r="S147" s="166">
        <v>0</v>
      </c>
      <c r="T147" s="166"/>
      <c r="U147" s="166">
        <v>0</v>
      </c>
      <c r="V147" s="166">
        <v>0</v>
      </c>
      <c r="W147" s="166">
        <v>0</v>
      </c>
      <c r="X147" s="166">
        <v>0</v>
      </c>
      <c r="Y147" s="166">
        <v>0</v>
      </c>
      <c r="Z147" s="166">
        <v>56179084</v>
      </c>
      <c r="AA147" s="166">
        <v>-3312000</v>
      </c>
      <c r="AB147" s="166"/>
      <c r="AC147" s="166">
        <v>-7176035</v>
      </c>
      <c r="AD147" s="166">
        <v>347</v>
      </c>
      <c r="AE147" s="166">
        <v>0</v>
      </c>
      <c r="AF147" s="166">
        <v>0</v>
      </c>
      <c r="AG147" s="166"/>
      <c r="AH147" s="166">
        <v>2</v>
      </c>
      <c r="AI147" s="166">
        <v>0</v>
      </c>
      <c r="AJ147" s="166">
        <v>437</v>
      </c>
      <c r="AK147" s="166">
        <v>86</v>
      </c>
      <c r="AL147" s="166">
        <v>0</v>
      </c>
      <c r="AM147" s="166">
        <v>0</v>
      </c>
      <c r="AN147" s="166">
        <v>0</v>
      </c>
      <c r="AO147" s="166">
        <v>0</v>
      </c>
      <c r="AP147" s="166">
        <v>0</v>
      </c>
      <c r="AQ147" s="166">
        <v>0</v>
      </c>
      <c r="AR147" s="166">
        <v>979</v>
      </c>
      <c r="AS147" s="166">
        <v>1184</v>
      </c>
      <c r="AT147" s="166">
        <v>2448</v>
      </c>
      <c r="AU147" s="166">
        <v>2162</v>
      </c>
      <c r="AV147" s="166">
        <v>286</v>
      </c>
      <c r="AW147" s="166">
        <v>2722</v>
      </c>
      <c r="AX147" s="166">
        <v>-46663</v>
      </c>
      <c r="AY147" s="166">
        <v>-63950</v>
      </c>
      <c r="AZ147" s="166">
        <v>0</v>
      </c>
      <c r="BA147" s="166">
        <v>-48658</v>
      </c>
      <c r="BB147" s="166">
        <v>-40238</v>
      </c>
      <c r="BC147" s="166">
        <v>-846613</v>
      </c>
      <c r="BD147" s="166">
        <v>-630269</v>
      </c>
      <c r="BE147" s="166">
        <v>2231965</v>
      </c>
      <c r="BF147" s="166"/>
      <c r="BG147" s="760">
        <v>18154600</v>
      </c>
      <c r="BH147" s="760">
        <v>0</v>
      </c>
      <c r="BI147" s="815">
        <v>-302139</v>
      </c>
      <c r="BJ147" s="1044" t="s">
        <v>2506</v>
      </c>
      <c r="BK147" s="1044" t="s">
        <v>2465</v>
      </c>
      <c r="BL147" s="1044" t="s">
        <v>2604</v>
      </c>
      <c r="BM147" s="650"/>
      <c r="BN147" s="746" t="s">
        <v>170</v>
      </c>
      <c r="BO147" s="142" t="b">
        <v>1</v>
      </c>
      <c r="BP147" s="544"/>
      <c r="BQ147" s="544"/>
      <c r="BR147" s="544"/>
      <c r="BS147" s="544"/>
      <c r="BT147" s="544"/>
      <c r="BU147" s="544"/>
      <c r="BV147" s="544"/>
      <c r="BW147" s="544"/>
      <c r="BX147" s="544"/>
      <c r="BY147" s="544"/>
      <c r="BZ147" s="544"/>
      <c r="CA147" s="544"/>
      <c r="CB147" s="544"/>
      <c r="CC147" s="544"/>
      <c r="CD147" s="544"/>
      <c r="CE147" s="544"/>
      <c r="CF147" s="544"/>
      <c r="CG147" s="544"/>
      <c r="CH147" s="544"/>
      <c r="CI147" s="544"/>
      <c r="CJ147" s="544"/>
      <c r="CK147" s="544"/>
      <c r="CL147" s="544"/>
      <c r="CM147" s="544"/>
      <c r="CN147" s="544"/>
      <c r="CO147" s="544"/>
      <c r="CP147" s="544"/>
      <c r="CQ147" s="544"/>
      <c r="CR147" s="544"/>
      <c r="CS147" s="544"/>
    </row>
    <row r="148" spans="1:97" s="142" customFormat="1" ht="12.75" x14ac:dyDescent="0.2">
      <c r="A148" s="735">
        <v>141</v>
      </c>
      <c r="B148" s="732" t="s">
        <v>171</v>
      </c>
      <c r="C148" s="738" t="s">
        <v>172</v>
      </c>
      <c r="D148" s="905">
        <v>120124.633795099</v>
      </c>
      <c r="E148" s="905">
        <v>100597290</v>
      </c>
      <c r="F148" s="905">
        <v>3033</v>
      </c>
      <c r="G148" s="166">
        <v>47709000</v>
      </c>
      <c r="H148" s="166">
        <v>-3439838</v>
      </c>
      <c r="I148" s="166">
        <v>951224</v>
      </c>
      <c r="J148" s="166">
        <v>-2488614</v>
      </c>
      <c r="K148" s="166">
        <v>-2535449</v>
      </c>
      <c r="L148" s="166">
        <v>-53106</v>
      </c>
      <c r="M148" s="166">
        <v>-3738</v>
      </c>
      <c r="N148" s="166">
        <v>-7611</v>
      </c>
      <c r="O148" s="166">
        <v>0</v>
      </c>
      <c r="P148" s="166">
        <v>-704106</v>
      </c>
      <c r="Q148" s="166">
        <v>-8638</v>
      </c>
      <c r="R148" s="166">
        <v>0</v>
      </c>
      <c r="S148" s="166">
        <v>0</v>
      </c>
      <c r="T148" s="166"/>
      <c r="U148" s="166">
        <v>0</v>
      </c>
      <c r="V148" s="166">
        <v>0</v>
      </c>
      <c r="W148" s="166">
        <v>0</v>
      </c>
      <c r="X148" s="166">
        <v>0</v>
      </c>
      <c r="Y148" s="166">
        <v>-1869</v>
      </c>
      <c r="Z148" s="166">
        <v>34707063</v>
      </c>
      <c r="AA148" s="166">
        <v>-818801</v>
      </c>
      <c r="AB148" s="166"/>
      <c r="AC148" s="166">
        <v>-3168250</v>
      </c>
      <c r="AD148" s="166">
        <v>136</v>
      </c>
      <c r="AE148" s="166">
        <v>13</v>
      </c>
      <c r="AF148" s="166">
        <v>2</v>
      </c>
      <c r="AG148" s="166"/>
      <c r="AH148" s="166">
        <v>6</v>
      </c>
      <c r="AI148" s="166">
        <v>0</v>
      </c>
      <c r="AJ148" s="166">
        <v>148</v>
      </c>
      <c r="AK148" s="166">
        <v>7</v>
      </c>
      <c r="AL148" s="166">
        <v>0</v>
      </c>
      <c r="AM148" s="166">
        <v>0</v>
      </c>
      <c r="AN148" s="166">
        <v>0</v>
      </c>
      <c r="AO148" s="166">
        <v>0</v>
      </c>
      <c r="AP148" s="166">
        <v>0</v>
      </c>
      <c r="AQ148" s="166">
        <v>0</v>
      </c>
      <c r="AR148" s="166">
        <v>422</v>
      </c>
      <c r="AS148" s="166">
        <v>681</v>
      </c>
      <c r="AT148" s="166">
        <v>1255</v>
      </c>
      <c r="AU148" s="166">
        <v>1155</v>
      </c>
      <c r="AV148" s="166">
        <v>100</v>
      </c>
      <c r="AW148" s="166">
        <v>1096</v>
      </c>
      <c r="AX148" s="166">
        <v>0</v>
      </c>
      <c r="AY148" s="166">
        <v>-381816</v>
      </c>
      <c r="AZ148" s="166">
        <v>0</v>
      </c>
      <c r="BA148" s="166">
        <v>0</v>
      </c>
      <c r="BB148" s="166">
        <v>-322290</v>
      </c>
      <c r="BC148" s="166">
        <v>0</v>
      </c>
      <c r="BD148" s="166">
        <v>-433040</v>
      </c>
      <c r="BE148" s="166">
        <v>606000</v>
      </c>
      <c r="BF148" s="166"/>
      <c r="BG148" s="760">
        <v>13004925</v>
      </c>
      <c r="BH148" s="760">
        <v>0</v>
      </c>
      <c r="BI148" s="815">
        <v>1750790</v>
      </c>
      <c r="BJ148" s="1044" t="s">
        <v>2454</v>
      </c>
      <c r="BK148" s="1044" t="s">
        <v>2478</v>
      </c>
      <c r="BL148" s="1044" t="s">
        <v>2605</v>
      </c>
      <c r="BM148" s="650"/>
      <c r="BN148" s="746" t="s">
        <v>172</v>
      </c>
      <c r="BO148" s="142" t="b">
        <v>1</v>
      </c>
      <c r="BP148" s="544"/>
      <c r="BQ148" s="544"/>
      <c r="BR148" s="544"/>
      <c r="BS148" s="544"/>
      <c r="BT148" s="544"/>
      <c r="BU148" s="544"/>
      <c r="BV148" s="544"/>
      <c r="BW148" s="544"/>
      <c r="BX148" s="544"/>
      <c r="BY148" s="544"/>
      <c r="BZ148" s="544"/>
      <c r="CA148" s="544"/>
      <c r="CB148" s="544"/>
      <c r="CC148" s="544"/>
      <c r="CD148" s="544"/>
      <c r="CE148" s="544"/>
      <c r="CF148" s="544"/>
      <c r="CG148" s="544"/>
      <c r="CH148" s="544"/>
      <c r="CI148" s="544"/>
      <c r="CJ148" s="544"/>
      <c r="CK148" s="544"/>
      <c r="CL148" s="544"/>
      <c r="CM148" s="544"/>
      <c r="CN148" s="544"/>
      <c r="CO148" s="544"/>
      <c r="CP148" s="544"/>
      <c r="CQ148" s="544"/>
      <c r="CR148" s="544"/>
      <c r="CS148" s="544"/>
    </row>
    <row r="149" spans="1:97" s="142" customFormat="1" ht="12.75" x14ac:dyDescent="0.2">
      <c r="A149" s="735">
        <v>142</v>
      </c>
      <c r="B149" s="732" t="s">
        <v>173</v>
      </c>
      <c r="C149" s="738" t="s">
        <v>174</v>
      </c>
      <c r="D149" s="905">
        <v>138963.72505881</v>
      </c>
      <c r="E149" s="905">
        <v>109143164</v>
      </c>
      <c r="F149" s="905">
        <v>3574</v>
      </c>
      <c r="G149" s="166">
        <v>54257657</v>
      </c>
      <c r="H149" s="166">
        <v>-3440545</v>
      </c>
      <c r="I149" s="166">
        <v>1023079</v>
      </c>
      <c r="J149" s="166">
        <v>-2417466</v>
      </c>
      <c r="K149" s="166">
        <v>-5578640</v>
      </c>
      <c r="L149" s="166">
        <v>-81200</v>
      </c>
      <c r="M149" s="166">
        <v>0</v>
      </c>
      <c r="N149" s="166">
        <v>-10340</v>
      </c>
      <c r="O149" s="166">
        <v>-20000</v>
      </c>
      <c r="P149" s="166">
        <v>-2450000</v>
      </c>
      <c r="Q149" s="166">
        <v>-24220</v>
      </c>
      <c r="R149" s="166">
        <v>-12819</v>
      </c>
      <c r="S149" s="166">
        <v>-5216</v>
      </c>
      <c r="T149" s="166"/>
      <c r="U149" s="166">
        <v>0</v>
      </c>
      <c r="V149" s="166">
        <v>-150000</v>
      </c>
      <c r="W149" s="166">
        <v>0</v>
      </c>
      <c r="X149" s="166">
        <v>0</v>
      </c>
      <c r="Y149" s="166">
        <v>0</v>
      </c>
      <c r="Z149" s="166">
        <v>37609611</v>
      </c>
      <c r="AA149" s="166">
        <v>-1453768</v>
      </c>
      <c r="AB149" s="166"/>
      <c r="AC149" s="166">
        <v>-3906616</v>
      </c>
      <c r="AD149" s="166">
        <v>182</v>
      </c>
      <c r="AE149" s="166">
        <v>10</v>
      </c>
      <c r="AF149" s="166">
        <v>0</v>
      </c>
      <c r="AG149" s="166"/>
      <c r="AH149" s="166">
        <v>6</v>
      </c>
      <c r="AI149" s="166">
        <v>0</v>
      </c>
      <c r="AJ149" s="166">
        <v>165</v>
      </c>
      <c r="AK149" s="166">
        <v>20</v>
      </c>
      <c r="AL149" s="166">
        <v>2</v>
      </c>
      <c r="AM149" s="166">
        <v>0</v>
      </c>
      <c r="AN149" s="166">
        <v>0</v>
      </c>
      <c r="AO149" s="166">
        <v>3</v>
      </c>
      <c r="AP149" s="166">
        <v>0</v>
      </c>
      <c r="AQ149" s="166">
        <v>0</v>
      </c>
      <c r="AR149" s="166">
        <v>467</v>
      </c>
      <c r="AS149" s="166">
        <v>882</v>
      </c>
      <c r="AT149" s="166">
        <v>1261</v>
      </c>
      <c r="AU149" s="166">
        <v>1166</v>
      </c>
      <c r="AV149" s="166">
        <v>95</v>
      </c>
      <c r="AW149" s="166">
        <v>1429</v>
      </c>
      <c r="AX149" s="166">
        <v>-70000</v>
      </c>
      <c r="AY149" s="166">
        <v>-700000</v>
      </c>
      <c r="AZ149" s="166">
        <v>-10000</v>
      </c>
      <c r="BA149" s="166">
        <v>-10000</v>
      </c>
      <c r="BB149" s="166">
        <v>-890000</v>
      </c>
      <c r="BC149" s="166">
        <v>-770000</v>
      </c>
      <c r="BD149" s="166">
        <v>-184576</v>
      </c>
      <c r="BE149" s="166">
        <v>1705267</v>
      </c>
      <c r="BF149" s="166"/>
      <c r="BG149" s="760">
        <v>13942000</v>
      </c>
      <c r="BH149" s="760">
        <v>0</v>
      </c>
      <c r="BI149" s="815">
        <v>1800629</v>
      </c>
      <c r="BJ149" s="1044" t="s">
        <v>2454</v>
      </c>
      <c r="BK149" s="1044" t="s">
        <v>2457</v>
      </c>
      <c r="BL149" s="1044" t="s">
        <v>2606</v>
      </c>
      <c r="BM149" s="650"/>
      <c r="BN149" s="746" t="s">
        <v>174</v>
      </c>
      <c r="BO149" s="142" t="b">
        <v>1</v>
      </c>
      <c r="BP149" s="544"/>
      <c r="BQ149" s="544"/>
      <c r="BR149" s="544"/>
      <c r="BS149" s="544"/>
      <c r="BT149" s="544"/>
      <c r="BU149" s="544"/>
      <c r="BV149" s="544"/>
      <c r="BW149" s="544"/>
      <c r="BX149" s="544"/>
      <c r="BY149" s="544"/>
      <c r="BZ149" s="544"/>
      <c r="CA149" s="544"/>
      <c r="CB149" s="544"/>
      <c r="CC149" s="544"/>
      <c r="CD149" s="544"/>
      <c r="CE149" s="544"/>
      <c r="CF149" s="544"/>
      <c r="CG149" s="544"/>
      <c r="CH149" s="544"/>
      <c r="CI149" s="544"/>
      <c r="CJ149" s="544"/>
      <c r="CK149" s="544"/>
      <c r="CL149" s="544"/>
      <c r="CM149" s="544"/>
      <c r="CN149" s="544"/>
      <c r="CO149" s="544"/>
      <c r="CP149" s="544"/>
      <c r="CQ149" s="544"/>
      <c r="CR149" s="544"/>
      <c r="CS149" s="544"/>
    </row>
    <row r="150" spans="1:97" s="142" customFormat="1" ht="12.75" hidden="1" x14ac:dyDescent="0.2">
      <c r="A150" s="735">
        <v>143</v>
      </c>
      <c r="B150" s="732" t="s">
        <v>175</v>
      </c>
      <c r="C150" s="738" t="s">
        <v>176</v>
      </c>
      <c r="D150" s="905">
        <v>779790.09190134204</v>
      </c>
      <c r="E150" s="905">
        <v>555555735</v>
      </c>
      <c r="F150" s="905">
        <v>20379</v>
      </c>
      <c r="G150" s="166">
        <v>275366507</v>
      </c>
      <c r="H150" s="166">
        <v>-16687269</v>
      </c>
      <c r="I150" s="166">
        <v>5452595</v>
      </c>
      <c r="J150" s="166">
        <v>-11234674</v>
      </c>
      <c r="K150" s="166">
        <v>-23777986</v>
      </c>
      <c r="L150" s="166">
        <v>-4977</v>
      </c>
      <c r="M150" s="166">
        <v>0</v>
      </c>
      <c r="N150" s="166">
        <v>0</v>
      </c>
      <c r="O150" s="166">
        <v>0</v>
      </c>
      <c r="P150" s="166">
        <v>-13926813</v>
      </c>
      <c r="Q150" s="166">
        <v>-13018</v>
      </c>
      <c r="R150" s="166">
        <v>0</v>
      </c>
      <c r="S150" s="166">
        <v>0</v>
      </c>
      <c r="T150" s="166"/>
      <c r="U150" s="166">
        <v>0</v>
      </c>
      <c r="V150" s="166">
        <v>0</v>
      </c>
      <c r="W150" s="166">
        <v>0</v>
      </c>
      <c r="X150" s="166">
        <v>0</v>
      </c>
      <c r="Y150" s="166">
        <v>0</v>
      </c>
      <c r="Z150" s="166">
        <v>174163515</v>
      </c>
      <c r="AA150" s="166">
        <v>-9554000</v>
      </c>
      <c r="AB150" s="166"/>
      <c r="AC150" s="166">
        <v>-38553344</v>
      </c>
      <c r="AD150" s="166">
        <v>743</v>
      </c>
      <c r="AE150" s="166">
        <v>2</v>
      </c>
      <c r="AF150" s="166">
        <v>0</v>
      </c>
      <c r="AG150" s="166"/>
      <c r="AH150" s="166">
        <v>0</v>
      </c>
      <c r="AI150" s="166">
        <v>0</v>
      </c>
      <c r="AJ150" s="166">
        <v>3246</v>
      </c>
      <c r="AK150" s="166">
        <v>36</v>
      </c>
      <c r="AL150" s="166">
        <v>3</v>
      </c>
      <c r="AM150" s="166">
        <v>0</v>
      </c>
      <c r="AN150" s="166">
        <v>0</v>
      </c>
      <c r="AO150" s="166">
        <v>2</v>
      </c>
      <c r="AP150" s="166">
        <v>3</v>
      </c>
      <c r="AQ150" s="166">
        <v>0</v>
      </c>
      <c r="AR150" s="166">
        <v>2992</v>
      </c>
      <c r="AS150" s="166">
        <v>6004</v>
      </c>
      <c r="AT150" s="166">
        <v>6793</v>
      </c>
      <c r="AU150" s="166">
        <v>6362</v>
      </c>
      <c r="AV150" s="166">
        <v>431</v>
      </c>
      <c r="AW150" s="166">
        <v>7197</v>
      </c>
      <c r="AX150" s="166">
        <v>0</v>
      </c>
      <c r="AY150" s="166">
        <v>0</v>
      </c>
      <c r="AZ150" s="166">
        <v>0</v>
      </c>
      <c r="BA150" s="166">
        <v>0</v>
      </c>
      <c r="BB150" s="166">
        <v>0</v>
      </c>
      <c r="BC150" s="166">
        <v>0</v>
      </c>
      <c r="BD150" s="166">
        <v>0</v>
      </c>
      <c r="BE150" s="166">
        <v>11202070</v>
      </c>
      <c r="BF150" s="166"/>
      <c r="BG150" s="760">
        <v>49264850</v>
      </c>
      <c r="BH150" s="760">
        <v>8167750</v>
      </c>
      <c r="BI150" s="815">
        <v>11328115</v>
      </c>
      <c r="BJ150" s="1044" t="s">
        <v>2468</v>
      </c>
      <c r="BK150" s="1044" t="s">
        <v>2481</v>
      </c>
      <c r="BL150" s="1044" t="s">
        <v>2607</v>
      </c>
      <c r="BM150" s="650"/>
      <c r="BN150" s="746" t="s">
        <v>176</v>
      </c>
      <c r="BO150" s="142" t="b">
        <v>1</v>
      </c>
      <c r="BP150" s="544"/>
      <c r="BQ150" s="544"/>
      <c r="BR150" s="544"/>
      <c r="BS150" s="544"/>
      <c r="BT150" s="544"/>
      <c r="BU150" s="544"/>
      <c r="BV150" s="544"/>
      <c r="BW150" s="544"/>
      <c r="BX150" s="544"/>
      <c r="BY150" s="544"/>
      <c r="BZ150" s="544"/>
      <c r="CA150" s="544"/>
      <c r="CB150" s="544"/>
      <c r="CC150" s="544"/>
      <c r="CD150" s="544"/>
      <c r="CE150" s="544"/>
      <c r="CF150" s="544"/>
      <c r="CG150" s="544"/>
      <c r="CH150" s="544"/>
      <c r="CI150" s="544"/>
      <c r="CJ150" s="544"/>
      <c r="CK150" s="544"/>
      <c r="CL150" s="544"/>
      <c r="CM150" s="544"/>
      <c r="CN150" s="544"/>
      <c r="CO150" s="544"/>
      <c r="CP150" s="544"/>
      <c r="CQ150" s="544"/>
      <c r="CR150" s="544"/>
      <c r="CS150" s="544"/>
    </row>
    <row r="151" spans="1:97" s="142" customFormat="1" ht="12.75" hidden="1" x14ac:dyDescent="0.2">
      <c r="A151" s="735">
        <v>144</v>
      </c>
      <c r="B151" s="732" t="s">
        <v>521</v>
      </c>
      <c r="C151" s="738" t="s">
        <v>178</v>
      </c>
      <c r="D151" s="905">
        <v>236478.089833657</v>
      </c>
      <c r="E151" s="905">
        <v>186785532</v>
      </c>
      <c r="F151" s="905">
        <v>5779</v>
      </c>
      <c r="G151" s="166">
        <v>92913097</v>
      </c>
      <c r="H151" s="166">
        <v>-5221886</v>
      </c>
      <c r="I151" s="166">
        <v>1811957</v>
      </c>
      <c r="J151" s="166">
        <v>-3409929</v>
      </c>
      <c r="K151" s="166">
        <v>-6607493</v>
      </c>
      <c r="L151" s="166">
        <v>-63253</v>
      </c>
      <c r="M151" s="166">
        <v>0</v>
      </c>
      <c r="N151" s="166">
        <v>-2227</v>
      </c>
      <c r="O151" s="166">
        <v>-10355</v>
      </c>
      <c r="P151" s="166">
        <v>-2927342</v>
      </c>
      <c r="Q151" s="166">
        <v>-86324</v>
      </c>
      <c r="R151" s="166">
        <v>-73676</v>
      </c>
      <c r="S151" s="166">
        <v>0</v>
      </c>
      <c r="T151" s="166"/>
      <c r="U151" s="166">
        <v>0</v>
      </c>
      <c r="V151" s="166">
        <v>0</v>
      </c>
      <c r="W151" s="166">
        <v>0</v>
      </c>
      <c r="X151" s="166">
        <v>0</v>
      </c>
      <c r="Y151" s="166">
        <v>0</v>
      </c>
      <c r="Z151" s="166">
        <v>63134097</v>
      </c>
      <c r="AA151" s="166">
        <v>-2434947</v>
      </c>
      <c r="AB151" s="166"/>
      <c r="AC151" s="166">
        <v>-6807354</v>
      </c>
      <c r="AD151" s="166">
        <v>303</v>
      </c>
      <c r="AE151" s="166">
        <v>6</v>
      </c>
      <c r="AF151" s="166">
        <v>0</v>
      </c>
      <c r="AG151" s="166"/>
      <c r="AH151" s="166">
        <v>0</v>
      </c>
      <c r="AI151" s="166">
        <v>1</v>
      </c>
      <c r="AJ151" s="166">
        <v>826</v>
      </c>
      <c r="AK151" s="166">
        <v>72</v>
      </c>
      <c r="AL151" s="166">
        <v>9</v>
      </c>
      <c r="AM151" s="166">
        <v>0</v>
      </c>
      <c r="AN151" s="166">
        <v>0</v>
      </c>
      <c r="AO151" s="166">
        <v>0</v>
      </c>
      <c r="AP151" s="166">
        <v>0</v>
      </c>
      <c r="AQ151" s="166">
        <v>0</v>
      </c>
      <c r="AR151" s="166">
        <v>861</v>
      </c>
      <c r="AS151" s="166">
        <v>1672</v>
      </c>
      <c r="AT151" s="166">
        <v>2052</v>
      </c>
      <c r="AU151" s="166">
        <v>1874</v>
      </c>
      <c r="AV151" s="166">
        <v>178</v>
      </c>
      <c r="AW151" s="166">
        <v>2115</v>
      </c>
      <c r="AX151" s="166">
        <v>-359603</v>
      </c>
      <c r="AY151" s="166">
        <v>-106241</v>
      </c>
      <c r="AZ151" s="166">
        <v>0</v>
      </c>
      <c r="BA151" s="166">
        <v>-224582</v>
      </c>
      <c r="BB151" s="166">
        <v>-1642732</v>
      </c>
      <c r="BC151" s="166">
        <v>-594184</v>
      </c>
      <c r="BD151" s="166">
        <v>-1309048</v>
      </c>
      <c r="BE151" s="166">
        <v>-25381993</v>
      </c>
      <c r="BF151" s="166"/>
      <c r="BG151" s="760">
        <v>21697450</v>
      </c>
      <c r="BH151" s="760">
        <v>904250</v>
      </c>
      <c r="BI151" s="815">
        <v>-27919146</v>
      </c>
      <c r="BJ151" s="1044" t="s">
        <v>515</v>
      </c>
      <c r="BK151" s="1044" t="s">
        <v>2462</v>
      </c>
      <c r="BL151" s="1044" t="s">
        <v>2608</v>
      </c>
      <c r="BM151" s="650"/>
      <c r="BN151" s="746" t="s">
        <v>178</v>
      </c>
      <c r="BO151" s="142" t="b">
        <v>1</v>
      </c>
      <c r="BP151" s="544"/>
      <c r="BQ151" s="544"/>
      <c r="BR151" s="544"/>
      <c r="BS151" s="544"/>
      <c r="BT151" s="544"/>
      <c r="BU151" s="544"/>
      <c r="BV151" s="544"/>
      <c r="BW151" s="544"/>
      <c r="BX151" s="544"/>
      <c r="BY151" s="544"/>
      <c r="BZ151" s="544"/>
      <c r="CA151" s="544"/>
      <c r="CB151" s="544"/>
      <c r="CC151" s="544"/>
      <c r="CD151" s="544"/>
      <c r="CE151" s="544"/>
      <c r="CF151" s="544"/>
      <c r="CG151" s="544"/>
      <c r="CH151" s="544"/>
      <c r="CI151" s="544"/>
      <c r="CJ151" s="544"/>
      <c r="CK151" s="544"/>
      <c r="CL151" s="544"/>
      <c r="CM151" s="544"/>
      <c r="CN151" s="544"/>
      <c r="CO151" s="544"/>
      <c r="CP151" s="544"/>
      <c r="CQ151" s="544"/>
      <c r="CR151" s="544"/>
      <c r="CS151" s="544"/>
    </row>
    <row r="152" spans="1:97" s="142" customFormat="1" ht="12.75" x14ac:dyDescent="0.2">
      <c r="A152" s="735">
        <v>145</v>
      </c>
      <c r="B152" s="732" t="s">
        <v>179</v>
      </c>
      <c r="C152" s="738" t="s">
        <v>180</v>
      </c>
      <c r="D152" s="905">
        <v>209168.25079600199</v>
      </c>
      <c r="E152" s="905">
        <v>167074107</v>
      </c>
      <c r="F152" s="905">
        <v>5308</v>
      </c>
      <c r="G152" s="166">
        <v>83103817</v>
      </c>
      <c r="H152" s="166">
        <v>-4597709</v>
      </c>
      <c r="I152" s="166">
        <v>1533999</v>
      </c>
      <c r="J152" s="166">
        <v>-3063710</v>
      </c>
      <c r="K152" s="166">
        <v>-5460663</v>
      </c>
      <c r="L152" s="166">
        <v>-122841</v>
      </c>
      <c r="M152" s="166">
        <v>-4605</v>
      </c>
      <c r="N152" s="166">
        <v>-3878</v>
      </c>
      <c r="O152" s="166">
        <v>0</v>
      </c>
      <c r="P152" s="166">
        <v>-1499148</v>
      </c>
      <c r="Q152" s="166">
        <v>-154919</v>
      </c>
      <c r="R152" s="166">
        <v>-8431</v>
      </c>
      <c r="S152" s="166">
        <v>-8038</v>
      </c>
      <c r="T152" s="166"/>
      <c r="U152" s="166">
        <v>0</v>
      </c>
      <c r="V152" s="166">
        <v>0</v>
      </c>
      <c r="W152" s="166">
        <v>0</v>
      </c>
      <c r="X152" s="166">
        <v>0</v>
      </c>
      <c r="Y152" s="166">
        <v>-1535</v>
      </c>
      <c r="Z152" s="166">
        <v>59867548</v>
      </c>
      <c r="AA152" s="166">
        <v>-3127438</v>
      </c>
      <c r="AB152" s="166"/>
      <c r="AC152" s="166">
        <v>-7884848</v>
      </c>
      <c r="AD152" s="166">
        <v>448</v>
      </c>
      <c r="AE152" s="166">
        <v>30</v>
      </c>
      <c r="AF152" s="166">
        <v>1</v>
      </c>
      <c r="AG152" s="166"/>
      <c r="AH152" s="166">
        <v>2</v>
      </c>
      <c r="AI152" s="166">
        <v>0</v>
      </c>
      <c r="AJ152" s="166">
        <v>289</v>
      </c>
      <c r="AK152" s="166">
        <v>202</v>
      </c>
      <c r="AL152" s="166">
        <v>4</v>
      </c>
      <c r="AM152" s="166">
        <v>1</v>
      </c>
      <c r="AN152" s="166">
        <v>0</v>
      </c>
      <c r="AO152" s="166">
        <v>1</v>
      </c>
      <c r="AP152" s="166">
        <v>0</v>
      </c>
      <c r="AQ152" s="166">
        <v>0</v>
      </c>
      <c r="AR152" s="166">
        <v>711</v>
      </c>
      <c r="AS152" s="166">
        <v>1462</v>
      </c>
      <c r="AT152" s="166">
        <v>1612</v>
      </c>
      <c r="AU152" s="166">
        <v>1440</v>
      </c>
      <c r="AV152" s="166">
        <v>172</v>
      </c>
      <c r="AW152" s="166">
        <v>2210</v>
      </c>
      <c r="AX152" s="166">
        <v>-4007</v>
      </c>
      <c r="AY152" s="166">
        <v>-1018136</v>
      </c>
      <c r="AZ152" s="166">
        <v>0</v>
      </c>
      <c r="BA152" s="166">
        <v>-28456</v>
      </c>
      <c r="BB152" s="166">
        <v>-366165</v>
      </c>
      <c r="BC152" s="166">
        <v>-82384</v>
      </c>
      <c r="BD152" s="166">
        <v>-900</v>
      </c>
      <c r="BE152" s="166">
        <v>-4240414</v>
      </c>
      <c r="BF152" s="166"/>
      <c r="BG152" s="760">
        <v>23763200</v>
      </c>
      <c r="BH152" s="760">
        <v>0</v>
      </c>
      <c r="BI152" s="815">
        <v>-4909559</v>
      </c>
      <c r="BJ152" s="1044" t="s">
        <v>2454</v>
      </c>
      <c r="BK152" s="1044" t="s">
        <v>2455</v>
      </c>
      <c r="BL152" s="1044" t="s">
        <v>2609</v>
      </c>
      <c r="BM152" s="650"/>
      <c r="BN152" s="746" t="s">
        <v>180</v>
      </c>
      <c r="BO152" s="142" t="b">
        <v>1</v>
      </c>
      <c r="BP152" s="544"/>
      <c r="BQ152" s="544"/>
      <c r="BR152" s="544"/>
      <c r="BS152" s="544"/>
      <c r="BT152" s="544"/>
      <c r="BU152" s="544"/>
      <c r="BV152" s="544"/>
      <c r="BW152" s="544"/>
      <c r="BX152" s="544"/>
      <c r="BY152" s="544"/>
      <c r="BZ152" s="544"/>
      <c r="CA152" s="544"/>
      <c r="CB152" s="544"/>
      <c r="CC152" s="544"/>
      <c r="CD152" s="544"/>
      <c r="CE152" s="544"/>
      <c r="CF152" s="544"/>
      <c r="CG152" s="544"/>
      <c r="CH152" s="544"/>
      <c r="CI152" s="544"/>
      <c r="CJ152" s="544"/>
      <c r="CK152" s="544"/>
      <c r="CL152" s="544"/>
      <c r="CM152" s="544"/>
      <c r="CN152" s="544"/>
      <c r="CO152" s="544"/>
      <c r="CP152" s="544"/>
      <c r="CQ152" s="544"/>
      <c r="CR152" s="544"/>
      <c r="CS152" s="544"/>
    </row>
    <row r="153" spans="1:97" s="142" customFormat="1" ht="12.75" x14ac:dyDescent="0.2">
      <c r="A153" s="735">
        <v>146</v>
      </c>
      <c r="B153" s="732" t="s">
        <v>181</v>
      </c>
      <c r="C153" s="738" t="s">
        <v>182</v>
      </c>
      <c r="D153" s="905">
        <v>91401.115732814797</v>
      </c>
      <c r="E153" s="905">
        <v>46139098</v>
      </c>
      <c r="F153" s="905">
        <v>2544</v>
      </c>
      <c r="G153" s="166">
        <v>23031925</v>
      </c>
      <c r="H153" s="166">
        <v>-3487602</v>
      </c>
      <c r="I153" s="166">
        <v>300000</v>
      </c>
      <c r="J153" s="166">
        <v>-3187602</v>
      </c>
      <c r="K153" s="166">
        <v>-1030462</v>
      </c>
      <c r="L153" s="166">
        <v>-62269</v>
      </c>
      <c r="M153" s="166">
        <v>-17830</v>
      </c>
      <c r="N153" s="166">
        <v>-12771</v>
      </c>
      <c r="O153" s="166">
        <v>-20000</v>
      </c>
      <c r="P153" s="166">
        <v>-468883</v>
      </c>
      <c r="Q153" s="166">
        <v>-30080</v>
      </c>
      <c r="R153" s="166">
        <v>-7135</v>
      </c>
      <c r="S153" s="166">
        <v>-588</v>
      </c>
      <c r="T153" s="166"/>
      <c r="U153" s="166">
        <v>0</v>
      </c>
      <c r="V153" s="166">
        <v>0</v>
      </c>
      <c r="W153" s="166">
        <v>0</v>
      </c>
      <c r="X153" s="166">
        <v>0</v>
      </c>
      <c r="Y153" s="166">
        <v>-8915</v>
      </c>
      <c r="Z153" s="166">
        <v>15811131</v>
      </c>
      <c r="AA153" s="166">
        <v>-751360</v>
      </c>
      <c r="AB153" s="166"/>
      <c r="AC153" s="166">
        <v>-1783174</v>
      </c>
      <c r="AD153" s="166">
        <v>112</v>
      </c>
      <c r="AE153" s="166">
        <v>11</v>
      </c>
      <c r="AF153" s="166">
        <v>7</v>
      </c>
      <c r="AG153" s="166"/>
      <c r="AH153" s="166">
        <v>8</v>
      </c>
      <c r="AI153" s="166">
        <v>0</v>
      </c>
      <c r="AJ153" s="166">
        <v>190</v>
      </c>
      <c r="AK153" s="166">
        <v>48</v>
      </c>
      <c r="AL153" s="166">
        <v>6</v>
      </c>
      <c r="AM153" s="166">
        <v>0</v>
      </c>
      <c r="AN153" s="166">
        <v>0</v>
      </c>
      <c r="AO153" s="166">
        <v>2</v>
      </c>
      <c r="AP153" s="166">
        <v>0</v>
      </c>
      <c r="AQ153" s="166">
        <v>0</v>
      </c>
      <c r="AR153" s="166">
        <v>211</v>
      </c>
      <c r="AS153" s="166">
        <v>418</v>
      </c>
      <c r="AT153" s="166">
        <v>1340</v>
      </c>
      <c r="AU153" s="166">
        <v>1280</v>
      </c>
      <c r="AV153" s="166">
        <v>60</v>
      </c>
      <c r="AW153" s="166">
        <v>816</v>
      </c>
      <c r="AX153" s="166">
        <v>-35135</v>
      </c>
      <c r="AY153" s="166">
        <v>-249799</v>
      </c>
      <c r="AZ153" s="166">
        <v>0</v>
      </c>
      <c r="BA153" s="166">
        <v>0</v>
      </c>
      <c r="BB153" s="166">
        <v>0</v>
      </c>
      <c r="BC153" s="166">
        <v>-183949</v>
      </c>
      <c r="BD153" s="166">
        <v>0</v>
      </c>
      <c r="BE153" s="166">
        <v>-1903500</v>
      </c>
      <c r="BF153" s="166"/>
      <c r="BG153" s="760">
        <v>7465150</v>
      </c>
      <c r="BH153" s="760">
        <v>0</v>
      </c>
      <c r="BI153" s="815">
        <v>2699029</v>
      </c>
      <c r="BJ153" s="1044" t="s">
        <v>2454</v>
      </c>
      <c r="BK153" s="1044" t="s">
        <v>2462</v>
      </c>
      <c r="BL153" s="1044" t="s">
        <v>2610</v>
      </c>
      <c r="BM153" s="650"/>
      <c r="BN153" s="746" t="s">
        <v>182</v>
      </c>
      <c r="BO153" s="142" t="b">
        <v>1</v>
      </c>
      <c r="BP153" s="544"/>
      <c r="BQ153" s="544"/>
      <c r="BR153" s="544"/>
      <c r="BS153" s="544"/>
      <c r="BT153" s="544"/>
      <c r="BU153" s="544"/>
      <c r="BV153" s="544"/>
      <c r="BW153" s="544"/>
      <c r="BX153" s="544"/>
      <c r="BY153" s="544"/>
      <c r="BZ153" s="544"/>
      <c r="CA153" s="544"/>
      <c r="CB153" s="544"/>
      <c r="CC153" s="544"/>
      <c r="CD153" s="544"/>
      <c r="CE153" s="544"/>
      <c r="CF153" s="544"/>
      <c r="CG153" s="544"/>
      <c r="CH153" s="544"/>
      <c r="CI153" s="544"/>
      <c r="CJ153" s="544"/>
      <c r="CK153" s="544"/>
      <c r="CL153" s="544"/>
      <c r="CM153" s="544"/>
      <c r="CN153" s="544"/>
      <c r="CO153" s="544"/>
      <c r="CP153" s="544"/>
      <c r="CQ153" s="544"/>
      <c r="CR153" s="544"/>
      <c r="CS153" s="544"/>
    </row>
    <row r="154" spans="1:97" s="142" customFormat="1" ht="12.75" x14ac:dyDescent="0.2">
      <c r="A154" s="735">
        <v>147</v>
      </c>
      <c r="B154" s="732" t="s">
        <v>183</v>
      </c>
      <c r="C154" s="738" t="s">
        <v>184</v>
      </c>
      <c r="D154" s="905">
        <v>106332.763007628</v>
      </c>
      <c r="E154" s="905">
        <v>51947654</v>
      </c>
      <c r="F154" s="905">
        <v>3020</v>
      </c>
      <c r="G154" s="166">
        <v>25360065</v>
      </c>
      <c r="H154" s="166">
        <v>-3741028</v>
      </c>
      <c r="I154" s="166">
        <v>368493</v>
      </c>
      <c r="J154" s="166">
        <v>-3372535</v>
      </c>
      <c r="K154" s="166">
        <v>-2242273</v>
      </c>
      <c r="L154" s="166">
        <v>-189940</v>
      </c>
      <c r="M154" s="166">
        <v>-40084</v>
      </c>
      <c r="N154" s="166">
        <v>-10004</v>
      </c>
      <c r="O154" s="166">
        <v>0</v>
      </c>
      <c r="P154" s="166">
        <v>-405708</v>
      </c>
      <c r="Q154" s="166">
        <v>-85018</v>
      </c>
      <c r="R154" s="166">
        <v>-26570</v>
      </c>
      <c r="S154" s="166">
        <v>-44708</v>
      </c>
      <c r="T154" s="166"/>
      <c r="U154" s="166">
        <v>0</v>
      </c>
      <c r="V154" s="166">
        <v>0</v>
      </c>
      <c r="W154" s="166">
        <v>0</v>
      </c>
      <c r="X154" s="166">
        <v>0</v>
      </c>
      <c r="Y154" s="166">
        <v>0</v>
      </c>
      <c r="Z154" s="166">
        <v>14509688</v>
      </c>
      <c r="AA154" s="166">
        <v>-181792</v>
      </c>
      <c r="AB154" s="166"/>
      <c r="AC154" s="166">
        <v>-2479555</v>
      </c>
      <c r="AD154" s="166">
        <v>204</v>
      </c>
      <c r="AE154" s="166">
        <v>16</v>
      </c>
      <c r="AF154" s="166">
        <v>20</v>
      </c>
      <c r="AG154" s="166"/>
      <c r="AH154" s="166">
        <v>8</v>
      </c>
      <c r="AI154" s="166">
        <v>0</v>
      </c>
      <c r="AJ154" s="166">
        <v>136</v>
      </c>
      <c r="AK154" s="166">
        <v>115</v>
      </c>
      <c r="AL154" s="166">
        <v>9</v>
      </c>
      <c r="AM154" s="166">
        <v>0</v>
      </c>
      <c r="AN154" s="166">
        <v>0</v>
      </c>
      <c r="AO154" s="166">
        <v>14</v>
      </c>
      <c r="AP154" s="166">
        <v>0</v>
      </c>
      <c r="AQ154" s="166">
        <v>0</v>
      </c>
      <c r="AR154" s="166">
        <v>360</v>
      </c>
      <c r="AS154" s="166">
        <v>584</v>
      </c>
      <c r="AT154" s="166">
        <v>1575</v>
      </c>
      <c r="AU154" s="166">
        <v>1478</v>
      </c>
      <c r="AV154" s="166">
        <v>97</v>
      </c>
      <c r="AW154" s="166">
        <v>832</v>
      </c>
      <c r="AX154" s="166">
        <v>-20670</v>
      </c>
      <c r="AY154" s="166">
        <v>-206489</v>
      </c>
      <c r="AZ154" s="166">
        <v>0</v>
      </c>
      <c r="BA154" s="166">
        <v>0</v>
      </c>
      <c r="BB154" s="166">
        <v>-175024</v>
      </c>
      <c r="BC154" s="166">
        <v>-3525</v>
      </c>
      <c r="BD154" s="166">
        <v>-81058</v>
      </c>
      <c r="BE154" s="166">
        <v>282214</v>
      </c>
      <c r="BF154" s="166"/>
      <c r="BG154" s="760">
        <v>6971825</v>
      </c>
      <c r="BH154" s="760">
        <v>0</v>
      </c>
      <c r="BI154" s="815">
        <v>-426812</v>
      </c>
      <c r="BJ154" s="1044" t="s">
        <v>2454</v>
      </c>
      <c r="BK154" s="1044" t="s">
        <v>2478</v>
      </c>
      <c r="BL154" s="1044" t="s">
        <v>2611</v>
      </c>
      <c r="BM154" s="650"/>
      <c r="BN154" s="746" t="s">
        <v>184</v>
      </c>
      <c r="BO154" s="142" t="b">
        <v>1</v>
      </c>
      <c r="BP154" s="544"/>
      <c r="BQ154" s="544"/>
      <c r="BR154" s="544"/>
      <c r="BS154" s="544"/>
      <c r="BT154" s="544"/>
      <c r="BU154" s="544"/>
      <c r="BV154" s="544"/>
      <c r="BW154" s="544"/>
      <c r="BX154" s="544"/>
      <c r="BY154" s="544"/>
      <c r="BZ154" s="544"/>
      <c r="CA154" s="544"/>
      <c r="CB154" s="544"/>
      <c r="CC154" s="544"/>
      <c r="CD154" s="544"/>
      <c r="CE154" s="544"/>
      <c r="CF154" s="544"/>
      <c r="CG154" s="544"/>
      <c r="CH154" s="544"/>
      <c r="CI154" s="544"/>
      <c r="CJ154" s="544"/>
      <c r="CK154" s="544"/>
      <c r="CL154" s="544"/>
      <c r="CM154" s="544"/>
      <c r="CN154" s="544"/>
      <c r="CO154" s="544"/>
      <c r="CP154" s="544"/>
      <c r="CQ154" s="544"/>
      <c r="CR154" s="544"/>
      <c r="CS154" s="544"/>
    </row>
    <row r="155" spans="1:97" s="142" customFormat="1" ht="12.75" hidden="1" x14ac:dyDescent="0.2">
      <c r="A155" s="735">
        <v>148</v>
      </c>
      <c r="B155" s="732" t="s">
        <v>185</v>
      </c>
      <c r="C155" s="738" t="s">
        <v>186</v>
      </c>
      <c r="D155" s="905">
        <v>1121074.5005519299</v>
      </c>
      <c r="E155" s="905">
        <v>975726664</v>
      </c>
      <c r="F155" s="905">
        <v>27361</v>
      </c>
      <c r="G155" s="166">
        <v>487387158</v>
      </c>
      <c r="H155" s="166">
        <v>-19841735</v>
      </c>
      <c r="I155" s="166">
        <v>10079116</v>
      </c>
      <c r="J155" s="166">
        <v>-9762619</v>
      </c>
      <c r="K155" s="166">
        <v>-35305048</v>
      </c>
      <c r="L155" s="166">
        <v>-125470</v>
      </c>
      <c r="M155" s="166">
        <v>0</v>
      </c>
      <c r="N155" s="166">
        <v>0</v>
      </c>
      <c r="O155" s="166">
        <v>0</v>
      </c>
      <c r="P155" s="166">
        <v>-25430546</v>
      </c>
      <c r="Q155" s="166">
        <v>-1236509</v>
      </c>
      <c r="R155" s="166">
        <v>-390476</v>
      </c>
      <c r="S155" s="166">
        <v>0</v>
      </c>
      <c r="T155" s="166"/>
      <c r="U155" s="166">
        <v>0</v>
      </c>
      <c r="V155" s="166">
        <v>-202794</v>
      </c>
      <c r="W155" s="166">
        <v>-202794</v>
      </c>
      <c r="X155" s="166">
        <v>0</v>
      </c>
      <c r="Y155" s="166">
        <v>0</v>
      </c>
      <c r="Z155" s="166">
        <v>349594353</v>
      </c>
      <c r="AA155" s="166">
        <v>-20975661</v>
      </c>
      <c r="AB155" s="166"/>
      <c r="AC155" s="166">
        <v>-34137848</v>
      </c>
      <c r="AD155" s="166">
        <v>839</v>
      </c>
      <c r="AE155" s="166">
        <v>11</v>
      </c>
      <c r="AF155" s="166">
        <v>0</v>
      </c>
      <c r="AG155" s="166"/>
      <c r="AH155" s="166">
        <v>0</v>
      </c>
      <c r="AI155" s="166">
        <v>0</v>
      </c>
      <c r="AJ155" s="166">
        <v>3282</v>
      </c>
      <c r="AK155" s="166">
        <v>68</v>
      </c>
      <c r="AL155" s="166">
        <v>0</v>
      </c>
      <c r="AM155" s="166">
        <v>0</v>
      </c>
      <c r="AN155" s="166">
        <v>0</v>
      </c>
      <c r="AO155" s="166">
        <v>0</v>
      </c>
      <c r="AP155" s="166">
        <v>15</v>
      </c>
      <c r="AQ155" s="166">
        <v>0</v>
      </c>
      <c r="AR155" s="166">
        <v>2687</v>
      </c>
      <c r="AS155" s="166">
        <v>8590</v>
      </c>
      <c r="AT155" s="166">
        <v>7423</v>
      </c>
      <c r="AU155" s="166">
        <v>6748</v>
      </c>
      <c r="AV155" s="166">
        <v>675</v>
      </c>
      <c r="AW155" s="166">
        <v>11098</v>
      </c>
      <c r="AX155" s="166">
        <v>-474512</v>
      </c>
      <c r="AY155" s="166">
        <v>-19469610</v>
      </c>
      <c r="AZ155" s="166">
        <v>0</v>
      </c>
      <c r="BA155" s="166">
        <v>-87681</v>
      </c>
      <c r="BB155" s="166">
        <v>-5357882</v>
      </c>
      <c r="BC155" s="166">
        <v>-40861</v>
      </c>
      <c r="BD155" s="166">
        <v>-2113624</v>
      </c>
      <c r="BE155" s="166">
        <v>14579794</v>
      </c>
      <c r="BF155" s="166"/>
      <c r="BG155" s="760">
        <v>93805950</v>
      </c>
      <c r="BH155" s="760">
        <v>3002000</v>
      </c>
      <c r="BI155" s="815">
        <v>34794160</v>
      </c>
      <c r="BJ155" s="1044" t="s">
        <v>2468</v>
      </c>
      <c r="BK155" s="1044" t="s">
        <v>2481</v>
      </c>
      <c r="BL155" s="1044" t="s">
        <v>2612</v>
      </c>
      <c r="BM155" s="650"/>
      <c r="BN155" s="746" t="s">
        <v>186</v>
      </c>
      <c r="BO155" s="142" t="b">
        <v>1</v>
      </c>
      <c r="BP155" s="544"/>
      <c r="BQ155" s="544"/>
      <c r="BR155" s="544"/>
      <c r="BS155" s="544"/>
      <c r="BT155" s="544"/>
      <c r="BU155" s="544"/>
      <c r="BV155" s="544"/>
      <c r="BW155" s="544"/>
      <c r="BX155" s="544"/>
      <c r="BY155" s="544"/>
      <c r="BZ155" s="544"/>
      <c r="CA155" s="544"/>
      <c r="CB155" s="544"/>
      <c r="CC155" s="544"/>
      <c r="CD155" s="544"/>
      <c r="CE155" s="544"/>
      <c r="CF155" s="544"/>
      <c r="CG155" s="544"/>
      <c r="CH155" s="544"/>
      <c r="CI155" s="544"/>
      <c r="CJ155" s="544"/>
      <c r="CK155" s="544"/>
      <c r="CL155" s="544"/>
      <c r="CM155" s="544"/>
      <c r="CN155" s="544"/>
      <c r="CO155" s="544"/>
      <c r="CP155" s="544"/>
      <c r="CQ155" s="544"/>
      <c r="CR155" s="544"/>
      <c r="CS155" s="544"/>
    </row>
    <row r="156" spans="1:97" s="142" customFormat="1" ht="12.75" x14ac:dyDescent="0.2">
      <c r="A156" s="735">
        <v>149</v>
      </c>
      <c r="B156" s="732" t="s">
        <v>187</v>
      </c>
      <c r="C156" s="738" t="s">
        <v>188</v>
      </c>
      <c r="D156" s="905">
        <v>125196.008251351</v>
      </c>
      <c r="E156" s="905">
        <v>75730088</v>
      </c>
      <c r="F156" s="905">
        <v>3375</v>
      </c>
      <c r="G156" s="166">
        <v>37680804</v>
      </c>
      <c r="H156" s="166">
        <v>-3174853</v>
      </c>
      <c r="I156" s="166">
        <v>646117</v>
      </c>
      <c r="J156" s="166">
        <v>-2528736</v>
      </c>
      <c r="K156" s="166">
        <v>-2521458</v>
      </c>
      <c r="L156" s="166">
        <v>-17277</v>
      </c>
      <c r="M156" s="166">
        <v>0</v>
      </c>
      <c r="N156" s="166">
        <v>-19621</v>
      </c>
      <c r="O156" s="166">
        <v>0</v>
      </c>
      <c r="P156" s="166">
        <v>-469515</v>
      </c>
      <c r="Q156" s="166">
        <v>-89343</v>
      </c>
      <c r="R156" s="166">
        <v>-24863</v>
      </c>
      <c r="S156" s="166">
        <v>0</v>
      </c>
      <c r="T156" s="166"/>
      <c r="U156" s="166">
        <v>0</v>
      </c>
      <c r="V156" s="166">
        <v>-31654</v>
      </c>
      <c r="W156" s="166">
        <v>0</v>
      </c>
      <c r="X156" s="166">
        <v>0</v>
      </c>
      <c r="Y156" s="166">
        <v>0</v>
      </c>
      <c r="Z156" s="166">
        <v>26895031</v>
      </c>
      <c r="AA156" s="166">
        <v>-1770998</v>
      </c>
      <c r="AB156" s="166"/>
      <c r="AC156" s="166">
        <v>-3297357</v>
      </c>
      <c r="AD156" s="166">
        <v>142</v>
      </c>
      <c r="AE156" s="166">
        <v>2</v>
      </c>
      <c r="AF156" s="166">
        <v>0</v>
      </c>
      <c r="AG156" s="166"/>
      <c r="AH156" s="166">
        <v>5</v>
      </c>
      <c r="AI156" s="166">
        <v>0</v>
      </c>
      <c r="AJ156" s="166">
        <v>471</v>
      </c>
      <c r="AK156" s="166">
        <v>15</v>
      </c>
      <c r="AL156" s="166">
        <v>3</v>
      </c>
      <c r="AM156" s="166">
        <v>0</v>
      </c>
      <c r="AN156" s="166">
        <v>0</v>
      </c>
      <c r="AO156" s="166">
        <v>0</v>
      </c>
      <c r="AP156" s="166">
        <v>0</v>
      </c>
      <c r="AQ156" s="166">
        <v>4</v>
      </c>
      <c r="AR156" s="166">
        <v>357</v>
      </c>
      <c r="AS156" s="166">
        <v>804</v>
      </c>
      <c r="AT156" s="166">
        <v>1375</v>
      </c>
      <c r="AU156" s="166">
        <v>1315</v>
      </c>
      <c r="AV156" s="166">
        <v>60</v>
      </c>
      <c r="AW156" s="166">
        <v>1171</v>
      </c>
      <c r="AX156" s="166">
        <v>0</v>
      </c>
      <c r="AY156" s="166">
        <v>-142443</v>
      </c>
      <c r="AZ156" s="166">
        <v>0</v>
      </c>
      <c r="BA156" s="166">
        <v>-2163</v>
      </c>
      <c r="BB156" s="166">
        <v>-324909</v>
      </c>
      <c r="BC156" s="166">
        <v>0</v>
      </c>
      <c r="BD156" s="166">
        <v>-63000</v>
      </c>
      <c r="BE156" s="166">
        <v>7131465</v>
      </c>
      <c r="BF156" s="166"/>
      <c r="BG156" s="760">
        <v>8413635</v>
      </c>
      <c r="BH156" s="760">
        <v>0</v>
      </c>
      <c r="BI156" s="815">
        <v>6027282</v>
      </c>
      <c r="BJ156" s="1044" t="s">
        <v>2454</v>
      </c>
      <c r="BK156" s="1044" t="s">
        <v>2457</v>
      </c>
      <c r="BL156" s="1044" t="s">
        <v>2613</v>
      </c>
      <c r="BM156" s="650"/>
      <c r="BN156" s="746" t="s">
        <v>188</v>
      </c>
      <c r="BO156" s="142" t="b">
        <v>1</v>
      </c>
      <c r="BP156" s="544"/>
      <c r="BQ156" s="544"/>
      <c r="BR156" s="544"/>
      <c r="BS156" s="544"/>
      <c r="BT156" s="544"/>
      <c r="BU156" s="544"/>
      <c r="BV156" s="544"/>
      <c r="BW156" s="544"/>
      <c r="BX156" s="544"/>
      <c r="BY156" s="544"/>
      <c r="BZ156" s="544"/>
      <c r="CA156" s="544"/>
      <c r="CB156" s="544"/>
      <c r="CC156" s="544"/>
      <c r="CD156" s="544"/>
      <c r="CE156" s="544"/>
      <c r="CF156" s="544"/>
      <c r="CG156" s="544"/>
      <c r="CH156" s="544"/>
      <c r="CI156" s="544"/>
      <c r="CJ156" s="544"/>
      <c r="CK156" s="544"/>
      <c r="CL156" s="544"/>
      <c r="CM156" s="544"/>
      <c r="CN156" s="544"/>
      <c r="CO156" s="544"/>
      <c r="CP156" s="544"/>
      <c r="CQ156" s="544"/>
      <c r="CR156" s="544"/>
      <c r="CS156" s="544"/>
    </row>
    <row r="157" spans="1:97" s="142" customFormat="1" ht="12.75" hidden="1" x14ac:dyDescent="0.2">
      <c r="A157" s="735">
        <v>150</v>
      </c>
      <c r="B157" s="732" t="s">
        <v>605</v>
      </c>
      <c r="C157" s="738" t="s">
        <v>190</v>
      </c>
      <c r="D157" s="905">
        <v>266816.84179052798</v>
      </c>
      <c r="E157" s="905">
        <v>249081389</v>
      </c>
      <c r="F157" s="905">
        <v>6446</v>
      </c>
      <c r="G157" s="166">
        <v>126215860</v>
      </c>
      <c r="H157" s="166">
        <v>-6753453</v>
      </c>
      <c r="I157" s="166">
        <v>2482870</v>
      </c>
      <c r="J157" s="166">
        <v>-4270583</v>
      </c>
      <c r="K157" s="166">
        <v>-10218851</v>
      </c>
      <c r="L157" s="166">
        <v>-110956</v>
      </c>
      <c r="M157" s="166">
        <v>-2254</v>
      </c>
      <c r="N157" s="166">
        <v>-24530</v>
      </c>
      <c r="O157" s="166">
        <v>0</v>
      </c>
      <c r="P157" s="166">
        <v>-1690060</v>
      </c>
      <c r="Q157" s="166">
        <v>-89684</v>
      </c>
      <c r="R157" s="166">
        <v>-65075</v>
      </c>
      <c r="S157" s="166">
        <v>0</v>
      </c>
      <c r="T157" s="166"/>
      <c r="U157" s="166">
        <v>0</v>
      </c>
      <c r="V157" s="166">
        <v>0</v>
      </c>
      <c r="W157" s="166">
        <v>0</v>
      </c>
      <c r="X157" s="166">
        <v>0</v>
      </c>
      <c r="Y157" s="166">
        <v>-1127</v>
      </c>
      <c r="Z157" s="166">
        <v>94373228</v>
      </c>
      <c r="AA157" s="166">
        <v>-1806149</v>
      </c>
      <c r="AB157" s="166"/>
      <c r="AC157" s="166">
        <v>-7186711</v>
      </c>
      <c r="AD157" s="166">
        <v>330</v>
      </c>
      <c r="AE157" s="166">
        <v>8</v>
      </c>
      <c r="AF157" s="166">
        <v>1</v>
      </c>
      <c r="AG157" s="166"/>
      <c r="AH157" s="166">
        <v>11</v>
      </c>
      <c r="AI157" s="166">
        <v>0</v>
      </c>
      <c r="AJ157" s="166">
        <v>250</v>
      </c>
      <c r="AK157" s="166">
        <v>85</v>
      </c>
      <c r="AL157" s="166">
        <v>13</v>
      </c>
      <c r="AM157" s="166">
        <v>0</v>
      </c>
      <c r="AN157" s="166">
        <v>1</v>
      </c>
      <c r="AO157" s="166">
        <v>0</v>
      </c>
      <c r="AP157" s="166">
        <v>0</v>
      </c>
      <c r="AQ157" s="166">
        <v>0</v>
      </c>
      <c r="AR157" s="166">
        <v>880</v>
      </c>
      <c r="AS157" s="166">
        <v>3834</v>
      </c>
      <c r="AT157" s="166">
        <v>2560</v>
      </c>
      <c r="AU157" s="166">
        <v>2345</v>
      </c>
      <c r="AV157" s="166">
        <v>215</v>
      </c>
      <c r="AW157" s="166">
        <v>74</v>
      </c>
      <c r="AX157" s="166">
        <v>0</v>
      </c>
      <c r="AY157" s="166">
        <v>0</v>
      </c>
      <c r="AZ157" s="166">
        <v>0</v>
      </c>
      <c r="BA157" s="166">
        <v>-27368</v>
      </c>
      <c r="BB157" s="166">
        <v>-55864</v>
      </c>
      <c r="BC157" s="166">
        <v>-1606828</v>
      </c>
      <c r="BD157" s="166">
        <v>-9955</v>
      </c>
      <c r="BE157" s="166">
        <v>-5774127</v>
      </c>
      <c r="BF157" s="166"/>
      <c r="BG157" s="760">
        <v>23823872</v>
      </c>
      <c r="BH157" s="760">
        <v>0</v>
      </c>
      <c r="BI157" s="815">
        <v>-95306</v>
      </c>
      <c r="BJ157" s="1044" t="s">
        <v>515</v>
      </c>
      <c r="BK157" s="1044" t="s">
        <v>2455</v>
      </c>
      <c r="BL157" s="1044" t="s">
        <v>2614</v>
      </c>
      <c r="BM157" s="650"/>
      <c r="BN157" s="746" t="s">
        <v>190</v>
      </c>
      <c r="BO157" s="142" t="b">
        <v>1</v>
      </c>
      <c r="BP157" s="544"/>
      <c r="BQ157" s="544"/>
      <c r="BR157" s="544"/>
      <c r="BS157" s="544"/>
      <c r="BT157" s="544"/>
      <c r="BU157" s="544"/>
      <c r="BV157" s="544"/>
      <c r="BW157" s="544"/>
      <c r="BX157" s="544"/>
      <c r="BY157" s="544"/>
      <c r="BZ157" s="544"/>
      <c r="CA157" s="544"/>
      <c r="CB157" s="544"/>
      <c r="CC157" s="544"/>
      <c r="CD157" s="544"/>
      <c r="CE157" s="544"/>
      <c r="CF157" s="544"/>
      <c r="CG157" s="544"/>
      <c r="CH157" s="544"/>
      <c r="CI157" s="544"/>
      <c r="CJ157" s="544"/>
      <c r="CK157" s="544"/>
      <c r="CL157" s="544"/>
      <c r="CM157" s="544"/>
      <c r="CN157" s="544"/>
      <c r="CO157" s="544"/>
      <c r="CP157" s="544"/>
      <c r="CQ157" s="544"/>
      <c r="CR157" s="544"/>
      <c r="CS157" s="544"/>
    </row>
    <row r="158" spans="1:97" s="142" customFormat="1" ht="12.75" x14ac:dyDescent="0.2">
      <c r="A158" s="735">
        <v>151</v>
      </c>
      <c r="B158" s="732" t="s">
        <v>191</v>
      </c>
      <c r="C158" s="738" t="s">
        <v>192</v>
      </c>
      <c r="D158" s="905">
        <v>63189.008689736002</v>
      </c>
      <c r="E158" s="905">
        <v>42895334</v>
      </c>
      <c r="F158" s="905">
        <v>1686</v>
      </c>
      <c r="G158" s="166">
        <v>21458953</v>
      </c>
      <c r="H158" s="166">
        <v>-2428417</v>
      </c>
      <c r="I158" s="166">
        <v>317279</v>
      </c>
      <c r="J158" s="166">
        <v>-2111138</v>
      </c>
      <c r="K158" s="166">
        <v>-1762717</v>
      </c>
      <c r="L158" s="166">
        <v>-46949</v>
      </c>
      <c r="M158" s="166">
        <v>-25434</v>
      </c>
      <c r="N158" s="166">
        <v>-2115</v>
      </c>
      <c r="O158" s="166">
        <v>0</v>
      </c>
      <c r="P158" s="166">
        <v>-225971</v>
      </c>
      <c r="Q158" s="166">
        <v>-24480</v>
      </c>
      <c r="R158" s="166">
        <v>-3774</v>
      </c>
      <c r="S158" s="166">
        <v>-250</v>
      </c>
      <c r="T158" s="166"/>
      <c r="U158" s="166">
        <v>0</v>
      </c>
      <c r="V158" s="166">
        <v>0</v>
      </c>
      <c r="W158" s="166">
        <v>0</v>
      </c>
      <c r="X158" s="166">
        <v>0</v>
      </c>
      <c r="Y158" s="166">
        <v>-12717</v>
      </c>
      <c r="Z158" s="166">
        <v>14553541</v>
      </c>
      <c r="AA158" s="166">
        <v>-1136882</v>
      </c>
      <c r="AB158" s="166"/>
      <c r="AC158" s="166">
        <v>-1577570</v>
      </c>
      <c r="AD158" s="166">
        <v>110</v>
      </c>
      <c r="AE158" s="166">
        <v>8</v>
      </c>
      <c r="AF158" s="166">
        <v>11</v>
      </c>
      <c r="AG158" s="166"/>
      <c r="AH158" s="166">
        <v>1</v>
      </c>
      <c r="AI158" s="166">
        <v>0</v>
      </c>
      <c r="AJ158" s="166">
        <v>71</v>
      </c>
      <c r="AK158" s="166">
        <v>30</v>
      </c>
      <c r="AL158" s="166">
        <v>1</v>
      </c>
      <c r="AM158" s="166">
        <v>0</v>
      </c>
      <c r="AN158" s="166">
        <v>0</v>
      </c>
      <c r="AO158" s="166">
        <v>2</v>
      </c>
      <c r="AP158" s="166">
        <v>0</v>
      </c>
      <c r="AQ158" s="166">
        <v>0</v>
      </c>
      <c r="AR158" s="166">
        <v>227</v>
      </c>
      <c r="AS158" s="166">
        <v>319</v>
      </c>
      <c r="AT158" s="166">
        <v>818</v>
      </c>
      <c r="AU158" s="166">
        <v>762</v>
      </c>
      <c r="AV158" s="166">
        <v>56</v>
      </c>
      <c r="AW158" s="166">
        <v>544</v>
      </c>
      <c r="AX158" s="166">
        <v>-31378</v>
      </c>
      <c r="AY158" s="166">
        <v>-112056</v>
      </c>
      <c r="AZ158" s="166">
        <v>0</v>
      </c>
      <c r="BA158" s="166">
        <v>-2899</v>
      </c>
      <c r="BB158" s="166">
        <v>-49286</v>
      </c>
      <c r="BC158" s="166">
        <v>-30352</v>
      </c>
      <c r="BD158" s="166">
        <v>-25000</v>
      </c>
      <c r="BE158" s="166">
        <v>-2694289</v>
      </c>
      <c r="BF158" s="166"/>
      <c r="BG158" s="760">
        <v>6319850</v>
      </c>
      <c r="BH158" s="760">
        <v>0</v>
      </c>
      <c r="BI158" s="815">
        <v>-3147130</v>
      </c>
      <c r="BJ158" s="1044" t="s">
        <v>2454</v>
      </c>
      <c r="BK158" s="1044" t="s">
        <v>2457</v>
      </c>
      <c r="BL158" s="1044" t="s">
        <v>2615</v>
      </c>
      <c r="BM158" s="650"/>
      <c r="BN158" s="746" t="s">
        <v>192</v>
      </c>
      <c r="BO158" s="142" t="b">
        <v>1</v>
      </c>
      <c r="BP158" s="544"/>
      <c r="BQ158" s="544"/>
      <c r="BR158" s="544"/>
      <c r="BS158" s="544"/>
      <c r="BT158" s="544"/>
      <c r="BU158" s="544"/>
      <c r="BV158" s="544"/>
      <c r="BW158" s="544"/>
      <c r="BX158" s="544"/>
      <c r="BY158" s="544"/>
      <c r="BZ158" s="544"/>
      <c r="CA158" s="544"/>
      <c r="CB158" s="544"/>
      <c r="CC158" s="544"/>
      <c r="CD158" s="544"/>
      <c r="CE158" s="544"/>
      <c r="CF158" s="544"/>
      <c r="CG158" s="544"/>
      <c r="CH158" s="544"/>
      <c r="CI158" s="544"/>
      <c r="CJ158" s="544"/>
      <c r="CK158" s="544"/>
      <c r="CL158" s="544"/>
      <c r="CM158" s="544"/>
      <c r="CN158" s="544"/>
      <c r="CO158" s="544"/>
      <c r="CP158" s="544"/>
      <c r="CQ158" s="544"/>
      <c r="CR158" s="544"/>
      <c r="CS158" s="544"/>
    </row>
    <row r="159" spans="1:97" s="142" customFormat="1" ht="12.75" hidden="1" x14ac:dyDescent="0.2">
      <c r="A159" s="735">
        <v>152</v>
      </c>
      <c r="B159" s="732" t="s">
        <v>193</v>
      </c>
      <c r="C159" s="738" t="s">
        <v>194</v>
      </c>
      <c r="D159" s="905">
        <v>253747.224642457</v>
      </c>
      <c r="E159" s="905">
        <v>242583162</v>
      </c>
      <c r="F159" s="905">
        <v>5301</v>
      </c>
      <c r="G159" s="166">
        <v>122027352</v>
      </c>
      <c r="H159" s="166">
        <v>-4495956</v>
      </c>
      <c r="I159" s="166">
        <v>2532539</v>
      </c>
      <c r="J159" s="166">
        <v>-1963417</v>
      </c>
      <c r="K159" s="166">
        <v>-7326872</v>
      </c>
      <c r="L159" s="166">
        <v>-107479</v>
      </c>
      <c r="M159" s="166">
        <v>0</v>
      </c>
      <c r="N159" s="166">
        <v>0</v>
      </c>
      <c r="O159" s="166">
        <v>0</v>
      </c>
      <c r="P159" s="166">
        <v>-942412</v>
      </c>
      <c r="Q159" s="166">
        <v>-189583</v>
      </c>
      <c r="R159" s="166">
        <v>-26771</v>
      </c>
      <c r="S159" s="166">
        <v>0</v>
      </c>
      <c r="T159" s="166"/>
      <c r="U159" s="166">
        <v>0</v>
      </c>
      <c r="V159" s="166">
        <v>-100000</v>
      </c>
      <c r="W159" s="166">
        <v>0</v>
      </c>
      <c r="X159" s="166">
        <v>0</v>
      </c>
      <c r="Y159" s="166">
        <v>0</v>
      </c>
      <c r="Z159" s="166">
        <v>89856090</v>
      </c>
      <c r="AA159" s="166">
        <v>-1309000</v>
      </c>
      <c r="AB159" s="166"/>
      <c r="AC159" s="166">
        <v>-8519280</v>
      </c>
      <c r="AD159" s="166">
        <v>216</v>
      </c>
      <c r="AE159" s="166">
        <v>7</v>
      </c>
      <c r="AF159" s="166">
        <v>0</v>
      </c>
      <c r="AG159" s="166"/>
      <c r="AH159" s="166">
        <v>0</v>
      </c>
      <c r="AI159" s="166">
        <v>0</v>
      </c>
      <c r="AJ159" s="166">
        <v>183</v>
      </c>
      <c r="AK159" s="166">
        <v>63</v>
      </c>
      <c r="AL159" s="166">
        <v>7</v>
      </c>
      <c r="AM159" s="166">
        <v>0</v>
      </c>
      <c r="AN159" s="166">
        <v>0</v>
      </c>
      <c r="AO159" s="166">
        <v>0</v>
      </c>
      <c r="AP159" s="166">
        <v>0</v>
      </c>
      <c r="AQ159" s="166">
        <v>2</v>
      </c>
      <c r="AR159" s="166">
        <v>779</v>
      </c>
      <c r="AS159" s="166">
        <v>1578</v>
      </c>
      <c r="AT159" s="166">
        <v>1458</v>
      </c>
      <c r="AU159" s="166">
        <v>1266</v>
      </c>
      <c r="AV159" s="166">
        <v>192</v>
      </c>
      <c r="AW159" s="166">
        <v>2300</v>
      </c>
      <c r="AX159" s="166">
        <v>-279452</v>
      </c>
      <c r="AY159" s="166">
        <v>-223682</v>
      </c>
      <c r="AZ159" s="166">
        <v>0</v>
      </c>
      <c r="BA159" s="166">
        <v>-106692</v>
      </c>
      <c r="BB159" s="166">
        <v>-192778</v>
      </c>
      <c r="BC159" s="166">
        <v>-139808</v>
      </c>
      <c r="BD159" s="166">
        <v>-30000</v>
      </c>
      <c r="BE159" s="166">
        <v>-5635171</v>
      </c>
      <c r="BF159" s="166"/>
      <c r="BG159" s="760">
        <v>20361250</v>
      </c>
      <c r="BH159" s="760">
        <v>0</v>
      </c>
      <c r="BI159" s="815">
        <v>-73273</v>
      </c>
      <c r="BJ159" s="1044" t="s">
        <v>2464</v>
      </c>
      <c r="BK159" s="1044" t="s">
        <v>2465</v>
      </c>
      <c r="BL159" s="1044" t="s">
        <v>2616</v>
      </c>
      <c r="BM159" s="650"/>
      <c r="BN159" s="746" t="s">
        <v>194</v>
      </c>
      <c r="BO159" s="142" t="b">
        <v>1</v>
      </c>
      <c r="BP159" s="544"/>
      <c r="BQ159" s="544"/>
      <c r="BR159" s="544"/>
      <c r="BS159" s="544"/>
      <c r="BT159" s="544"/>
      <c r="BU159" s="544"/>
      <c r="BV159" s="544"/>
      <c r="BW159" s="544"/>
      <c r="BX159" s="544"/>
      <c r="BY159" s="544"/>
      <c r="BZ159" s="544"/>
      <c r="CA159" s="544"/>
      <c r="CB159" s="544"/>
      <c r="CC159" s="544"/>
      <c r="CD159" s="544"/>
      <c r="CE159" s="544"/>
      <c r="CF159" s="544"/>
      <c r="CG159" s="544"/>
      <c r="CH159" s="544"/>
      <c r="CI159" s="544"/>
      <c r="CJ159" s="544"/>
      <c r="CK159" s="544"/>
      <c r="CL159" s="544"/>
      <c r="CM159" s="544"/>
      <c r="CN159" s="544"/>
      <c r="CO159" s="544"/>
      <c r="CP159" s="544"/>
      <c r="CQ159" s="544"/>
      <c r="CR159" s="544"/>
      <c r="CS159" s="544"/>
    </row>
    <row r="160" spans="1:97" s="142" customFormat="1" ht="12.75" x14ac:dyDescent="0.2">
      <c r="A160" s="735">
        <v>153</v>
      </c>
      <c r="B160" s="732" t="s">
        <v>195</v>
      </c>
      <c r="C160" s="738" t="s">
        <v>196</v>
      </c>
      <c r="D160" s="905">
        <v>123164.30069294501</v>
      </c>
      <c r="E160" s="905">
        <v>53755987</v>
      </c>
      <c r="F160" s="905">
        <v>3556</v>
      </c>
      <c r="G160" s="166">
        <v>26051276</v>
      </c>
      <c r="H160" s="166">
        <v>-3792191</v>
      </c>
      <c r="I160" s="166">
        <v>358571</v>
      </c>
      <c r="J160" s="166">
        <v>-3433620</v>
      </c>
      <c r="K160" s="166">
        <v>-1652029</v>
      </c>
      <c r="L160" s="166">
        <v>-32332</v>
      </c>
      <c r="M160" s="166">
        <v>-41118</v>
      </c>
      <c r="N160" s="166">
        <v>-8794</v>
      </c>
      <c r="O160" s="166">
        <v>0</v>
      </c>
      <c r="P160" s="166">
        <v>-347941</v>
      </c>
      <c r="Q160" s="166">
        <v>-81897</v>
      </c>
      <c r="R160" s="166">
        <v>-9300</v>
      </c>
      <c r="S160" s="166">
        <v>-5176</v>
      </c>
      <c r="T160" s="166"/>
      <c r="U160" s="166">
        <v>0</v>
      </c>
      <c r="V160" s="166">
        <v>0</v>
      </c>
      <c r="W160" s="166">
        <v>0</v>
      </c>
      <c r="X160" s="166">
        <v>0</v>
      </c>
      <c r="Y160" s="166">
        <v>-20559</v>
      </c>
      <c r="Z160" s="166">
        <v>15389479</v>
      </c>
      <c r="AA160" s="166">
        <v>-250000</v>
      </c>
      <c r="AB160" s="166"/>
      <c r="AC160" s="166">
        <v>-2445946</v>
      </c>
      <c r="AD160" s="166">
        <v>201</v>
      </c>
      <c r="AE160" s="166">
        <v>9</v>
      </c>
      <c r="AF160" s="166">
        <v>17</v>
      </c>
      <c r="AG160" s="166"/>
      <c r="AH160" s="166">
        <v>7</v>
      </c>
      <c r="AI160" s="166">
        <v>0</v>
      </c>
      <c r="AJ160" s="166">
        <v>248</v>
      </c>
      <c r="AK160" s="166">
        <v>122</v>
      </c>
      <c r="AL160" s="166">
        <v>2</v>
      </c>
      <c r="AM160" s="166">
        <v>0</v>
      </c>
      <c r="AN160" s="166">
        <v>0</v>
      </c>
      <c r="AO160" s="166">
        <v>8</v>
      </c>
      <c r="AP160" s="166">
        <v>0</v>
      </c>
      <c r="AQ160" s="166">
        <v>0</v>
      </c>
      <c r="AR160" s="166">
        <v>319</v>
      </c>
      <c r="AS160" s="166">
        <v>623</v>
      </c>
      <c r="AT160" s="166">
        <v>1782</v>
      </c>
      <c r="AU160" s="166">
        <v>1700</v>
      </c>
      <c r="AV160" s="166">
        <v>82</v>
      </c>
      <c r="AW160" s="166">
        <v>517</v>
      </c>
      <c r="AX160" s="166">
        <v>0</v>
      </c>
      <c r="AY160" s="166">
        <v>-139953</v>
      </c>
      <c r="AZ160" s="166">
        <v>0</v>
      </c>
      <c r="BA160" s="166">
        <v>0</v>
      </c>
      <c r="BB160" s="166">
        <v>-204484</v>
      </c>
      <c r="BC160" s="166">
        <v>-3504</v>
      </c>
      <c r="BD160" s="166">
        <v>-287257</v>
      </c>
      <c r="BE160" s="166">
        <v>-447820</v>
      </c>
      <c r="BF160" s="166"/>
      <c r="BG160" s="760">
        <v>7886450</v>
      </c>
      <c r="BH160" s="760">
        <v>0</v>
      </c>
      <c r="BI160" s="815">
        <v>-266893</v>
      </c>
      <c r="BJ160" s="1044" t="s">
        <v>2454</v>
      </c>
      <c r="BK160" s="1044" t="s">
        <v>2474</v>
      </c>
      <c r="BL160" s="1044" t="s">
        <v>2617</v>
      </c>
      <c r="BM160" s="650"/>
      <c r="BN160" s="746" t="s">
        <v>196</v>
      </c>
      <c r="BO160" s="142" t="b">
        <v>1</v>
      </c>
      <c r="BP160" s="544"/>
      <c r="BQ160" s="544"/>
      <c r="BR160" s="544"/>
      <c r="BS160" s="544"/>
      <c r="BT160" s="544"/>
      <c r="BU160" s="544"/>
      <c r="BV160" s="544"/>
      <c r="BW160" s="544"/>
      <c r="BX160" s="544"/>
      <c r="BY160" s="544"/>
      <c r="BZ160" s="544"/>
      <c r="CA160" s="544"/>
      <c r="CB160" s="544"/>
      <c r="CC160" s="544"/>
      <c r="CD160" s="544"/>
      <c r="CE160" s="544"/>
      <c r="CF160" s="544"/>
      <c r="CG160" s="544"/>
      <c r="CH160" s="544"/>
      <c r="CI160" s="544"/>
      <c r="CJ160" s="544"/>
      <c r="CK160" s="544"/>
      <c r="CL160" s="544"/>
      <c r="CM160" s="544"/>
      <c r="CN160" s="544"/>
      <c r="CO160" s="544"/>
      <c r="CP160" s="544"/>
      <c r="CQ160" s="544"/>
      <c r="CR160" s="544"/>
      <c r="CS160" s="544"/>
    </row>
    <row r="161" spans="1:98" s="142" customFormat="1" ht="12.75" x14ac:dyDescent="0.2">
      <c r="A161" s="735">
        <v>154</v>
      </c>
      <c r="B161" s="732" t="s">
        <v>197</v>
      </c>
      <c r="C161" s="738" t="s">
        <v>198</v>
      </c>
      <c r="D161" s="905">
        <v>132661.75623723201</v>
      </c>
      <c r="E161" s="905">
        <v>81233668</v>
      </c>
      <c r="F161" s="905">
        <v>3596</v>
      </c>
      <c r="G161" s="166">
        <v>41937275</v>
      </c>
      <c r="H161" s="166">
        <v>-3847407</v>
      </c>
      <c r="I161" s="166">
        <v>704304</v>
      </c>
      <c r="J161" s="166">
        <v>-3143103</v>
      </c>
      <c r="K161" s="166">
        <v>-2167483</v>
      </c>
      <c r="L161" s="166">
        <v>-79484</v>
      </c>
      <c r="M161" s="166">
        <v>-88348</v>
      </c>
      <c r="N161" s="166">
        <v>-3035</v>
      </c>
      <c r="O161" s="166">
        <v>0</v>
      </c>
      <c r="P161" s="166">
        <v>-483727</v>
      </c>
      <c r="Q161" s="166">
        <v>-171921</v>
      </c>
      <c r="R161" s="166">
        <v>-34329</v>
      </c>
      <c r="S161" s="166">
        <v>-17382</v>
      </c>
      <c r="T161" s="166"/>
      <c r="U161" s="166">
        <v>-11090</v>
      </c>
      <c r="V161" s="166">
        <v>0</v>
      </c>
      <c r="W161" s="166">
        <v>0</v>
      </c>
      <c r="X161" s="166">
        <v>0</v>
      </c>
      <c r="Y161" s="166">
        <v>-44174</v>
      </c>
      <c r="Z161" s="166">
        <v>30480943</v>
      </c>
      <c r="AA161" s="166">
        <v>-212480</v>
      </c>
      <c r="AB161" s="166"/>
      <c r="AC161" s="166">
        <v>-2175034</v>
      </c>
      <c r="AD161" s="166">
        <v>264</v>
      </c>
      <c r="AE161" s="166">
        <v>11</v>
      </c>
      <c r="AF161" s="166">
        <v>40</v>
      </c>
      <c r="AG161" s="166"/>
      <c r="AH161" s="166">
        <v>3</v>
      </c>
      <c r="AI161" s="166">
        <v>0</v>
      </c>
      <c r="AJ161" s="166">
        <v>217</v>
      </c>
      <c r="AK161" s="166">
        <v>182</v>
      </c>
      <c r="AL161" s="166">
        <v>5</v>
      </c>
      <c r="AM161" s="166">
        <v>0</v>
      </c>
      <c r="AN161" s="166">
        <v>2</v>
      </c>
      <c r="AO161" s="166">
        <v>8</v>
      </c>
      <c r="AP161" s="166">
        <v>0</v>
      </c>
      <c r="AQ161" s="166">
        <v>0</v>
      </c>
      <c r="AR161" s="166">
        <v>315</v>
      </c>
      <c r="AS161" s="166">
        <v>759</v>
      </c>
      <c r="AT161" s="166">
        <v>1689</v>
      </c>
      <c r="AU161" s="166">
        <v>1617</v>
      </c>
      <c r="AV161" s="166">
        <v>72</v>
      </c>
      <c r="AW161" s="166">
        <v>1141</v>
      </c>
      <c r="AX161" s="166">
        <v>-1806</v>
      </c>
      <c r="AY161" s="166">
        <v>-318380</v>
      </c>
      <c r="AZ161" s="166">
        <v>0</v>
      </c>
      <c r="BA161" s="166">
        <v>0</v>
      </c>
      <c r="BB161" s="166">
        <v>-163541</v>
      </c>
      <c r="BC161" s="166">
        <v>0</v>
      </c>
      <c r="BD161" s="166">
        <v>-293327</v>
      </c>
      <c r="BE161" s="166">
        <v>-1973990</v>
      </c>
      <c r="BF161" s="166"/>
      <c r="BG161" s="760">
        <v>10677550</v>
      </c>
      <c r="BH161" s="760">
        <v>0</v>
      </c>
      <c r="BI161" s="815">
        <v>518562</v>
      </c>
      <c r="BJ161" s="1044" t="s">
        <v>2454</v>
      </c>
      <c r="BK161" s="1044" t="s">
        <v>2462</v>
      </c>
      <c r="BL161" s="1044" t="s">
        <v>2618</v>
      </c>
      <c r="BM161" s="650"/>
      <c r="BN161" s="746" t="s">
        <v>198</v>
      </c>
      <c r="BO161" s="142" t="b">
        <v>1</v>
      </c>
      <c r="BP161" s="544"/>
      <c r="BQ161" s="544"/>
      <c r="BR161" s="544"/>
      <c r="BS161" s="544"/>
      <c r="BT161" s="544"/>
      <c r="BU161" s="544"/>
      <c r="BV161" s="544"/>
      <c r="BW161" s="544"/>
      <c r="BX161" s="544"/>
      <c r="BY161" s="544"/>
      <c r="BZ161" s="544"/>
      <c r="CA161" s="544"/>
      <c r="CB161" s="544"/>
      <c r="CC161" s="544"/>
      <c r="CD161" s="544"/>
      <c r="CE161" s="544"/>
      <c r="CF161" s="544"/>
      <c r="CG161" s="544"/>
      <c r="CH161" s="544"/>
      <c r="CI161" s="544"/>
      <c r="CJ161" s="544"/>
      <c r="CK161" s="544"/>
      <c r="CL161" s="544"/>
      <c r="CM161" s="544"/>
      <c r="CN161" s="544"/>
      <c r="CO161" s="544"/>
      <c r="CP161" s="544"/>
      <c r="CQ161" s="544"/>
      <c r="CR161" s="544"/>
      <c r="CS161" s="544"/>
    </row>
    <row r="162" spans="1:98" s="142" customFormat="1" ht="12.75" x14ac:dyDescent="0.2">
      <c r="A162" s="735">
        <v>155</v>
      </c>
      <c r="B162" s="732" t="s">
        <v>199</v>
      </c>
      <c r="C162" s="738" t="s">
        <v>200</v>
      </c>
      <c r="D162" s="905">
        <v>179128.583768032</v>
      </c>
      <c r="E162" s="905">
        <v>142902097</v>
      </c>
      <c r="F162" s="905">
        <v>4587</v>
      </c>
      <c r="G162" s="166">
        <v>70228675</v>
      </c>
      <c r="H162" s="166">
        <v>-4739313</v>
      </c>
      <c r="I162" s="166">
        <v>1248076</v>
      </c>
      <c r="J162" s="166">
        <v>-3491237</v>
      </c>
      <c r="K162" s="166">
        <v>-5192191</v>
      </c>
      <c r="L162" s="166">
        <v>-59937</v>
      </c>
      <c r="M162" s="166">
        <v>-2530</v>
      </c>
      <c r="N162" s="166">
        <v>-11378</v>
      </c>
      <c r="O162" s="166">
        <v>0</v>
      </c>
      <c r="P162" s="166">
        <v>-386984</v>
      </c>
      <c r="Q162" s="166">
        <v>-105717</v>
      </c>
      <c r="R162" s="166">
        <v>-775180</v>
      </c>
      <c r="S162" s="166">
        <v>-5428</v>
      </c>
      <c r="T162" s="166"/>
      <c r="U162" s="166">
        <v>-11801</v>
      </c>
      <c r="V162" s="166">
        <v>0</v>
      </c>
      <c r="W162" s="166">
        <v>0</v>
      </c>
      <c r="X162" s="166">
        <v>0</v>
      </c>
      <c r="Y162" s="166">
        <v>-1265</v>
      </c>
      <c r="Z162" s="166">
        <v>51666641</v>
      </c>
      <c r="AA162" s="166">
        <v>-1549999</v>
      </c>
      <c r="AB162" s="166"/>
      <c r="AC162" s="166">
        <v>-3493304</v>
      </c>
      <c r="AD162" s="166">
        <v>238</v>
      </c>
      <c r="AE162" s="166">
        <v>9</v>
      </c>
      <c r="AF162" s="166">
        <v>2</v>
      </c>
      <c r="AG162" s="166"/>
      <c r="AH162" s="166">
        <v>9</v>
      </c>
      <c r="AI162" s="166">
        <v>0</v>
      </c>
      <c r="AJ162" s="166">
        <v>240</v>
      </c>
      <c r="AK162" s="166">
        <v>75</v>
      </c>
      <c r="AL162" s="166">
        <v>10</v>
      </c>
      <c r="AM162" s="166">
        <v>0</v>
      </c>
      <c r="AN162" s="166">
        <v>2</v>
      </c>
      <c r="AO162" s="166">
        <v>5</v>
      </c>
      <c r="AP162" s="166">
        <v>0</v>
      </c>
      <c r="AQ162" s="166">
        <v>0</v>
      </c>
      <c r="AR162" s="166">
        <v>353</v>
      </c>
      <c r="AS162" s="166">
        <v>864</v>
      </c>
      <c r="AT162" s="166">
        <v>1788</v>
      </c>
      <c r="AU162" s="166">
        <v>1642</v>
      </c>
      <c r="AV162" s="166">
        <v>146</v>
      </c>
      <c r="AW162" s="166">
        <v>1989</v>
      </c>
      <c r="AX162" s="166">
        <v>-50617</v>
      </c>
      <c r="AY162" s="166">
        <v>-72874</v>
      </c>
      <c r="AZ162" s="166">
        <v>0</v>
      </c>
      <c r="BA162" s="166">
        <v>-37929</v>
      </c>
      <c r="BB162" s="166">
        <v>-224090</v>
      </c>
      <c r="BC162" s="166">
        <v>-1474</v>
      </c>
      <c r="BD162" s="166">
        <v>-736925</v>
      </c>
      <c r="BE162" s="166">
        <v>-1287400</v>
      </c>
      <c r="BF162" s="166"/>
      <c r="BG162" s="760">
        <v>22516300</v>
      </c>
      <c r="BH162" s="760">
        <v>0</v>
      </c>
      <c r="BI162" s="815">
        <v>-1541430</v>
      </c>
      <c r="BJ162" s="1044" t="s">
        <v>2454</v>
      </c>
      <c r="BK162" s="1044" t="s">
        <v>2455</v>
      </c>
      <c r="BL162" s="1044" t="s">
        <v>2619</v>
      </c>
      <c r="BM162" s="650"/>
      <c r="BN162" s="746" t="s">
        <v>200</v>
      </c>
      <c r="BO162" s="142" t="b">
        <v>1</v>
      </c>
      <c r="BP162" s="544"/>
      <c r="BQ162" s="544"/>
      <c r="BR162" s="544"/>
      <c r="BS162" s="544"/>
      <c r="BT162" s="544"/>
      <c r="BU162" s="544"/>
      <c r="BV162" s="544"/>
      <c r="BW162" s="544"/>
      <c r="BX162" s="544"/>
      <c r="BY162" s="544"/>
      <c r="BZ162" s="544"/>
      <c r="CA162" s="544"/>
      <c r="CB162" s="544"/>
      <c r="CC162" s="544"/>
      <c r="CD162" s="544"/>
      <c r="CE162" s="544"/>
      <c r="CF162" s="544"/>
      <c r="CG162" s="544"/>
      <c r="CH162" s="544"/>
      <c r="CI162" s="544"/>
      <c r="CJ162" s="544"/>
      <c r="CK162" s="544"/>
      <c r="CL162" s="544"/>
      <c r="CM162" s="544"/>
      <c r="CN162" s="544"/>
      <c r="CO162" s="544"/>
      <c r="CP162" s="544"/>
      <c r="CQ162" s="544"/>
      <c r="CR162" s="544"/>
      <c r="CS162" s="544"/>
    </row>
    <row r="163" spans="1:98" s="142" customFormat="1" ht="12.75" hidden="1" x14ac:dyDescent="0.2">
      <c r="A163" s="735">
        <v>156</v>
      </c>
      <c r="B163" s="732" t="s">
        <v>549</v>
      </c>
      <c r="C163" s="738" t="s">
        <v>202</v>
      </c>
      <c r="D163" s="905">
        <v>169414.643553348</v>
      </c>
      <c r="E163" s="905">
        <v>101979506</v>
      </c>
      <c r="F163" s="905">
        <v>4638</v>
      </c>
      <c r="G163" s="166">
        <v>50450888</v>
      </c>
      <c r="H163" s="166">
        <v>-4593931</v>
      </c>
      <c r="I163" s="166">
        <v>858163</v>
      </c>
      <c r="J163" s="166">
        <v>-3735768</v>
      </c>
      <c r="K163" s="166">
        <v>-6682492</v>
      </c>
      <c r="L163" s="166">
        <v>-62777</v>
      </c>
      <c r="M163" s="166">
        <v>0</v>
      </c>
      <c r="N163" s="166">
        <v>0</v>
      </c>
      <c r="O163" s="166">
        <v>0</v>
      </c>
      <c r="P163" s="166">
        <v>-1792046</v>
      </c>
      <c r="Q163" s="166">
        <v>0</v>
      </c>
      <c r="R163" s="166">
        <v>-10462</v>
      </c>
      <c r="S163" s="166">
        <v>0</v>
      </c>
      <c r="T163" s="166"/>
      <c r="U163" s="166">
        <v>0</v>
      </c>
      <c r="V163" s="166">
        <v>-187042</v>
      </c>
      <c r="W163" s="166">
        <v>-187042</v>
      </c>
      <c r="X163" s="166">
        <v>0</v>
      </c>
      <c r="Y163" s="166">
        <v>0</v>
      </c>
      <c r="Z163" s="166">
        <v>32439331</v>
      </c>
      <c r="AA163" s="166">
        <v>-512000</v>
      </c>
      <c r="AB163" s="166"/>
      <c r="AC163" s="166">
        <v>-2950624</v>
      </c>
      <c r="AD163" s="166">
        <v>223</v>
      </c>
      <c r="AE163" s="166">
        <v>5</v>
      </c>
      <c r="AF163" s="166">
        <v>0</v>
      </c>
      <c r="AG163" s="166"/>
      <c r="AH163" s="166">
        <v>0</v>
      </c>
      <c r="AI163" s="166">
        <v>0</v>
      </c>
      <c r="AJ163" s="166">
        <v>439</v>
      </c>
      <c r="AK163" s="166">
        <v>2</v>
      </c>
      <c r="AL163" s="166">
        <v>0</v>
      </c>
      <c r="AM163" s="166">
        <v>0</v>
      </c>
      <c r="AN163" s="166">
        <v>0</v>
      </c>
      <c r="AO163" s="166">
        <v>0</v>
      </c>
      <c r="AP163" s="166">
        <v>37</v>
      </c>
      <c r="AQ163" s="166">
        <v>0</v>
      </c>
      <c r="AR163" s="166">
        <v>444</v>
      </c>
      <c r="AS163" s="166">
        <v>1078</v>
      </c>
      <c r="AT163" s="166">
        <v>1822</v>
      </c>
      <c r="AU163" s="166">
        <v>1744</v>
      </c>
      <c r="AV163" s="166">
        <v>78</v>
      </c>
      <c r="AW163" s="166">
        <v>1704</v>
      </c>
      <c r="AX163" s="166">
        <v>-99435</v>
      </c>
      <c r="AY163" s="166">
        <v>-400841</v>
      </c>
      <c r="AZ163" s="166">
        <v>0</v>
      </c>
      <c r="BA163" s="166">
        <v>-115862</v>
      </c>
      <c r="BB163" s="166">
        <v>-397547</v>
      </c>
      <c r="BC163" s="166">
        <v>-778361</v>
      </c>
      <c r="BD163" s="166">
        <v>-128098</v>
      </c>
      <c r="BE163" s="166">
        <v>-1656784</v>
      </c>
      <c r="BF163" s="166"/>
      <c r="BG163" s="760">
        <v>14167250</v>
      </c>
      <c r="BH163" s="760">
        <v>1260750</v>
      </c>
      <c r="BI163" s="815">
        <v>-1734836</v>
      </c>
      <c r="BJ163" s="1044" t="s">
        <v>515</v>
      </c>
      <c r="BK163" s="1044" t="s">
        <v>867</v>
      </c>
      <c r="BL163" s="1044" t="s">
        <v>2620</v>
      </c>
      <c r="BM163" s="650"/>
      <c r="BN163" s="746" t="s">
        <v>202</v>
      </c>
      <c r="BO163" s="142" t="b">
        <v>1</v>
      </c>
      <c r="BP163" s="544"/>
      <c r="BQ163" s="544"/>
      <c r="BR163" s="544"/>
      <c r="BS163" s="544"/>
      <c r="BT163" s="544"/>
      <c r="BU163" s="544"/>
      <c r="BV163" s="544"/>
      <c r="BW163" s="544"/>
      <c r="BX163" s="544"/>
      <c r="BY163" s="544"/>
      <c r="BZ163" s="544"/>
      <c r="CA163" s="544"/>
      <c r="CB163" s="544"/>
      <c r="CC163" s="544"/>
      <c r="CD163" s="544"/>
      <c r="CE163" s="544"/>
      <c r="CF163" s="544"/>
      <c r="CG163" s="544"/>
      <c r="CH163" s="544"/>
      <c r="CI163" s="544"/>
      <c r="CJ163" s="544"/>
      <c r="CK163" s="544"/>
      <c r="CL163" s="544"/>
      <c r="CM163" s="544"/>
      <c r="CN163" s="544"/>
      <c r="CO163" s="544"/>
      <c r="CP163" s="544"/>
      <c r="CQ163" s="544"/>
      <c r="CR163" s="544"/>
      <c r="CS163" s="544"/>
    </row>
    <row r="164" spans="1:98" s="142" customFormat="1" ht="12.75" hidden="1" x14ac:dyDescent="0.2">
      <c r="A164" s="735">
        <v>157</v>
      </c>
      <c r="B164" s="732" t="s">
        <v>532</v>
      </c>
      <c r="C164" s="738" t="s">
        <v>204</v>
      </c>
      <c r="D164" s="905">
        <v>425962.29162877903</v>
      </c>
      <c r="E164" s="905">
        <v>496290544</v>
      </c>
      <c r="F164" s="905">
        <v>8610</v>
      </c>
      <c r="G164" s="166">
        <v>252055721</v>
      </c>
      <c r="H164" s="166">
        <v>-6200844</v>
      </c>
      <c r="I164" s="166">
        <v>5425501</v>
      </c>
      <c r="J164" s="166">
        <v>-775343</v>
      </c>
      <c r="K164" s="166">
        <v>-12665277</v>
      </c>
      <c r="L164" s="166">
        <v>-51654</v>
      </c>
      <c r="M164" s="166">
        <v>-25848</v>
      </c>
      <c r="N164" s="166">
        <v>-6380</v>
      </c>
      <c r="O164" s="166">
        <v>-600000</v>
      </c>
      <c r="P164" s="166">
        <v>-6056564</v>
      </c>
      <c r="Q164" s="166">
        <v>-574467</v>
      </c>
      <c r="R164" s="166">
        <v>-10835</v>
      </c>
      <c r="S164" s="166">
        <v>-7483</v>
      </c>
      <c r="T164" s="166"/>
      <c r="U164" s="166">
        <v>0</v>
      </c>
      <c r="V164" s="166">
        <v>0</v>
      </c>
      <c r="W164" s="166">
        <v>0</v>
      </c>
      <c r="X164" s="166">
        <v>0</v>
      </c>
      <c r="Y164" s="166">
        <v>-12924</v>
      </c>
      <c r="Z164" s="166">
        <v>201632460</v>
      </c>
      <c r="AA164" s="166">
        <v>-9100000</v>
      </c>
      <c r="AB164" s="166"/>
      <c r="AC164" s="166">
        <v>-7846246</v>
      </c>
      <c r="AD164" s="166">
        <v>372</v>
      </c>
      <c r="AE164" s="166">
        <v>15</v>
      </c>
      <c r="AF164" s="166">
        <v>8</v>
      </c>
      <c r="AG164" s="166"/>
      <c r="AH164" s="166">
        <v>5</v>
      </c>
      <c r="AI164" s="166">
        <v>0</v>
      </c>
      <c r="AJ164" s="166">
        <v>685</v>
      </c>
      <c r="AK164" s="166">
        <v>35</v>
      </c>
      <c r="AL164" s="166">
        <v>109</v>
      </c>
      <c r="AM164" s="166">
        <v>0</v>
      </c>
      <c r="AN164" s="166">
        <v>0</v>
      </c>
      <c r="AO164" s="166">
        <v>9</v>
      </c>
      <c r="AP164" s="166">
        <v>0</v>
      </c>
      <c r="AQ164" s="166">
        <v>0</v>
      </c>
      <c r="AR164" s="166">
        <v>1013</v>
      </c>
      <c r="AS164" s="166">
        <v>2624</v>
      </c>
      <c r="AT164" s="166">
        <v>2585</v>
      </c>
      <c r="AU164" s="166">
        <v>2375</v>
      </c>
      <c r="AV164" s="166">
        <v>210</v>
      </c>
      <c r="AW164" s="166">
        <v>3388</v>
      </c>
      <c r="AX164" s="166">
        <v>-657508</v>
      </c>
      <c r="AY164" s="166">
        <v>-1795043</v>
      </c>
      <c r="AZ164" s="166">
        <v>0</v>
      </c>
      <c r="BA164" s="166">
        <v>0</v>
      </c>
      <c r="BB164" s="166">
        <v>-1260746</v>
      </c>
      <c r="BC164" s="166">
        <v>-2343267</v>
      </c>
      <c r="BD164" s="166">
        <v>-1740918</v>
      </c>
      <c r="BE164" s="166">
        <v>164975896</v>
      </c>
      <c r="BF164" s="166"/>
      <c r="BG164" s="760">
        <v>35649575</v>
      </c>
      <c r="BH164" s="760">
        <v>0</v>
      </c>
      <c r="BI164" s="815">
        <v>167181538</v>
      </c>
      <c r="BJ164" s="1044" t="s">
        <v>515</v>
      </c>
      <c r="BK164" s="1044" t="s">
        <v>2455</v>
      </c>
      <c r="BL164" s="1044" t="s">
        <v>2621</v>
      </c>
      <c r="BM164" s="650"/>
      <c r="BN164" s="746" t="s">
        <v>204</v>
      </c>
      <c r="BO164" s="142" t="b">
        <v>1</v>
      </c>
      <c r="BP164" s="544"/>
      <c r="BQ164" s="544"/>
      <c r="BR164" s="544"/>
      <c r="BS164" s="544"/>
      <c r="BT164" s="544"/>
      <c r="BU164" s="544"/>
      <c r="BV164" s="544"/>
      <c r="BW164" s="544"/>
      <c r="BX164" s="544"/>
      <c r="BY164" s="544"/>
      <c r="BZ164" s="544"/>
      <c r="CA164" s="544"/>
      <c r="CB164" s="544"/>
      <c r="CC164" s="544"/>
      <c r="CD164" s="544"/>
      <c r="CE164" s="544"/>
      <c r="CF164" s="544"/>
      <c r="CG164" s="544"/>
      <c r="CH164" s="544"/>
      <c r="CI164" s="544"/>
      <c r="CJ164" s="544"/>
      <c r="CK164" s="544"/>
      <c r="CL164" s="544"/>
      <c r="CM164" s="544"/>
      <c r="CN164" s="544"/>
      <c r="CO164" s="544"/>
      <c r="CP164" s="544"/>
      <c r="CQ164" s="544"/>
      <c r="CR164" s="544"/>
      <c r="CS164" s="544"/>
    </row>
    <row r="165" spans="1:98" s="142" customFormat="1" ht="12.75" x14ac:dyDescent="0.2">
      <c r="A165" s="735">
        <v>158</v>
      </c>
      <c r="B165" s="732" t="s">
        <v>205</v>
      </c>
      <c r="C165" s="738" t="s">
        <v>206</v>
      </c>
      <c r="D165" s="905">
        <v>140450.029228206</v>
      </c>
      <c r="E165" s="905">
        <v>109361577</v>
      </c>
      <c r="F165" s="905">
        <v>3187</v>
      </c>
      <c r="G165" s="166">
        <v>53254099</v>
      </c>
      <c r="H165" s="166">
        <v>-3379912</v>
      </c>
      <c r="I165" s="166">
        <v>1009128</v>
      </c>
      <c r="J165" s="166">
        <v>-2370784</v>
      </c>
      <c r="K165" s="166">
        <v>-2916533</v>
      </c>
      <c r="L165" s="166">
        <v>-37030</v>
      </c>
      <c r="M165" s="166">
        <v>-7357</v>
      </c>
      <c r="N165" s="166">
        <v>-13149</v>
      </c>
      <c r="O165" s="166">
        <v>0</v>
      </c>
      <c r="P165" s="166">
        <v>-1632568</v>
      </c>
      <c r="Q165" s="166">
        <v>-3840</v>
      </c>
      <c r="R165" s="166">
        <v>-2380</v>
      </c>
      <c r="S165" s="166">
        <v>0</v>
      </c>
      <c r="T165" s="166"/>
      <c r="U165" s="166">
        <v>-4491</v>
      </c>
      <c r="V165" s="166">
        <v>0</v>
      </c>
      <c r="W165" s="166">
        <v>0</v>
      </c>
      <c r="X165" s="166">
        <v>0</v>
      </c>
      <c r="Y165" s="166">
        <v>-4000</v>
      </c>
      <c r="Z165" s="166">
        <v>40357644</v>
      </c>
      <c r="AA165" s="166">
        <v>-1480000</v>
      </c>
      <c r="AB165" s="166"/>
      <c r="AC165" s="166">
        <v>-3153537</v>
      </c>
      <c r="AD165" s="166">
        <v>216</v>
      </c>
      <c r="AE165" s="166">
        <v>26</v>
      </c>
      <c r="AF165" s="166">
        <v>1</v>
      </c>
      <c r="AG165" s="166"/>
      <c r="AH165" s="166">
        <v>0</v>
      </c>
      <c r="AI165" s="166">
        <v>0</v>
      </c>
      <c r="AJ165" s="166">
        <v>169</v>
      </c>
      <c r="AK165" s="166">
        <v>2</v>
      </c>
      <c r="AL165" s="166">
        <v>1</v>
      </c>
      <c r="AM165" s="166">
        <v>0</v>
      </c>
      <c r="AN165" s="166">
        <v>1</v>
      </c>
      <c r="AO165" s="166">
        <v>0</v>
      </c>
      <c r="AP165" s="166">
        <v>0</v>
      </c>
      <c r="AQ165" s="166">
        <v>7</v>
      </c>
      <c r="AR165" s="166">
        <v>532</v>
      </c>
      <c r="AS165" s="166">
        <v>881</v>
      </c>
      <c r="AT165" s="166">
        <v>1034</v>
      </c>
      <c r="AU165" s="166">
        <v>912</v>
      </c>
      <c r="AV165" s="166">
        <v>122</v>
      </c>
      <c r="AW165" s="166">
        <v>1261</v>
      </c>
      <c r="AX165" s="166">
        <v>-1767</v>
      </c>
      <c r="AY165" s="166">
        <v>-437018</v>
      </c>
      <c r="AZ165" s="166">
        <v>0</v>
      </c>
      <c r="BA165" s="166">
        <v>-13517</v>
      </c>
      <c r="BB165" s="166">
        <v>-1155896</v>
      </c>
      <c r="BC165" s="166">
        <v>-24371</v>
      </c>
      <c r="BD165" s="166">
        <v>-1029786</v>
      </c>
      <c r="BE165" s="166">
        <v>-21217914</v>
      </c>
      <c r="BF165" s="166"/>
      <c r="BG165" s="760">
        <v>13905950</v>
      </c>
      <c r="BH165" s="760">
        <v>0</v>
      </c>
      <c r="BI165" s="815">
        <v>-20592493</v>
      </c>
      <c r="BJ165" s="1044" t="s">
        <v>2454</v>
      </c>
      <c r="BK165" s="1044" t="s">
        <v>2455</v>
      </c>
      <c r="BL165" s="1044" t="s">
        <v>2622</v>
      </c>
      <c r="BM165" s="650"/>
      <c r="BN165" s="746" t="s">
        <v>206</v>
      </c>
      <c r="BO165" s="142" t="b">
        <v>1</v>
      </c>
      <c r="BP165" s="544"/>
      <c r="BQ165" s="544"/>
      <c r="BR165" s="544"/>
      <c r="BS165" s="544"/>
      <c r="BT165" s="544"/>
      <c r="BU165" s="544"/>
      <c r="BV165" s="544"/>
      <c r="BW165" s="544"/>
      <c r="BX165" s="544"/>
      <c r="BY165" s="544"/>
      <c r="BZ165" s="544"/>
      <c r="CA165" s="544"/>
      <c r="CB165" s="544"/>
      <c r="CC165" s="544"/>
      <c r="CD165" s="544"/>
      <c r="CE165" s="544"/>
      <c r="CF165" s="544"/>
      <c r="CG165" s="544"/>
      <c r="CH165" s="544"/>
      <c r="CI165" s="544"/>
      <c r="CJ165" s="544"/>
      <c r="CK165" s="544"/>
      <c r="CL165" s="544"/>
      <c r="CM165" s="544"/>
      <c r="CN165" s="544"/>
      <c r="CO165" s="544"/>
      <c r="CP165" s="544"/>
      <c r="CQ165" s="544"/>
      <c r="CR165" s="544"/>
      <c r="CS165" s="544"/>
    </row>
    <row r="166" spans="1:98" s="142" customFormat="1" ht="12.75" x14ac:dyDescent="0.2">
      <c r="A166" s="735">
        <v>159</v>
      </c>
      <c r="B166" s="732" t="s">
        <v>207</v>
      </c>
      <c r="C166" s="738" t="s">
        <v>208</v>
      </c>
      <c r="D166" s="905">
        <v>288185.76702419802</v>
      </c>
      <c r="E166" s="905">
        <v>195821550</v>
      </c>
      <c r="F166" s="905">
        <v>7359</v>
      </c>
      <c r="G166" s="166">
        <v>97713247</v>
      </c>
      <c r="H166" s="166">
        <v>-8062331</v>
      </c>
      <c r="I166" s="166">
        <v>1760242</v>
      </c>
      <c r="J166" s="166">
        <v>-6302089</v>
      </c>
      <c r="K166" s="166">
        <v>-4360377</v>
      </c>
      <c r="L166" s="166">
        <v>-60660</v>
      </c>
      <c r="M166" s="166">
        <v>-24290</v>
      </c>
      <c r="N166" s="166">
        <v>-40957</v>
      </c>
      <c r="O166" s="166">
        <v>-75450</v>
      </c>
      <c r="P166" s="166">
        <v>-1244050</v>
      </c>
      <c r="Q166" s="166">
        <v>-108783</v>
      </c>
      <c r="R166" s="166">
        <v>-5404</v>
      </c>
      <c r="S166" s="166">
        <v>0</v>
      </c>
      <c r="T166" s="166"/>
      <c r="U166" s="166">
        <v>0</v>
      </c>
      <c r="V166" s="166">
        <v>0</v>
      </c>
      <c r="W166" s="166">
        <v>0</v>
      </c>
      <c r="X166" s="166">
        <v>0</v>
      </c>
      <c r="Y166" s="166">
        <v>-12145</v>
      </c>
      <c r="Z166" s="166">
        <v>71245375</v>
      </c>
      <c r="AA166" s="166">
        <v>-2683558</v>
      </c>
      <c r="AB166" s="166"/>
      <c r="AC166" s="166">
        <v>-7234500</v>
      </c>
      <c r="AD166" s="166">
        <v>323</v>
      </c>
      <c r="AE166" s="166">
        <v>14</v>
      </c>
      <c r="AF166" s="166">
        <v>6</v>
      </c>
      <c r="AG166" s="166"/>
      <c r="AH166" s="166">
        <v>16</v>
      </c>
      <c r="AI166" s="166">
        <v>0</v>
      </c>
      <c r="AJ166" s="166">
        <v>242</v>
      </c>
      <c r="AK166" s="166">
        <v>136</v>
      </c>
      <c r="AL166" s="166">
        <v>3</v>
      </c>
      <c r="AM166" s="166">
        <v>0</v>
      </c>
      <c r="AN166" s="166">
        <v>0</v>
      </c>
      <c r="AO166" s="166">
        <v>0</v>
      </c>
      <c r="AP166" s="166">
        <v>0</v>
      </c>
      <c r="AQ166" s="166">
        <v>0</v>
      </c>
      <c r="AR166" s="166">
        <v>816</v>
      </c>
      <c r="AS166" s="166">
        <v>1246</v>
      </c>
      <c r="AT166" s="166">
        <v>3911</v>
      </c>
      <c r="AU166" s="166">
        <v>3691</v>
      </c>
      <c r="AV166" s="166">
        <v>220</v>
      </c>
      <c r="AW166" s="166">
        <v>2201</v>
      </c>
      <c r="AX166" s="166">
        <v>-199050</v>
      </c>
      <c r="AY166" s="166">
        <v>-460300</v>
      </c>
      <c r="AZ166" s="166">
        <v>0</v>
      </c>
      <c r="BA166" s="166">
        <v>0</v>
      </c>
      <c r="BB166" s="166">
        <v>-410540</v>
      </c>
      <c r="BC166" s="166">
        <v>-174160</v>
      </c>
      <c r="BD166" s="166">
        <v>-980000</v>
      </c>
      <c r="BE166" s="166">
        <v>-975557</v>
      </c>
      <c r="BF166" s="166"/>
      <c r="BG166" s="760">
        <v>27542660</v>
      </c>
      <c r="BH166" s="760">
        <v>0</v>
      </c>
      <c r="BI166" s="815">
        <v>-4374714</v>
      </c>
      <c r="BJ166" s="1044" t="s">
        <v>2454</v>
      </c>
      <c r="BK166" s="1044" t="s">
        <v>2455</v>
      </c>
      <c r="BL166" s="1044" t="s">
        <v>2623</v>
      </c>
      <c r="BM166" s="650"/>
      <c r="BN166" s="746" t="s">
        <v>208</v>
      </c>
      <c r="BO166" s="142" t="b">
        <v>1</v>
      </c>
      <c r="BP166" s="544"/>
      <c r="BQ166" s="544"/>
      <c r="BR166" s="544"/>
      <c r="BS166" s="544"/>
      <c r="BT166" s="544"/>
      <c r="BU166" s="544"/>
      <c r="BV166" s="544"/>
      <c r="BW166" s="544"/>
      <c r="BX166" s="544"/>
      <c r="BY166" s="544"/>
      <c r="BZ166" s="544"/>
      <c r="CA166" s="544"/>
      <c r="CB166" s="544"/>
      <c r="CC166" s="544"/>
      <c r="CD166" s="544"/>
      <c r="CE166" s="544"/>
      <c r="CF166" s="544"/>
      <c r="CG166" s="544"/>
      <c r="CH166" s="544"/>
      <c r="CI166" s="544"/>
      <c r="CJ166" s="544"/>
      <c r="CK166" s="544"/>
      <c r="CL166" s="544"/>
      <c r="CM166" s="544"/>
      <c r="CN166" s="544"/>
      <c r="CO166" s="544"/>
      <c r="CP166" s="544"/>
      <c r="CQ166" s="544"/>
      <c r="CR166" s="544"/>
      <c r="CS166" s="544"/>
    </row>
    <row r="167" spans="1:98" s="142" customFormat="1" ht="12.75" x14ac:dyDescent="0.2">
      <c r="A167" s="735">
        <v>160</v>
      </c>
      <c r="B167" s="732" t="s">
        <v>209</v>
      </c>
      <c r="C167" s="738" t="s">
        <v>210</v>
      </c>
      <c r="D167" s="905">
        <v>171050.61219707501</v>
      </c>
      <c r="E167" s="905">
        <v>114438584</v>
      </c>
      <c r="F167" s="905">
        <v>4512</v>
      </c>
      <c r="G167" s="166">
        <v>57209069</v>
      </c>
      <c r="H167" s="166">
        <v>-5608209</v>
      </c>
      <c r="I167" s="166">
        <v>1027436</v>
      </c>
      <c r="J167" s="166">
        <v>-4580773</v>
      </c>
      <c r="K167" s="166">
        <v>-2606816</v>
      </c>
      <c r="L167" s="166">
        <v>-79045</v>
      </c>
      <c r="M167" s="166">
        <v>-27174</v>
      </c>
      <c r="N167" s="166">
        <v>-23204</v>
      </c>
      <c r="O167" s="166">
        <v>0</v>
      </c>
      <c r="P167" s="166">
        <v>-690078</v>
      </c>
      <c r="Q167" s="166">
        <v>-57088</v>
      </c>
      <c r="R167" s="166">
        <v>-428052</v>
      </c>
      <c r="S167" s="166">
        <v>0</v>
      </c>
      <c r="T167" s="166"/>
      <c r="U167" s="166">
        <v>0</v>
      </c>
      <c r="V167" s="166">
        <v>0</v>
      </c>
      <c r="W167" s="166">
        <v>0</v>
      </c>
      <c r="X167" s="166">
        <v>0</v>
      </c>
      <c r="Y167" s="166">
        <v>-13587</v>
      </c>
      <c r="Z167" s="166">
        <v>42034557</v>
      </c>
      <c r="AA167" s="166">
        <v>-800000</v>
      </c>
      <c r="AB167" s="166"/>
      <c r="AC167" s="166">
        <v>-3135920</v>
      </c>
      <c r="AD167" s="166">
        <v>257</v>
      </c>
      <c r="AE167" s="166">
        <v>21</v>
      </c>
      <c r="AF167" s="166">
        <v>13</v>
      </c>
      <c r="AG167" s="166"/>
      <c r="AH167" s="166">
        <v>5</v>
      </c>
      <c r="AI167" s="166">
        <v>0</v>
      </c>
      <c r="AJ167" s="166">
        <v>290</v>
      </c>
      <c r="AK167" s="166">
        <v>117</v>
      </c>
      <c r="AL167" s="166">
        <v>8</v>
      </c>
      <c r="AM167" s="166">
        <v>0</v>
      </c>
      <c r="AN167" s="166">
        <v>0</v>
      </c>
      <c r="AO167" s="166">
        <v>0</v>
      </c>
      <c r="AP167" s="166">
        <v>0</v>
      </c>
      <c r="AQ167" s="166">
        <v>0</v>
      </c>
      <c r="AR167" s="166">
        <v>378</v>
      </c>
      <c r="AS167" s="166">
        <v>1004</v>
      </c>
      <c r="AT167" s="166">
        <v>1915</v>
      </c>
      <c r="AU167" s="166">
        <v>1791</v>
      </c>
      <c r="AV167" s="166">
        <v>124</v>
      </c>
      <c r="AW167" s="166">
        <v>1534</v>
      </c>
      <c r="AX167" s="166">
        <v>-8738</v>
      </c>
      <c r="AY167" s="166">
        <v>-416103</v>
      </c>
      <c r="AZ167" s="166">
        <v>0</v>
      </c>
      <c r="BA167" s="166">
        <v>0</v>
      </c>
      <c r="BB167" s="166">
        <v>-247074</v>
      </c>
      <c r="BC167" s="166">
        <v>-18163</v>
      </c>
      <c r="BD167" s="166">
        <v>-442410</v>
      </c>
      <c r="BE167" s="166">
        <v>437662</v>
      </c>
      <c r="BF167" s="166"/>
      <c r="BG167" s="760">
        <v>13131150</v>
      </c>
      <c r="BH167" s="760">
        <v>0</v>
      </c>
      <c r="BI167" s="815">
        <v>133079</v>
      </c>
      <c r="BJ167" s="1044" t="s">
        <v>2454</v>
      </c>
      <c r="BK167" s="1044" t="s">
        <v>2457</v>
      </c>
      <c r="BL167" s="1044" t="s">
        <v>2624</v>
      </c>
      <c r="BM167" s="650"/>
      <c r="BN167" s="746" t="s">
        <v>210</v>
      </c>
      <c r="BO167" s="142" t="b">
        <v>1</v>
      </c>
      <c r="BP167" s="544"/>
      <c r="BQ167" s="544"/>
      <c r="BR167" s="544"/>
      <c r="BS167" s="544"/>
      <c r="BT167" s="544"/>
      <c r="BU167" s="544"/>
      <c r="BV167" s="544"/>
      <c r="BW167" s="544"/>
      <c r="BX167" s="544"/>
      <c r="BY167" s="544"/>
      <c r="BZ167" s="544"/>
      <c r="CA167" s="544"/>
      <c r="CB167" s="544"/>
      <c r="CC167" s="544"/>
      <c r="CD167" s="544"/>
      <c r="CE167" s="544"/>
      <c r="CF167" s="544"/>
      <c r="CG167" s="544"/>
      <c r="CH167" s="544"/>
      <c r="CI167" s="544"/>
      <c r="CJ167" s="544"/>
      <c r="CK167" s="544"/>
      <c r="CL167" s="544"/>
      <c r="CM167" s="544"/>
      <c r="CN167" s="544"/>
      <c r="CO167" s="544"/>
      <c r="CP167" s="544"/>
      <c r="CQ167" s="544"/>
      <c r="CR167" s="544"/>
      <c r="CS167" s="544"/>
    </row>
    <row r="168" spans="1:98" s="142" customFormat="1" ht="12.75" hidden="1" x14ac:dyDescent="0.2">
      <c r="A168" s="735">
        <v>161</v>
      </c>
      <c r="B168" s="732" t="s">
        <v>952</v>
      </c>
      <c r="C168" s="738" t="s">
        <v>212</v>
      </c>
      <c r="D168" s="905">
        <v>458681.761200073</v>
      </c>
      <c r="E168" s="905">
        <v>339203719</v>
      </c>
      <c r="F168" s="905">
        <v>11987</v>
      </c>
      <c r="G168" s="166">
        <v>157066009</v>
      </c>
      <c r="H168" s="166">
        <v>-9797892</v>
      </c>
      <c r="I168" s="166">
        <v>3444999</v>
      </c>
      <c r="J168" s="166">
        <v>-6352893</v>
      </c>
      <c r="K168" s="166">
        <v>-16286281</v>
      </c>
      <c r="L168" s="166">
        <v>-122564</v>
      </c>
      <c r="M168" s="166">
        <v>0</v>
      </c>
      <c r="N168" s="166">
        <v>-3187</v>
      </c>
      <c r="O168" s="166">
        <v>-450000</v>
      </c>
      <c r="P168" s="166">
        <v>-7732268</v>
      </c>
      <c r="Q168" s="166">
        <v>-498575</v>
      </c>
      <c r="R168" s="166">
        <v>-252442</v>
      </c>
      <c r="S168" s="166">
        <v>-18967</v>
      </c>
      <c r="T168" s="166"/>
      <c r="U168" s="166">
        <v>0</v>
      </c>
      <c r="V168" s="166">
        <v>0</v>
      </c>
      <c r="W168" s="166">
        <v>0</v>
      </c>
      <c r="X168" s="166">
        <v>0</v>
      </c>
      <c r="Y168" s="166">
        <v>0</v>
      </c>
      <c r="Z168" s="166">
        <v>105359165</v>
      </c>
      <c r="AA168" s="166">
        <v>-4805370</v>
      </c>
      <c r="AB168" s="166"/>
      <c r="AC168" s="166">
        <v>-14775082</v>
      </c>
      <c r="AD168" s="166">
        <v>675</v>
      </c>
      <c r="AE168" s="166">
        <v>14</v>
      </c>
      <c r="AF168" s="166">
        <v>0</v>
      </c>
      <c r="AG168" s="166"/>
      <c r="AH168" s="166">
        <v>3</v>
      </c>
      <c r="AI168" s="166">
        <v>0</v>
      </c>
      <c r="AJ168" s="166">
        <v>2716</v>
      </c>
      <c r="AK168" s="166">
        <v>12</v>
      </c>
      <c r="AL168" s="166">
        <v>17</v>
      </c>
      <c r="AM168" s="166">
        <v>0</v>
      </c>
      <c r="AN168" s="166">
        <v>0</v>
      </c>
      <c r="AO168" s="166">
        <v>14</v>
      </c>
      <c r="AP168" s="166">
        <v>0</v>
      </c>
      <c r="AQ168" s="166">
        <v>0</v>
      </c>
      <c r="AR168" s="166">
        <v>1557</v>
      </c>
      <c r="AS168" s="166">
        <v>3864</v>
      </c>
      <c r="AT168" s="166">
        <v>3805</v>
      </c>
      <c r="AU168" s="166">
        <v>3793</v>
      </c>
      <c r="AV168" s="166">
        <v>12</v>
      </c>
      <c r="AW168" s="166">
        <v>4334</v>
      </c>
      <c r="AX168" s="166">
        <v>0</v>
      </c>
      <c r="AY168" s="166">
        <v>-3551829</v>
      </c>
      <c r="AZ168" s="166">
        <v>0</v>
      </c>
      <c r="BA168" s="166">
        <v>-117452</v>
      </c>
      <c r="BB168" s="166">
        <v>-1930624</v>
      </c>
      <c r="BC168" s="166">
        <v>-2132363</v>
      </c>
      <c r="BD168" s="166">
        <v>0</v>
      </c>
      <c r="BE168" s="166">
        <v>9282958</v>
      </c>
      <c r="BF168" s="166"/>
      <c r="BG168" s="760">
        <v>33585250</v>
      </c>
      <c r="BH168" s="760">
        <v>1359250</v>
      </c>
      <c r="BI168" s="815">
        <v>12021776</v>
      </c>
      <c r="BJ168" s="1044" t="s">
        <v>2468</v>
      </c>
      <c r="BK168" s="1044" t="s">
        <v>867</v>
      </c>
      <c r="BL168" s="1044" t="s">
        <v>2625</v>
      </c>
      <c r="BM168" s="650"/>
      <c r="BN168" s="746" t="s">
        <v>212</v>
      </c>
      <c r="BO168" s="142" t="b">
        <v>1</v>
      </c>
      <c r="BP168" s="544"/>
      <c r="BQ168" s="544"/>
      <c r="BR168" s="544"/>
      <c r="BS168" s="544"/>
      <c r="BT168" s="544"/>
      <c r="BU168" s="544"/>
      <c r="BV168" s="544"/>
      <c r="BW168" s="544"/>
      <c r="BX168" s="544"/>
      <c r="BY168" s="544"/>
      <c r="BZ168" s="544"/>
      <c r="CA168" s="544"/>
      <c r="CB168" s="544"/>
      <c r="CC168" s="544"/>
      <c r="CD168" s="544"/>
      <c r="CE168" s="544"/>
      <c r="CF168" s="544"/>
      <c r="CG168" s="544"/>
      <c r="CH168" s="544"/>
      <c r="CI168" s="544"/>
      <c r="CJ168" s="544"/>
      <c r="CK168" s="544"/>
      <c r="CL168" s="544"/>
      <c r="CM168" s="544"/>
      <c r="CN168" s="544"/>
      <c r="CO168" s="544"/>
      <c r="CP168" s="544"/>
      <c r="CQ168" s="544"/>
      <c r="CR168" s="544"/>
      <c r="CS168" s="544"/>
    </row>
    <row r="169" spans="1:98" s="741" customFormat="1" ht="12.75" x14ac:dyDescent="0.2">
      <c r="A169" s="735">
        <v>162</v>
      </c>
      <c r="B169" s="732" t="s">
        <v>213</v>
      </c>
      <c r="C169" s="738" t="s">
        <v>214</v>
      </c>
      <c r="D169" s="905">
        <v>139905.27745960999</v>
      </c>
      <c r="E169" s="905">
        <v>102380963</v>
      </c>
      <c r="F169" s="905">
        <v>3666</v>
      </c>
      <c r="G169" s="166">
        <v>50709521</v>
      </c>
      <c r="H169" s="166">
        <v>-3972330</v>
      </c>
      <c r="I169" s="166">
        <v>981342</v>
      </c>
      <c r="J169" s="166">
        <v>-2990988</v>
      </c>
      <c r="K169" s="166">
        <v>-6066435</v>
      </c>
      <c r="L169" s="166">
        <v>-23491</v>
      </c>
      <c r="M169" s="166">
        <v>-72306</v>
      </c>
      <c r="N169" s="166">
        <v>0</v>
      </c>
      <c r="O169" s="166">
        <v>0</v>
      </c>
      <c r="P169" s="166">
        <v>-331400</v>
      </c>
      <c r="Q169" s="166">
        <v>0</v>
      </c>
      <c r="R169" s="166">
        <v>-18922</v>
      </c>
      <c r="S169" s="166">
        <v>-241</v>
      </c>
      <c r="T169" s="166"/>
      <c r="U169" s="166">
        <v>0</v>
      </c>
      <c r="V169" s="166">
        <v>-3194</v>
      </c>
      <c r="W169" s="166">
        <v>0</v>
      </c>
      <c r="X169" s="166">
        <v>0</v>
      </c>
      <c r="Y169" s="166">
        <v>-24102</v>
      </c>
      <c r="Z169" s="166">
        <v>35961861</v>
      </c>
      <c r="AA169" s="166">
        <v>-773731</v>
      </c>
      <c r="AB169" s="166"/>
      <c r="AC169" s="166">
        <v>-2130624</v>
      </c>
      <c r="AD169" s="166">
        <v>164</v>
      </c>
      <c r="AE169" s="166">
        <v>4</v>
      </c>
      <c r="AF169" s="166">
        <v>10</v>
      </c>
      <c r="AG169" s="166"/>
      <c r="AH169" s="166">
        <v>0</v>
      </c>
      <c r="AI169" s="166">
        <v>0</v>
      </c>
      <c r="AJ169" s="166">
        <v>271</v>
      </c>
      <c r="AK169" s="166">
        <v>0</v>
      </c>
      <c r="AL169" s="166">
        <v>3</v>
      </c>
      <c r="AM169" s="166">
        <v>10</v>
      </c>
      <c r="AN169" s="166">
        <v>0</v>
      </c>
      <c r="AO169" s="166">
        <v>0</v>
      </c>
      <c r="AP169" s="166">
        <v>0</v>
      </c>
      <c r="AQ169" s="166">
        <v>0</v>
      </c>
      <c r="AR169" s="166">
        <v>305</v>
      </c>
      <c r="AS169" s="166">
        <v>792</v>
      </c>
      <c r="AT169" s="166">
        <v>1574</v>
      </c>
      <c r="AU169" s="166">
        <v>1489</v>
      </c>
      <c r="AV169" s="166">
        <v>85</v>
      </c>
      <c r="AW169" s="166">
        <v>673</v>
      </c>
      <c r="AX169" s="166">
        <v>-331400</v>
      </c>
      <c r="AY169" s="166">
        <v>0</v>
      </c>
      <c r="AZ169" s="166">
        <v>0</v>
      </c>
      <c r="BA169" s="166">
        <v>0</v>
      </c>
      <c r="BB169" s="166">
        <v>0</v>
      </c>
      <c r="BC169" s="166">
        <v>0</v>
      </c>
      <c r="BD169" s="166">
        <v>-11400</v>
      </c>
      <c r="BE169" s="166">
        <v>1433735</v>
      </c>
      <c r="BF169" s="166"/>
      <c r="BG169" s="760">
        <v>12483250</v>
      </c>
      <c r="BH169" s="760">
        <v>0</v>
      </c>
      <c r="BI169" s="815">
        <v>1708848</v>
      </c>
      <c r="BJ169" s="1044" t="s">
        <v>2454</v>
      </c>
      <c r="BK169" s="1044" t="s">
        <v>2478</v>
      </c>
      <c r="BL169" s="1044" t="s">
        <v>2626</v>
      </c>
      <c r="BM169" s="650"/>
      <c r="BN169" s="746" t="s">
        <v>214</v>
      </c>
      <c r="BO169" s="142" t="b">
        <v>1</v>
      </c>
      <c r="BP169" s="544"/>
      <c r="BQ169" s="544"/>
      <c r="BR169" s="544"/>
      <c r="BS169" s="544"/>
      <c r="BT169" s="544"/>
      <c r="BU169" s="544"/>
      <c r="BV169" s="544"/>
      <c r="BW169" s="544"/>
      <c r="BX169" s="544"/>
      <c r="BY169" s="544"/>
      <c r="BZ169" s="544"/>
      <c r="CA169" s="544"/>
      <c r="CB169" s="544"/>
      <c r="CC169" s="544"/>
      <c r="CD169" s="544"/>
      <c r="CE169" s="544"/>
      <c r="CF169" s="544"/>
      <c r="CG169" s="544"/>
      <c r="CH169" s="544"/>
      <c r="CI169" s="544"/>
      <c r="CJ169" s="544"/>
      <c r="CK169" s="544"/>
      <c r="CL169" s="544"/>
      <c r="CM169" s="544"/>
      <c r="CN169" s="544"/>
      <c r="CO169" s="544"/>
      <c r="CP169" s="544"/>
      <c r="CQ169" s="544"/>
      <c r="CR169" s="544"/>
      <c r="CS169" s="544"/>
      <c r="CT169" s="142"/>
    </row>
    <row r="170" spans="1:98" s="142" customFormat="1" ht="12.75" hidden="1" x14ac:dyDescent="0.2">
      <c r="A170" s="735">
        <v>163</v>
      </c>
      <c r="B170" s="732" t="s">
        <v>215</v>
      </c>
      <c r="C170" s="738" t="s">
        <v>216</v>
      </c>
      <c r="D170" s="905">
        <v>396512.96106662398</v>
      </c>
      <c r="E170" s="905">
        <v>469997011</v>
      </c>
      <c r="F170" s="905">
        <v>7846</v>
      </c>
      <c r="G170" s="166">
        <v>238286722</v>
      </c>
      <c r="H170" s="166">
        <v>-8579226</v>
      </c>
      <c r="I170" s="166">
        <v>5176885</v>
      </c>
      <c r="J170" s="166">
        <v>-3402341</v>
      </c>
      <c r="K170" s="166">
        <v>-18248912</v>
      </c>
      <c r="L170" s="166">
        <v>0</v>
      </c>
      <c r="M170" s="166">
        <v>0</v>
      </c>
      <c r="N170" s="166">
        <v>0</v>
      </c>
      <c r="O170" s="166">
        <v>0</v>
      </c>
      <c r="P170" s="166">
        <v>-6785876</v>
      </c>
      <c r="Q170" s="166">
        <v>0</v>
      </c>
      <c r="R170" s="166">
        <v>0</v>
      </c>
      <c r="S170" s="166">
        <v>0</v>
      </c>
      <c r="T170" s="166"/>
      <c r="U170" s="166">
        <v>0</v>
      </c>
      <c r="V170" s="166">
        <v>0</v>
      </c>
      <c r="W170" s="166">
        <v>0</v>
      </c>
      <c r="X170" s="166">
        <v>0</v>
      </c>
      <c r="Y170" s="166">
        <v>0</v>
      </c>
      <c r="Z170" s="166">
        <v>160609770</v>
      </c>
      <c r="AA170" s="166">
        <v>-6293500</v>
      </c>
      <c r="AB170" s="166"/>
      <c r="AC170" s="166">
        <v>-30030713</v>
      </c>
      <c r="AD170" s="166">
        <v>384</v>
      </c>
      <c r="AE170" s="166">
        <v>0</v>
      </c>
      <c r="AF170" s="166">
        <v>0</v>
      </c>
      <c r="AG170" s="166"/>
      <c r="AH170" s="166">
        <v>0</v>
      </c>
      <c r="AI170" s="166">
        <v>0</v>
      </c>
      <c r="AJ170" s="166">
        <v>586</v>
      </c>
      <c r="AK170" s="166">
        <v>0</v>
      </c>
      <c r="AL170" s="166">
        <v>0</v>
      </c>
      <c r="AM170" s="166">
        <v>0</v>
      </c>
      <c r="AN170" s="166">
        <v>0</v>
      </c>
      <c r="AO170" s="166">
        <v>0</v>
      </c>
      <c r="AP170" s="166">
        <v>0</v>
      </c>
      <c r="AQ170" s="166">
        <v>0</v>
      </c>
      <c r="AR170" s="166">
        <v>1916</v>
      </c>
      <c r="AS170" s="166">
        <v>2199</v>
      </c>
      <c r="AT170" s="166">
        <v>2877</v>
      </c>
      <c r="AU170" s="166">
        <v>2432</v>
      </c>
      <c r="AV170" s="166">
        <v>445</v>
      </c>
      <c r="AW170" s="166">
        <v>2864</v>
      </c>
      <c r="AX170" s="166">
        <v>-680155</v>
      </c>
      <c r="AY170" s="166">
        <v>-181131</v>
      </c>
      <c r="AZ170" s="166">
        <v>0</v>
      </c>
      <c r="BA170" s="166">
        <v>-262804</v>
      </c>
      <c r="BB170" s="166">
        <v>-4625124</v>
      </c>
      <c r="BC170" s="166">
        <v>-1036662</v>
      </c>
      <c r="BD170" s="166">
        <v>0</v>
      </c>
      <c r="BE170" s="166">
        <v>5700864</v>
      </c>
      <c r="BF170" s="166"/>
      <c r="BG170" s="760">
        <v>24345550</v>
      </c>
      <c r="BH170" s="760">
        <v>137650</v>
      </c>
      <c r="BI170" s="815">
        <v>16795034</v>
      </c>
      <c r="BJ170" s="1044" t="s">
        <v>2464</v>
      </c>
      <c r="BK170" s="1044" t="s">
        <v>2465</v>
      </c>
      <c r="BL170" s="1044" t="s">
        <v>2627</v>
      </c>
      <c r="BM170" s="650"/>
      <c r="BN170" s="746" t="s">
        <v>216</v>
      </c>
      <c r="BO170" s="142" t="b">
        <v>1</v>
      </c>
      <c r="BP170" s="544"/>
      <c r="BQ170" s="544"/>
      <c r="BR170" s="544"/>
      <c r="BS170" s="544"/>
      <c r="BT170" s="544"/>
      <c r="BU170" s="544"/>
      <c r="BV170" s="544"/>
      <c r="BW170" s="544"/>
      <c r="BX170" s="544"/>
      <c r="BY170" s="544"/>
      <c r="BZ170" s="544"/>
      <c r="CA170" s="544"/>
      <c r="CB170" s="544"/>
      <c r="CC170" s="544"/>
      <c r="CD170" s="544"/>
      <c r="CE170" s="544"/>
      <c r="CF170" s="544"/>
      <c r="CG170" s="544"/>
      <c r="CH170" s="544"/>
      <c r="CI170" s="544"/>
      <c r="CJ170" s="544"/>
      <c r="CK170" s="544"/>
      <c r="CL170" s="544"/>
      <c r="CM170" s="544"/>
      <c r="CN170" s="544"/>
      <c r="CO170" s="544"/>
      <c r="CP170" s="544"/>
      <c r="CQ170" s="544"/>
      <c r="CR170" s="544"/>
      <c r="CS170" s="544"/>
    </row>
    <row r="171" spans="1:98" s="142" customFormat="1" ht="12.75" x14ac:dyDescent="0.2">
      <c r="A171" s="735">
        <v>164</v>
      </c>
      <c r="B171" s="732" t="s">
        <v>217</v>
      </c>
      <c r="C171" s="738" t="s">
        <v>218</v>
      </c>
      <c r="D171" s="905">
        <v>226429.91896660801</v>
      </c>
      <c r="E171" s="905">
        <v>98327389</v>
      </c>
      <c r="F171" s="905">
        <v>6542</v>
      </c>
      <c r="G171" s="166">
        <v>49932337</v>
      </c>
      <c r="H171" s="166">
        <v>-8199392</v>
      </c>
      <c r="I171" s="166">
        <v>705654</v>
      </c>
      <c r="J171" s="166">
        <v>-7493738</v>
      </c>
      <c r="K171" s="166">
        <v>-3414816</v>
      </c>
      <c r="L171" s="166">
        <v>-127131</v>
      </c>
      <c r="M171" s="166">
        <v>-47308</v>
      </c>
      <c r="N171" s="166">
        <v>-44078</v>
      </c>
      <c r="O171" s="166">
        <v>-10000</v>
      </c>
      <c r="P171" s="166">
        <v>-513671</v>
      </c>
      <c r="Q171" s="166">
        <v>-122176</v>
      </c>
      <c r="R171" s="166">
        <v>-37864</v>
      </c>
      <c r="S171" s="166">
        <v>-9360</v>
      </c>
      <c r="T171" s="166"/>
      <c r="U171" s="166">
        <v>-9319</v>
      </c>
      <c r="V171" s="166">
        <v>0</v>
      </c>
      <c r="W171" s="166">
        <v>0</v>
      </c>
      <c r="X171" s="166">
        <v>0</v>
      </c>
      <c r="Y171" s="166">
        <v>-23654</v>
      </c>
      <c r="Z171" s="166">
        <v>27323618</v>
      </c>
      <c r="AA171" s="166">
        <v>-218589</v>
      </c>
      <c r="AB171" s="166"/>
      <c r="AC171" s="166">
        <v>-6248747</v>
      </c>
      <c r="AD171" s="166">
        <v>302</v>
      </c>
      <c r="AE171" s="166">
        <v>37</v>
      </c>
      <c r="AF171" s="166">
        <v>19</v>
      </c>
      <c r="AG171" s="166"/>
      <c r="AH171" s="166">
        <v>28</v>
      </c>
      <c r="AI171" s="166">
        <v>0</v>
      </c>
      <c r="AJ171" s="166">
        <v>153</v>
      </c>
      <c r="AK171" s="166">
        <v>143</v>
      </c>
      <c r="AL171" s="166">
        <v>10</v>
      </c>
      <c r="AM171" s="166">
        <v>0</v>
      </c>
      <c r="AN171" s="166">
        <v>2</v>
      </c>
      <c r="AO171" s="166">
        <v>37</v>
      </c>
      <c r="AP171" s="166">
        <v>0</v>
      </c>
      <c r="AQ171" s="166">
        <v>1</v>
      </c>
      <c r="AR171" s="166">
        <v>1060</v>
      </c>
      <c r="AS171" s="166">
        <v>905</v>
      </c>
      <c r="AT171" s="166">
        <v>3705</v>
      </c>
      <c r="AU171" s="166">
        <v>3566</v>
      </c>
      <c r="AV171" s="166">
        <v>139</v>
      </c>
      <c r="AW171" s="166">
        <v>1948</v>
      </c>
      <c r="AX171" s="166">
        <v>-8103</v>
      </c>
      <c r="AY171" s="166">
        <v>-374957</v>
      </c>
      <c r="AZ171" s="166">
        <v>0</v>
      </c>
      <c r="BA171" s="166">
        <v>-19138</v>
      </c>
      <c r="BB171" s="166">
        <v>-89034</v>
      </c>
      <c r="BC171" s="166">
        <v>-22439</v>
      </c>
      <c r="BD171" s="166">
        <v>-537497</v>
      </c>
      <c r="BE171" s="166">
        <v>-997193</v>
      </c>
      <c r="BF171" s="166"/>
      <c r="BG171" s="760">
        <v>14852450</v>
      </c>
      <c r="BH171" s="760">
        <v>0</v>
      </c>
      <c r="BI171" s="815">
        <v>-2281410</v>
      </c>
      <c r="BJ171" s="1044" t="s">
        <v>2454</v>
      </c>
      <c r="BK171" s="1044" t="s">
        <v>2474</v>
      </c>
      <c r="BL171" s="1044" t="s">
        <v>2628</v>
      </c>
      <c r="BM171" s="650"/>
      <c r="BN171" s="746" t="s">
        <v>218</v>
      </c>
      <c r="BO171" s="142" t="b">
        <v>1</v>
      </c>
      <c r="BP171" s="544"/>
      <c r="BQ171" s="544"/>
      <c r="BR171" s="544"/>
      <c r="BS171" s="544"/>
      <c r="BT171" s="544"/>
      <c r="BU171" s="544"/>
      <c r="BV171" s="544"/>
      <c r="BW171" s="544"/>
      <c r="BX171" s="544"/>
      <c r="BY171" s="544"/>
      <c r="BZ171" s="544"/>
      <c r="CA171" s="544"/>
      <c r="CB171" s="544"/>
      <c r="CC171" s="544"/>
      <c r="CD171" s="544"/>
      <c r="CE171" s="544"/>
      <c r="CF171" s="544"/>
      <c r="CG171" s="544"/>
      <c r="CH171" s="544"/>
      <c r="CI171" s="544"/>
      <c r="CJ171" s="544"/>
      <c r="CK171" s="544"/>
      <c r="CL171" s="544"/>
      <c r="CM171" s="544"/>
      <c r="CN171" s="544"/>
      <c r="CO171" s="544"/>
      <c r="CP171" s="544"/>
      <c r="CQ171" s="544"/>
      <c r="CR171" s="544"/>
      <c r="CS171" s="544"/>
    </row>
    <row r="172" spans="1:98" s="142" customFormat="1" ht="12.75" x14ac:dyDescent="0.2">
      <c r="A172" s="735">
        <v>165</v>
      </c>
      <c r="B172" s="732" t="s">
        <v>219</v>
      </c>
      <c r="C172" s="738" t="s">
        <v>220</v>
      </c>
      <c r="D172" s="905">
        <v>104462.277030536</v>
      </c>
      <c r="E172" s="905">
        <v>52016111</v>
      </c>
      <c r="F172" s="905">
        <v>2958</v>
      </c>
      <c r="G172" s="166">
        <v>25863492</v>
      </c>
      <c r="H172" s="166">
        <v>-3526240</v>
      </c>
      <c r="I172" s="166">
        <v>381531</v>
      </c>
      <c r="J172" s="166">
        <v>-3144709</v>
      </c>
      <c r="K172" s="166">
        <v>-1278614</v>
      </c>
      <c r="L172" s="166">
        <v>-31724</v>
      </c>
      <c r="M172" s="166">
        <v>-1300</v>
      </c>
      <c r="N172" s="166">
        <v>-2470</v>
      </c>
      <c r="O172" s="166">
        <v>0</v>
      </c>
      <c r="P172" s="166">
        <v>-234812</v>
      </c>
      <c r="Q172" s="166">
        <v>-39512</v>
      </c>
      <c r="R172" s="166">
        <v>-7489</v>
      </c>
      <c r="S172" s="166">
        <v>-236</v>
      </c>
      <c r="T172" s="166"/>
      <c r="U172" s="166">
        <v>0</v>
      </c>
      <c r="V172" s="166">
        <v>0</v>
      </c>
      <c r="W172" s="166">
        <v>0</v>
      </c>
      <c r="X172" s="166">
        <v>0</v>
      </c>
      <c r="Y172" s="166">
        <v>-650</v>
      </c>
      <c r="Z172" s="166">
        <v>17723748</v>
      </c>
      <c r="AA172" s="166">
        <v>-359944</v>
      </c>
      <c r="AB172" s="166"/>
      <c r="AC172" s="166">
        <v>-1940800</v>
      </c>
      <c r="AD172" s="166">
        <v>130</v>
      </c>
      <c r="AE172" s="166">
        <v>6</v>
      </c>
      <c r="AF172" s="166">
        <v>1</v>
      </c>
      <c r="AG172" s="166"/>
      <c r="AH172" s="166">
        <v>2</v>
      </c>
      <c r="AI172" s="166">
        <v>0</v>
      </c>
      <c r="AJ172" s="166">
        <v>87</v>
      </c>
      <c r="AK172" s="166">
        <v>26</v>
      </c>
      <c r="AL172" s="166">
        <v>6</v>
      </c>
      <c r="AM172" s="166">
        <v>0</v>
      </c>
      <c r="AN172" s="166">
        <v>0</v>
      </c>
      <c r="AO172" s="166">
        <v>1</v>
      </c>
      <c r="AP172" s="166">
        <v>0</v>
      </c>
      <c r="AQ172" s="166">
        <v>0</v>
      </c>
      <c r="AR172" s="166">
        <v>309</v>
      </c>
      <c r="AS172" s="166">
        <v>434</v>
      </c>
      <c r="AT172" s="166">
        <v>1532</v>
      </c>
      <c r="AU172" s="166">
        <v>1454</v>
      </c>
      <c r="AV172" s="166">
        <v>78</v>
      </c>
      <c r="AW172" s="166">
        <v>979</v>
      </c>
      <c r="AX172" s="166">
        <v>-15717</v>
      </c>
      <c r="AY172" s="166">
        <v>-8693</v>
      </c>
      <c r="AZ172" s="166">
        <v>0</v>
      </c>
      <c r="BA172" s="166">
        <v>0</v>
      </c>
      <c r="BB172" s="166">
        <v>-199823</v>
      </c>
      <c r="BC172" s="166">
        <v>-10579</v>
      </c>
      <c r="BD172" s="166">
        <v>-205422</v>
      </c>
      <c r="BE172" s="166">
        <v>1867847</v>
      </c>
      <c r="BF172" s="166"/>
      <c r="BG172" s="760">
        <v>9076500</v>
      </c>
      <c r="BH172" s="760">
        <v>0</v>
      </c>
      <c r="BI172" s="815">
        <v>1102420</v>
      </c>
      <c r="BJ172" s="1044" t="s">
        <v>2454</v>
      </c>
      <c r="BK172" s="1044" t="s">
        <v>2457</v>
      </c>
      <c r="BL172" s="1044" t="s">
        <v>2629</v>
      </c>
      <c r="BM172" s="650"/>
      <c r="BN172" s="746" t="s">
        <v>220</v>
      </c>
      <c r="BO172" s="142" t="b">
        <v>1</v>
      </c>
      <c r="BP172" s="544"/>
      <c r="BQ172" s="544"/>
      <c r="BR172" s="544"/>
      <c r="BS172" s="544"/>
      <c r="BT172" s="544"/>
      <c r="BU172" s="544"/>
      <c r="BV172" s="544"/>
      <c r="BW172" s="544"/>
      <c r="BX172" s="544"/>
      <c r="BY172" s="544"/>
      <c r="BZ172" s="544"/>
      <c r="CA172" s="544"/>
      <c r="CB172" s="544"/>
      <c r="CC172" s="544"/>
      <c r="CD172" s="544"/>
      <c r="CE172" s="544"/>
      <c r="CF172" s="544"/>
      <c r="CG172" s="544"/>
      <c r="CH172" s="544"/>
      <c r="CI172" s="544"/>
      <c r="CJ172" s="544"/>
      <c r="CK172" s="544"/>
      <c r="CL172" s="544"/>
      <c r="CM172" s="544"/>
      <c r="CN172" s="544"/>
      <c r="CO172" s="544"/>
      <c r="CP172" s="544"/>
      <c r="CQ172" s="544"/>
      <c r="CR172" s="544"/>
      <c r="CS172" s="544"/>
    </row>
    <row r="173" spans="1:98" s="142" customFormat="1" ht="12.75" hidden="1" x14ac:dyDescent="0.2">
      <c r="A173" s="735">
        <v>166</v>
      </c>
      <c r="B173" s="732" t="s">
        <v>602</v>
      </c>
      <c r="C173" s="738" t="s">
        <v>222</v>
      </c>
      <c r="D173" s="905">
        <v>214082.179231371</v>
      </c>
      <c r="E173" s="905">
        <v>156739097</v>
      </c>
      <c r="F173" s="905">
        <v>5609</v>
      </c>
      <c r="G173" s="166">
        <v>76806545</v>
      </c>
      <c r="H173" s="166">
        <v>-5764351</v>
      </c>
      <c r="I173" s="166">
        <v>1531503</v>
      </c>
      <c r="J173" s="166">
        <v>-4232848</v>
      </c>
      <c r="K173" s="166">
        <v>-4552951</v>
      </c>
      <c r="L173" s="166">
        <v>-69520</v>
      </c>
      <c r="M173" s="166">
        <v>0</v>
      </c>
      <c r="N173" s="166">
        <v>-19169</v>
      </c>
      <c r="O173" s="166">
        <v>0</v>
      </c>
      <c r="P173" s="166">
        <v>-1670116</v>
      </c>
      <c r="Q173" s="166">
        <v>-171158</v>
      </c>
      <c r="R173" s="166">
        <v>-201421</v>
      </c>
      <c r="S173" s="166">
        <v>-7013</v>
      </c>
      <c r="T173" s="166"/>
      <c r="U173" s="166">
        <v>0</v>
      </c>
      <c r="V173" s="166">
        <v>-92814</v>
      </c>
      <c r="W173" s="166">
        <v>-92814</v>
      </c>
      <c r="X173" s="166">
        <v>0</v>
      </c>
      <c r="Y173" s="166">
        <v>0</v>
      </c>
      <c r="Z173" s="166">
        <v>57981513</v>
      </c>
      <c r="AA173" s="166">
        <v>-1451858</v>
      </c>
      <c r="AB173" s="166"/>
      <c r="AC173" s="166">
        <v>-5144099</v>
      </c>
      <c r="AD173" s="166">
        <v>227</v>
      </c>
      <c r="AE173" s="166">
        <v>10</v>
      </c>
      <c r="AF173" s="166">
        <v>0</v>
      </c>
      <c r="AG173" s="166"/>
      <c r="AH173" s="166">
        <v>8</v>
      </c>
      <c r="AI173" s="166">
        <v>0</v>
      </c>
      <c r="AJ173" s="166">
        <v>694</v>
      </c>
      <c r="AK173" s="166">
        <v>67</v>
      </c>
      <c r="AL173" s="166">
        <v>34</v>
      </c>
      <c r="AM173" s="166">
        <v>0</v>
      </c>
      <c r="AN173" s="166">
        <v>0</v>
      </c>
      <c r="AO173" s="166">
        <v>7</v>
      </c>
      <c r="AP173" s="166">
        <v>0</v>
      </c>
      <c r="AQ173" s="166">
        <v>1</v>
      </c>
      <c r="AR173" s="166">
        <v>658</v>
      </c>
      <c r="AS173" s="166">
        <v>1205</v>
      </c>
      <c r="AT173" s="166">
        <v>2456</v>
      </c>
      <c r="AU173" s="166">
        <v>2324</v>
      </c>
      <c r="AV173" s="166">
        <v>132</v>
      </c>
      <c r="AW173" s="166">
        <v>1947</v>
      </c>
      <c r="AX173" s="166">
        <v>-168096</v>
      </c>
      <c r="AY173" s="166">
        <v>-233718</v>
      </c>
      <c r="AZ173" s="166">
        <v>0</v>
      </c>
      <c r="BA173" s="166">
        <v>-37862</v>
      </c>
      <c r="BB173" s="166">
        <v>-923682</v>
      </c>
      <c r="BC173" s="166">
        <v>-306758</v>
      </c>
      <c r="BD173" s="166">
        <v>-144834</v>
      </c>
      <c r="BE173" s="166">
        <v>12220553</v>
      </c>
      <c r="BF173" s="166"/>
      <c r="BG173" s="760">
        <v>4560850</v>
      </c>
      <c r="BH173" s="760">
        <v>0</v>
      </c>
      <c r="BI173" s="815">
        <v>8171536</v>
      </c>
      <c r="BJ173" s="1044" t="s">
        <v>515</v>
      </c>
      <c r="BK173" s="1044" t="s">
        <v>2469</v>
      </c>
      <c r="BL173" s="1044" t="s">
        <v>2630</v>
      </c>
      <c r="BM173" s="650"/>
      <c r="BN173" s="746" t="s">
        <v>222</v>
      </c>
      <c r="BO173" s="142" t="b">
        <v>1</v>
      </c>
      <c r="BP173" s="544"/>
      <c r="BQ173" s="544"/>
      <c r="BR173" s="544"/>
      <c r="BS173" s="544"/>
      <c r="BT173" s="544"/>
      <c r="BU173" s="544"/>
      <c r="BV173" s="544"/>
      <c r="BW173" s="544"/>
      <c r="BX173" s="544"/>
      <c r="BY173" s="544"/>
      <c r="BZ173" s="544"/>
      <c r="CA173" s="544"/>
      <c r="CB173" s="544"/>
      <c r="CC173" s="544"/>
      <c r="CD173" s="544"/>
      <c r="CE173" s="544"/>
      <c r="CF173" s="544"/>
      <c r="CG173" s="544"/>
      <c r="CH173" s="544"/>
      <c r="CI173" s="544"/>
      <c r="CJ173" s="544"/>
      <c r="CK173" s="544"/>
      <c r="CL173" s="544"/>
      <c r="CM173" s="544"/>
      <c r="CN173" s="544"/>
      <c r="CO173" s="544"/>
      <c r="CP173" s="544"/>
      <c r="CQ173" s="544"/>
      <c r="CR173" s="544"/>
      <c r="CS173" s="544"/>
    </row>
    <row r="174" spans="1:98" s="142" customFormat="1" ht="12.75" x14ac:dyDescent="0.2">
      <c r="A174" s="735">
        <v>167</v>
      </c>
      <c r="B174" s="732" t="s">
        <v>223</v>
      </c>
      <c r="C174" s="738" t="s">
        <v>224</v>
      </c>
      <c r="D174" s="905">
        <v>182213.84324984701</v>
      </c>
      <c r="E174" s="905">
        <v>117795146</v>
      </c>
      <c r="F174" s="905">
        <v>4689</v>
      </c>
      <c r="G174" s="166">
        <v>59105368</v>
      </c>
      <c r="H174" s="166">
        <v>-4754709</v>
      </c>
      <c r="I174" s="166">
        <v>911048</v>
      </c>
      <c r="J174" s="166">
        <v>-3843661</v>
      </c>
      <c r="K174" s="166">
        <v>-3509179</v>
      </c>
      <c r="L174" s="166">
        <v>-47804</v>
      </c>
      <c r="M174" s="166">
        <v>-18274</v>
      </c>
      <c r="N174" s="166">
        <v>-14291</v>
      </c>
      <c r="O174" s="166">
        <v>-10000</v>
      </c>
      <c r="P174" s="166">
        <v>-972916</v>
      </c>
      <c r="Q174" s="166">
        <v>-207189</v>
      </c>
      <c r="R174" s="166">
        <v>-126286</v>
      </c>
      <c r="S174" s="166">
        <v>-10439</v>
      </c>
      <c r="T174" s="166"/>
      <c r="U174" s="166">
        <v>0</v>
      </c>
      <c r="V174" s="166">
        <v>0</v>
      </c>
      <c r="W174" s="166">
        <v>0</v>
      </c>
      <c r="X174" s="166">
        <v>0</v>
      </c>
      <c r="Y174" s="166">
        <v>-8498</v>
      </c>
      <c r="Z174" s="166">
        <v>38265131</v>
      </c>
      <c r="AA174" s="166">
        <v>-3574250</v>
      </c>
      <c r="AB174" s="166"/>
      <c r="AC174" s="166">
        <v>-5697917</v>
      </c>
      <c r="AD174" s="166">
        <v>231</v>
      </c>
      <c r="AE174" s="166">
        <v>9</v>
      </c>
      <c r="AF174" s="166">
        <v>0</v>
      </c>
      <c r="AG174" s="166"/>
      <c r="AH174" s="166">
        <v>7</v>
      </c>
      <c r="AI174" s="166">
        <v>0</v>
      </c>
      <c r="AJ174" s="166">
        <v>548</v>
      </c>
      <c r="AK174" s="166">
        <v>89</v>
      </c>
      <c r="AL174" s="166">
        <v>17</v>
      </c>
      <c r="AM174" s="166">
        <v>1</v>
      </c>
      <c r="AN174" s="166">
        <v>0</v>
      </c>
      <c r="AO174" s="166">
        <v>7</v>
      </c>
      <c r="AP174" s="166">
        <v>0</v>
      </c>
      <c r="AQ174" s="166">
        <v>0</v>
      </c>
      <c r="AR174" s="166">
        <v>698</v>
      </c>
      <c r="AS174" s="166">
        <v>1023</v>
      </c>
      <c r="AT174" s="166">
        <v>1754</v>
      </c>
      <c r="AU174" s="166">
        <v>1555</v>
      </c>
      <c r="AV174" s="166">
        <v>199</v>
      </c>
      <c r="AW174" s="166">
        <v>1913</v>
      </c>
      <c r="AX174" s="166">
        <v>-99413</v>
      </c>
      <c r="AY174" s="166">
        <v>-493460</v>
      </c>
      <c r="AZ174" s="166">
        <v>0</v>
      </c>
      <c r="BA174" s="166">
        <v>0</v>
      </c>
      <c r="BB174" s="166">
        <v>-276789</v>
      </c>
      <c r="BC174" s="166">
        <v>-103254</v>
      </c>
      <c r="BD174" s="166">
        <v>-225000</v>
      </c>
      <c r="BE174" s="166">
        <v>1131980</v>
      </c>
      <c r="BF174" s="166"/>
      <c r="BG174" s="760">
        <v>21315450</v>
      </c>
      <c r="BH174" s="760">
        <v>0</v>
      </c>
      <c r="BI174" s="815">
        <v>4321954</v>
      </c>
      <c r="BJ174" s="1044" t="s">
        <v>2454</v>
      </c>
      <c r="BK174" s="1044" t="s">
        <v>2462</v>
      </c>
      <c r="BL174" s="1044" t="s">
        <v>2631</v>
      </c>
      <c r="BM174" s="650"/>
      <c r="BN174" s="746" t="s">
        <v>224</v>
      </c>
      <c r="BO174" s="142" t="b">
        <v>1</v>
      </c>
      <c r="BP174" s="544"/>
      <c r="BQ174" s="544"/>
      <c r="BR174" s="544"/>
      <c r="BS174" s="544"/>
      <c r="BT174" s="544"/>
      <c r="BU174" s="544"/>
      <c r="BV174" s="544"/>
      <c r="BW174" s="544"/>
      <c r="BX174" s="544"/>
      <c r="BY174" s="544"/>
      <c r="BZ174" s="544"/>
      <c r="CA174" s="544"/>
      <c r="CB174" s="544"/>
      <c r="CC174" s="544"/>
      <c r="CD174" s="544"/>
      <c r="CE174" s="544"/>
      <c r="CF174" s="544"/>
      <c r="CG174" s="544"/>
      <c r="CH174" s="544"/>
      <c r="CI174" s="544"/>
      <c r="CJ174" s="544"/>
      <c r="CK174" s="544"/>
      <c r="CL174" s="544"/>
      <c r="CM174" s="544"/>
      <c r="CN174" s="544"/>
      <c r="CO174" s="544"/>
      <c r="CP174" s="544"/>
      <c r="CQ174" s="544"/>
      <c r="CR174" s="544"/>
      <c r="CS174" s="544"/>
    </row>
    <row r="175" spans="1:98" s="142" customFormat="1" ht="12.75" x14ac:dyDescent="0.2">
      <c r="A175" s="735">
        <v>168</v>
      </c>
      <c r="B175" s="732" t="s">
        <v>225</v>
      </c>
      <c r="C175" s="738" t="s">
        <v>226</v>
      </c>
      <c r="D175" s="905">
        <v>128604.176052421</v>
      </c>
      <c r="E175" s="905">
        <v>84911183</v>
      </c>
      <c r="F175" s="905">
        <v>3453</v>
      </c>
      <c r="G175" s="166">
        <v>42201032</v>
      </c>
      <c r="H175" s="166">
        <v>-4233795</v>
      </c>
      <c r="I175" s="166">
        <v>767314</v>
      </c>
      <c r="J175" s="166">
        <v>-3466481</v>
      </c>
      <c r="K175" s="166">
        <v>-2424454</v>
      </c>
      <c r="L175" s="166">
        <v>-30589</v>
      </c>
      <c r="M175" s="166">
        <v>-32106</v>
      </c>
      <c r="N175" s="166">
        <v>-2493</v>
      </c>
      <c r="O175" s="166">
        <v>-20000</v>
      </c>
      <c r="P175" s="166">
        <v>-998545</v>
      </c>
      <c r="Q175" s="166">
        <v>-157547</v>
      </c>
      <c r="R175" s="166">
        <v>-12829</v>
      </c>
      <c r="S175" s="166">
        <v>-59</v>
      </c>
      <c r="T175" s="166"/>
      <c r="U175" s="166">
        <v>0</v>
      </c>
      <c r="V175" s="166">
        <v>0</v>
      </c>
      <c r="W175" s="166">
        <v>0</v>
      </c>
      <c r="X175" s="166">
        <v>0</v>
      </c>
      <c r="Y175" s="166">
        <v>-16053</v>
      </c>
      <c r="Z175" s="166">
        <v>30640062</v>
      </c>
      <c r="AA175" s="166">
        <v>-1011122</v>
      </c>
      <c r="AB175" s="166"/>
      <c r="AC175" s="166">
        <v>-2383359</v>
      </c>
      <c r="AD175" s="166">
        <v>171</v>
      </c>
      <c r="AE175" s="166">
        <v>5</v>
      </c>
      <c r="AF175" s="166">
        <v>16</v>
      </c>
      <c r="AG175" s="166"/>
      <c r="AH175" s="166">
        <v>3</v>
      </c>
      <c r="AI175" s="166">
        <v>0</v>
      </c>
      <c r="AJ175" s="166">
        <v>194</v>
      </c>
      <c r="AK175" s="166">
        <v>102</v>
      </c>
      <c r="AL175" s="166">
        <v>2</v>
      </c>
      <c r="AM175" s="166">
        <v>0</v>
      </c>
      <c r="AN175" s="166">
        <v>0</v>
      </c>
      <c r="AO175" s="166">
        <v>1</v>
      </c>
      <c r="AP175" s="166">
        <v>0</v>
      </c>
      <c r="AQ175" s="166">
        <v>1</v>
      </c>
      <c r="AR175" s="166">
        <v>275</v>
      </c>
      <c r="AS175" s="166">
        <v>688</v>
      </c>
      <c r="AT175" s="166">
        <v>1726</v>
      </c>
      <c r="AU175" s="166">
        <v>1624</v>
      </c>
      <c r="AV175" s="166">
        <v>102</v>
      </c>
      <c r="AW175" s="166">
        <v>1035</v>
      </c>
      <c r="AX175" s="166">
        <v>-125029</v>
      </c>
      <c r="AY175" s="166">
        <v>-218666</v>
      </c>
      <c r="AZ175" s="166">
        <v>0</v>
      </c>
      <c r="BA175" s="166">
        <v>-16948</v>
      </c>
      <c r="BB175" s="166">
        <v>-582223</v>
      </c>
      <c r="BC175" s="166">
        <v>-55679</v>
      </c>
      <c r="BD175" s="166">
        <v>-109379</v>
      </c>
      <c r="BE175" s="166">
        <v>1474117</v>
      </c>
      <c r="BF175" s="166"/>
      <c r="BG175" s="760">
        <v>9248750</v>
      </c>
      <c r="BH175" s="760">
        <v>0</v>
      </c>
      <c r="BI175" s="815">
        <v>1352815</v>
      </c>
      <c r="BJ175" s="1044" t="s">
        <v>2454</v>
      </c>
      <c r="BK175" s="1044" t="s">
        <v>2457</v>
      </c>
      <c r="BL175" s="1044" t="s">
        <v>2632</v>
      </c>
      <c r="BM175" s="650"/>
      <c r="BN175" s="746" t="s">
        <v>226</v>
      </c>
      <c r="BO175" s="142" t="b">
        <v>1</v>
      </c>
      <c r="BP175" s="544"/>
      <c r="BQ175" s="544"/>
      <c r="BR175" s="544"/>
      <c r="BS175" s="544"/>
      <c r="BT175" s="544"/>
      <c r="BU175" s="544"/>
      <c r="BV175" s="544"/>
      <c r="BW175" s="544"/>
      <c r="BX175" s="544"/>
      <c r="BY175" s="544"/>
      <c r="BZ175" s="544"/>
      <c r="CA175" s="544"/>
      <c r="CB175" s="544"/>
      <c r="CC175" s="544"/>
      <c r="CD175" s="544"/>
      <c r="CE175" s="544"/>
      <c r="CF175" s="544"/>
      <c r="CG175" s="544"/>
      <c r="CH175" s="544"/>
      <c r="CI175" s="544"/>
      <c r="CJ175" s="544"/>
      <c r="CK175" s="544"/>
      <c r="CL175" s="544"/>
      <c r="CM175" s="544"/>
      <c r="CN175" s="544"/>
      <c r="CO175" s="544"/>
      <c r="CP175" s="544"/>
      <c r="CQ175" s="544"/>
      <c r="CR175" s="544"/>
      <c r="CS175" s="544"/>
    </row>
    <row r="176" spans="1:98" s="142" customFormat="1" ht="12.75" hidden="1" x14ac:dyDescent="0.2">
      <c r="A176" s="735">
        <v>169</v>
      </c>
      <c r="B176" s="732" t="s">
        <v>603</v>
      </c>
      <c r="C176" s="738" t="s">
        <v>228</v>
      </c>
      <c r="D176" s="905">
        <v>232901.16649177999</v>
      </c>
      <c r="E176" s="905">
        <v>216230954</v>
      </c>
      <c r="F176" s="905">
        <v>5689</v>
      </c>
      <c r="G176" s="166">
        <v>108353444</v>
      </c>
      <c r="H176" s="166">
        <v>-6534884</v>
      </c>
      <c r="I176" s="166">
        <v>2271673</v>
      </c>
      <c r="J176" s="166">
        <v>-4263211</v>
      </c>
      <c r="K176" s="166">
        <v>-2944320</v>
      </c>
      <c r="L176" s="166">
        <v>-49447</v>
      </c>
      <c r="M176" s="166">
        <v>-11241</v>
      </c>
      <c r="N176" s="166">
        <v>-21451</v>
      </c>
      <c r="O176" s="166">
        <v>0</v>
      </c>
      <c r="P176" s="166">
        <v>-2672294</v>
      </c>
      <c r="Q176" s="166">
        <v>-91390</v>
      </c>
      <c r="R176" s="166">
        <v>-96718</v>
      </c>
      <c r="S176" s="166">
        <v>-13550</v>
      </c>
      <c r="T176" s="166"/>
      <c r="U176" s="166">
        <v>0</v>
      </c>
      <c r="V176" s="166">
        <v>0</v>
      </c>
      <c r="W176" s="166">
        <v>0</v>
      </c>
      <c r="X176" s="166">
        <v>0</v>
      </c>
      <c r="Y176" s="166">
        <v>0</v>
      </c>
      <c r="Z176" s="166">
        <v>91459024</v>
      </c>
      <c r="AA176" s="166">
        <v>-4637451</v>
      </c>
      <c r="AB176" s="166"/>
      <c r="AC176" s="166">
        <v>-4700417</v>
      </c>
      <c r="AD176" s="166">
        <v>209</v>
      </c>
      <c r="AE176" s="166">
        <v>14</v>
      </c>
      <c r="AF176" s="166">
        <v>4</v>
      </c>
      <c r="AG176" s="166"/>
      <c r="AH176" s="166">
        <v>14</v>
      </c>
      <c r="AI176" s="166">
        <v>0</v>
      </c>
      <c r="AJ176" s="166">
        <v>482</v>
      </c>
      <c r="AK176" s="166">
        <v>109</v>
      </c>
      <c r="AL176" s="166">
        <v>15</v>
      </c>
      <c r="AM176" s="166">
        <v>0</v>
      </c>
      <c r="AN176" s="166">
        <v>0</v>
      </c>
      <c r="AO176" s="166">
        <v>13</v>
      </c>
      <c r="AP176" s="166">
        <v>0</v>
      </c>
      <c r="AQ176" s="166">
        <v>0</v>
      </c>
      <c r="AR176" s="166">
        <v>598</v>
      </c>
      <c r="AS176" s="166">
        <v>1081</v>
      </c>
      <c r="AT176" s="166">
        <v>2701</v>
      </c>
      <c r="AU176" s="166">
        <v>2587</v>
      </c>
      <c r="AV176" s="166">
        <v>114</v>
      </c>
      <c r="AW176" s="166">
        <v>1888</v>
      </c>
      <c r="AX176" s="166">
        <v>-102971</v>
      </c>
      <c r="AY176" s="166">
        <v>-117517</v>
      </c>
      <c r="AZ176" s="166">
        <v>0</v>
      </c>
      <c r="BA176" s="166">
        <v>-1446</v>
      </c>
      <c r="BB176" s="166">
        <v>-2450360</v>
      </c>
      <c r="BC176" s="166">
        <v>0</v>
      </c>
      <c r="BD176" s="166">
        <v>-92916</v>
      </c>
      <c r="BE176" s="166">
        <v>2923848</v>
      </c>
      <c r="BF176" s="166"/>
      <c r="BG176" s="760">
        <v>2745000</v>
      </c>
      <c r="BH176" s="760">
        <v>36250</v>
      </c>
      <c r="BI176" s="815">
        <v>4917263</v>
      </c>
      <c r="BJ176" s="1044" t="s">
        <v>515</v>
      </c>
      <c r="BK176" s="1044" t="s">
        <v>2469</v>
      </c>
      <c r="BL176" s="1044" t="s">
        <v>2633</v>
      </c>
      <c r="BM176" s="650"/>
      <c r="BN176" s="746" t="s">
        <v>228</v>
      </c>
      <c r="BO176" s="142" t="b">
        <v>1</v>
      </c>
      <c r="BP176" s="544"/>
      <c r="BQ176" s="544"/>
      <c r="BR176" s="544"/>
      <c r="BS176" s="544"/>
      <c r="BT176" s="544"/>
      <c r="BU176" s="544"/>
      <c r="BV176" s="544"/>
      <c r="BW176" s="544"/>
      <c r="BX176" s="544"/>
      <c r="BY176" s="544"/>
      <c r="BZ176" s="544"/>
      <c r="CA176" s="544"/>
      <c r="CB176" s="544"/>
      <c r="CC176" s="544"/>
      <c r="CD176" s="544"/>
      <c r="CE176" s="544"/>
      <c r="CF176" s="544"/>
      <c r="CG176" s="544"/>
      <c r="CH176" s="544"/>
      <c r="CI176" s="544"/>
      <c r="CJ176" s="544"/>
      <c r="CK176" s="544"/>
      <c r="CL176" s="544"/>
      <c r="CM176" s="544"/>
      <c r="CN176" s="544"/>
      <c r="CO176" s="544"/>
      <c r="CP176" s="544"/>
      <c r="CQ176" s="544"/>
      <c r="CR176" s="544"/>
      <c r="CS176" s="544"/>
    </row>
    <row r="177" spans="1:98" s="142" customFormat="1" ht="12.75" x14ac:dyDescent="0.2">
      <c r="A177" s="735">
        <v>170</v>
      </c>
      <c r="B177" s="732" t="s">
        <v>229</v>
      </c>
      <c r="C177" s="738" t="s">
        <v>230</v>
      </c>
      <c r="D177" s="905">
        <v>275342.089211168</v>
      </c>
      <c r="E177" s="905">
        <v>91033156</v>
      </c>
      <c r="F177" s="905">
        <v>8213</v>
      </c>
      <c r="G177" s="166">
        <v>45275030</v>
      </c>
      <c r="H177" s="166">
        <v>-7290102</v>
      </c>
      <c r="I177" s="166">
        <v>632038</v>
      </c>
      <c r="J177" s="166">
        <v>-6658064</v>
      </c>
      <c r="K177" s="166">
        <v>-2732684</v>
      </c>
      <c r="L177" s="166">
        <v>-41781</v>
      </c>
      <c r="M177" s="166">
        <v>-85169</v>
      </c>
      <c r="N177" s="166">
        <v>-51489</v>
      </c>
      <c r="O177" s="166">
        <v>0</v>
      </c>
      <c r="P177" s="166">
        <v>-352480</v>
      </c>
      <c r="Q177" s="166">
        <v>-5986</v>
      </c>
      <c r="R177" s="166">
        <v>-4088</v>
      </c>
      <c r="S177" s="166">
        <v>0</v>
      </c>
      <c r="T177" s="166"/>
      <c r="U177" s="166">
        <v>0</v>
      </c>
      <c r="V177" s="166">
        <v>-360680</v>
      </c>
      <c r="W177" s="166">
        <v>-360680</v>
      </c>
      <c r="X177" s="166">
        <v>0</v>
      </c>
      <c r="Y177" s="166">
        <v>-42975</v>
      </c>
      <c r="Z177" s="166">
        <v>25408502</v>
      </c>
      <c r="AA177" s="166">
        <v>-1036000</v>
      </c>
      <c r="AB177" s="166"/>
      <c r="AC177" s="166">
        <v>-6519242</v>
      </c>
      <c r="AD177" s="166">
        <v>385</v>
      </c>
      <c r="AE177" s="166">
        <v>32</v>
      </c>
      <c r="AF177" s="166">
        <v>33</v>
      </c>
      <c r="AG177" s="166"/>
      <c r="AH177" s="166">
        <v>37</v>
      </c>
      <c r="AI177" s="166">
        <v>0</v>
      </c>
      <c r="AJ177" s="166">
        <v>204</v>
      </c>
      <c r="AK177" s="166">
        <v>16</v>
      </c>
      <c r="AL177" s="166">
        <v>1</v>
      </c>
      <c r="AM177" s="166">
        <v>40</v>
      </c>
      <c r="AN177" s="166">
        <v>0</v>
      </c>
      <c r="AO177" s="166">
        <v>0</v>
      </c>
      <c r="AP177" s="166">
        <v>21</v>
      </c>
      <c r="AQ177" s="166">
        <v>0</v>
      </c>
      <c r="AR177" s="166">
        <v>1694</v>
      </c>
      <c r="AS177" s="166">
        <v>1030</v>
      </c>
      <c r="AT177" s="166">
        <v>4544</v>
      </c>
      <c r="AU177" s="166">
        <v>4405</v>
      </c>
      <c r="AV177" s="166">
        <v>139</v>
      </c>
      <c r="AW177" s="166">
        <v>2593</v>
      </c>
      <c r="AX177" s="166">
        <v>-59226</v>
      </c>
      <c r="AY177" s="166">
        <v>-130550</v>
      </c>
      <c r="AZ177" s="166">
        <v>0</v>
      </c>
      <c r="BA177" s="166">
        <v>-15450</v>
      </c>
      <c r="BB177" s="166">
        <v>-137140</v>
      </c>
      <c r="BC177" s="166">
        <v>-10114</v>
      </c>
      <c r="BD177" s="166">
        <v>-413073</v>
      </c>
      <c r="BE177" s="166">
        <v>-307817</v>
      </c>
      <c r="BF177" s="166"/>
      <c r="BG177" s="760">
        <v>12784499</v>
      </c>
      <c r="BH177" s="760">
        <v>196000</v>
      </c>
      <c r="BI177" s="815">
        <v>-8667492</v>
      </c>
      <c r="BJ177" s="1044" t="s">
        <v>2454</v>
      </c>
      <c r="BK177" s="1044" t="s">
        <v>2462</v>
      </c>
      <c r="BL177" s="1044" t="s">
        <v>2634</v>
      </c>
      <c r="BM177" s="650"/>
      <c r="BN177" s="746"/>
      <c r="BP177" s="544"/>
      <c r="BQ177" s="544"/>
      <c r="BR177" s="544"/>
      <c r="BS177" s="544"/>
      <c r="BT177" s="544"/>
      <c r="BU177" s="544"/>
      <c r="BV177" s="544"/>
      <c r="BW177" s="544"/>
      <c r="BX177" s="544"/>
      <c r="BY177" s="544"/>
      <c r="BZ177" s="544"/>
      <c r="CA177" s="544"/>
      <c r="CB177" s="544"/>
      <c r="CC177" s="544"/>
      <c r="CD177" s="544"/>
      <c r="CE177" s="544"/>
      <c r="CF177" s="544"/>
      <c r="CG177" s="544"/>
      <c r="CH177" s="544"/>
      <c r="CI177" s="544"/>
      <c r="CJ177" s="544"/>
      <c r="CK177" s="544"/>
      <c r="CL177" s="544"/>
      <c r="CM177" s="544"/>
      <c r="CN177" s="544"/>
      <c r="CO177" s="544"/>
      <c r="CP177" s="544"/>
      <c r="CQ177" s="544"/>
      <c r="CR177" s="544"/>
      <c r="CS177" s="544"/>
    </row>
    <row r="178" spans="1:98" s="142" customFormat="1" ht="12.75" hidden="1" x14ac:dyDescent="0.2">
      <c r="A178" s="735">
        <v>171</v>
      </c>
      <c r="B178" s="732" t="s">
        <v>1336</v>
      </c>
      <c r="C178" s="738" t="s">
        <v>1379</v>
      </c>
      <c r="D178" s="905">
        <v>481217.35921419697</v>
      </c>
      <c r="E178" s="905">
        <v>405472036</v>
      </c>
      <c r="F178" s="905">
        <v>11922</v>
      </c>
      <c r="G178" s="166">
        <v>201152342</v>
      </c>
      <c r="H178" s="166">
        <v>-12367869</v>
      </c>
      <c r="I178" s="166">
        <v>4304706</v>
      </c>
      <c r="J178" s="166">
        <v>-8063163</v>
      </c>
      <c r="K178" s="166">
        <v>-9647005</v>
      </c>
      <c r="L178" s="166">
        <v>-148729</v>
      </c>
      <c r="M178" s="166">
        <v>-6694</v>
      </c>
      <c r="N178" s="166">
        <v>-24099</v>
      </c>
      <c r="O178" s="166">
        <v>-150000</v>
      </c>
      <c r="P178" s="166">
        <v>-1477738</v>
      </c>
      <c r="Q178" s="166">
        <v>-28292</v>
      </c>
      <c r="R178" s="166">
        <v>-166017</v>
      </c>
      <c r="S178" s="166">
        <v>-4939</v>
      </c>
      <c r="T178" s="166"/>
      <c r="U178" s="166">
        <v>0</v>
      </c>
      <c r="V178" s="166">
        <v>0</v>
      </c>
      <c r="W178" s="166">
        <v>0</v>
      </c>
      <c r="X178" s="166">
        <v>0</v>
      </c>
      <c r="Y178" s="166">
        <v>-3347</v>
      </c>
      <c r="Z178" s="166">
        <v>160622521</v>
      </c>
      <c r="AA178" s="166">
        <v>-5139921</v>
      </c>
      <c r="AB178" s="166"/>
      <c r="AC178" s="166">
        <v>-4158329</v>
      </c>
      <c r="AD178" s="166">
        <v>426</v>
      </c>
      <c r="AE178" s="166">
        <v>25</v>
      </c>
      <c r="AF178" s="166">
        <v>0</v>
      </c>
      <c r="AG178" s="166"/>
      <c r="AH178" s="166">
        <v>10</v>
      </c>
      <c r="AI178" s="166">
        <v>0</v>
      </c>
      <c r="AJ178" s="166">
        <v>1085</v>
      </c>
      <c r="AK178" s="166">
        <v>59</v>
      </c>
      <c r="AL178" s="166">
        <v>39</v>
      </c>
      <c r="AM178" s="166">
        <v>0</v>
      </c>
      <c r="AN178" s="166">
        <v>0</v>
      </c>
      <c r="AO178" s="166">
        <v>8</v>
      </c>
      <c r="AP178" s="166">
        <v>0</v>
      </c>
      <c r="AQ178" s="166">
        <v>0</v>
      </c>
      <c r="AR178" s="166">
        <v>461</v>
      </c>
      <c r="AS178" s="166">
        <v>2545</v>
      </c>
      <c r="AT178" s="166">
        <v>5168</v>
      </c>
      <c r="AU178" s="166">
        <v>4612</v>
      </c>
      <c r="AV178" s="166">
        <v>556</v>
      </c>
      <c r="AW178" s="166">
        <v>4132</v>
      </c>
      <c r="AX178" s="166">
        <v>-544226</v>
      </c>
      <c r="AY178" s="166">
        <v>-177265</v>
      </c>
      <c r="AZ178" s="166">
        <v>0</v>
      </c>
      <c r="BA178" s="166">
        <v>-46316</v>
      </c>
      <c r="BB178" s="166">
        <v>-239851</v>
      </c>
      <c r="BC178" s="166">
        <v>-470080</v>
      </c>
      <c r="BD178" s="166">
        <v>-1178248</v>
      </c>
      <c r="BE178" s="166">
        <v>-6375159</v>
      </c>
      <c r="BF178" s="166"/>
      <c r="BG178" s="760">
        <v>29109900</v>
      </c>
      <c r="BH178" s="760">
        <v>0</v>
      </c>
      <c r="BI178" s="815">
        <v>-8032447</v>
      </c>
      <c r="BJ178" s="1044" t="s">
        <v>515</v>
      </c>
      <c r="BK178" s="1044" t="s">
        <v>2457</v>
      </c>
      <c r="BL178" s="1044" t="s">
        <v>2635</v>
      </c>
      <c r="BM178" s="650"/>
      <c r="BN178" s="746"/>
      <c r="BP178" s="544"/>
      <c r="BQ178" s="544"/>
      <c r="BR178" s="544"/>
      <c r="BS178" s="544"/>
      <c r="BT178" s="544"/>
      <c r="BU178" s="544"/>
      <c r="BV178" s="544"/>
      <c r="BW178" s="544"/>
      <c r="BX178" s="544"/>
      <c r="BY178" s="544"/>
      <c r="BZ178" s="544"/>
      <c r="CA178" s="544"/>
      <c r="CB178" s="544"/>
      <c r="CC178" s="544"/>
      <c r="CD178" s="544"/>
      <c r="CE178" s="544"/>
      <c r="CF178" s="544"/>
      <c r="CG178" s="544"/>
      <c r="CH178" s="544"/>
      <c r="CI178" s="544"/>
      <c r="CJ178" s="544"/>
      <c r="CK178" s="544"/>
      <c r="CL178" s="544"/>
      <c r="CM178" s="544"/>
      <c r="CN178" s="544"/>
      <c r="CO178" s="544"/>
      <c r="CP178" s="544"/>
      <c r="CQ178" s="544"/>
      <c r="CR178" s="544"/>
      <c r="CS178" s="544"/>
    </row>
    <row r="179" spans="1:98" s="142" customFormat="1" ht="12.75" hidden="1" x14ac:dyDescent="0.2">
      <c r="A179" s="735">
        <v>172</v>
      </c>
      <c r="B179" s="732" t="s">
        <v>520</v>
      </c>
      <c r="C179" s="738" t="s">
        <v>232</v>
      </c>
      <c r="D179" s="905">
        <v>258815.200292444</v>
      </c>
      <c r="E179" s="905">
        <v>180156723</v>
      </c>
      <c r="F179" s="905">
        <v>6556</v>
      </c>
      <c r="G179" s="166">
        <v>92728123</v>
      </c>
      <c r="H179" s="166">
        <v>-5622524</v>
      </c>
      <c r="I179" s="166">
        <v>1679629</v>
      </c>
      <c r="J179" s="166">
        <v>-3942895</v>
      </c>
      <c r="K179" s="166">
        <v>-6839622</v>
      </c>
      <c r="L179" s="166">
        <v>-132062</v>
      </c>
      <c r="M179" s="166">
        <v>-11936</v>
      </c>
      <c r="N179" s="166">
        <v>-24399</v>
      </c>
      <c r="O179" s="166">
        <v>-20000</v>
      </c>
      <c r="P179" s="166">
        <v>-1378522</v>
      </c>
      <c r="Q179" s="166">
        <v>-80174</v>
      </c>
      <c r="R179" s="166">
        <v>-266662</v>
      </c>
      <c r="S179" s="166">
        <v>0</v>
      </c>
      <c r="T179" s="166"/>
      <c r="U179" s="166">
        <v>0</v>
      </c>
      <c r="V179" s="166">
        <v>-77312</v>
      </c>
      <c r="W179" s="166">
        <v>0</v>
      </c>
      <c r="X179" s="166">
        <v>0</v>
      </c>
      <c r="Y179" s="166">
        <v>-5968</v>
      </c>
      <c r="Z179" s="166">
        <v>63266782</v>
      </c>
      <c r="AA179" s="166">
        <v>-4428675</v>
      </c>
      <c r="AB179" s="166"/>
      <c r="AC179" s="166">
        <v>-6908721</v>
      </c>
      <c r="AD179" s="166">
        <v>367</v>
      </c>
      <c r="AE179" s="166">
        <v>23</v>
      </c>
      <c r="AF179" s="166">
        <v>4</v>
      </c>
      <c r="AG179" s="166"/>
      <c r="AH179" s="166">
        <v>0</v>
      </c>
      <c r="AI179" s="166">
        <v>0</v>
      </c>
      <c r="AJ179" s="166">
        <v>486</v>
      </c>
      <c r="AK179" s="166">
        <v>73</v>
      </c>
      <c r="AL179" s="166">
        <v>17</v>
      </c>
      <c r="AM179" s="166">
        <v>4</v>
      </c>
      <c r="AN179" s="166">
        <v>0</v>
      </c>
      <c r="AO179" s="166">
        <v>0</v>
      </c>
      <c r="AP179" s="166">
        <v>1</v>
      </c>
      <c r="AQ179" s="166">
        <v>0</v>
      </c>
      <c r="AR179" s="166">
        <v>1041</v>
      </c>
      <c r="AS179" s="166">
        <v>1379</v>
      </c>
      <c r="AT179" s="166">
        <v>2391</v>
      </c>
      <c r="AU179" s="166">
        <v>2210</v>
      </c>
      <c r="AV179" s="166">
        <v>181</v>
      </c>
      <c r="AW179" s="166">
        <v>2816</v>
      </c>
      <c r="AX179" s="166">
        <v>-135156</v>
      </c>
      <c r="AY179" s="166">
        <v>-123398</v>
      </c>
      <c r="AZ179" s="166">
        <v>0</v>
      </c>
      <c r="BA179" s="166">
        <v>-19351</v>
      </c>
      <c r="BB179" s="166">
        <v>-1100617</v>
      </c>
      <c r="BC179" s="166">
        <v>0</v>
      </c>
      <c r="BD179" s="166">
        <v>-15000</v>
      </c>
      <c r="BE179" s="166">
        <v>6130283</v>
      </c>
      <c r="BF179" s="166"/>
      <c r="BG179" s="760">
        <v>22200850</v>
      </c>
      <c r="BH179" s="760">
        <v>208500</v>
      </c>
      <c r="BI179" s="815">
        <v>6028894</v>
      </c>
      <c r="BJ179" s="1044" t="s">
        <v>515</v>
      </c>
      <c r="BK179" s="1044" t="s">
        <v>2474</v>
      </c>
      <c r="BL179" s="1044" t="s">
        <v>2636</v>
      </c>
      <c r="BM179" s="650"/>
      <c r="BN179" s="746" t="s">
        <v>232</v>
      </c>
      <c r="BO179" s="142" t="b">
        <v>1</v>
      </c>
      <c r="BP179" s="544"/>
      <c r="BQ179" s="544"/>
      <c r="BR179" s="544"/>
      <c r="BS179" s="544"/>
      <c r="BT179" s="544"/>
      <c r="BU179" s="544"/>
      <c r="BV179" s="544"/>
      <c r="BW179" s="544"/>
      <c r="BX179" s="544"/>
      <c r="BY179" s="544"/>
      <c r="BZ179" s="544"/>
      <c r="CA179" s="544"/>
      <c r="CB179" s="544"/>
      <c r="CC179" s="544"/>
      <c r="CD179" s="544"/>
      <c r="CE179" s="544"/>
      <c r="CF179" s="544"/>
      <c r="CG179" s="544"/>
      <c r="CH179" s="544"/>
      <c r="CI179" s="544"/>
      <c r="CJ179" s="544"/>
      <c r="CK179" s="544"/>
      <c r="CL179" s="544"/>
      <c r="CM179" s="544"/>
      <c r="CN179" s="544"/>
      <c r="CO179" s="544"/>
      <c r="CP179" s="544"/>
      <c r="CQ179" s="544"/>
      <c r="CR179" s="544"/>
      <c r="CS179" s="544"/>
    </row>
    <row r="180" spans="1:98" s="142" customFormat="1" ht="12.75" hidden="1" x14ac:dyDescent="0.2">
      <c r="A180" s="735">
        <v>173</v>
      </c>
      <c r="B180" s="732" t="s">
        <v>233</v>
      </c>
      <c r="C180" s="738" t="s">
        <v>234</v>
      </c>
      <c r="D180" s="905">
        <v>237343.001165575</v>
      </c>
      <c r="E180" s="905">
        <v>163636259</v>
      </c>
      <c r="F180" s="905">
        <v>6310</v>
      </c>
      <c r="G180" s="166">
        <v>80863569</v>
      </c>
      <c r="H180" s="166">
        <v>-6633406</v>
      </c>
      <c r="I180" s="166">
        <v>1538691</v>
      </c>
      <c r="J180" s="166">
        <v>-5094715</v>
      </c>
      <c r="K180" s="166">
        <v>-4589931</v>
      </c>
      <c r="L180" s="166">
        <v>-84464</v>
      </c>
      <c r="M180" s="166">
        <v>0</v>
      </c>
      <c r="N180" s="166">
        <v>-18836</v>
      </c>
      <c r="O180" s="166">
        <v>-50000</v>
      </c>
      <c r="P180" s="166">
        <v>-3005676</v>
      </c>
      <c r="Q180" s="166">
        <v>-333582</v>
      </c>
      <c r="R180" s="166">
        <v>-60000</v>
      </c>
      <c r="S180" s="166">
        <v>-21116</v>
      </c>
      <c r="T180" s="166"/>
      <c r="U180" s="166">
        <v>0</v>
      </c>
      <c r="V180" s="166">
        <v>-100000</v>
      </c>
      <c r="W180" s="166">
        <v>0</v>
      </c>
      <c r="X180" s="166">
        <v>0</v>
      </c>
      <c r="Y180" s="166">
        <v>0</v>
      </c>
      <c r="Z180" s="166">
        <v>60043964</v>
      </c>
      <c r="AA180" s="166">
        <v>-1000000</v>
      </c>
      <c r="AB180" s="166"/>
      <c r="AC180" s="166">
        <v>-3755835</v>
      </c>
      <c r="AD180" s="166">
        <v>246</v>
      </c>
      <c r="AE180" s="166">
        <v>10</v>
      </c>
      <c r="AF180" s="166">
        <v>0</v>
      </c>
      <c r="AG180" s="166"/>
      <c r="AH180" s="166">
        <v>8</v>
      </c>
      <c r="AI180" s="166">
        <v>0</v>
      </c>
      <c r="AJ180" s="166">
        <v>1012</v>
      </c>
      <c r="AK180" s="166">
        <v>139</v>
      </c>
      <c r="AL180" s="166">
        <v>14</v>
      </c>
      <c r="AM180" s="166">
        <v>0</v>
      </c>
      <c r="AN180" s="166">
        <v>0</v>
      </c>
      <c r="AO180" s="166">
        <v>10</v>
      </c>
      <c r="AP180" s="166">
        <v>0</v>
      </c>
      <c r="AQ180" s="166">
        <v>0</v>
      </c>
      <c r="AR180" s="166">
        <v>488</v>
      </c>
      <c r="AS180" s="166">
        <v>1694</v>
      </c>
      <c r="AT180" s="166">
        <v>2658</v>
      </c>
      <c r="AU180" s="166">
        <v>2539</v>
      </c>
      <c r="AV180" s="166">
        <v>119</v>
      </c>
      <c r="AW180" s="166">
        <v>1897</v>
      </c>
      <c r="AX180" s="166">
        <v>-550000</v>
      </c>
      <c r="AY180" s="166">
        <v>-100000</v>
      </c>
      <c r="AZ180" s="166">
        <v>0</v>
      </c>
      <c r="BA180" s="166">
        <v>-20000</v>
      </c>
      <c r="BB180" s="166">
        <v>-1680676</v>
      </c>
      <c r="BC180" s="166">
        <v>-655000</v>
      </c>
      <c r="BD180" s="166">
        <v>-498655</v>
      </c>
      <c r="BE180" s="166">
        <v>2312357</v>
      </c>
      <c r="BF180" s="166"/>
      <c r="BG180" s="760">
        <v>17081625</v>
      </c>
      <c r="BH180" s="760">
        <v>49250</v>
      </c>
      <c r="BI180" s="815">
        <v>-2831726</v>
      </c>
      <c r="BJ180" s="1044" t="s">
        <v>2468</v>
      </c>
      <c r="BK180" s="1044" t="s">
        <v>867</v>
      </c>
      <c r="BL180" s="1044" t="s">
        <v>2637</v>
      </c>
      <c r="BM180" s="650"/>
      <c r="BN180" s="746" t="s">
        <v>234</v>
      </c>
      <c r="BO180" s="142" t="b">
        <v>1</v>
      </c>
      <c r="BP180" s="544"/>
      <c r="BQ180" s="544"/>
      <c r="BR180" s="544"/>
      <c r="BS180" s="544"/>
      <c r="BT180" s="544"/>
      <c r="BU180" s="544"/>
      <c r="BV180" s="544"/>
      <c r="BW180" s="544"/>
      <c r="BX180" s="544"/>
      <c r="BY180" s="544"/>
      <c r="BZ180" s="544"/>
      <c r="CA180" s="544"/>
      <c r="CB180" s="544"/>
      <c r="CC180" s="544"/>
      <c r="CD180" s="544"/>
      <c r="CE180" s="544"/>
      <c r="CF180" s="544"/>
      <c r="CG180" s="544"/>
      <c r="CH180" s="544"/>
      <c r="CI180" s="544"/>
      <c r="CJ180" s="544"/>
      <c r="CK180" s="544"/>
      <c r="CL180" s="544"/>
      <c r="CM180" s="544"/>
      <c r="CN180" s="544"/>
      <c r="CO180" s="544"/>
      <c r="CP180" s="544"/>
      <c r="CQ180" s="544"/>
      <c r="CR180" s="544"/>
      <c r="CS180" s="544"/>
    </row>
    <row r="181" spans="1:98" s="142" customFormat="1" ht="12.75" x14ac:dyDescent="0.2">
      <c r="A181" s="735">
        <v>174</v>
      </c>
      <c r="B181" s="732" t="s">
        <v>235</v>
      </c>
      <c r="C181" s="738" t="s">
        <v>236</v>
      </c>
      <c r="D181" s="905">
        <v>120368.42934011</v>
      </c>
      <c r="E181" s="905">
        <v>157882481</v>
      </c>
      <c r="F181" s="905">
        <v>2441</v>
      </c>
      <c r="G181" s="166">
        <v>77685621</v>
      </c>
      <c r="H181" s="166">
        <v>-3003942</v>
      </c>
      <c r="I181" s="166">
        <v>1723085</v>
      </c>
      <c r="J181" s="166">
        <v>-1280857</v>
      </c>
      <c r="K181" s="166">
        <v>-1136542</v>
      </c>
      <c r="L181" s="166">
        <v>-34177</v>
      </c>
      <c r="M181" s="166">
        <v>-23350</v>
      </c>
      <c r="N181" s="166">
        <v>0</v>
      </c>
      <c r="O181" s="166">
        <v>0</v>
      </c>
      <c r="P181" s="166">
        <v>-593021</v>
      </c>
      <c r="Q181" s="166">
        <v>-11263</v>
      </c>
      <c r="R181" s="166">
        <v>-9872</v>
      </c>
      <c r="S181" s="166">
        <v>-837</v>
      </c>
      <c r="T181" s="166"/>
      <c r="U181" s="166">
        <v>0</v>
      </c>
      <c r="V181" s="166">
        <v>0</v>
      </c>
      <c r="W181" s="166">
        <v>0</v>
      </c>
      <c r="X181" s="166">
        <v>0</v>
      </c>
      <c r="Y181" s="166">
        <v>-11675</v>
      </c>
      <c r="Z181" s="166">
        <v>67835543</v>
      </c>
      <c r="AA181" s="166">
        <v>-2500000</v>
      </c>
      <c r="AB181" s="166"/>
      <c r="AC181" s="166">
        <v>-2037028</v>
      </c>
      <c r="AD181" s="166">
        <v>95</v>
      </c>
      <c r="AE181" s="166">
        <v>12</v>
      </c>
      <c r="AF181" s="166">
        <v>9</v>
      </c>
      <c r="AG181" s="166"/>
      <c r="AH181" s="166">
        <v>0</v>
      </c>
      <c r="AI181" s="166">
        <v>0</v>
      </c>
      <c r="AJ181" s="166">
        <v>128</v>
      </c>
      <c r="AK181" s="166">
        <v>18</v>
      </c>
      <c r="AL181" s="166">
        <v>32</v>
      </c>
      <c r="AM181" s="166">
        <v>0</v>
      </c>
      <c r="AN181" s="166">
        <v>0</v>
      </c>
      <c r="AO181" s="166">
        <v>2</v>
      </c>
      <c r="AP181" s="166">
        <v>0</v>
      </c>
      <c r="AQ181" s="166">
        <v>0</v>
      </c>
      <c r="AR181" s="166">
        <v>250</v>
      </c>
      <c r="AS181" s="166">
        <v>633</v>
      </c>
      <c r="AT181" s="166">
        <v>1071</v>
      </c>
      <c r="AU181" s="166">
        <v>1019</v>
      </c>
      <c r="AV181" s="166">
        <v>52</v>
      </c>
      <c r="AW181" s="166">
        <v>836</v>
      </c>
      <c r="AX181" s="166">
        <v>-83427</v>
      </c>
      <c r="AY181" s="166">
        <v>-270515</v>
      </c>
      <c r="AZ181" s="166">
        <v>0</v>
      </c>
      <c r="BA181" s="166">
        <v>0</v>
      </c>
      <c r="BB181" s="166">
        <v>-222425</v>
      </c>
      <c r="BC181" s="166">
        <v>-16654</v>
      </c>
      <c r="BD181" s="166">
        <v>-349229</v>
      </c>
      <c r="BE181" s="166">
        <v>1347034</v>
      </c>
      <c r="BF181" s="166"/>
      <c r="BG181" s="760">
        <v>8697725</v>
      </c>
      <c r="BH181" s="760">
        <v>0</v>
      </c>
      <c r="BI181" s="815">
        <v>7621432</v>
      </c>
      <c r="BJ181" s="1044" t="s">
        <v>2454</v>
      </c>
      <c r="BK181" s="1044" t="s">
        <v>2478</v>
      </c>
      <c r="BL181" s="1044" t="s">
        <v>2638</v>
      </c>
      <c r="BM181" s="650"/>
      <c r="BN181" s="746" t="s">
        <v>236</v>
      </c>
      <c r="BO181" s="142" t="b">
        <v>1</v>
      </c>
      <c r="BP181" s="544"/>
      <c r="BQ181" s="544"/>
      <c r="BR181" s="544"/>
      <c r="BS181" s="544"/>
      <c r="BT181" s="544"/>
      <c r="BU181" s="544"/>
      <c r="BV181" s="544"/>
      <c r="BW181" s="544"/>
      <c r="BX181" s="544"/>
      <c r="BY181" s="544"/>
      <c r="BZ181" s="544"/>
      <c r="CA181" s="544"/>
      <c r="CB181" s="544"/>
      <c r="CC181" s="544"/>
      <c r="CD181" s="544"/>
      <c r="CE181" s="544"/>
      <c r="CF181" s="544"/>
      <c r="CG181" s="544"/>
      <c r="CH181" s="544"/>
      <c r="CI181" s="544"/>
      <c r="CJ181" s="544"/>
      <c r="CK181" s="544"/>
      <c r="CL181" s="544"/>
      <c r="CM181" s="544"/>
      <c r="CN181" s="544"/>
      <c r="CO181" s="544"/>
      <c r="CP181" s="544"/>
      <c r="CQ181" s="544"/>
      <c r="CR181" s="544"/>
      <c r="CS181" s="544"/>
    </row>
    <row r="182" spans="1:98" s="142" customFormat="1" ht="12.75" x14ac:dyDescent="0.2">
      <c r="A182" s="735">
        <v>175</v>
      </c>
      <c r="B182" s="732" t="s">
        <v>248</v>
      </c>
      <c r="C182" s="738" t="s">
        <v>249</v>
      </c>
      <c r="D182" s="905">
        <v>167586.69725531599</v>
      </c>
      <c r="E182" s="905">
        <v>211876695</v>
      </c>
      <c r="F182" s="905">
        <v>3585</v>
      </c>
      <c r="G182" s="166">
        <v>111509524</v>
      </c>
      <c r="H182" s="166">
        <v>-3672805</v>
      </c>
      <c r="I182" s="166">
        <v>2299612</v>
      </c>
      <c r="J182" s="166">
        <v>-1373193</v>
      </c>
      <c r="K182" s="166">
        <v>-2023527</v>
      </c>
      <c r="L182" s="166">
        <v>-25304</v>
      </c>
      <c r="M182" s="166">
        <v>-6630</v>
      </c>
      <c r="N182" s="166">
        <v>-5510</v>
      </c>
      <c r="O182" s="166">
        <v>0</v>
      </c>
      <c r="P182" s="166">
        <v>-801124</v>
      </c>
      <c r="Q182" s="166">
        <v>-86851</v>
      </c>
      <c r="R182" s="166">
        <v>-60199</v>
      </c>
      <c r="S182" s="166">
        <v>-1592</v>
      </c>
      <c r="T182" s="166"/>
      <c r="U182" s="166">
        <v>0</v>
      </c>
      <c r="V182" s="166">
        <v>0</v>
      </c>
      <c r="W182" s="166">
        <v>0</v>
      </c>
      <c r="X182" s="166">
        <v>0</v>
      </c>
      <c r="Y182" s="166">
        <v>-3315</v>
      </c>
      <c r="Z182" s="166">
        <v>97565583</v>
      </c>
      <c r="AA182" s="166">
        <v>-2032593</v>
      </c>
      <c r="AB182" s="166"/>
      <c r="AC182" s="166">
        <v>-1780550</v>
      </c>
      <c r="AD182" s="166">
        <v>131</v>
      </c>
      <c r="AE182" s="166">
        <v>8</v>
      </c>
      <c r="AF182" s="166">
        <v>4</v>
      </c>
      <c r="AG182" s="166"/>
      <c r="AH182" s="166">
        <v>3</v>
      </c>
      <c r="AI182" s="166">
        <v>0</v>
      </c>
      <c r="AJ182" s="166">
        <v>171</v>
      </c>
      <c r="AK182" s="166">
        <v>78</v>
      </c>
      <c r="AL182" s="166">
        <v>8</v>
      </c>
      <c r="AM182" s="166">
        <v>4</v>
      </c>
      <c r="AN182" s="166">
        <v>0</v>
      </c>
      <c r="AO182" s="166">
        <v>3</v>
      </c>
      <c r="AP182" s="166">
        <v>0</v>
      </c>
      <c r="AQ182" s="166">
        <v>0</v>
      </c>
      <c r="AR182" s="166">
        <v>216</v>
      </c>
      <c r="AS182" s="166">
        <v>901</v>
      </c>
      <c r="AT182" s="166">
        <v>1452</v>
      </c>
      <c r="AU182" s="166">
        <v>1346</v>
      </c>
      <c r="AV182" s="166">
        <v>106</v>
      </c>
      <c r="AW182" s="166">
        <v>1235</v>
      </c>
      <c r="AX182" s="166">
        <v>-14324</v>
      </c>
      <c r="AY182" s="166">
        <v>-379523</v>
      </c>
      <c r="AZ182" s="166">
        <v>0</v>
      </c>
      <c r="BA182" s="166">
        <v>-1697</v>
      </c>
      <c r="BB182" s="166">
        <v>-391910</v>
      </c>
      <c r="BC182" s="166">
        <v>-13670</v>
      </c>
      <c r="BD182" s="166">
        <v>-407961</v>
      </c>
      <c r="BE182" s="166">
        <v>3846138</v>
      </c>
      <c r="BF182" s="166"/>
      <c r="BG182" s="760">
        <v>15721150</v>
      </c>
      <c r="BH182" s="760">
        <v>0</v>
      </c>
      <c r="BI182" s="815">
        <v>4942213</v>
      </c>
      <c r="BJ182" s="1044" t="s">
        <v>2454</v>
      </c>
      <c r="BK182" s="1044" t="s">
        <v>2457</v>
      </c>
      <c r="BL182" s="1044" t="s">
        <v>2639</v>
      </c>
      <c r="BM182" s="650"/>
      <c r="BN182" s="746" t="s">
        <v>249</v>
      </c>
      <c r="BO182" s="142" t="b">
        <v>1</v>
      </c>
      <c r="BP182" s="544"/>
      <c r="BQ182" s="544"/>
      <c r="BR182" s="544"/>
      <c r="BS182" s="544"/>
      <c r="BT182" s="544"/>
      <c r="BU182" s="544"/>
      <c r="BV182" s="544"/>
      <c r="BW182" s="544"/>
      <c r="BX182" s="544"/>
      <c r="BY182" s="544"/>
      <c r="BZ182" s="544"/>
      <c r="CA182" s="544"/>
      <c r="CB182" s="544"/>
      <c r="CC182" s="544"/>
      <c r="CD182" s="544"/>
      <c r="CE182" s="544"/>
      <c r="CF182" s="544"/>
      <c r="CG182" s="544"/>
      <c r="CH182" s="544"/>
      <c r="CI182" s="544"/>
      <c r="CJ182" s="544"/>
      <c r="CK182" s="544"/>
      <c r="CL182" s="544"/>
      <c r="CM182" s="544"/>
      <c r="CN182" s="544"/>
      <c r="CO182" s="544"/>
      <c r="CP182" s="544"/>
      <c r="CQ182" s="544"/>
      <c r="CR182" s="544"/>
      <c r="CS182" s="544"/>
    </row>
    <row r="183" spans="1:98" s="142" customFormat="1" ht="12.75" hidden="1" x14ac:dyDescent="0.2">
      <c r="A183" s="735">
        <v>176</v>
      </c>
      <c r="B183" s="906" t="s">
        <v>633</v>
      </c>
      <c r="C183" s="907" t="s">
        <v>2430</v>
      </c>
      <c r="D183" s="905">
        <v>1189637.3481101601</v>
      </c>
      <c r="E183" s="905">
        <v>610220666</v>
      </c>
      <c r="F183" s="905">
        <v>33525</v>
      </c>
      <c r="G183" s="166">
        <v>302758808</v>
      </c>
      <c r="H183" s="166">
        <v>-37055874</v>
      </c>
      <c r="I183" s="166">
        <v>4275449</v>
      </c>
      <c r="J183" s="166">
        <v>-32780425</v>
      </c>
      <c r="K183" s="166">
        <v>-14116369</v>
      </c>
      <c r="L183" s="166">
        <v>-533925</v>
      </c>
      <c r="M183" s="166">
        <v>-468408</v>
      </c>
      <c r="N183" s="166">
        <v>-118474</v>
      </c>
      <c r="O183" s="166">
        <v>-22000</v>
      </c>
      <c r="P183" s="166">
        <v>-6194491</v>
      </c>
      <c r="Q183" s="166">
        <v>-705081</v>
      </c>
      <c r="R183" s="166">
        <v>-227519</v>
      </c>
      <c r="S183" s="166">
        <v>-12295</v>
      </c>
      <c r="T183" s="166"/>
      <c r="U183" s="166">
        <v>-3373</v>
      </c>
      <c r="V183" s="166">
        <v>0</v>
      </c>
      <c r="W183" s="166">
        <v>0</v>
      </c>
      <c r="X183" s="166">
        <v>0</v>
      </c>
      <c r="Y183" s="166">
        <v>-211136</v>
      </c>
      <c r="Z183" s="166">
        <v>202551575</v>
      </c>
      <c r="AA183" s="166">
        <v>-8584129</v>
      </c>
      <c r="AB183" s="166"/>
      <c r="AC183" s="166">
        <v>-31307539</v>
      </c>
      <c r="AD183" s="166">
        <v>1511</v>
      </c>
      <c r="AE183" s="166">
        <v>109</v>
      </c>
      <c r="AF183" s="166">
        <v>170</v>
      </c>
      <c r="AG183" s="166"/>
      <c r="AH183" s="166">
        <v>75</v>
      </c>
      <c r="AI183" s="166">
        <v>3</v>
      </c>
      <c r="AJ183" s="166">
        <v>3012</v>
      </c>
      <c r="AK183" s="166">
        <v>648</v>
      </c>
      <c r="AL183" s="166">
        <v>98</v>
      </c>
      <c r="AM183" s="166">
        <v>58</v>
      </c>
      <c r="AN183" s="166">
        <v>2</v>
      </c>
      <c r="AO183" s="166">
        <v>20</v>
      </c>
      <c r="AP183" s="166">
        <v>1</v>
      </c>
      <c r="AQ183" s="166">
        <v>0</v>
      </c>
      <c r="AR183" s="166">
        <v>5047</v>
      </c>
      <c r="AS183" s="166">
        <v>7537</v>
      </c>
      <c r="AT183" s="166">
        <v>16779</v>
      </c>
      <c r="AU183" s="166">
        <v>16036</v>
      </c>
      <c r="AV183" s="166">
        <v>743</v>
      </c>
      <c r="AW183" s="166">
        <v>9284</v>
      </c>
      <c r="AX183" s="166">
        <v>-452421</v>
      </c>
      <c r="AY183" s="166">
        <v>-2030717</v>
      </c>
      <c r="AZ183" s="166">
        <v>0</v>
      </c>
      <c r="BA183" s="166">
        <v>-105472</v>
      </c>
      <c r="BB183" s="166">
        <v>-3329402</v>
      </c>
      <c r="BC183" s="166">
        <v>-276479</v>
      </c>
      <c r="BD183" s="166">
        <v>-1383000</v>
      </c>
      <c r="BE183" s="166">
        <v>-6762071</v>
      </c>
      <c r="BF183" s="166"/>
      <c r="BG183" s="760">
        <v>88605685</v>
      </c>
      <c r="BH183" s="760">
        <v>0</v>
      </c>
      <c r="BI183" s="815">
        <v>-1074659</v>
      </c>
      <c r="BJ183" s="1044" t="s">
        <v>515</v>
      </c>
      <c r="BK183" s="1044" t="s">
        <v>2469</v>
      </c>
      <c r="BL183" s="1044" t="s">
        <v>2760</v>
      </c>
      <c r="BM183" s="650"/>
      <c r="BN183" s="746"/>
      <c r="BP183" s="544"/>
      <c r="BQ183" s="544"/>
      <c r="BR183" s="544"/>
      <c r="BS183" s="544"/>
      <c r="BT183" s="544"/>
      <c r="BU183" s="544"/>
      <c r="BV183" s="544"/>
      <c r="BW183" s="544"/>
      <c r="BX183" s="544"/>
      <c r="BY183" s="544"/>
      <c r="BZ183" s="544"/>
      <c r="CA183" s="544"/>
      <c r="CB183" s="544"/>
      <c r="CC183" s="544"/>
      <c r="CD183" s="544"/>
      <c r="CE183" s="544"/>
      <c r="CF183" s="544"/>
      <c r="CG183" s="544"/>
      <c r="CH183" s="544"/>
      <c r="CI183" s="544"/>
      <c r="CJ183" s="544"/>
      <c r="CK183" s="544"/>
      <c r="CL183" s="544"/>
      <c r="CM183" s="544"/>
      <c r="CN183" s="544"/>
      <c r="CO183" s="544"/>
      <c r="CP183" s="544"/>
      <c r="CQ183" s="544"/>
      <c r="CR183" s="544"/>
      <c r="CS183" s="544"/>
    </row>
    <row r="184" spans="1:98" s="142" customFormat="1" ht="12.75" hidden="1" x14ac:dyDescent="0.2">
      <c r="A184" s="735">
        <v>177</v>
      </c>
      <c r="B184" s="732" t="s">
        <v>250</v>
      </c>
      <c r="C184" s="738" t="s">
        <v>251</v>
      </c>
      <c r="D184" s="905">
        <v>509426.92538341001</v>
      </c>
      <c r="E184" s="905">
        <v>259215840</v>
      </c>
      <c r="F184" s="905">
        <v>14375</v>
      </c>
      <c r="G184" s="166">
        <v>127377616</v>
      </c>
      <c r="H184" s="166">
        <v>-14293910</v>
      </c>
      <c r="I184" s="166">
        <v>2115405</v>
      </c>
      <c r="J184" s="166">
        <v>-12178505</v>
      </c>
      <c r="K184" s="166">
        <v>-8423143</v>
      </c>
      <c r="L184" s="166">
        <v>-167183</v>
      </c>
      <c r="M184" s="166">
        <v>-131538</v>
      </c>
      <c r="N184" s="166">
        <v>-61742</v>
      </c>
      <c r="O184" s="166">
        <v>-100000</v>
      </c>
      <c r="P184" s="166">
        <v>-2985474</v>
      </c>
      <c r="Q184" s="166">
        <v>-577213</v>
      </c>
      <c r="R184" s="166">
        <v>-570018</v>
      </c>
      <c r="S184" s="166">
        <v>-21371</v>
      </c>
      <c r="T184" s="166"/>
      <c r="U184" s="166">
        <v>-22555</v>
      </c>
      <c r="V184" s="166">
        <v>-524013</v>
      </c>
      <c r="W184" s="166">
        <v>-24013</v>
      </c>
      <c r="X184" s="166">
        <v>0</v>
      </c>
      <c r="Y184" s="166">
        <v>-65769</v>
      </c>
      <c r="Z184" s="166">
        <v>80772439</v>
      </c>
      <c r="AA184" s="166">
        <v>-4118674</v>
      </c>
      <c r="AB184" s="166"/>
      <c r="AC184" s="166">
        <v>-11617031</v>
      </c>
      <c r="AD184" s="166">
        <v>782</v>
      </c>
      <c r="AE184" s="166">
        <v>53</v>
      </c>
      <c r="AF184" s="166">
        <v>61</v>
      </c>
      <c r="AG184" s="166"/>
      <c r="AH184" s="166">
        <v>43</v>
      </c>
      <c r="AI184" s="166">
        <v>0</v>
      </c>
      <c r="AJ184" s="166">
        <v>1004</v>
      </c>
      <c r="AK184" s="166">
        <v>420</v>
      </c>
      <c r="AL184" s="166">
        <v>78</v>
      </c>
      <c r="AM184" s="166">
        <v>0</v>
      </c>
      <c r="AN184" s="166">
        <v>4</v>
      </c>
      <c r="AO184" s="166">
        <v>24</v>
      </c>
      <c r="AP184" s="166">
        <v>8</v>
      </c>
      <c r="AQ184" s="166">
        <v>0</v>
      </c>
      <c r="AR184" s="166">
        <v>2159</v>
      </c>
      <c r="AS184" s="166">
        <v>2683</v>
      </c>
      <c r="AT184" s="166">
        <v>6708</v>
      </c>
      <c r="AU184" s="166">
        <v>6410</v>
      </c>
      <c r="AV184" s="166">
        <v>298</v>
      </c>
      <c r="AW184" s="166">
        <v>4981</v>
      </c>
      <c r="AX184" s="166">
        <v>-206727</v>
      </c>
      <c r="AY184" s="166">
        <v>-1087290</v>
      </c>
      <c r="AZ184" s="166">
        <v>0</v>
      </c>
      <c r="BA184" s="166">
        <v>-51548</v>
      </c>
      <c r="BB184" s="166">
        <v>-1017215</v>
      </c>
      <c r="BC184" s="166">
        <v>-622694</v>
      </c>
      <c r="BD184" s="166">
        <v>-685907</v>
      </c>
      <c r="BE184" s="166">
        <v>-3887382</v>
      </c>
      <c r="BF184" s="166"/>
      <c r="BG184" s="760">
        <v>36146950</v>
      </c>
      <c r="BH184" s="760">
        <v>84500</v>
      </c>
      <c r="BI184" s="815">
        <v>4331823</v>
      </c>
      <c r="BJ184" s="1044" t="s">
        <v>515</v>
      </c>
      <c r="BK184" s="1044" t="s">
        <v>867</v>
      </c>
      <c r="BL184" s="1044" t="s">
        <v>2640</v>
      </c>
      <c r="BM184" s="650"/>
      <c r="BN184" s="746" t="s">
        <v>251</v>
      </c>
      <c r="BO184" s="142" t="b">
        <v>1</v>
      </c>
      <c r="BP184" s="544"/>
      <c r="BQ184" s="544"/>
      <c r="BR184" s="544"/>
      <c r="BS184" s="544"/>
      <c r="BT184" s="544"/>
      <c r="BU184" s="544"/>
      <c r="BV184" s="544"/>
      <c r="BW184" s="544"/>
      <c r="BX184" s="544"/>
      <c r="BY184" s="544"/>
      <c r="BZ184" s="544"/>
      <c r="CA184" s="544"/>
      <c r="CB184" s="544"/>
      <c r="CC184" s="544"/>
      <c r="CD184" s="544"/>
      <c r="CE184" s="544"/>
      <c r="CF184" s="544"/>
      <c r="CG184" s="544"/>
      <c r="CH184" s="544"/>
      <c r="CI184" s="544"/>
      <c r="CJ184" s="544"/>
      <c r="CK184" s="544"/>
      <c r="CL184" s="544"/>
      <c r="CM184" s="544"/>
      <c r="CN184" s="544"/>
      <c r="CO184" s="544"/>
      <c r="CP184" s="544"/>
      <c r="CQ184" s="544"/>
      <c r="CR184" s="544"/>
      <c r="CS184" s="544"/>
    </row>
    <row r="185" spans="1:98" s="142" customFormat="1" ht="12.75" x14ac:dyDescent="0.2">
      <c r="A185" s="735">
        <v>178</v>
      </c>
      <c r="B185" s="732" t="s">
        <v>252</v>
      </c>
      <c r="C185" s="738" t="s">
        <v>253</v>
      </c>
      <c r="D185" s="905">
        <v>262385.62936442398</v>
      </c>
      <c r="E185" s="905">
        <v>187960817</v>
      </c>
      <c r="F185" s="905">
        <v>6912</v>
      </c>
      <c r="G185" s="166">
        <v>93665900</v>
      </c>
      <c r="H185" s="166">
        <v>-5937014</v>
      </c>
      <c r="I185" s="166">
        <v>1775192</v>
      </c>
      <c r="J185" s="166">
        <v>-4161822</v>
      </c>
      <c r="K185" s="166">
        <v>-7703306</v>
      </c>
      <c r="L185" s="166">
        <v>-24000</v>
      </c>
      <c r="M185" s="166">
        <v>0</v>
      </c>
      <c r="N185" s="166">
        <v>-6196</v>
      </c>
      <c r="O185" s="166">
        <v>-100000</v>
      </c>
      <c r="P185" s="166">
        <v>-4572586</v>
      </c>
      <c r="Q185" s="166">
        <v>-125000</v>
      </c>
      <c r="R185" s="166">
        <v>-50000</v>
      </c>
      <c r="S185" s="166">
        <v>0</v>
      </c>
      <c r="T185" s="166"/>
      <c r="U185" s="166">
        <v>0</v>
      </c>
      <c r="V185" s="166">
        <v>0</v>
      </c>
      <c r="W185" s="166">
        <v>0</v>
      </c>
      <c r="X185" s="166">
        <v>0</v>
      </c>
      <c r="Y185" s="166">
        <v>0</v>
      </c>
      <c r="Z185" s="166">
        <v>61394933</v>
      </c>
      <c r="AA185" s="166">
        <v>-2537700</v>
      </c>
      <c r="AB185" s="166"/>
      <c r="AC185" s="166">
        <v>-12269090</v>
      </c>
      <c r="AD185" s="166">
        <v>364</v>
      </c>
      <c r="AE185" s="166">
        <v>3</v>
      </c>
      <c r="AF185" s="166">
        <v>0</v>
      </c>
      <c r="AG185" s="166"/>
      <c r="AH185" s="166">
        <v>4</v>
      </c>
      <c r="AI185" s="166">
        <v>0</v>
      </c>
      <c r="AJ185" s="166">
        <v>1061</v>
      </c>
      <c r="AK185" s="166">
        <v>80</v>
      </c>
      <c r="AL185" s="166">
        <v>7</v>
      </c>
      <c r="AM185" s="166">
        <v>0</v>
      </c>
      <c r="AN185" s="166">
        <v>0</v>
      </c>
      <c r="AO185" s="166">
        <v>0</v>
      </c>
      <c r="AP185" s="166">
        <v>0</v>
      </c>
      <c r="AQ185" s="166">
        <v>0</v>
      </c>
      <c r="AR185" s="166">
        <v>1313</v>
      </c>
      <c r="AS185" s="166">
        <v>2371</v>
      </c>
      <c r="AT185" s="166">
        <v>2265</v>
      </c>
      <c r="AU185" s="166">
        <v>2083</v>
      </c>
      <c r="AV185" s="166">
        <v>182</v>
      </c>
      <c r="AW185" s="166">
        <v>2328</v>
      </c>
      <c r="AX185" s="166">
        <v>-462411</v>
      </c>
      <c r="AY185" s="166">
        <v>-1159995</v>
      </c>
      <c r="AZ185" s="166">
        <v>0</v>
      </c>
      <c r="BA185" s="166">
        <v>-28031</v>
      </c>
      <c r="BB185" s="166">
        <v>-1829860</v>
      </c>
      <c r="BC185" s="166">
        <v>-1092289</v>
      </c>
      <c r="BD185" s="166">
        <v>-20000</v>
      </c>
      <c r="BE185" s="166">
        <v>10877700</v>
      </c>
      <c r="BF185" s="166"/>
      <c r="BG185" s="760">
        <v>28332225</v>
      </c>
      <c r="BH185" s="760">
        <v>0</v>
      </c>
      <c r="BI185" s="815">
        <v>12338523</v>
      </c>
      <c r="BJ185" s="1044" t="s">
        <v>2454</v>
      </c>
      <c r="BK185" s="1044" t="s">
        <v>2462</v>
      </c>
      <c r="BL185" s="1044" t="s">
        <v>2641</v>
      </c>
      <c r="BM185" s="650"/>
      <c r="BN185" s="746" t="s">
        <v>253</v>
      </c>
      <c r="BO185" s="142" t="b">
        <v>1</v>
      </c>
      <c r="BP185" s="544"/>
      <c r="BQ185" s="544"/>
      <c r="BR185" s="544"/>
      <c r="BS185" s="544"/>
      <c r="BT185" s="544"/>
      <c r="BU185" s="544"/>
      <c r="BV185" s="544"/>
      <c r="BW185" s="544"/>
      <c r="BX185" s="544"/>
      <c r="BY185" s="544"/>
      <c r="BZ185" s="544"/>
      <c r="CA185" s="544"/>
      <c r="CB185" s="544"/>
      <c r="CC185" s="544"/>
      <c r="CD185" s="544"/>
      <c r="CE185" s="544"/>
      <c r="CF185" s="544"/>
      <c r="CG185" s="544"/>
      <c r="CH185" s="544"/>
      <c r="CI185" s="544"/>
      <c r="CJ185" s="544"/>
      <c r="CK185" s="544"/>
      <c r="CL185" s="544"/>
      <c r="CM185" s="544"/>
      <c r="CN185" s="544"/>
      <c r="CO185" s="544"/>
      <c r="CP185" s="544"/>
      <c r="CQ185" s="544"/>
      <c r="CR185" s="544"/>
      <c r="CS185" s="544"/>
    </row>
    <row r="186" spans="1:98" s="142" customFormat="1" ht="12.75" hidden="1" x14ac:dyDescent="0.2">
      <c r="A186" s="735">
        <v>179</v>
      </c>
      <c r="B186" s="732" t="s">
        <v>636</v>
      </c>
      <c r="C186" s="738" t="s">
        <v>255</v>
      </c>
      <c r="D186" s="905">
        <v>456738.57819725998</v>
      </c>
      <c r="E186" s="905">
        <v>347508815</v>
      </c>
      <c r="F186" s="905">
        <v>11669</v>
      </c>
      <c r="G186" s="166">
        <v>169713344</v>
      </c>
      <c r="H186" s="166">
        <v>-10254010</v>
      </c>
      <c r="I186" s="166">
        <v>3523890</v>
      </c>
      <c r="J186" s="166">
        <v>-6730120</v>
      </c>
      <c r="K186" s="166">
        <v>-17604292</v>
      </c>
      <c r="L186" s="166">
        <v>-74155</v>
      </c>
      <c r="M186" s="166">
        <v>0</v>
      </c>
      <c r="N186" s="166">
        <v>0</v>
      </c>
      <c r="O186" s="166">
        <v>-200000</v>
      </c>
      <c r="P186" s="166">
        <v>-5708601</v>
      </c>
      <c r="Q186" s="166">
        <v>-149440</v>
      </c>
      <c r="R186" s="166">
        <v>-199409</v>
      </c>
      <c r="S186" s="166">
        <v>-870</v>
      </c>
      <c r="T186" s="166"/>
      <c r="U186" s="166">
        <v>0</v>
      </c>
      <c r="V186" s="166">
        <v>0</v>
      </c>
      <c r="W186" s="166">
        <v>0</v>
      </c>
      <c r="X186" s="166">
        <v>0</v>
      </c>
      <c r="Y186" s="166">
        <v>0</v>
      </c>
      <c r="Z186" s="166">
        <v>116433997</v>
      </c>
      <c r="AA186" s="166">
        <v>-4000000</v>
      </c>
      <c r="AB186" s="166"/>
      <c r="AC186" s="166">
        <v>-15826369</v>
      </c>
      <c r="AD186" s="166">
        <v>624</v>
      </c>
      <c r="AE186" s="166">
        <v>10</v>
      </c>
      <c r="AF186" s="166">
        <v>0</v>
      </c>
      <c r="AG186" s="166"/>
      <c r="AH186" s="166">
        <v>0</v>
      </c>
      <c r="AI186" s="166">
        <v>5</v>
      </c>
      <c r="AJ186" s="166">
        <v>2577</v>
      </c>
      <c r="AK186" s="166">
        <v>135</v>
      </c>
      <c r="AL186" s="166">
        <v>56</v>
      </c>
      <c r="AM186" s="166">
        <v>0</v>
      </c>
      <c r="AN186" s="166">
        <v>0</v>
      </c>
      <c r="AO186" s="166">
        <v>1</v>
      </c>
      <c r="AP186" s="166">
        <v>0</v>
      </c>
      <c r="AQ186" s="166">
        <v>0</v>
      </c>
      <c r="AR186" s="166">
        <v>1607</v>
      </c>
      <c r="AS186" s="166">
        <v>3750</v>
      </c>
      <c r="AT186" s="166">
        <v>3689</v>
      </c>
      <c r="AU186" s="166">
        <v>3463</v>
      </c>
      <c r="AV186" s="166">
        <v>226</v>
      </c>
      <c r="AW186" s="166">
        <v>4263</v>
      </c>
      <c r="AX186" s="166">
        <v>0</v>
      </c>
      <c r="AY186" s="166">
        <v>-1881459</v>
      </c>
      <c r="AZ186" s="166">
        <v>0</v>
      </c>
      <c r="BA186" s="166">
        <v>-269592</v>
      </c>
      <c r="BB186" s="166">
        <v>-3557550</v>
      </c>
      <c r="BC186" s="166">
        <v>0</v>
      </c>
      <c r="BD186" s="166">
        <v>-500000</v>
      </c>
      <c r="BE186" s="166">
        <v>-6280286</v>
      </c>
      <c r="BF186" s="166"/>
      <c r="BG186" s="760">
        <v>37715900</v>
      </c>
      <c r="BH186" s="760">
        <v>3135750</v>
      </c>
      <c r="BI186" s="815">
        <v>-1043768</v>
      </c>
      <c r="BJ186" s="1044" t="s">
        <v>515</v>
      </c>
      <c r="BK186" s="1044" t="s">
        <v>2457</v>
      </c>
      <c r="BL186" s="1044" t="s">
        <v>2642</v>
      </c>
      <c r="BM186" s="650"/>
      <c r="BN186" s="746" t="s">
        <v>255</v>
      </c>
      <c r="BO186" s="142" t="b">
        <v>1</v>
      </c>
      <c r="BP186" s="544"/>
      <c r="BQ186" s="544"/>
      <c r="BR186" s="544"/>
      <c r="BS186" s="544"/>
      <c r="BT186" s="544"/>
      <c r="BU186" s="544"/>
      <c r="BV186" s="544"/>
      <c r="BW186" s="544"/>
      <c r="BX186" s="544"/>
      <c r="BY186" s="544"/>
      <c r="BZ186" s="544"/>
      <c r="CA186" s="544"/>
      <c r="CB186" s="544"/>
      <c r="CC186" s="544"/>
      <c r="CD186" s="544"/>
      <c r="CE186" s="544"/>
      <c r="CF186" s="544"/>
      <c r="CG186" s="544"/>
      <c r="CH186" s="544"/>
      <c r="CI186" s="544"/>
      <c r="CJ186" s="544"/>
      <c r="CK186" s="544"/>
      <c r="CL186" s="544"/>
      <c r="CM186" s="544"/>
      <c r="CN186" s="544"/>
      <c r="CO186" s="544"/>
      <c r="CP186" s="544"/>
      <c r="CQ186" s="544"/>
      <c r="CR186" s="544"/>
      <c r="CS186" s="544"/>
    </row>
    <row r="187" spans="1:98" s="142" customFormat="1" ht="12.75" x14ac:dyDescent="0.2">
      <c r="A187" s="735">
        <v>180</v>
      </c>
      <c r="B187" s="732" t="s">
        <v>256</v>
      </c>
      <c r="C187" s="738" t="s">
        <v>257</v>
      </c>
      <c r="D187" s="905">
        <v>128177.10141663101</v>
      </c>
      <c r="E187" s="905">
        <v>97999165</v>
      </c>
      <c r="F187" s="905">
        <v>3233</v>
      </c>
      <c r="G187" s="166">
        <v>49769971</v>
      </c>
      <c r="H187" s="166">
        <v>-3223770</v>
      </c>
      <c r="I187" s="166">
        <v>884090</v>
      </c>
      <c r="J187" s="166">
        <v>-2339680</v>
      </c>
      <c r="K187" s="166">
        <v>-2516299</v>
      </c>
      <c r="L187" s="166">
        <v>-17814</v>
      </c>
      <c r="M187" s="166">
        <v>0</v>
      </c>
      <c r="N187" s="166">
        <v>-1459</v>
      </c>
      <c r="O187" s="166">
        <v>0</v>
      </c>
      <c r="P187" s="166">
        <v>-634914</v>
      </c>
      <c r="Q187" s="166">
        <v>-11357</v>
      </c>
      <c r="R187" s="166">
        <v>-17465</v>
      </c>
      <c r="S187" s="166">
        <v>0</v>
      </c>
      <c r="T187" s="166"/>
      <c r="U187" s="166">
        <v>0</v>
      </c>
      <c r="V187" s="166">
        <v>0</v>
      </c>
      <c r="W187" s="166">
        <v>0</v>
      </c>
      <c r="X187" s="166">
        <v>0</v>
      </c>
      <c r="Y187" s="166">
        <v>0</v>
      </c>
      <c r="Z187" s="166">
        <v>37110366</v>
      </c>
      <c r="AA187" s="166">
        <v>-1950000</v>
      </c>
      <c r="AB187" s="166"/>
      <c r="AC187" s="166">
        <v>-2577069</v>
      </c>
      <c r="AD187" s="166">
        <v>133</v>
      </c>
      <c r="AE187" s="166">
        <v>3</v>
      </c>
      <c r="AF187" s="166">
        <v>0</v>
      </c>
      <c r="AG187" s="166"/>
      <c r="AH187" s="166">
        <v>1</v>
      </c>
      <c r="AI187" s="166">
        <v>0</v>
      </c>
      <c r="AJ187" s="166">
        <v>170</v>
      </c>
      <c r="AK187" s="166">
        <v>12</v>
      </c>
      <c r="AL187" s="166">
        <v>3</v>
      </c>
      <c r="AM187" s="166">
        <v>0</v>
      </c>
      <c r="AN187" s="166">
        <v>0</v>
      </c>
      <c r="AO187" s="166">
        <v>0</v>
      </c>
      <c r="AP187" s="166">
        <v>0</v>
      </c>
      <c r="AQ187" s="166">
        <v>0</v>
      </c>
      <c r="AR187" s="166">
        <v>348</v>
      </c>
      <c r="AS187" s="166">
        <v>742</v>
      </c>
      <c r="AT187" s="166">
        <v>1210</v>
      </c>
      <c r="AU187" s="166">
        <v>1089</v>
      </c>
      <c r="AV187" s="166">
        <v>121</v>
      </c>
      <c r="AW187" s="166">
        <v>1302</v>
      </c>
      <c r="AX187" s="166">
        <v>-111481</v>
      </c>
      <c r="AY187" s="166">
        <v>0</v>
      </c>
      <c r="AZ187" s="166">
        <v>0</v>
      </c>
      <c r="BA187" s="166">
        <v>0</v>
      </c>
      <c r="BB187" s="166">
        <v>-475245</v>
      </c>
      <c r="BC187" s="166">
        <v>-48187</v>
      </c>
      <c r="BD187" s="166">
        <v>-1525463</v>
      </c>
      <c r="BE187" s="166">
        <v>398247</v>
      </c>
      <c r="BF187" s="166"/>
      <c r="BG187" s="760">
        <v>15801576</v>
      </c>
      <c r="BH187" s="760">
        <v>0</v>
      </c>
      <c r="BI187" s="815">
        <v>3374098</v>
      </c>
      <c r="BJ187" s="1044" t="s">
        <v>2454</v>
      </c>
      <c r="BK187" s="1044" t="s">
        <v>2478</v>
      </c>
      <c r="BL187" s="1044" t="s">
        <v>2643</v>
      </c>
      <c r="BM187" s="650"/>
      <c r="BN187" s="746" t="s">
        <v>257</v>
      </c>
      <c r="BO187" s="142" t="b">
        <v>1</v>
      </c>
      <c r="BP187" s="544"/>
      <c r="BQ187" s="544"/>
      <c r="BR187" s="544"/>
      <c r="BS187" s="544"/>
      <c r="BT187" s="544"/>
      <c r="BU187" s="544"/>
      <c r="BV187" s="544"/>
      <c r="BW187" s="544"/>
      <c r="BX187" s="544"/>
      <c r="BY187" s="544"/>
      <c r="BZ187" s="544"/>
      <c r="CA187" s="544"/>
      <c r="CB187" s="544"/>
      <c r="CC187" s="544"/>
      <c r="CD187" s="544"/>
      <c r="CE187" s="544"/>
      <c r="CF187" s="544"/>
      <c r="CG187" s="544"/>
      <c r="CH187" s="544"/>
      <c r="CI187" s="544"/>
      <c r="CJ187" s="544"/>
      <c r="CK187" s="544"/>
      <c r="CL187" s="544"/>
      <c r="CM187" s="544"/>
      <c r="CN187" s="544"/>
      <c r="CO187" s="544"/>
      <c r="CP187" s="544"/>
      <c r="CQ187" s="544"/>
      <c r="CR187" s="544"/>
      <c r="CS187" s="544"/>
    </row>
    <row r="188" spans="1:98" s="142" customFormat="1" ht="12.75" x14ac:dyDescent="0.2">
      <c r="A188" s="735">
        <v>181</v>
      </c>
      <c r="B188" s="732" t="s">
        <v>258</v>
      </c>
      <c r="C188" s="738" t="s">
        <v>259</v>
      </c>
      <c r="D188" s="905">
        <v>52891.833952546804</v>
      </c>
      <c r="E188" s="905">
        <v>35379750</v>
      </c>
      <c r="F188" s="905">
        <v>1416</v>
      </c>
      <c r="G188" s="166">
        <v>17725285</v>
      </c>
      <c r="H188" s="166">
        <v>-1982092</v>
      </c>
      <c r="I188" s="166">
        <v>288919</v>
      </c>
      <c r="J188" s="166">
        <v>-1693173</v>
      </c>
      <c r="K188" s="166">
        <v>-2149909</v>
      </c>
      <c r="L188" s="166">
        <v>0</v>
      </c>
      <c r="M188" s="166">
        <v>0</v>
      </c>
      <c r="N188" s="166">
        <v>-7236</v>
      </c>
      <c r="O188" s="166">
        <v>0</v>
      </c>
      <c r="P188" s="166">
        <v>-69708</v>
      </c>
      <c r="Q188" s="166">
        <v>-115090</v>
      </c>
      <c r="R188" s="166">
        <v>-14343</v>
      </c>
      <c r="S188" s="166">
        <v>0</v>
      </c>
      <c r="T188" s="166"/>
      <c r="U188" s="166">
        <v>0</v>
      </c>
      <c r="V188" s="166">
        <v>0</v>
      </c>
      <c r="W188" s="166">
        <v>0</v>
      </c>
      <c r="X188" s="166">
        <v>0</v>
      </c>
      <c r="Y188" s="166">
        <v>0</v>
      </c>
      <c r="Z188" s="166">
        <v>12295823</v>
      </c>
      <c r="AA188" s="166">
        <v>-127000</v>
      </c>
      <c r="AB188" s="166"/>
      <c r="AC188" s="166">
        <v>-951249</v>
      </c>
      <c r="AD188" s="166">
        <v>74</v>
      </c>
      <c r="AE188" s="166">
        <v>0</v>
      </c>
      <c r="AF188" s="166">
        <v>0</v>
      </c>
      <c r="AG188" s="166"/>
      <c r="AH188" s="166">
        <v>3</v>
      </c>
      <c r="AI188" s="166">
        <v>0</v>
      </c>
      <c r="AJ188" s="166">
        <v>67</v>
      </c>
      <c r="AK188" s="166">
        <v>45</v>
      </c>
      <c r="AL188" s="166">
        <v>4</v>
      </c>
      <c r="AM188" s="166">
        <v>0</v>
      </c>
      <c r="AN188" s="166">
        <v>0</v>
      </c>
      <c r="AO188" s="166">
        <v>0</v>
      </c>
      <c r="AP188" s="166">
        <v>0</v>
      </c>
      <c r="AQ188" s="166">
        <v>0</v>
      </c>
      <c r="AR188" s="166">
        <v>131</v>
      </c>
      <c r="AS188" s="166">
        <v>259</v>
      </c>
      <c r="AT188" s="166">
        <v>674</v>
      </c>
      <c r="AU188" s="166">
        <v>632</v>
      </c>
      <c r="AV188" s="166">
        <v>42</v>
      </c>
      <c r="AW188" s="166">
        <v>504</v>
      </c>
      <c r="AX188" s="166">
        <v>-42724</v>
      </c>
      <c r="AY188" s="166">
        <v>0</v>
      </c>
      <c r="AZ188" s="166">
        <v>0</v>
      </c>
      <c r="BA188" s="166">
        <v>0</v>
      </c>
      <c r="BB188" s="166">
        <v>-26984</v>
      </c>
      <c r="BC188" s="166">
        <v>0</v>
      </c>
      <c r="BD188" s="166">
        <v>-121982</v>
      </c>
      <c r="BE188" s="166">
        <v>-284715</v>
      </c>
      <c r="BF188" s="166"/>
      <c r="BG188" s="760">
        <v>5543950</v>
      </c>
      <c r="BH188" s="760">
        <v>0</v>
      </c>
      <c r="BI188" s="815">
        <v>-521716</v>
      </c>
      <c r="BJ188" s="1044" t="s">
        <v>2454</v>
      </c>
      <c r="BK188" s="1044" t="s">
        <v>2457</v>
      </c>
      <c r="BL188" s="1044" t="s">
        <v>2644</v>
      </c>
      <c r="BM188" s="650"/>
      <c r="BN188" s="746" t="s">
        <v>259</v>
      </c>
      <c r="BO188" s="142" t="b">
        <v>1</v>
      </c>
      <c r="BP188" s="544"/>
      <c r="BQ188" s="544"/>
      <c r="BR188" s="544"/>
      <c r="BS188" s="544"/>
      <c r="BT188" s="544"/>
      <c r="BU188" s="544"/>
      <c r="BV188" s="544"/>
      <c r="BW188" s="544"/>
      <c r="BX188" s="544"/>
      <c r="BY188" s="544"/>
      <c r="BZ188" s="544"/>
      <c r="CA188" s="544"/>
      <c r="CB188" s="544"/>
      <c r="CC188" s="544"/>
      <c r="CD188" s="544"/>
      <c r="CE188" s="544"/>
      <c r="CF188" s="544"/>
      <c r="CG188" s="544"/>
      <c r="CH188" s="544"/>
      <c r="CI188" s="544"/>
      <c r="CJ188" s="544"/>
      <c r="CK188" s="544"/>
      <c r="CL188" s="544"/>
      <c r="CM188" s="544"/>
      <c r="CN188" s="544"/>
      <c r="CO188" s="544"/>
      <c r="CP188" s="544"/>
      <c r="CQ188" s="544"/>
      <c r="CR188" s="544"/>
      <c r="CS188" s="544"/>
    </row>
    <row r="189" spans="1:98" s="142" customFormat="1" ht="12.75" hidden="1" x14ac:dyDescent="0.2">
      <c r="A189" s="735">
        <v>182</v>
      </c>
      <c r="B189" s="732" t="s">
        <v>260</v>
      </c>
      <c r="C189" s="738" t="s">
        <v>261</v>
      </c>
      <c r="D189" s="905">
        <v>293126.08414748398</v>
      </c>
      <c r="E189" s="905">
        <v>165152728</v>
      </c>
      <c r="F189" s="905">
        <v>7967</v>
      </c>
      <c r="G189" s="166">
        <v>82119114</v>
      </c>
      <c r="H189" s="166">
        <v>-10278669</v>
      </c>
      <c r="I189" s="166">
        <v>1369774</v>
      </c>
      <c r="J189" s="166">
        <v>-8908895</v>
      </c>
      <c r="K189" s="166">
        <v>-7300894</v>
      </c>
      <c r="L189" s="166">
        <v>-134717</v>
      </c>
      <c r="M189" s="166">
        <v>-2052</v>
      </c>
      <c r="N189" s="166">
        <v>-10601</v>
      </c>
      <c r="O189" s="166">
        <v>0</v>
      </c>
      <c r="P189" s="166">
        <v>-1153810</v>
      </c>
      <c r="Q189" s="166">
        <v>-140801</v>
      </c>
      <c r="R189" s="166">
        <v>-21367</v>
      </c>
      <c r="S189" s="166">
        <v>-12209</v>
      </c>
      <c r="T189" s="166"/>
      <c r="U189" s="166">
        <v>0</v>
      </c>
      <c r="V189" s="166">
        <v>0</v>
      </c>
      <c r="W189" s="166">
        <v>0</v>
      </c>
      <c r="X189" s="166">
        <v>0</v>
      </c>
      <c r="Y189" s="166">
        <v>-1026</v>
      </c>
      <c r="Z189" s="166">
        <v>53341796</v>
      </c>
      <c r="AA189" s="166">
        <v>-2080330</v>
      </c>
      <c r="AB189" s="166"/>
      <c r="AC189" s="166">
        <v>-5225673</v>
      </c>
      <c r="AD189" s="166">
        <v>276</v>
      </c>
      <c r="AE189" s="166">
        <v>17</v>
      </c>
      <c r="AF189" s="166">
        <v>1</v>
      </c>
      <c r="AG189" s="166"/>
      <c r="AH189" s="166">
        <v>5</v>
      </c>
      <c r="AI189" s="166">
        <v>0</v>
      </c>
      <c r="AJ189" s="166">
        <v>807</v>
      </c>
      <c r="AK189" s="166">
        <v>44</v>
      </c>
      <c r="AL189" s="166">
        <v>2</v>
      </c>
      <c r="AM189" s="166">
        <v>1</v>
      </c>
      <c r="AN189" s="166">
        <v>0</v>
      </c>
      <c r="AO189" s="166">
        <v>3</v>
      </c>
      <c r="AP189" s="166">
        <v>0</v>
      </c>
      <c r="AQ189" s="166">
        <v>0</v>
      </c>
      <c r="AR189" s="166">
        <v>627</v>
      </c>
      <c r="AS189" s="166">
        <v>1612</v>
      </c>
      <c r="AT189" s="166">
        <v>4084</v>
      </c>
      <c r="AU189" s="166">
        <v>3846</v>
      </c>
      <c r="AV189" s="166">
        <v>238</v>
      </c>
      <c r="AW189" s="166">
        <v>2257</v>
      </c>
      <c r="AX189" s="166">
        <v>-29769</v>
      </c>
      <c r="AY189" s="166">
        <v>-508255</v>
      </c>
      <c r="AZ189" s="166">
        <v>0</v>
      </c>
      <c r="BA189" s="166">
        <v>-65212</v>
      </c>
      <c r="BB189" s="166">
        <v>-534842</v>
      </c>
      <c r="BC189" s="166">
        <v>-15732</v>
      </c>
      <c r="BD189" s="166">
        <v>-1010212</v>
      </c>
      <c r="BE189" s="166">
        <v>4131011</v>
      </c>
      <c r="BF189" s="166"/>
      <c r="BG189" s="760">
        <v>22184250</v>
      </c>
      <c r="BH189" s="760">
        <v>0</v>
      </c>
      <c r="BI189" s="815">
        <v>4126683</v>
      </c>
      <c r="BJ189" s="1044" t="s">
        <v>2468</v>
      </c>
      <c r="BK189" s="1044" t="s">
        <v>2481</v>
      </c>
      <c r="BL189" s="1044" t="s">
        <v>2645</v>
      </c>
      <c r="BM189" s="650"/>
      <c r="BN189" s="746" t="s">
        <v>261</v>
      </c>
      <c r="BO189" s="142" t="b">
        <v>1</v>
      </c>
      <c r="BP189" s="544"/>
      <c r="BQ189" s="544"/>
      <c r="BR189" s="544"/>
      <c r="BS189" s="544"/>
      <c r="BT189" s="544"/>
      <c r="BU189" s="544"/>
      <c r="BV189" s="544"/>
      <c r="BW189" s="544"/>
      <c r="BX189" s="544"/>
      <c r="BY189" s="544"/>
      <c r="BZ189" s="544"/>
      <c r="CA189" s="544"/>
      <c r="CB189" s="544"/>
      <c r="CC189" s="544"/>
      <c r="CD189" s="544"/>
      <c r="CE189" s="544"/>
      <c r="CF189" s="544"/>
      <c r="CG189" s="544"/>
      <c r="CH189" s="544"/>
      <c r="CI189" s="544"/>
      <c r="CJ189" s="544"/>
      <c r="CK189" s="544"/>
      <c r="CL189" s="544"/>
      <c r="CM189" s="544"/>
      <c r="CN189" s="544"/>
      <c r="CO189" s="544"/>
      <c r="CP189" s="544"/>
      <c r="CQ189" s="544"/>
      <c r="CR189" s="544"/>
      <c r="CS189" s="544"/>
    </row>
    <row r="190" spans="1:98" s="142" customFormat="1" ht="12.75" x14ac:dyDescent="0.2">
      <c r="A190" s="735">
        <v>183</v>
      </c>
      <c r="B190" s="732" t="s">
        <v>262</v>
      </c>
      <c r="C190" s="738" t="s">
        <v>263</v>
      </c>
      <c r="D190" s="905">
        <v>232362.256661539</v>
      </c>
      <c r="E190" s="905">
        <v>290576342</v>
      </c>
      <c r="F190" s="905">
        <v>4613</v>
      </c>
      <c r="G190" s="166">
        <v>145224338</v>
      </c>
      <c r="H190" s="166">
        <v>-2225457</v>
      </c>
      <c r="I190" s="166">
        <v>3208135</v>
      </c>
      <c r="J190" s="166">
        <v>982678</v>
      </c>
      <c r="K190" s="166">
        <v>-31570834</v>
      </c>
      <c r="L190" s="166">
        <v>-98710</v>
      </c>
      <c r="M190" s="166">
        <v>0</v>
      </c>
      <c r="N190" s="166">
        <v>-19691</v>
      </c>
      <c r="O190" s="166">
        <v>-100000</v>
      </c>
      <c r="P190" s="166">
        <v>-1718796</v>
      </c>
      <c r="Q190" s="166">
        <v>-7000</v>
      </c>
      <c r="R190" s="166">
        <v>0</v>
      </c>
      <c r="S190" s="166">
        <v>0</v>
      </c>
      <c r="T190" s="166"/>
      <c r="U190" s="166">
        <v>0</v>
      </c>
      <c r="V190" s="166">
        <v>-43000</v>
      </c>
      <c r="W190" s="166">
        <v>0</v>
      </c>
      <c r="X190" s="166">
        <v>0</v>
      </c>
      <c r="Y190" s="166">
        <v>0</v>
      </c>
      <c r="Z190" s="166">
        <v>91785682</v>
      </c>
      <c r="AA190" s="166">
        <v>-4574500</v>
      </c>
      <c r="AB190" s="166"/>
      <c r="AC190" s="166">
        <v>-12101720</v>
      </c>
      <c r="AD190" s="166">
        <v>561</v>
      </c>
      <c r="AE190" s="166">
        <v>13</v>
      </c>
      <c r="AF190" s="166">
        <v>0</v>
      </c>
      <c r="AG190" s="166"/>
      <c r="AH190" s="166">
        <v>12</v>
      </c>
      <c r="AI190" s="166">
        <v>0</v>
      </c>
      <c r="AJ190" s="166">
        <v>232</v>
      </c>
      <c r="AK190" s="166">
        <v>2</v>
      </c>
      <c r="AL190" s="166">
        <v>2</v>
      </c>
      <c r="AM190" s="166">
        <v>0</v>
      </c>
      <c r="AN190" s="166">
        <v>0</v>
      </c>
      <c r="AO190" s="166">
        <v>0</v>
      </c>
      <c r="AP190" s="166">
        <v>0</v>
      </c>
      <c r="AQ190" s="166">
        <v>0</v>
      </c>
      <c r="AR190" s="166">
        <v>1066</v>
      </c>
      <c r="AS190" s="166">
        <v>1325</v>
      </c>
      <c r="AT190" s="166">
        <v>821</v>
      </c>
      <c r="AU190" s="166">
        <v>723</v>
      </c>
      <c r="AV190" s="166">
        <v>98</v>
      </c>
      <c r="AW190" s="166">
        <v>2531</v>
      </c>
      <c r="AX190" s="166">
        <v>-330781</v>
      </c>
      <c r="AY190" s="166">
        <v>-691557</v>
      </c>
      <c r="AZ190" s="166">
        <v>0</v>
      </c>
      <c r="BA190" s="166">
        <v>0</v>
      </c>
      <c r="BB190" s="166">
        <v>-607726</v>
      </c>
      <c r="BC190" s="166">
        <v>-88732</v>
      </c>
      <c r="BD190" s="166">
        <v>0</v>
      </c>
      <c r="BE190" s="166">
        <v>2474456</v>
      </c>
      <c r="BF190" s="166"/>
      <c r="BG190" s="760">
        <v>27639475</v>
      </c>
      <c r="BH190" s="760">
        <v>0</v>
      </c>
      <c r="BI190" s="815">
        <v>10398863</v>
      </c>
      <c r="BJ190" s="1044" t="s">
        <v>2454</v>
      </c>
      <c r="BK190" s="1044" t="s">
        <v>2455</v>
      </c>
      <c r="BL190" s="1044" t="s">
        <v>2646</v>
      </c>
      <c r="BM190" s="650"/>
      <c r="BN190" s="746" t="s">
        <v>263</v>
      </c>
      <c r="BO190" s="142" t="b">
        <v>1</v>
      </c>
      <c r="BP190" s="544"/>
      <c r="BQ190" s="544"/>
      <c r="BR190" s="544"/>
      <c r="BS190" s="544"/>
      <c r="BT190" s="544"/>
      <c r="BU190" s="544"/>
      <c r="BV190" s="544"/>
      <c r="BW190" s="544"/>
      <c r="BX190" s="544"/>
      <c r="BY190" s="544"/>
      <c r="BZ190" s="544"/>
      <c r="CA190" s="544"/>
      <c r="CB190" s="544"/>
      <c r="CC190" s="544"/>
      <c r="CD190" s="544"/>
      <c r="CE190" s="544"/>
      <c r="CF190" s="544"/>
      <c r="CG190" s="544"/>
      <c r="CH190" s="544"/>
      <c r="CI190" s="544"/>
      <c r="CJ190" s="544"/>
      <c r="CK190" s="544"/>
      <c r="CL190" s="544"/>
      <c r="CM190" s="544"/>
      <c r="CN190" s="544"/>
      <c r="CO190" s="544"/>
      <c r="CP190" s="544"/>
      <c r="CQ190" s="544"/>
      <c r="CR190" s="544"/>
      <c r="CS190" s="544"/>
    </row>
    <row r="191" spans="1:98" s="741" customFormat="1" ht="12.75" x14ac:dyDescent="0.2">
      <c r="A191" s="735">
        <v>184</v>
      </c>
      <c r="B191" s="732" t="s">
        <v>264</v>
      </c>
      <c r="C191" s="738" t="s">
        <v>265</v>
      </c>
      <c r="D191" s="905">
        <v>135722.83415671001</v>
      </c>
      <c r="E191" s="905">
        <v>60077242</v>
      </c>
      <c r="F191" s="905">
        <v>3911</v>
      </c>
      <c r="G191" s="166">
        <v>29186001</v>
      </c>
      <c r="H191" s="166">
        <v>-4210815</v>
      </c>
      <c r="I191" s="166">
        <v>467103</v>
      </c>
      <c r="J191" s="166">
        <v>-3743712</v>
      </c>
      <c r="K191" s="166">
        <v>-1762292</v>
      </c>
      <c r="L191" s="166">
        <v>-845</v>
      </c>
      <c r="M191" s="166">
        <v>0</v>
      </c>
      <c r="N191" s="166">
        <v>-7795</v>
      </c>
      <c r="O191" s="166">
        <v>-20000</v>
      </c>
      <c r="P191" s="166">
        <v>-623000</v>
      </c>
      <c r="Q191" s="166">
        <v>-192098</v>
      </c>
      <c r="R191" s="166">
        <v>-61016</v>
      </c>
      <c r="S191" s="166">
        <v>0</v>
      </c>
      <c r="T191" s="166"/>
      <c r="U191" s="166">
        <v>0</v>
      </c>
      <c r="V191" s="166">
        <v>0</v>
      </c>
      <c r="W191" s="166">
        <v>0</v>
      </c>
      <c r="X191" s="166">
        <v>0</v>
      </c>
      <c r="Y191" s="166">
        <v>0</v>
      </c>
      <c r="Z191" s="166">
        <v>18009659</v>
      </c>
      <c r="AA191" s="166">
        <v>-711404</v>
      </c>
      <c r="AB191" s="166"/>
      <c r="AC191" s="166">
        <v>-2012067</v>
      </c>
      <c r="AD191" s="166">
        <v>150</v>
      </c>
      <c r="AE191" s="166">
        <v>1</v>
      </c>
      <c r="AF191" s="166">
        <v>0</v>
      </c>
      <c r="AG191" s="166"/>
      <c r="AH191" s="166">
        <v>7</v>
      </c>
      <c r="AI191" s="166">
        <v>0</v>
      </c>
      <c r="AJ191" s="166">
        <v>517</v>
      </c>
      <c r="AK191" s="166">
        <v>163</v>
      </c>
      <c r="AL191" s="166">
        <v>19</v>
      </c>
      <c r="AM191" s="166">
        <v>0</v>
      </c>
      <c r="AN191" s="166">
        <v>0</v>
      </c>
      <c r="AO191" s="166">
        <v>1</v>
      </c>
      <c r="AP191" s="166">
        <v>0</v>
      </c>
      <c r="AQ191" s="166">
        <v>0</v>
      </c>
      <c r="AR191" s="166">
        <v>248</v>
      </c>
      <c r="AS191" s="166">
        <v>826</v>
      </c>
      <c r="AT191" s="166">
        <v>2142</v>
      </c>
      <c r="AU191" s="166">
        <v>1992</v>
      </c>
      <c r="AV191" s="166">
        <v>150</v>
      </c>
      <c r="AW191" s="166">
        <v>894</v>
      </c>
      <c r="AX191" s="166">
        <v>0</v>
      </c>
      <c r="AY191" s="166">
        <v>-91280</v>
      </c>
      <c r="AZ191" s="166">
        <v>0</v>
      </c>
      <c r="BA191" s="166">
        <v>-70947</v>
      </c>
      <c r="BB191" s="166">
        <v>-460773</v>
      </c>
      <c r="BC191" s="166">
        <v>0</v>
      </c>
      <c r="BD191" s="166">
        <v>-20000</v>
      </c>
      <c r="BE191" s="166">
        <v>-1832334</v>
      </c>
      <c r="BF191" s="166"/>
      <c r="BG191" s="760">
        <v>7212400</v>
      </c>
      <c r="BH191" s="760">
        <v>0</v>
      </c>
      <c r="BI191" s="815">
        <v>593605</v>
      </c>
      <c r="BJ191" s="1044" t="s">
        <v>2454</v>
      </c>
      <c r="BK191" s="1044" t="s">
        <v>2481</v>
      </c>
      <c r="BL191" s="1044" t="s">
        <v>2647</v>
      </c>
      <c r="BM191" s="650"/>
      <c r="BN191" s="746" t="s">
        <v>265</v>
      </c>
      <c r="BO191" s="142" t="b">
        <v>1</v>
      </c>
      <c r="BP191" s="544"/>
      <c r="BQ191" s="544"/>
      <c r="BR191" s="544"/>
      <c r="BS191" s="544"/>
      <c r="BT191" s="544"/>
      <c r="BU191" s="544"/>
      <c r="BV191" s="544"/>
      <c r="BW191" s="544"/>
      <c r="BX191" s="544"/>
      <c r="BY191" s="544"/>
      <c r="BZ191" s="544"/>
      <c r="CA191" s="544"/>
      <c r="CB191" s="544"/>
      <c r="CC191" s="544"/>
      <c r="CD191" s="544"/>
      <c r="CE191" s="544"/>
      <c r="CF191" s="544"/>
      <c r="CG191" s="544"/>
      <c r="CH191" s="544"/>
      <c r="CI191" s="544"/>
      <c r="CJ191" s="544"/>
      <c r="CK191" s="544"/>
      <c r="CL191" s="544"/>
      <c r="CM191" s="544"/>
      <c r="CN191" s="544"/>
      <c r="CO191" s="544"/>
      <c r="CP191" s="544"/>
      <c r="CQ191" s="544"/>
      <c r="CR191" s="544"/>
      <c r="CS191" s="544"/>
      <c r="CT191" s="142"/>
    </row>
    <row r="192" spans="1:98" s="142" customFormat="1" ht="12.75" hidden="1" x14ac:dyDescent="0.2">
      <c r="A192" s="735">
        <v>185</v>
      </c>
      <c r="B192" s="732" t="s">
        <v>536</v>
      </c>
      <c r="C192" s="738" t="s">
        <v>267</v>
      </c>
      <c r="D192" s="905">
        <v>275052.53687740798</v>
      </c>
      <c r="E192" s="905">
        <v>273478346</v>
      </c>
      <c r="F192" s="905">
        <v>6259</v>
      </c>
      <c r="G192" s="166">
        <v>139882448</v>
      </c>
      <c r="H192" s="166">
        <v>-6190099</v>
      </c>
      <c r="I192" s="166">
        <v>2740076</v>
      </c>
      <c r="J192" s="166">
        <v>-3450023</v>
      </c>
      <c r="K192" s="166">
        <v>-7642085</v>
      </c>
      <c r="L192" s="166">
        <v>-65833</v>
      </c>
      <c r="M192" s="166">
        <v>-12960</v>
      </c>
      <c r="N192" s="166">
        <v>0</v>
      </c>
      <c r="O192" s="166">
        <v>0</v>
      </c>
      <c r="P192" s="166">
        <v>-1201479</v>
      </c>
      <c r="Q192" s="166">
        <v>-130299</v>
      </c>
      <c r="R192" s="166">
        <v>0</v>
      </c>
      <c r="S192" s="166">
        <v>-584</v>
      </c>
      <c r="T192" s="166"/>
      <c r="U192" s="166">
        <v>0</v>
      </c>
      <c r="V192" s="166">
        <v>0</v>
      </c>
      <c r="W192" s="166">
        <v>0</v>
      </c>
      <c r="X192" s="166">
        <v>0</v>
      </c>
      <c r="Y192" s="166">
        <v>-6328</v>
      </c>
      <c r="Z192" s="166">
        <v>110302719</v>
      </c>
      <c r="AA192" s="166">
        <v>-4046000</v>
      </c>
      <c r="AB192" s="166"/>
      <c r="AC192" s="166">
        <v>-7810249</v>
      </c>
      <c r="AD192" s="166">
        <v>313</v>
      </c>
      <c r="AE192" s="166">
        <v>8</v>
      </c>
      <c r="AF192" s="166">
        <v>4</v>
      </c>
      <c r="AG192" s="166"/>
      <c r="AH192" s="166">
        <v>0</v>
      </c>
      <c r="AI192" s="166">
        <v>0</v>
      </c>
      <c r="AJ192" s="166">
        <v>243</v>
      </c>
      <c r="AK192" s="166">
        <v>58</v>
      </c>
      <c r="AL192" s="166">
        <v>0</v>
      </c>
      <c r="AM192" s="166">
        <v>1</v>
      </c>
      <c r="AN192" s="166">
        <v>0</v>
      </c>
      <c r="AO192" s="166">
        <v>2</v>
      </c>
      <c r="AP192" s="166">
        <v>0</v>
      </c>
      <c r="AQ192" s="166">
        <v>0</v>
      </c>
      <c r="AR192" s="166">
        <v>917</v>
      </c>
      <c r="AS192" s="166">
        <v>1595</v>
      </c>
      <c r="AT192" s="166">
        <v>2192</v>
      </c>
      <c r="AU192" s="166">
        <v>1957</v>
      </c>
      <c r="AV192" s="166">
        <v>235</v>
      </c>
      <c r="AW192" s="166">
        <v>2479</v>
      </c>
      <c r="AX192" s="166">
        <v>-39315</v>
      </c>
      <c r="AY192" s="166">
        <v>-352837</v>
      </c>
      <c r="AZ192" s="166">
        <v>0</v>
      </c>
      <c r="BA192" s="166">
        <v>-8873</v>
      </c>
      <c r="BB192" s="166">
        <v>0</v>
      </c>
      <c r="BC192" s="166">
        <v>-800454</v>
      </c>
      <c r="BD192" s="166">
        <v>-10937</v>
      </c>
      <c r="BE192" s="166">
        <v>5552392</v>
      </c>
      <c r="BF192" s="166"/>
      <c r="BG192" s="760">
        <v>28476050</v>
      </c>
      <c r="BH192" s="760">
        <v>0</v>
      </c>
      <c r="BI192" s="815">
        <v>1456350</v>
      </c>
      <c r="BJ192" s="1044" t="s">
        <v>515</v>
      </c>
      <c r="BK192" s="1044" t="s">
        <v>2462</v>
      </c>
      <c r="BL192" s="1044" t="s">
        <v>2648</v>
      </c>
      <c r="BM192" s="650"/>
      <c r="BN192" s="746" t="s">
        <v>267</v>
      </c>
      <c r="BO192" s="142" t="b">
        <v>1</v>
      </c>
      <c r="BP192" s="544"/>
      <c r="BQ192" s="544"/>
      <c r="BR192" s="544"/>
      <c r="BS192" s="544"/>
      <c r="BT192" s="544"/>
      <c r="BU192" s="544"/>
      <c r="BV192" s="544"/>
      <c r="BW192" s="544"/>
      <c r="BX192" s="544"/>
      <c r="BY192" s="544"/>
      <c r="BZ192" s="544"/>
      <c r="CA192" s="544"/>
      <c r="CB192" s="544"/>
      <c r="CC192" s="544"/>
      <c r="CD192" s="544"/>
      <c r="CE192" s="544"/>
      <c r="CF192" s="544"/>
      <c r="CG192" s="544"/>
      <c r="CH192" s="544"/>
      <c r="CI192" s="544"/>
      <c r="CJ192" s="544"/>
      <c r="CK192" s="544"/>
      <c r="CL192" s="544"/>
      <c r="CM192" s="544"/>
      <c r="CN192" s="544"/>
      <c r="CO192" s="544"/>
      <c r="CP192" s="544"/>
      <c r="CQ192" s="544"/>
      <c r="CR192" s="544"/>
      <c r="CS192" s="544"/>
    </row>
    <row r="193" spans="1:97" s="142" customFormat="1" ht="12.75" hidden="1" x14ac:dyDescent="0.2">
      <c r="A193" s="735">
        <v>186</v>
      </c>
      <c r="B193" s="732" t="s">
        <v>559</v>
      </c>
      <c r="C193" s="738" t="s">
        <v>269</v>
      </c>
      <c r="D193" s="905">
        <v>310314.614028215</v>
      </c>
      <c r="E193" s="905">
        <v>241616688</v>
      </c>
      <c r="F193" s="905">
        <v>8000</v>
      </c>
      <c r="G193" s="166">
        <v>119076820</v>
      </c>
      <c r="H193" s="166">
        <v>-7736973</v>
      </c>
      <c r="I193" s="166">
        <v>2246905</v>
      </c>
      <c r="J193" s="166">
        <v>-5490068</v>
      </c>
      <c r="K193" s="166">
        <v>-11949404</v>
      </c>
      <c r="L193" s="166">
        <v>-12423</v>
      </c>
      <c r="M193" s="166">
        <v>0</v>
      </c>
      <c r="N193" s="166">
        <v>-45578</v>
      </c>
      <c r="O193" s="166">
        <v>0</v>
      </c>
      <c r="P193" s="166">
        <v>-2341228</v>
      </c>
      <c r="Q193" s="166">
        <v>0</v>
      </c>
      <c r="R193" s="166">
        <v>0</v>
      </c>
      <c r="S193" s="166">
        <v>0</v>
      </c>
      <c r="T193" s="166"/>
      <c r="U193" s="166">
        <v>0</v>
      </c>
      <c r="V193" s="166">
        <v>-118492</v>
      </c>
      <c r="W193" s="166">
        <v>-74839</v>
      </c>
      <c r="X193" s="166">
        <v>0</v>
      </c>
      <c r="Y193" s="166">
        <v>0</v>
      </c>
      <c r="Z193" s="166">
        <v>85237843</v>
      </c>
      <c r="AA193" s="166">
        <v>-3000000</v>
      </c>
      <c r="AB193" s="166"/>
      <c r="AC193" s="166">
        <v>-8249143</v>
      </c>
      <c r="AD193" s="166">
        <v>535</v>
      </c>
      <c r="AE193" s="166">
        <v>6</v>
      </c>
      <c r="AF193" s="166">
        <v>0</v>
      </c>
      <c r="AG193" s="166"/>
      <c r="AH193" s="166">
        <v>18</v>
      </c>
      <c r="AI193" s="166">
        <v>0</v>
      </c>
      <c r="AJ193" s="166">
        <v>672</v>
      </c>
      <c r="AK193" s="166">
        <v>0</v>
      </c>
      <c r="AL193" s="166">
        <v>0</v>
      </c>
      <c r="AM193" s="166">
        <v>0</v>
      </c>
      <c r="AN193" s="166">
        <v>0</v>
      </c>
      <c r="AO193" s="166">
        <v>0</v>
      </c>
      <c r="AP193" s="166">
        <v>13</v>
      </c>
      <c r="AQ193" s="166">
        <v>9</v>
      </c>
      <c r="AR193" s="166">
        <v>1073</v>
      </c>
      <c r="AS193" s="166">
        <v>1865</v>
      </c>
      <c r="AT193" s="166">
        <v>2873</v>
      </c>
      <c r="AU193" s="166">
        <v>2604</v>
      </c>
      <c r="AV193" s="166">
        <v>269</v>
      </c>
      <c r="AW193" s="166">
        <v>3121</v>
      </c>
      <c r="AX193" s="166">
        <v>-234406</v>
      </c>
      <c r="AY193" s="166">
        <v>-1016472</v>
      </c>
      <c r="AZ193" s="166">
        <v>0</v>
      </c>
      <c r="BA193" s="166">
        <v>-20534</v>
      </c>
      <c r="BB193" s="166">
        <v>-1069816</v>
      </c>
      <c r="BC193" s="166">
        <v>0</v>
      </c>
      <c r="BD193" s="166">
        <v>0</v>
      </c>
      <c r="BE193" s="166">
        <v>9495565</v>
      </c>
      <c r="BF193" s="166"/>
      <c r="BG193" s="760">
        <v>29135400</v>
      </c>
      <c r="BH193" s="760">
        <v>0</v>
      </c>
      <c r="BI193" s="815">
        <v>8382942</v>
      </c>
      <c r="BJ193" s="1044" t="s">
        <v>515</v>
      </c>
      <c r="BK193" s="1044" t="s">
        <v>2474</v>
      </c>
      <c r="BL193" s="1044" t="s">
        <v>2649</v>
      </c>
      <c r="BM193" s="650"/>
      <c r="BN193" s="746" t="s">
        <v>269</v>
      </c>
      <c r="BO193" s="142" t="b">
        <v>1</v>
      </c>
      <c r="BP193" s="544"/>
      <c r="BQ193" s="544"/>
      <c r="BR193" s="544"/>
      <c r="BS193" s="544"/>
      <c r="BT193" s="544"/>
      <c r="BU193" s="544"/>
      <c r="BV193" s="544"/>
      <c r="BW193" s="544"/>
      <c r="BX193" s="544"/>
      <c r="BY193" s="544"/>
      <c r="BZ193" s="544"/>
      <c r="CA193" s="544"/>
      <c r="CB193" s="544"/>
      <c r="CC193" s="544"/>
      <c r="CD193" s="544"/>
      <c r="CE193" s="544"/>
      <c r="CF193" s="544"/>
      <c r="CG193" s="544"/>
      <c r="CH193" s="544"/>
      <c r="CI193" s="544"/>
      <c r="CJ193" s="544"/>
      <c r="CK193" s="544"/>
      <c r="CL193" s="544"/>
      <c r="CM193" s="544"/>
      <c r="CN193" s="544"/>
      <c r="CO193" s="544"/>
      <c r="CP193" s="544"/>
      <c r="CQ193" s="544"/>
      <c r="CR193" s="544"/>
      <c r="CS193" s="544"/>
    </row>
    <row r="194" spans="1:97" s="142" customFormat="1" ht="12.75" hidden="1" x14ac:dyDescent="0.2">
      <c r="A194" s="735">
        <v>187</v>
      </c>
      <c r="B194" s="732" t="s">
        <v>585</v>
      </c>
      <c r="C194" s="738" t="s">
        <v>271</v>
      </c>
      <c r="D194" s="905">
        <v>288503.12267524801</v>
      </c>
      <c r="E194" s="905">
        <v>231131164</v>
      </c>
      <c r="F194" s="905">
        <v>7050</v>
      </c>
      <c r="G194" s="166">
        <v>113127547</v>
      </c>
      <c r="H194" s="166">
        <v>-7335495</v>
      </c>
      <c r="I194" s="166">
        <v>2297774</v>
      </c>
      <c r="J194" s="166">
        <v>-5037721</v>
      </c>
      <c r="K194" s="166">
        <v>-9540506</v>
      </c>
      <c r="L194" s="166">
        <v>-41400</v>
      </c>
      <c r="M194" s="166">
        <v>0</v>
      </c>
      <c r="N194" s="166">
        <v>-46088</v>
      </c>
      <c r="O194" s="166">
        <v>-100000</v>
      </c>
      <c r="P194" s="166">
        <v>-3365360</v>
      </c>
      <c r="Q194" s="166">
        <v>-600000</v>
      </c>
      <c r="R194" s="166">
        <v>0</v>
      </c>
      <c r="S194" s="166">
        <v>0</v>
      </c>
      <c r="T194" s="166"/>
      <c r="U194" s="166">
        <v>0</v>
      </c>
      <c r="V194" s="166">
        <v>0</v>
      </c>
      <c r="W194" s="166">
        <v>0</v>
      </c>
      <c r="X194" s="166">
        <v>0</v>
      </c>
      <c r="Y194" s="166">
        <v>0</v>
      </c>
      <c r="Z194" s="166">
        <v>78699960</v>
      </c>
      <c r="AA194" s="166">
        <v>-3964652</v>
      </c>
      <c r="AB194" s="166"/>
      <c r="AC194" s="166">
        <v>-9322983</v>
      </c>
      <c r="AD194" s="166">
        <v>325</v>
      </c>
      <c r="AE194" s="166">
        <v>11</v>
      </c>
      <c r="AF194" s="166">
        <v>0</v>
      </c>
      <c r="AG194" s="166"/>
      <c r="AH194" s="166">
        <v>16</v>
      </c>
      <c r="AI194" s="166">
        <v>0</v>
      </c>
      <c r="AJ194" s="166">
        <v>584</v>
      </c>
      <c r="AK194" s="166">
        <v>20</v>
      </c>
      <c r="AL194" s="166">
        <v>1</v>
      </c>
      <c r="AM194" s="166">
        <v>0</v>
      </c>
      <c r="AN194" s="166">
        <v>0</v>
      </c>
      <c r="AO194" s="166">
        <v>0</v>
      </c>
      <c r="AP194" s="166">
        <v>0</v>
      </c>
      <c r="AQ194" s="166">
        <v>0</v>
      </c>
      <c r="AR194" s="166">
        <v>1011</v>
      </c>
      <c r="AS194" s="166">
        <v>1398</v>
      </c>
      <c r="AT194" s="166">
        <v>2441</v>
      </c>
      <c r="AU194" s="166">
        <v>2275</v>
      </c>
      <c r="AV194" s="166">
        <v>166</v>
      </c>
      <c r="AW194" s="166">
        <v>3269</v>
      </c>
      <c r="AX194" s="166">
        <v>-504695</v>
      </c>
      <c r="AY194" s="166">
        <v>-188460</v>
      </c>
      <c r="AZ194" s="166">
        <v>0</v>
      </c>
      <c r="BA194" s="166">
        <v>-9228</v>
      </c>
      <c r="BB194" s="166">
        <v>0</v>
      </c>
      <c r="BC194" s="166">
        <v>-2662977</v>
      </c>
      <c r="BD194" s="166">
        <v>0</v>
      </c>
      <c r="BE194" s="166">
        <v>6091643</v>
      </c>
      <c r="BF194" s="166"/>
      <c r="BG194" s="760">
        <v>28109700</v>
      </c>
      <c r="BH194" s="760">
        <v>0</v>
      </c>
      <c r="BI194" s="815">
        <v>16555335</v>
      </c>
      <c r="BJ194" s="1044" t="s">
        <v>515</v>
      </c>
      <c r="BK194" s="1044" t="s">
        <v>2455</v>
      </c>
      <c r="BL194" s="1044" t="s">
        <v>2650</v>
      </c>
      <c r="BM194" s="650"/>
      <c r="BN194" s="746" t="s">
        <v>271</v>
      </c>
      <c r="BO194" s="142" t="b">
        <v>1</v>
      </c>
      <c r="BP194" s="544"/>
      <c r="BQ194" s="544"/>
      <c r="BR194" s="544"/>
      <c r="BS194" s="544"/>
      <c r="BT194" s="544"/>
      <c r="BU194" s="544"/>
      <c r="BV194" s="544"/>
      <c r="BW194" s="544"/>
      <c r="BX194" s="544"/>
      <c r="BY194" s="544"/>
      <c r="BZ194" s="544"/>
      <c r="CA194" s="544"/>
      <c r="CB194" s="544"/>
      <c r="CC194" s="544"/>
      <c r="CD194" s="544"/>
      <c r="CE194" s="544"/>
      <c r="CF194" s="544"/>
      <c r="CG194" s="544"/>
      <c r="CH194" s="544"/>
      <c r="CI194" s="544"/>
      <c r="CJ194" s="544"/>
      <c r="CK194" s="544"/>
      <c r="CL194" s="544"/>
      <c r="CM194" s="544"/>
      <c r="CN194" s="544"/>
      <c r="CO194" s="544"/>
      <c r="CP194" s="544"/>
      <c r="CQ194" s="544"/>
      <c r="CR194" s="544"/>
      <c r="CS194" s="544"/>
    </row>
    <row r="195" spans="1:97" s="142" customFormat="1" ht="12.75" x14ac:dyDescent="0.2">
      <c r="A195" s="735">
        <v>188</v>
      </c>
      <c r="B195" s="732" t="s">
        <v>272</v>
      </c>
      <c r="C195" s="738" t="s">
        <v>273</v>
      </c>
      <c r="D195" s="905">
        <v>236069.15807274499</v>
      </c>
      <c r="E195" s="905">
        <v>152923140</v>
      </c>
      <c r="F195" s="905">
        <v>6365</v>
      </c>
      <c r="G195" s="166">
        <v>76022733</v>
      </c>
      <c r="H195" s="166">
        <v>-6077882</v>
      </c>
      <c r="I195" s="166">
        <v>1410543</v>
      </c>
      <c r="J195" s="166">
        <v>-4667339</v>
      </c>
      <c r="K195" s="166">
        <v>-6613012</v>
      </c>
      <c r="L195" s="166">
        <v>-58680</v>
      </c>
      <c r="M195" s="166">
        <v>-4207</v>
      </c>
      <c r="N195" s="166">
        <v>-1</v>
      </c>
      <c r="O195" s="166">
        <v>0</v>
      </c>
      <c r="P195" s="166">
        <v>-1996584</v>
      </c>
      <c r="Q195" s="166">
        <v>-114827</v>
      </c>
      <c r="R195" s="166">
        <v>-33880</v>
      </c>
      <c r="S195" s="166">
        <v>-336</v>
      </c>
      <c r="T195" s="166"/>
      <c r="U195" s="166">
        <v>0</v>
      </c>
      <c r="V195" s="166">
        <v>0</v>
      </c>
      <c r="W195" s="166">
        <v>0</v>
      </c>
      <c r="X195" s="166">
        <v>0</v>
      </c>
      <c r="Y195" s="166">
        <v>-2048</v>
      </c>
      <c r="Z195" s="166">
        <v>49137592</v>
      </c>
      <c r="AA195" s="166">
        <v>-2421054</v>
      </c>
      <c r="AB195" s="166"/>
      <c r="AC195" s="166">
        <v>-6967836</v>
      </c>
      <c r="AD195" s="166">
        <v>242</v>
      </c>
      <c r="AE195" s="166">
        <v>10</v>
      </c>
      <c r="AF195" s="166">
        <v>2</v>
      </c>
      <c r="AG195" s="166"/>
      <c r="AH195" s="166">
        <v>2</v>
      </c>
      <c r="AI195" s="166">
        <v>0</v>
      </c>
      <c r="AJ195" s="166">
        <v>518</v>
      </c>
      <c r="AK195" s="166">
        <v>56</v>
      </c>
      <c r="AL195" s="166">
        <v>3</v>
      </c>
      <c r="AM195" s="166">
        <v>0</v>
      </c>
      <c r="AN195" s="166">
        <v>0</v>
      </c>
      <c r="AO195" s="166">
        <v>0</v>
      </c>
      <c r="AP195" s="166">
        <v>0</v>
      </c>
      <c r="AQ195" s="166">
        <v>0</v>
      </c>
      <c r="AR195" s="166">
        <v>665</v>
      </c>
      <c r="AS195" s="166">
        <v>1551</v>
      </c>
      <c r="AT195" s="166">
        <v>2452</v>
      </c>
      <c r="AU195" s="166">
        <v>2283</v>
      </c>
      <c r="AV195" s="166">
        <v>169</v>
      </c>
      <c r="AW195" s="166">
        <v>2355</v>
      </c>
      <c r="AX195" s="166">
        <v>-17384</v>
      </c>
      <c r="AY195" s="166">
        <v>-870587</v>
      </c>
      <c r="AZ195" s="166">
        <v>0</v>
      </c>
      <c r="BA195" s="166">
        <v>-35239</v>
      </c>
      <c r="BB195" s="166">
        <v>-1057939</v>
      </c>
      <c r="BC195" s="166">
        <v>-15435</v>
      </c>
      <c r="BD195" s="166">
        <v>-442941</v>
      </c>
      <c r="BE195" s="166">
        <v>649041</v>
      </c>
      <c r="BF195" s="166"/>
      <c r="BG195" s="760">
        <v>19634925</v>
      </c>
      <c r="BH195" s="760">
        <v>0</v>
      </c>
      <c r="BI195" s="815">
        <v>-875442</v>
      </c>
      <c r="BJ195" s="1044" t="s">
        <v>2454</v>
      </c>
      <c r="BK195" s="1044" t="s">
        <v>2481</v>
      </c>
      <c r="BL195" s="1044" t="s">
        <v>2651</v>
      </c>
      <c r="BM195" s="650"/>
      <c r="BN195" s="746" t="s">
        <v>273</v>
      </c>
      <c r="BO195" s="142" t="b">
        <v>1</v>
      </c>
      <c r="BP195" s="544"/>
      <c r="BQ195" s="544"/>
      <c r="BR195" s="544"/>
      <c r="BS195" s="544"/>
      <c r="BT195" s="544"/>
      <c r="BU195" s="544"/>
      <c r="BV195" s="544"/>
      <c r="BW195" s="544"/>
      <c r="BX195" s="544"/>
      <c r="BY195" s="544"/>
      <c r="BZ195" s="544"/>
      <c r="CA195" s="544"/>
      <c r="CB195" s="544"/>
      <c r="CC195" s="544"/>
      <c r="CD195" s="544"/>
      <c r="CE195" s="544"/>
      <c r="CF195" s="544"/>
      <c r="CG195" s="544"/>
      <c r="CH195" s="544"/>
      <c r="CI195" s="544"/>
      <c r="CJ195" s="544"/>
      <c r="CK195" s="544"/>
      <c r="CL195" s="544"/>
      <c r="CM195" s="544"/>
      <c r="CN195" s="544"/>
      <c r="CO195" s="544"/>
      <c r="CP195" s="544"/>
      <c r="CQ195" s="544"/>
      <c r="CR195" s="544"/>
      <c r="CS195" s="544"/>
    </row>
    <row r="196" spans="1:97" s="142" customFormat="1" ht="12.75" hidden="1" x14ac:dyDescent="0.2">
      <c r="A196" s="735">
        <v>189</v>
      </c>
      <c r="B196" s="732" t="s">
        <v>528</v>
      </c>
      <c r="C196" s="738" t="s">
        <v>275</v>
      </c>
      <c r="D196" s="905">
        <v>289717.74800288002</v>
      </c>
      <c r="E196" s="905">
        <v>342322757</v>
      </c>
      <c r="F196" s="905">
        <v>5705</v>
      </c>
      <c r="G196" s="166">
        <v>171129222</v>
      </c>
      <c r="H196" s="166">
        <v>-3326954</v>
      </c>
      <c r="I196" s="166">
        <v>3875674</v>
      </c>
      <c r="J196" s="166">
        <v>548720</v>
      </c>
      <c r="K196" s="166">
        <v>-6410791</v>
      </c>
      <c r="L196" s="166">
        <v>-7045</v>
      </c>
      <c r="M196" s="166">
        <v>0</v>
      </c>
      <c r="N196" s="166">
        <v>0</v>
      </c>
      <c r="O196" s="166">
        <v>0</v>
      </c>
      <c r="P196" s="166">
        <v>-6592354</v>
      </c>
      <c r="Q196" s="166">
        <v>0</v>
      </c>
      <c r="R196" s="166">
        <v>0</v>
      </c>
      <c r="S196" s="166">
        <v>0</v>
      </c>
      <c r="T196" s="166"/>
      <c r="U196" s="166">
        <v>0</v>
      </c>
      <c r="V196" s="166">
        <v>0</v>
      </c>
      <c r="W196" s="166">
        <v>0</v>
      </c>
      <c r="X196" s="166">
        <v>0</v>
      </c>
      <c r="Y196" s="166">
        <v>0</v>
      </c>
      <c r="Z196" s="166">
        <v>137154071</v>
      </c>
      <c r="AA196" s="166">
        <v>-7546163</v>
      </c>
      <c r="AB196" s="166"/>
      <c r="AC196" s="166">
        <v>-13154837</v>
      </c>
      <c r="AD196" s="166">
        <v>242</v>
      </c>
      <c r="AE196" s="166">
        <v>5</v>
      </c>
      <c r="AF196" s="166">
        <v>0</v>
      </c>
      <c r="AG196" s="166"/>
      <c r="AH196" s="166">
        <v>0</v>
      </c>
      <c r="AI196" s="166">
        <v>0</v>
      </c>
      <c r="AJ196" s="166">
        <v>661</v>
      </c>
      <c r="AK196" s="166">
        <v>0</v>
      </c>
      <c r="AL196" s="166">
        <v>0</v>
      </c>
      <c r="AM196" s="166">
        <v>0</v>
      </c>
      <c r="AN196" s="166">
        <v>0</v>
      </c>
      <c r="AO196" s="166">
        <v>0</v>
      </c>
      <c r="AP196" s="166">
        <v>0</v>
      </c>
      <c r="AQ196" s="166">
        <v>0</v>
      </c>
      <c r="AR196" s="166">
        <v>953</v>
      </c>
      <c r="AS196" s="166">
        <v>1844</v>
      </c>
      <c r="AT196" s="166">
        <v>1239</v>
      </c>
      <c r="AU196" s="166">
        <v>1137</v>
      </c>
      <c r="AV196" s="166">
        <v>102</v>
      </c>
      <c r="AW196" s="166">
        <v>2594</v>
      </c>
      <c r="AX196" s="166">
        <v>-174221</v>
      </c>
      <c r="AY196" s="166">
        <v>-1266567</v>
      </c>
      <c r="AZ196" s="166">
        <v>0</v>
      </c>
      <c r="BA196" s="166">
        <v>-996347</v>
      </c>
      <c r="BB196" s="166">
        <v>-68506</v>
      </c>
      <c r="BC196" s="166">
        <v>-4086713</v>
      </c>
      <c r="BD196" s="166">
        <v>-696728</v>
      </c>
      <c r="BE196" s="166">
        <v>5085547</v>
      </c>
      <c r="BF196" s="166"/>
      <c r="BG196" s="760">
        <v>26812300</v>
      </c>
      <c r="BH196" s="760">
        <v>0</v>
      </c>
      <c r="BI196" s="815">
        <v>4963184</v>
      </c>
      <c r="BJ196" s="1044" t="s">
        <v>515</v>
      </c>
      <c r="BK196" s="1044" t="s">
        <v>2455</v>
      </c>
      <c r="BL196" s="1044" t="s">
        <v>2652</v>
      </c>
      <c r="BM196" s="650"/>
      <c r="BN196" s="746" t="s">
        <v>275</v>
      </c>
      <c r="BO196" s="142" t="b">
        <v>1</v>
      </c>
      <c r="BP196" s="544"/>
      <c r="BQ196" s="544"/>
      <c r="BR196" s="544"/>
      <c r="BS196" s="544"/>
      <c r="BT196" s="544"/>
      <c r="BU196" s="544"/>
      <c r="BV196" s="544"/>
      <c r="BW196" s="544"/>
      <c r="BX196" s="544"/>
      <c r="BY196" s="544"/>
      <c r="BZ196" s="544"/>
      <c r="CA196" s="544"/>
      <c r="CB196" s="544"/>
      <c r="CC196" s="544"/>
      <c r="CD196" s="544"/>
      <c r="CE196" s="544"/>
      <c r="CF196" s="544"/>
      <c r="CG196" s="544"/>
      <c r="CH196" s="544"/>
      <c r="CI196" s="544"/>
      <c r="CJ196" s="544"/>
      <c r="CK196" s="544"/>
      <c r="CL196" s="544"/>
      <c r="CM196" s="544"/>
      <c r="CN196" s="544"/>
      <c r="CO196" s="544"/>
      <c r="CP196" s="544"/>
      <c r="CQ196" s="544"/>
      <c r="CR196" s="544"/>
      <c r="CS196" s="544"/>
    </row>
    <row r="197" spans="1:97" s="142" customFormat="1" ht="12.75" hidden="1" x14ac:dyDescent="0.2">
      <c r="A197" s="735">
        <v>190</v>
      </c>
      <c r="B197" s="732" t="s">
        <v>276</v>
      </c>
      <c r="C197" s="738" t="s">
        <v>277</v>
      </c>
      <c r="D197" s="905">
        <v>266673.321783719</v>
      </c>
      <c r="E197" s="905">
        <v>171205029</v>
      </c>
      <c r="F197" s="905">
        <v>6586</v>
      </c>
      <c r="G197" s="166">
        <v>85790462</v>
      </c>
      <c r="H197" s="166">
        <v>-6897781</v>
      </c>
      <c r="I197" s="166">
        <v>1307144</v>
      </c>
      <c r="J197" s="166">
        <v>-5590637</v>
      </c>
      <c r="K197" s="166">
        <v>-6839356</v>
      </c>
      <c r="L197" s="166">
        <v>-116897</v>
      </c>
      <c r="M197" s="166">
        <v>0</v>
      </c>
      <c r="N197" s="166">
        <v>0</v>
      </c>
      <c r="O197" s="166">
        <v>0</v>
      </c>
      <c r="P197" s="166">
        <v>-1197160</v>
      </c>
      <c r="Q197" s="166">
        <v>-193386</v>
      </c>
      <c r="R197" s="166">
        <v>-13702</v>
      </c>
      <c r="S197" s="166">
        <v>0</v>
      </c>
      <c r="T197" s="166"/>
      <c r="U197" s="166">
        <v>0</v>
      </c>
      <c r="V197" s="166">
        <v>0</v>
      </c>
      <c r="W197" s="166">
        <v>0</v>
      </c>
      <c r="X197" s="166">
        <v>0</v>
      </c>
      <c r="Y197" s="166">
        <v>0</v>
      </c>
      <c r="Z197" s="166">
        <v>52911956</v>
      </c>
      <c r="AA197" s="166">
        <v>-2793925</v>
      </c>
      <c r="AB197" s="166"/>
      <c r="AC197" s="166">
        <v>-13640481</v>
      </c>
      <c r="AD197" s="166">
        <v>283</v>
      </c>
      <c r="AE197" s="166">
        <v>18</v>
      </c>
      <c r="AF197" s="166">
        <v>0</v>
      </c>
      <c r="AG197" s="166"/>
      <c r="AH197" s="166">
        <v>0</v>
      </c>
      <c r="AI197" s="166">
        <v>0</v>
      </c>
      <c r="AJ197" s="166">
        <v>614</v>
      </c>
      <c r="AK197" s="166">
        <v>56</v>
      </c>
      <c r="AL197" s="166">
        <v>6</v>
      </c>
      <c r="AM197" s="166">
        <v>0</v>
      </c>
      <c r="AN197" s="166">
        <v>0</v>
      </c>
      <c r="AO197" s="166">
        <v>0</v>
      </c>
      <c r="AP197" s="166">
        <v>0</v>
      </c>
      <c r="AQ197" s="166">
        <v>0</v>
      </c>
      <c r="AR197" s="166">
        <v>1392</v>
      </c>
      <c r="AS197" s="166">
        <v>1279</v>
      </c>
      <c r="AT197" s="166">
        <v>2313</v>
      </c>
      <c r="AU197" s="166">
        <v>1870</v>
      </c>
      <c r="AV197" s="166">
        <v>443</v>
      </c>
      <c r="AW197" s="166">
        <v>3018</v>
      </c>
      <c r="AX197" s="166">
        <v>-8371</v>
      </c>
      <c r="AY197" s="166">
        <v>-8780</v>
      </c>
      <c r="AZ197" s="166">
        <v>0</v>
      </c>
      <c r="BA197" s="166">
        <v>-130183</v>
      </c>
      <c r="BB197" s="166">
        <v>-1049826</v>
      </c>
      <c r="BC197" s="166">
        <v>0</v>
      </c>
      <c r="BD197" s="166">
        <v>0</v>
      </c>
      <c r="BE197" s="166">
        <v>-5559527</v>
      </c>
      <c r="BF197" s="166"/>
      <c r="BG197" s="760">
        <v>21964850</v>
      </c>
      <c r="BH197" s="760">
        <v>0</v>
      </c>
      <c r="BI197" s="815">
        <v>1182067</v>
      </c>
      <c r="BJ197" s="1044" t="s">
        <v>2464</v>
      </c>
      <c r="BK197" s="1044" t="s">
        <v>2465</v>
      </c>
      <c r="BL197" s="1044" t="s">
        <v>2653</v>
      </c>
      <c r="BM197" s="650"/>
      <c r="BN197" s="746" t="s">
        <v>277</v>
      </c>
      <c r="BO197" s="142" t="b">
        <v>1</v>
      </c>
      <c r="BP197" s="544"/>
      <c r="BQ197" s="544"/>
      <c r="BR197" s="544"/>
      <c r="BS197" s="544"/>
      <c r="BT197" s="544"/>
      <c r="BU197" s="544"/>
      <c r="BV197" s="544"/>
      <c r="BW197" s="544"/>
      <c r="BX197" s="544"/>
      <c r="BY197" s="544"/>
      <c r="BZ197" s="544"/>
      <c r="CA197" s="544"/>
      <c r="CB197" s="544"/>
      <c r="CC197" s="544"/>
      <c r="CD197" s="544"/>
      <c r="CE197" s="544"/>
      <c r="CF197" s="544"/>
      <c r="CG197" s="544"/>
      <c r="CH197" s="544"/>
      <c r="CI197" s="544"/>
      <c r="CJ197" s="544"/>
      <c r="CK197" s="544"/>
      <c r="CL197" s="544"/>
      <c r="CM197" s="544"/>
      <c r="CN197" s="544"/>
      <c r="CO197" s="544"/>
      <c r="CP197" s="544"/>
      <c r="CQ197" s="544"/>
      <c r="CR197" s="544"/>
      <c r="CS197" s="544"/>
    </row>
    <row r="198" spans="1:97" s="142" customFormat="1" ht="12.75" hidden="1" x14ac:dyDescent="0.2">
      <c r="A198" s="735">
        <v>191</v>
      </c>
      <c r="B198" s="732" t="s">
        <v>991</v>
      </c>
      <c r="C198" s="738" t="s">
        <v>279</v>
      </c>
      <c r="D198" s="905">
        <v>165080.77751267701</v>
      </c>
      <c r="E198" s="905">
        <v>111030216</v>
      </c>
      <c r="F198" s="905">
        <v>4414</v>
      </c>
      <c r="G198" s="166">
        <v>55291568</v>
      </c>
      <c r="H198" s="166">
        <v>-4911693</v>
      </c>
      <c r="I198" s="166">
        <v>1092746</v>
      </c>
      <c r="J198" s="166">
        <v>-3818947</v>
      </c>
      <c r="K198" s="166">
        <v>-3870845</v>
      </c>
      <c r="L198" s="166">
        <v>-69279</v>
      </c>
      <c r="M198" s="166">
        <v>-6888</v>
      </c>
      <c r="N198" s="166">
        <v>-20050</v>
      </c>
      <c r="O198" s="166">
        <v>0</v>
      </c>
      <c r="P198" s="166">
        <v>-1326909</v>
      </c>
      <c r="Q198" s="166">
        <v>-92547</v>
      </c>
      <c r="R198" s="166">
        <v>-100304</v>
      </c>
      <c r="S198" s="166">
        <v>0</v>
      </c>
      <c r="T198" s="166"/>
      <c r="U198" s="166">
        <v>0</v>
      </c>
      <c r="V198" s="166">
        <v>0</v>
      </c>
      <c r="W198" s="166">
        <v>0</v>
      </c>
      <c r="X198" s="166">
        <v>0</v>
      </c>
      <c r="Y198" s="166">
        <v>-1596</v>
      </c>
      <c r="Z198" s="166">
        <v>38926836</v>
      </c>
      <c r="AA198" s="166">
        <v>-1283403</v>
      </c>
      <c r="AB198" s="166"/>
      <c r="AC198" s="166">
        <v>-3287147</v>
      </c>
      <c r="AD198" s="166">
        <v>209</v>
      </c>
      <c r="AE198" s="166">
        <v>14</v>
      </c>
      <c r="AF198" s="166">
        <v>6</v>
      </c>
      <c r="AG198" s="166"/>
      <c r="AH198" s="166">
        <v>10</v>
      </c>
      <c r="AI198" s="166">
        <v>0</v>
      </c>
      <c r="AJ198" s="166">
        <v>420</v>
      </c>
      <c r="AK198" s="166">
        <v>51</v>
      </c>
      <c r="AL198" s="166">
        <v>12</v>
      </c>
      <c r="AM198" s="166">
        <v>5</v>
      </c>
      <c r="AN198" s="166">
        <v>0</v>
      </c>
      <c r="AO198" s="166">
        <v>0</v>
      </c>
      <c r="AP198" s="166">
        <v>0</v>
      </c>
      <c r="AQ198" s="166">
        <v>0</v>
      </c>
      <c r="AR198" s="166">
        <v>442</v>
      </c>
      <c r="AS198" s="166">
        <v>999</v>
      </c>
      <c r="AT198" s="166">
        <v>2092</v>
      </c>
      <c r="AU198" s="166">
        <v>2005</v>
      </c>
      <c r="AV198" s="166">
        <v>87</v>
      </c>
      <c r="AW198" s="166">
        <v>1267</v>
      </c>
      <c r="AX198" s="166">
        <v>-8038</v>
      </c>
      <c r="AY198" s="166">
        <v>-28416</v>
      </c>
      <c r="AZ198" s="166">
        <v>0</v>
      </c>
      <c r="BA198" s="166">
        <v>-28570</v>
      </c>
      <c r="BB198" s="166">
        <v>-1261885</v>
      </c>
      <c r="BC198" s="166">
        <v>0</v>
      </c>
      <c r="BD198" s="166">
        <v>-15282</v>
      </c>
      <c r="BE198" s="166">
        <v>-3029610</v>
      </c>
      <c r="BF198" s="166"/>
      <c r="BG198" s="760">
        <v>9776750</v>
      </c>
      <c r="BH198" s="760">
        <v>0</v>
      </c>
      <c r="BI198" s="815">
        <v>-4602105</v>
      </c>
      <c r="BJ198" s="1044" t="s">
        <v>515</v>
      </c>
      <c r="BK198" s="1044" t="s">
        <v>867</v>
      </c>
      <c r="BL198" s="1044" t="s">
        <v>2654</v>
      </c>
      <c r="BM198" s="650"/>
      <c r="BN198" s="746" t="s">
        <v>279</v>
      </c>
      <c r="BO198" s="142" t="b">
        <v>1</v>
      </c>
      <c r="BP198" s="544"/>
      <c r="BQ198" s="544"/>
      <c r="BR198" s="544"/>
      <c r="BS198" s="544"/>
      <c r="BT198" s="544"/>
      <c r="BU198" s="544"/>
      <c r="BV198" s="544"/>
      <c r="BW198" s="544"/>
      <c r="BX198" s="544"/>
      <c r="BY198" s="544"/>
      <c r="BZ198" s="544"/>
      <c r="CA198" s="544"/>
      <c r="CB198" s="544"/>
      <c r="CC198" s="544"/>
      <c r="CD198" s="544"/>
      <c r="CE198" s="544"/>
      <c r="CF198" s="544"/>
      <c r="CG198" s="544"/>
      <c r="CH198" s="544"/>
      <c r="CI198" s="544"/>
      <c r="CJ198" s="544"/>
      <c r="CK198" s="544"/>
      <c r="CL198" s="544"/>
      <c r="CM198" s="544"/>
      <c r="CN198" s="544"/>
      <c r="CO198" s="544"/>
      <c r="CP198" s="544"/>
      <c r="CQ198" s="544"/>
      <c r="CR198" s="544"/>
      <c r="CS198" s="544"/>
    </row>
    <row r="199" spans="1:97" s="142" customFormat="1" ht="12.75" x14ac:dyDescent="0.2">
      <c r="A199" s="735">
        <v>192</v>
      </c>
      <c r="B199" s="732" t="s">
        <v>280</v>
      </c>
      <c r="C199" s="738" t="s">
        <v>281</v>
      </c>
      <c r="D199" s="905">
        <v>104845.51807197501</v>
      </c>
      <c r="E199" s="905">
        <v>91699853</v>
      </c>
      <c r="F199" s="905">
        <v>2612</v>
      </c>
      <c r="G199" s="166">
        <v>45972645</v>
      </c>
      <c r="H199" s="166">
        <v>-2706550</v>
      </c>
      <c r="I199" s="166">
        <v>880176</v>
      </c>
      <c r="J199" s="166">
        <v>-1826374</v>
      </c>
      <c r="K199" s="166">
        <v>-1622687</v>
      </c>
      <c r="L199" s="166">
        <v>-16867</v>
      </c>
      <c r="M199" s="166">
        <v>-3532</v>
      </c>
      <c r="N199" s="166">
        <v>-2</v>
      </c>
      <c r="O199" s="166">
        <v>0</v>
      </c>
      <c r="P199" s="166">
        <v>-491635</v>
      </c>
      <c r="Q199" s="166">
        <v>-34231</v>
      </c>
      <c r="R199" s="166">
        <v>-261175</v>
      </c>
      <c r="S199" s="166">
        <v>0</v>
      </c>
      <c r="T199" s="166"/>
      <c r="U199" s="166">
        <v>0</v>
      </c>
      <c r="V199" s="166">
        <v>0</v>
      </c>
      <c r="W199" s="166">
        <v>0</v>
      </c>
      <c r="X199" s="166">
        <v>0</v>
      </c>
      <c r="Y199" s="166">
        <v>-1766</v>
      </c>
      <c r="Z199" s="166">
        <v>35281594</v>
      </c>
      <c r="AA199" s="166">
        <v>-1164290</v>
      </c>
      <c r="AB199" s="166"/>
      <c r="AC199" s="166">
        <v>-2598801</v>
      </c>
      <c r="AD199" s="166">
        <v>104</v>
      </c>
      <c r="AE199" s="166">
        <v>2</v>
      </c>
      <c r="AF199" s="166">
        <v>1</v>
      </c>
      <c r="AG199" s="166"/>
      <c r="AH199" s="166">
        <v>3</v>
      </c>
      <c r="AI199" s="166">
        <v>1</v>
      </c>
      <c r="AJ199" s="166">
        <v>162</v>
      </c>
      <c r="AK199" s="166">
        <v>37</v>
      </c>
      <c r="AL199" s="166">
        <v>13</v>
      </c>
      <c r="AM199" s="166">
        <v>0</v>
      </c>
      <c r="AN199" s="166">
        <v>0</v>
      </c>
      <c r="AO199" s="166">
        <v>0</v>
      </c>
      <c r="AP199" s="166">
        <v>0</v>
      </c>
      <c r="AQ199" s="166">
        <v>0</v>
      </c>
      <c r="AR199" s="166">
        <v>235</v>
      </c>
      <c r="AS199" s="166">
        <v>717</v>
      </c>
      <c r="AT199" s="166">
        <v>967</v>
      </c>
      <c r="AU199" s="166">
        <v>855</v>
      </c>
      <c r="AV199" s="166">
        <v>112</v>
      </c>
      <c r="AW199" s="166">
        <v>919</v>
      </c>
      <c r="AX199" s="166">
        <v>-81969</v>
      </c>
      <c r="AY199" s="166">
        <v>-17167</v>
      </c>
      <c r="AZ199" s="166">
        <v>0</v>
      </c>
      <c r="BA199" s="166">
        <v>0</v>
      </c>
      <c r="BB199" s="166">
        <v>-350319</v>
      </c>
      <c r="BC199" s="166">
        <v>-42180</v>
      </c>
      <c r="BD199" s="166">
        <v>-120426</v>
      </c>
      <c r="BE199" s="166">
        <v>-5251439</v>
      </c>
      <c r="BF199" s="166"/>
      <c r="BG199" s="760">
        <v>13187666</v>
      </c>
      <c r="BH199" s="760">
        <v>0</v>
      </c>
      <c r="BI199" s="815">
        <v>-5614297</v>
      </c>
      <c r="BJ199" s="1044" t="s">
        <v>2454</v>
      </c>
      <c r="BK199" s="1044" t="s">
        <v>2478</v>
      </c>
      <c r="BL199" s="1044" t="s">
        <v>2655</v>
      </c>
      <c r="BM199" s="650"/>
      <c r="BN199" s="746" t="s">
        <v>281</v>
      </c>
      <c r="BO199" s="142" t="b">
        <v>1</v>
      </c>
      <c r="BP199" s="544"/>
      <c r="BQ199" s="544"/>
      <c r="BR199" s="544"/>
      <c r="BS199" s="544"/>
      <c r="BT199" s="544"/>
      <c r="BU199" s="544"/>
      <c r="BV199" s="544"/>
      <c r="BW199" s="544"/>
      <c r="BX199" s="544"/>
      <c r="BY199" s="544"/>
      <c r="BZ199" s="544"/>
      <c r="CA199" s="544"/>
      <c r="CB199" s="544"/>
      <c r="CC199" s="544"/>
      <c r="CD199" s="544"/>
      <c r="CE199" s="544"/>
      <c r="CF199" s="544"/>
      <c r="CG199" s="544"/>
      <c r="CH199" s="544"/>
      <c r="CI199" s="544"/>
      <c r="CJ199" s="544"/>
      <c r="CK199" s="544"/>
      <c r="CL199" s="544"/>
      <c r="CM199" s="544"/>
      <c r="CN199" s="544"/>
      <c r="CO199" s="544"/>
      <c r="CP199" s="544"/>
      <c r="CQ199" s="544"/>
      <c r="CR199" s="544"/>
      <c r="CS199" s="544"/>
    </row>
    <row r="200" spans="1:97" s="142" customFormat="1" ht="12.75" x14ac:dyDescent="0.2">
      <c r="A200" s="735">
        <v>193</v>
      </c>
      <c r="B200" s="732" t="s">
        <v>282</v>
      </c>
      <c r="C200" s="738" t="s">
        <v>283</v>
      </c>
      <c r="D200" s="905">
        <v>165404.419523691</v>
      </c>
      <c r="E200" s="905">
        <v>139886889</v>
      </c>
      <c r="F200" s="905">
        <v>3653</v>
      </c>
      <c r="G200" s="166">
        <v>70089555</v>
      </c>
      <c r="H200" s="166">
        <v>-3460810</v>
      </c>
      <c r="I200" s="166">
        <v>1356301</v>
      </c>
      <c r="J200" s="166">
        <v>-2104509</v>
      </c>
      <c r="K200" s="166">
        <v>-4792527</v>
      </c>
      <c r="L200" s="166">
        <v>-59909</v>
      </c>
      <c r="M200" s="166">
        <v>0</v>
      </c>
      <c r="N200" s="166">
        <v>-8678</v>
      </c>
      <c r="O200" s="166">
        <v>-15500</v>
      </c>
      <c r="P200" s="166">
        <v>-3320914</v>
      </c>
      <c r="Q200" s="166">
        <v>-72461</v>
      </c>
      <c r="R200" s="166">
        <v>-2881</v>
      </c>
      <c r="S200" s="166">
        <v>-259</v>
      </c>
      <c r="T200" s="166"/>
      <c r="U200" s="166">
        <v>0</v>
      </c>
      <c r="V200" s="166">
        <v>0</v>
      </c>
      <c r="W200" s="166">
        <v>0</v>
      </c>
      <c r="X200" s="166">
        <v>0</v>
      </c>
      <c r="Y200" s="166">
        <v>0</v>
      </c>
      <c r="Z200" s="166">
        <v>53427019</v>
      </c>
      <c r="AA200" s="166">
        <v>-2113417</v>
      </c>
      <c r="AB200" s="166"/>
      <c r="AC200" s="166">
        <v>-4403537</v>
      </c>
      <c r="AD200" s="166">
        <v>197</v>
      </c>
      <c r="AE200" s="166">
        <v>23</v>
      </c>
      <c r="AF200" s="166">
        <v>0</v>
      </c>
      <c r="AG200" s="166"/>
      <c r="AH200" s="166">
        <v>5</v>
      </c>
      <c r="AI200" s="166">
        <v>0</v>
      </c>
      <c r="AJ200" s="166">
        <v>384</v>
      </c>
      <c r="AK200" s="166">
        <v>20</v>
      </c>
      <c r="AL200" s="166">
        <v>1</v>
      </c>
      <c r="AM200" s="166">
        <v>0</v>
      </c>
      <c r="AN200" s="166">
        <v>0</v>
      </c>
      <c r="AO200" s="166">
        <v>1</v>
      </c>
      <c r="AP200" s="166">
        <v>0</v>
      </c>
      <c r="AQ200" s="166">
        <v>0</v>
      </c>
      <c r="AR200" s="166">
        <v>567</v>
      </c>
      <c r="AS200" s="166">
        <v>1002</v>
      </c>
      <c r="AT200" s="166">
        <v>1162</v>
      </c>
      <c r="AU200" s="166">
        <v>1034</v>
      </c>
      <c r="AV200" s="166">
        <v>128</v>
      </c>
      <c r="AW200" s="166">
        <v>1512</v>
      </c>
      <c r="AX200" s="166">
        <v>-119404</v>
      </c>
      <c r="AY200" s="166">
        <v>-2204707</v>
      </c>
      <c r="AZ200" s="166">
        <v>0</v>
      </c>
      <c r="BA200" s="166">
        <v>-8623</v>
      </c>
      <c r="BB200" s="166">
        <v>-120567</v>
      </c>
      <c r="BC200" s="166">
        <v>-867613</v>
      </c>
      <c r="BD200" s="166">
        <v>-30000</v>
      </c>
      <c r="BE200" s="166">
        <v>6054865</v>
      </c>
      <c r="BF200" s="166"/>
      <c r="BG200" s="760">
        <v>18761300</v>
      </c>
      <c r="BH200" s="760">
        <v>0</v>
      </c>
      <c r="BI200" s="815">
        <v>6852995</v>
      </c>
      <c r="BJ200" s="1044" t="s">
        <v>2454</v>
      </c>
      <c r="BK200" s="1044" t="s">
        <v>2455</v>
      </c>
      <c r="BL200" s="1044" t="s">
        <v>2656</v>
      </c>
      <c r="BM200" s="650"/>
      <c r="BN200" s="746" t="s">
        <v>283</v>
      </c>
      <c r="BO200" s="142" t="b">
        <v>1</v>
      </c>
      <c r="BP200" s="544"/>
      <c r="BQ200" s="544"/>
      <c r="BR200" s="544"/>
      <c r="BS200" s="544"/>
      <c r="BT200" s="544"/>
      <c r="BU200" s="544"/>
      <c r="BV200" s="544"/>
      <c r="BW200" s="544"/>
      <c r="BX200" s="544"/>
      <c r="BY200" s="544"/>
      <c r="BZ200" s="544"/>
      <c r="CA200" s="544"/>
      <c r="CB200" s="544"/>
      <c r="CC200" s="544"/>
      <c r="CD200" s="544"/>
      <c r="CE200" s="544"/>
      <c r="CF200" s="544"/>
      <c r="CG200" s="544"/>
      <c r="CH200" s="544"/>
      <c r="CI200" s="544"/>
      <c r="CJ200" s="544"/>
      <c r="CK200" s="544"/>
      <c r="CL200" s="544"/>
      <c r="CM200" s="544"/>
      <c r="CN200" s="544"/>
      <c r="CO200" s="544"/>
      <c r="CP200" s="544"/>
      <c r="CQ200" s="544"/>
      <c r="CR200" s="544"/>
      <c r="CS200" s="544"/>
    </row>
    <row r="201" spans="1:97" s="142" customFormat="1" ht="12.75" x14ac:dyDescent="0.2">
      <c r="A201" s="735">
        <v>194</v>
      </c>
      <c r="B201" s="732" t="s">
        <v>284</v>
      </c>
      <c r="C201" s="738" t="s">
        <v>285</v>
      </c>
      <c r="D201" s="905">
        <v>97094.5285075133</v>
      </c>
      <c r="E201" s="905">
        <v>49937909</v>
      </c>
      <c r="F201" s="905">
        <v>2735</v>
      </c>
      <c r="G201" s="166">
        <v>24838211</v>
      </c>
      <c r="H201" s="166">
        <v>-3465012</v>
      </c>
      <c r="I201" s="166">
        <v>392687</v>
      </c>
      <c r="J201" s="166">
        <v>-3072325</v>
      </c>
      <c r="K201" s="166">
        <v>-1263907</v>
      </c>
      <c r="L201" s="166">
        <v>-52349</v>
      </c>
      <c r="M201" s="166">
        <v>-43152</v>
      </c>
      <c r="N201" s="166">
        <v>-18352</v>
      </c>
      <c r="O201" s="166">
        <v>0</v>
      </c>
      <c r="P201" s="166">
        <v>-480984</v>
      </c>
      <c r="Q201" s="166">
        <v>-33204</v>
      </c>
      <c r="R201" s="166">
        <v>-170</v>
      </c>
      <c r="S201" s="166">
        <v>0</v>
      </c>
      <c r="T201" s="166"/>
      <c r="U201" s="166">
        <v>-2096</v>
      </c>
      <c r="V201" s="166">
        <v>0</v>
      </c>
      <c r="W201" s="166">
        <v>0</v>
      </c>
      <c r="X201" s="166">
        <v>0</v>
      </c>
      <c r="Y201" s="166">
        <v>-21576</v>
      </c>
      <c r="Z201" s="166">
        <v>14992273</v>
      </c>
      <c r="AA201" s="166">
        <v>-725197</v>
      </c>
      <c r="AB201" s="166"/>
      <c r="AC201" s="166">
        <v>-2857798</v>
      </c>
      <c r="AD201" s="166">
        <v>119</v>
      </c>
      <c r="AE201" s="166">
        <v>6</v>
      </c>
      <c r="AF201" s="166">
        <v>14</v>
      </c>
      <c r="AG201" s="166"/>
      <c r="AH201" s="166">
        <v>12</v>
      </c>
      <c r="AI201" s="166">
        <v>0</v>
      </c>
      <c r="AJ201" s="166">
        <v>187</v>
      </c>
      <c r="AK201" s="166">
        <v>50</v>
      </c>
      <c r="AL201" s="166">
        <v>1</v>
      </c>
      <c r="AM201" s="166">
        <v>0</v>
      </c>
      <c r="AN201" s="166">
        <v>1</v>
      </c>
      <c r="AO201" s="166">
        <v>0</v>
      </c>
      <c r="AP201" s="166">
        <v>0</v>
      </c>
      <c r="AQ201" s="166">
        <v>0</v>
      </c>
      <c r="AR201" s="166">
        <v>296</v>
      </c>
      <c r="AS201" s="166">
        <v>504</v>
      </c>
      <c r="AT201" s="166">
        <v>1497</v>
      </c>
      <c r="AU201" s="166">
        <v>1421</v>
      </c>
      <c r="AV201" s="166">
        <v>76</v>
      </c>
      <c r="AW201" s="166">
        <v>731</v>
      </c>
      <c r="AX201" s="166">
        <v>-73000</v>
      </c>
      <c r="AY201" s="166">
        <v>-232356</v>
      </c>
      <c r="AZ201" s="166">
        <v>0</v>
      </c>
      <c r="BA201" s="166">
        <v>0</v>
      </c>
      <c r="BB201" s="166">
        <v>-120628</v>
      </c>
      <c r="BC201" s="166">
        <v>-55000</v>
      </c>
      <c r="BD201" s="166">
        <v>-50000</v>
      </c>
      <c r="BE201" s="166">
        <v>-606097</v>
      </c>
      <c r="BF201" s="166"/>
      <c r="BG201" s="760">
        <v>5613900</v>
      </c>
      <c r="BH201" s="760">
        <v>0</v>
      </c>
      <c r="BI201" s="815">
        <v>-184116</v>
      </c>
      <c r="BJ201" s="1044" t="s">
        <v>2454</v>
      </c>
      <c r="BK201" s="1044" t="s">
        <v>2481</v>
      </c>
      <c r="BL201" s="1044" t="s">
        <v>2657</v>
      </c>
      <c r="BM201" s="650"/>
      <c r="BN201" s="746" t="s">
        <v>285</v>
      </c>
      <c r="BO201" s="142" t="b">
        <v>1</v>
      </c>
      <c r="BP201" s="544"/>
      <c r="BQ201" s="544"/>
      <c r="BR201" s="544"/>
      <c r="BS201" s="544"/>
      <c r="BT201" s="544"/>
      <c r="BU201" s="544"/>
      <c r="BV201" s="544"/>
      <c r="BW201" s="544"/>
      <c r="BX201" s="544"/>
      <c r="BY201" s="544"/>
      <c r="BZ201" s="544"/>
      <c r="CA201" s="544"/>
      <c r="CB201" s="544"/>
      <c r="CC201" s="544"/>
      <c r="CD201" s="544"/>
      <c r="CE201" s="544"/>
      <c r="CF201" s="544"/>
      <c r="CG201" s="544"/>
      <c r="CH201" s="544"/>
      <c r="CI201" s="544"/>
      <c r="CJ201" s="544"/>
      <c r="CK201" s="544"/>
      <c r="CL201" s="544"/>
      <c r="CM201" s="544"/>
      <c r="CN201" s="544"/>
      <c r="CO201" s="544"/>
      <c r="CP201" s="544"/>
      <c r="CQ201" s="544"/>
      <c r="CR201" s="544"/>
      <c r="CS201" s="544"/>
    </row>
    <row r="202" spans="1:97" s="142" customFormat="1" ht="12.75" hidden="1" x14ac:dyDescent="0.2">
      <c r="A202" s="735">
        <v>195</v>
      </c>
      <c r="B202" s="732" t="s">
        <v>286</v>
      </c>
      <c r="C202" s="738" t="s">
        <v>287</v>
      </c>
      <c r="D202" s="905">
        <v>262386.90231096401</v>
      </c>
      <c r="E202" s="905">
        <v>228762937</v>
      </c>
      <c r="F202" s="905">
        <v>5681</v>
      </c>
      <c r="G202" s="166">
        <v>115450086</v>
      </c>
      <c r="H202" s="166">
        <v>-5239559</v>
      </c>
      <c r="I202" s="166">
        <v>2167952</v>
      </c>
      <c r="J202" s="166">
        <v>-3071607</v>
      </c>
      <c r="K202" s="166">
        <v>-12097799</v>
      </c>
      <c r="L202" s="166">
        <v>-89979</v>
      </c>
      <c r="M202" s="166">
        <v>0</v>
      </c>
      <c r="N202" s="166">
        <v>0</v>
      </c>
      <c r="O202" s="166">
        <v>0</v>
      </c>
      <c r="P202" s="166">
        <v>-3130655</v>
      </c>
      <c r="Q202" s="166">
        <v>-136770</v>
      </c>
      <c r="R202" s="166">
        <v>-45794</v>
      </c>
      <c r="S202" s="166">
        <v>-8031</v>
      </c>
      <c r="T202" s="166"/>
      <c r="U202" s="166">
        <v>0</v>
      </c>
      <c r="V202" s="166">
        <v>0</v>
      </c>
      <c r="W202" s="166">
        <v>0</v>
      </c>
      <c r="X202" s="166">
        <v>0</v>
      </c>
      <c r="Y202" s="166">
        <v>0</v>
      </c>
      <c r="Z202" s="166">
        <v>75758023</v>
      </c>
      <c r="AA202" s="166">
        <v>-2424000</v>
      </c>
      <c r="AB202" s="166"/>
      <c r="AC202" s="166">
        <v>-14683762</v>
      </c>
      <c r="AD202" s="166">
        <v>280</v>
      </c>
      <c r="AE202" s="166">
        <v>12</v>
      </c>
      <c r="AF202" s="166">
        <v>0</v>
      </c>
      <c r="AG202" s="166"/>
      <c r="AH202" s="166">
        <v>0</v>
      </c>
      <c r="AI202" s="166">
        <v>0</v>
      </c>
      <c r="AJ202" s="166">
        <v>433</v>
      </c>
      <c r="AK202" s="166">
        <v>70</v>
      </c>
      <c r="AL202" s="166">
        <v>19</v>
      </c>
      <c r="AM202" s="166">
        <v>0</v>
      </c>
      <c r="AN202" s="166">
        <v>0</v>
      </c>
      <c r="AO202" s="166">
        <v>5</v>
      </c>
      <c r="AP202" s="166">
        <v>0</v>
      </c>
      <c r="AQ202" s="166">
        <v>0</v>
      </c>
      <c r="AR202" s="166">
        <v>1514</v>
      </c>
      <c r="AS202" s="166">
        <v>1416</v>
      </c>
      <c r="AT202" s="166">
        <v>1773</v>
      </c>
      <c r="AU202" s="166">
        <v>1501</v>
      </c>
      <c r="AV202" s="166">
        <v>272</v>
      </c>
      <c r="AW202" s="166">
        <v>2842</v>
      </c>
      <c r="AX202" s="166">
        <v>-191306</v>
      </c>
      <c r="AY202" s="166">
        <v>-1214153</v>
      </c>
      <c r="AZ202" s="166">
        <v>0</v>
      </c>
      <c r="BA202" s="166">
        <v>0</v>
      </c>
      <c r="BB202" s="166">
        <v>-1725196</v>
      </c>
      <c r="BC202" s="166">
        <v>0</v>
      </c>
      <c r="BD202" s="166">
        <v>-860213</v>
      </c>
      <c r="BE202" s="166">
        <v>761626</v>
      </c>
      <c r="BF202" s="166"/>
      <c r="BG202" s="760">
        <v>24289700</v>
      </c>
      <c r="BH202" s="760">
        <v>0</v>
      </c>
      <c r="BI202" s="815">
        <v>-5283010</v>
      </c>
      <c r="BJ202" s="1044" t="s">
        <v>2464</v>
      </c>
      <c r="BK202" s="1044" t="s">
        <v>2465</v>
      </c>
      <c r="BL202" s="1044" t="s">
        <v>2658</v>
      </c>
      <c r="BM202" s="650"/>
      <c r="BN202" s="746" t="s">
        <v>287</v>
      </c>
      <c r="BO202" s="142" t="b">
        <v>1</v>
      </c>
      <c r="BP202" s="544"/>
      <c r="BQ202" s="544"/>
      <c r="BR202" s="544"/>
      <c r="BS202" s="544"/>
      <c r="BT202" s="544"/>
      <c r="BU202" s="544"/>
      <c r="BV202" s="544"/>
      <c r="BW202" s="544"/>
      <c r="BX202" s="544"/>
      <c r="BY202" s="544"/>
      <c r="BZ202" s="544"/>
      <c r="CA202" s="544"/>
      <c r="CB202" s="544"/>
      <c r="CC202" s="544"/>
      <c r="CD202" s="544"/>
      <c r="CE202" s="544"/>
      <c r="CF202" s="544"/>
      <c r="CG202" s="544"/>
      <c r="CH202" s="544"/>
      <c r="CI202" s="544"/>
      <c r="CJ202" s="544"/>
      <c r="CK202" s="544"/>
      <c r="CL202" s="544"/>
      <c r="CM202" s="544"/>
      <c r="CN202" s="544"/>
      <c r="CO202" s="544"/>
      <c r="CP202" s="544"/>
      <c r="CQ202" s="544"/>
      <c r="CR202" s="544"/>
      <c r="CS202" s="544"/>
    </row>
    <row r="203" spans="1:97" s="142" customFormat="1" ht="12.75" hidden="1" x14ac:dyDescent="0.2">
      <c r="A203" s="735">
        <v>196</v>
      </c>
      <c r="B203" s="732" t="s">
        <v>288</v>
      </c>
      <c r="C203" s="738" t="s">
        <v>289</v>
      </c>
      <c r="D203" s="905">
        <v>335383.22858083597</v>
      </c>
      <c r="E203" s="905">
        <v>198536953</v>
      </c>
      <c r="F203" s="905">
        <v>9029</v>
      </c>
      <c r="G203" s="166">
        <v>98605547</v>
      </c>
      <c r="H203" s="166">
        <v>-9150546</v>
      </c>
      <c r="I203" s="166">
        <v>1801097</v>
      </c>
      <c r="J203" s="166">
        <v>-7349449</v>
      </c>
      <c r="K203" s="166">
        <v>-4709487</v>
      </c>
      <c r="L203" s="166">
        <v>-60067</v>
      </c>
      <c r="M203" s="166">
        <v>0</v>
      </c>
      <c r="N203" s="166">
        <v>0</v>
      </c>
      <c r="O203" s="166">
        <v>0</v>
      </c>
      <c r="P203" s="166">
        <v>-4000000</v>
      </c>
      <c r="Q203" s="166">
        <v>-43853</v>
      </c>
      <c r="R203" s="166">
        <v>-32890</v>
      </c>
      <c r="S203" s="166">
        <v>-3864</v>
      </c>
      <c r="T203" s="166"/>
      <c r="U203" s="166">
        <v>0</v>
      </c>
      <c r="V203" s="166">
        <v>-500000</v>
      </c>
      <c r="W203" s="166">
        <v>0</v>
      </c>
      <c r="X203" s="166">
        <v>0</v>
      </c>
      <c r="Y203" s="166">
        <v>0</v>
      </c>
      <c r="Z203" s="166">
        <v>70360397</v>
      </c>
      <c r="AA203" s="166">
        <v>-3555893</v>
      </c>
      <c r="AB203" s="166"/>
      <c r="AC203" s="166">
        <v>-3609442</v>
      </c>
      <c r="AD203" s="166">
        <v>272</v>
      </c>
      <c r="AE203" s="166">
        <v>11</v>
      </c>
      <c r="AF203" s="166">
        <v>0</v>
      </c>
      <c r="AG203" s="166"/>
      <c r="AH203" s="166">
        <v>0</v>
      </c>
      <c r="AI203" s="166">
        <v>0</v>
      </c>
      <c r="AJ203" s="166">
        <v>1141</v>
      </c>
      <c r="AK203" s="166">
        <v>63</v>
      </c>
      <c r="AL203" s="166">
        <v>9</v>
      </c>
      <c r="AM203" s="166">
        <v>0</v>
      </c>
      <c r="AN203" s="166">
        <v>0</v>
      </c>
      <c r="AO203" s="166">
        <v>7</v>
      </c>
      <c r="AP203" s="166">
        <v>0</v>
      </c>
      <c r="AQ203" s="166">
        <v>27</v>
      </c>
      <c r="AR203" s="166">
        <v>547</v>
      </c>
      <c r="AS203" s="166">
        <v>1928</v>
      </c>
      <c r="AT203" s="166">
        <v>3690</v>
      </c>
      <c r="AU203" s="166">
        <v>3531</v>
      </c>
      <c r="AV203" s="166">
        <v>159</v>
      </c>
      <c r="AW203" s="166">
        <v>3398</v>
      </c>
      <c r="AX203" s="166">
        <v>-800000</v>
      </c>
      <c r="AY203" s="166">
        <v>-720000</v>
      </c>
      <c r="AZ203" s="166">
        <v>0</v>
      </c>
      <c r="BA203" s="166">
        <v>-120000</v>
      </c>
      <c r="BB203" s="166">
        <v>-1520000</v>
      </c>
      <c r="BC203" s="166">
        <v>-840000</v>
      </c>
      <c r="BD203" s="166">
        <v>-734794</v>
      </c>
      <c r="BE203" s="166">
        <v>2450195</v>
      </c>
      <c r="BF203" s="166"/>
      <c r="BG203" s="760">
        <v>22530325</v>
      </c>
      <c r="BH203" s="760">
        <v>0</v>
      </c>
      <c r="BI203" s="815">
        <v>3493902</v>
      </c>
      <c r="BJ203" s="1044" t="s">
        <v>2468</v>
      </c>
      <c r="BK203" s="1044" t="s">
        <v>2481</v>
      </c>
      <c r="BL203" s="1044" t="s">
        <v>2659</v>
      </c>
      <c r="BM203" s="650"/>
      <c r="BN203" s="746" t="s">
        <v>289</v>
      </c>
      <c r="BO203" s="142" t="b">
        <v>1</v>
      </c>
      <c r="BP203" s="544"/>
      <c r="BQ203" s="544"/>
      <c r="BR203" s="544"/>
      <c r="BS203" s="544"/>
      <c r="BT203" s="544"/>
      <c r="BU203" s="544"/>
      <c r="BV203" s="544"/>
      <c r="BW203" s="544"/>
      <c r="BX203" s="544"/>
      <c r="BY203" s="544"/>
      <c r="BZ203" s="544"/>
      <c r="CA203" s="544"/>
      <c r="CB203" s="544"/>
      <c r="CC203" s="544"/>
      <c r="CD203" s="544"/>
      <c r="CE203" s="544"/>
      <c r="CF203" s="544"/>
      <c r="CG203" s="544"/>
      <c r="CH203" s="544"/>
      <c r="CI203" s="544"/>
      <c r="CJ203" s="544"/>
      <c r="CK203" s="544"/>
      <c r="CL203" s="544"/>
      <c r="CM203" s="544"/>
      <c r="CN203" s="544"/>
      <c r="CO203" s="544"/>
      <c r="CP203" s="544"/>
      <c r="CQ203" s="544"/>
      <c r="CR203" s="544"/>
      <c r="CS203" s="544"/>
    </row>
    <row r="204" spans="1:97" s="142" customFormat="1" ht="12.75" x14ac:dyDescent="0.2">
      <c r="A204" s="735">
        <v>197</v>
      </c>
      <c r="B204" s="732" t="s">
        <v>290</v>
      </c>
      <c r="C204" s="738" t="s">
        <v>291</v>
      </c>
      <c r="D204" s="905">
        <v>103584.720514646</v>
      </c>
      <c r="E204" s="905">
        <v>56285731</v>
      </c>
      <c r="F204" s="905">
        <v>2847</v>
      </c>
      <c r="G204" s="166">
        <v>27942814</v>
      </c>
      <c r="H204" s="166">
        <v>-3422470</v>
      </c>
      <c r="I204" s="166">
        <v>413148</v>
      </c>
      <c r="J204" s="166">
        <v>-3009322</v>
      </c>
      <c r="K204" s="166">
        <v>-1826207</v>
      </c>
      <c r="L204" s="166">
        <v>-6789</v>
      </c>
      <c r="M204" s="166">
        <v>0</v>
      </c>
      <c r="N204" s="166">
        <v>-5159</v>
      </c>
      <c r="O204" s="166">
        <v>0</v>
      </c>
      <c r="P204" s="166">
        <v>-380241</v>
      </c>
      <c r="Q204" s="166">
        <v>-4570</v>
      </c>
      <c r="R204" s="166">
        <v>0</v>
      </c>
      <c r="S204" s="166">
        <v>0</v>
      </c>
      <c r="T204" s="166"/>
      <c r="U204" s="166">
        <v>0</v>
      </c>
      <c r="V204" s="166">
        <v>0</v>
      </c>
      <c r="W204" s="166">
        <v>0</v>
      </c>
      <c r="X204" s="166">
        <v>0</v>
      </c>
      <c r="Y204" s="166">
        <v>0</v>
      </c>
      <c r="Z204" s="166">
        <v>16933211</v>
      </c>
      <c r="AA204" s="166">
        <v>-310522</v>
      </c>
      <c r="AB204" s="166"/>
      <c r="AC204" s="166">
        <v>-2374864</v>
      </c>
      <c r="AD204" s="166">
        <v>110</v>
      </c>
      <c r="AE204" s="166">
        <v>3</v>
      </c>
      <c r="AF204" s="166">
        <v>0</v>
      </c>
      <c r="AG204" s="166"/>
      <c r="AH204" s="166">
        <v>5</v>
      </c>
      <c r="AI204" s="166">
        <v>0</v>
      </c>
      <c r="AJ204" s="166">
        <v>110</v>
      </c>
      <c r="AK204" s="166">
        <v>17</v>
      </c>
      <c r="AL204" s="166">
        <v>0</v>
      </c>
      <c r="AM204" s="166">
        <v>0</v>
      </c>
      <c r="AN204" s="166">
        <v>0</v>
      </c>
      <c r="AO204" s="166">
        <v>0</v>
      </c>
      <c r="AP204" s="166">
        <v>0</v>
      </c>
      <c r="AQ204" s="166">
        <v>271</v>
      </c>
      <c r="AR204" s="166">
        <v>254</v>
      </c>
      <c r="AS204" s="166">
        <v>491</v>
      </c>
      <c r="AT204" s="166">
        <v>1399</v>
      </c>
      <c r="AU204" s="166">
        <v>1265</v>
      </c>
      <c r="AV204" s="166">
        <v>134</v>
      </c>
      <c r="AW204" s="166">
        <v>942</v>
      </c>
      <c r="AX204" s="166">
        <v>-74259</v>
      </c>
      <c r="AY204" s="166">
        <v>-29624</v>
      </c>
      <c r="AZ204" s="166">
        <v>0</v>
      </c>
      <c r="BA204" s="166">
        <v>0</v>
      </c>
      <c r="BB204" s="166">
        <v>-269575</v>
      </c>
      <c r="BC204" s="166">
        <v>-6783</v>
      </c>
      <c r="BD204" s="166">
        <v>-658807</v>
      </c>
      <c r="BE204" s="166">
        <v>-1109258</v>
      </c>
      <c r="BF204" s="166"/>
      <c r="BG204" s="760">
        <v>9204250</v>
      </c>
      <c r="BH204" s="760">
        <v>0</v>
      </c>
      <c r="BI204" s="815">
        <v>-1240872</v>
      </c>
      <c r="BJ204" s="1044" t="s">
        <v>2454</v>
      </c>
      <c r="BK204" s="1044" t="s">
        <v>2462</v>
      </c>
      <c r="BL204" s="1044" t="s">
        <v>2660</v>
      </c>
      <c r="BM204" s="650"/>
      <c r="BN204" s="746" t="s">
        <v>291</v>
      </c>
      <c r="BO204" s="142" t="b">
        <v>1</v>
      </c>
      <c r="BP204" s="544"/>
      <c r="BQ204" s="544"/>
      <c r="BR204" s="544"/>
      <c r="BS204" s="544"/>
      <c r="BT204" s="544"/>
      <c r="BU204" s="544"/>
      <c r="BV204" s="544"/>
      <c r="BW204" s="544"/>
      <c r="BX204" s="544"/>
      <c r="BY204" s="544"/>
      <c r="BZ204" s="544"/>
      <c r="CA204" s="544"/>
      <c r="CB204" s="544"/>
      <c r="CC204" s="544"/>
      <c r="CD204" s="544"/>
      <c r="CE204" s="544"/>
      <c r="CF204" s="544"/>
      <c r="CG204" s="544"/>
      <c r="CH204" s="544"/>
      <c r="CI204" s="544"/>
      <c r="CJ204" s="544"/>
      <c r="CK204" s="544"/>
      <c r="CL204" s="544"/>
      <c r="CM204" s="544"/>
      <c r="CN204" s="544"/>
      <c r="CO204" s="544"/>
      <c r="CP204" s="544"/>
      <c r="CQ204" s="544"/>
      <c r="CR204" s="544"/>
      <c r="CS204" s="544"/>
    </row>
    <row r="205" spans="1:97" s="142" customFormat="1" ht="12.75" x14ac:dyDescent="0.2">
      <c r="A205" s="735">
        <v>198</v>
      </c>
      <c r="B205" s="732" t="s">
        <v>292</v>
      </c>
      <c r="C205" s="738" t="s">
        <v>293</v>
      </c>
      <c r="D205" s="905">
        <v>97153.916440028406</v>
      </c>
      <c r="E205" s="905">
        <v>41631979</v>
      </c>
      <c r="F205" s="905">
        <v>2812</v>
      </c>
      <c r="G205" s="166">
        <v>20842499</v>
      </c>
      <c r="H205" s="166">
        <v>-3420908</v>
      </c>
      <c r="I205" s="166">
        <v>302093</v>
      </c>
      <c r="J205" s="166">
        <v>-3118815</v>
      </c>
      <c r="K205" s="166">
        <v>-725689</v>
      </c>
      <c r="L205" s="166">
        <v>-47353</v>
      </c>
      <c r="M205" s="166">
        <v>0</v>
      </c>
      <c r="N205" s="166">
        <v>-4931</v>
      </c>
      <c r="O205" s="166">
        <v>0</v>
      </c>
      <c r="P205" s="166">
        <v>-423796</v>
      </c>
      <c r="Q205" s="166">
        <v>-67102</v>
      </c>
      <c r="R205" s="166">
        <v>-23277</v>
      </c>
      <c r="S205" s="166">
        <v>-2955</v>
      </c>
      <c r="T205" s="166"/>
      <c r="U205" s="166">
        <v>0</v>
      </c>
      <c r="V205" s="166">
        <v>0</v>
      </c>
      <c r="W205" s="166">
        <v>0</v>
      </c>
      <c r="X205" s="166">
        <v>0</v>
      </c>
      <c r="Y205" s="166">
        <v>0</v>
      </c>
      <c r="Z205" s="166">
        <v>13602569</v>
      </c>
      <c r="AA205" s="166">
        <v>-500000</v>
      </c>
      <c r="AB205" s="166"/>
      <c r="AC205" s="166">
        <v>-849250</v>
      </c>
      <c r="AD205" s="166">
        <v>98</v>
      </c>
      <c r="AE205" s="166">
        <v>11</v>
      </c>
      <c r="AF205" s="166">
        <v>0</v>
      </c>
      <c r="AG205" s="166"/>
      <c r="AH205" s="166">
        <v>3</v>
      </c>
      <c r="AI205" s="166">
        <v>0</v>
      </c>
      <c r="AJ205" s="166">
        <v>343</v>
      </c>
      <c r="AK205" s="166">
        <v>52</v>
      </c>
      <c r="AL205" s="166">
        <v>7</v>
      </c>
      <c r="AM205" s="166">
        <v>0</v>
      </c>
      <c r="AN205" s="166">
        <v>0</v>
      </c>
      <c r="AO205" s="166">
        <v>7</v>
      </c>
      <c r="AP205" s="166">
        <v>0</v>
      </c>
      <c r="AQ205" s="166">
        <v>0</v>
      </c>
      <c r="AR205" s="166">
        <v>136</v>
      </c>
      <c r="AS205" s="166">
        <v>590</v>
      </c>
      <c r="AT205" s="166">
        <v>1556</v>
      </c>
      <c r="AU205" s="166">
        <v>1484</v>
      </c>
      <c r="AV205" s="166">
        <v>72</v>
      </c>
      <c r="AW205" s="166">
        <v>636</v>
      </c>
      <c r="AX205" s="166">
        <v>-6151</v>
      </c>
      <c r="AY205" s="166">
        <v>-139490</v>
      </c>
      <c r="AZ205" s="166">
        <v>0</v>
      </c>
      <c r="BA205" s="166">
        <v>-5952</v>
      </c>
      <c r="BB205" s="166">
        <v>-267595</v>
      </c>
      <c r="BC205" s="166">
        <v>-4608</v>
      </c>
      <c r="BD205" s="166">
        <v>-10000</v>
      </c>
      <c r="BE205" s="166">
        <v>-1198402</v>
      </c>
      <c r="BF205" s="166"/>
      <c r="BG205" s="760">
        <v>4918050</v>
      </c>
      <c r="BH205" s="760">
        <v>0</v>
      </c>
      <c r="BI205" s="815">
        <v>-538004</v>
      </c>
      <c r="BJ205" s="1044" t="s">
        <v>2454</v>
      </c>
      <c r="BK205" s="1044" t="s">
        <v>2481</v>
      </c>
      <c r="BL205" s="1044" t="s">
        <v>2661</v>
      </c>
      <c r="BM205" s="650"/>
      <c r="BN205" s="746" t="s">
        <v>293</v>
      </c>
      <c r="BO205" s="142" t="b">
        <v>1</v>
      </c>
      <c r="BP205" s="544"/>
      <c r="BQ205" s="544"/>
      <c r="BR205" s="544"/>
      <c r="BS205" s="544"/>
      <c r="BT205" s="544"/>
      <c r="BU205" s="544"/>
      <c r="BV205" s="544"/>
      <c r="BW205" s="544"/>
      <c r="BX205" s="544"/>
      <c r="BY205" s="544"/>
      <c r="BZ205" s="544"/>
      <c r="CA205" s="544"/>
      <c r="CB205" s="544"/>
      <c r="CC205" s="544"/>
      <c r="CD205" s="544"/>
      <c r="CE205" s="544"/>
      <c r="CF205" s="544"/>
      <c r="CG205" s="544"/>
      <c r="CH205" s="544"/>
      <c r="CI205" s="544"/>
      <c r="CJ205" s="544"/>
      <c r="CK205" s="544"/>
      <c r="CL205" s="544"/>
      <c r="CM205" s="544"/>
      <c r="CN205" s="544"/>
      <c r="CO205" s="544"/>
      <c r="CP205" s="544"/>
      <c r="CQ205" s="544"/>
      <c r="CR205" s="544"/>
      <c r="CS205" s="544"/>
    </row>
    <row r="206" spans="1:97" s="142" customFormat="1" ht="12.75" x14ac:dyDescent="0.2">
      <c r="A206" s="735">
        <v>199</v>
      </c>
      <c r="B206" s="732" t="s">
        <v>294</v>
      </c>
      <c r="C206" s="738" t="s">
        <v>295</v>
      </c>
      <c r="D206" s="905">
        <v>159828.28015865901</v>
      </c>
      <c r="E206" s="905">
        <v>60990910</v>
      </c>
      <c r="F206" s="905">
        <v>4647</v>
      </c>
      <c r="G206" s="166">
        <v>30380482</v>
      </c>
      <c r="H206" s="166">
        <v>-5109363</v>
      </c>
      <c r="I206" s="166">
        <v>419914</v>
      </c>
      <c r="J206" s="166">
        <v>-4689449</v>
      </c>
      <c r="K206" s="166">
        <v>-2598297</v>
      </c>
      <c r="L206" s="166">
        <v>-55958</v>
      </c>
      <c r="M206" s="166">
        <v>-41452</v>
      </c>
      <c r="N206" s="166">
        <v>-48179</v>
      </c>
      <c r="O206" s="166">
        <v>-1000</v>
      </c>
      <c r="P206" s="166">
        <v>-399623</v>
      </c>
      <c r="Q206" s="166">
        <v>-1481</v>
      </c>
      <c r="R206" s="166">
        <v>0</v>
      </c>
      <c r="S206" s="166">
        <v>0</v>
      </c>
      <c r="T206" s="166"/>
      <c r="U206" s="166">
        <v>0</v>
      </c>
      <c r="V206" s="166">
        <v>0</v>
      </c>
      <c r="W206" s="166">
        <v>0</v>
      </c>
      <c r="X206" s="166">
        <v>0</v>
      </c>
      <c r="Y206" s="166">
        <v>-20726</v>
      </c>
      <c r="Z206" s="166">
        <v>18396254</v>
      </c>
      <c r="AA206" s="166">
        <v>-871000</v>
      </c>
      <c r="AB206" s="166"/>
      <c r="AC206" s="166">
        <v>-1607000</v>
      </c>
      <c r="AD206" s="166">
        <v>202</v>
      </c>
      <c r="AE206" s="166">
        <v>23</v>
      </c>
      <c r="AF206" s="166">
        <v>18</v>
      </c>
      <c r="AG206" s="166"/>
      <c r="AH206" s="166">
        <v>23</v>
      </c>
      <c r="AI206" s="166">
        <v>0</v>
      </c>
      <c r="AJ206" s="166">
        <v>244</v>
      </c>
      <c r="AK206" s="166">
        <v>33</v>
      </c>
      <c r="AL206" s="166">
        <v>0</v>
      </c>
      <c r="AM206" s="166">
        <v>0</v>
      </c>
      <c r="AN206" s="166">
        <v>0</v>
      </c>
      <c r="AO206" s="166">
        <v>2</v>
      </c>
      <c r="AP206" s="166">
        <v>0</v>
      </c>
      <c r="AQ206" s="166">
        <v>0</v>
      </c>
      <c r="AR206" s="166">
        <v>423</v>
      </c>
      <c r="AS206" s="166">
        <v>617</v>
      </c>
      <c r="AT206" s="166">
        <v>2386</v>
      </c>
      <c r="AU206" s="166">
        <v>2298</v>
      </c>
      <c r="AV206" s="166">
        <v>88</v>
      </c>
      <c r="AW206" s="166">
        <v>1306</v>
      </c>
      <c r="AX206" s="166">
        <v>-21984</v>
      </c>
      <c r="AY206" s="166">
        <v>-225370</v>
      </c>
      <c r="AZ206" s="166">
        <v>0</v>
      </c>
      <c r="BA206" s="166">
        <v>0</v>
      </c>
      <c r="BB206" s="166">
        <v>-144316</v>
      </c>
      <c r="BC206" s="166">
        <v>-7953</v>
      </c>
      <c r="BD206" s="166">
        <v>-409764</v>
      </c>
      <c r="BE206" s="166">
        <v>-5945785</v>
      </c>
      <c r="BF206" s="166"/>
      <c r="BG206" s="760">
        <v>9141651</v>
      </c>
      <c r="BH206" s="760">
        <v>0</v>
      </c>
      <c r="BI206" s="815">
        <v>-6275801</v>
      </c>
      <c r="BJ206" s="1044" t="s">
        <v>2454</v>
      </c>
      <c r="BK206" s="1044" t="s">
        <v>2455</v>
      </c>
      <c r="BL206" s="1044" t="s">
        <v>2662</v>
      </c>
      <c r="BM206" s="650"/>
      <c r="BN206" s="746" t="s">
        <v>295</v>
      </c>
      <c r="BO206" s="142" t="b">
        <v>1</v>
      </c>
      <c r="BP206" s="544"/>
      <c r="BQ206" s="544"/>
      <c r="BR206" s="544"/>
      <c r="BS206" s="544"/>
      <c r="BT206" s="544"/>
      <c r="BU206" s="544"/>
      <c r="BV206" s="544"/>
      <c r="BW206" s="544"/>
      <c r="BX206" s="544"/>
      <c r="BY206" s="544"/>
      <c r="BZ206" s="544"/>
      <c r="CA206" s="544"/>
      <c r="CB206" s="544"/>
      <c r="CC206" s="544"/>
      <c r="CD206" s="544"/>
      <c r="CE206" s="544"/>
      <c r="CF206" s="544"/>
      <c r="CG206" s="544"/>
      <c r="CH206" s="544"/>
      <c r="CI206" s="544"/>
      <c r="CJ206" s="544"/>
      <c r="CK206" s="544"/>
      <c r="CL206" s="544"/>
      <c r="CM206" s="544"/>
      <c r="CN206" s="544"/>
      <c r="CO206" s="544"/>
      <c r="CP206" s="544"/>
      <c r="CQ206" s="544"/>
      <c r="CR206" s="544"/>
      <c r="CS206" s="544"/>
    </row>
    <row r="207" spans="1:97" s="142" customFormat="1" ht="12.75" hidden="1" x14ac:dyDescent="0.2">
      <c r="A207" s="735">
        <v>200</v>
      </c>
      <c r="B207" s="732" t="s">
        <v>296</v>
      </c>
      <c r="C207" s="738" t="s">
        <v>297</v>
      </c>
      <c r="D207" s="905">
        <v>293772.194757958</v>
      </c>
      <c r="E207" s="905">
        <v>206661241</v>
      </c>
      <c r="F207" s="905">
        <v>7773</v>
      </c>
      <c r="G207" s="166">
        <v>102530100</v>
      </c>
      <c r="H207" s="166">
        <v>-9286817</v>
      </c>
      <c r="I207" s="166">
        <v>1863285</v>
      </c>
      <c r="J207" s="166">
        <v>-7423532</v>
      </c>
      <c r="K207" s="166">
        <v>-6488411</v>
      </c>
      <c r="L207" s="166">
        <v>-16752</v>
      </c>
      <c r="M207" s="166">
        <v>-20508</v>
      </c>
      <c r="N207" s="166">
        <v>-9677</v>
      </c>
      <c r="O207" s="166">
        <v>0</v>
      </c>
      <c r="P207" s="166">
        <v>-1742523</v>
      </c>
      <c r="Q207" s="166">
        <v>-110771</v>
      </c>
      <c r="R207" s="166">
        <v>-744401</v>
      </c>
      <c r="S207" s="166">
        <v>-4188</v>
      </c>
      <c r="T207" s="166"/>
      <c r="U207" s="166">
        <v>0</v>
      </c>
      <c r="V207" s="166">
        <v>0</v>
      </c>
      <c r="W207" s="166">
        <v>0</v>
      </c>
      <c r="X207" s="166">
        <v>0</v>
      </c>
      <c r="Y207" s="166">
        <v>-9742</v>
      </c>
      <c r="Z207" s="166">
        <v>77223454</v>
      </c>
      <c r="AA207" s="166">
        <v>-3861173</v>
      </c>
      <c r="AB207" s="166"/>
      <c r="AC207" s="166">
        <v>-4556255</v>
      </c>
      <c r="AD207" s="166">
        <v>347</v>
      </c>
      <c r="AE207" s="166">
        <v>8</v>
      </c>
      <c r="AF207" s="166">
        <v>7</v>
      </c>
      <c r="AG207" s="166"/>
      <c r="AH207" s="166">
        <v>3</v>
      </c>
      <c r="AI207" s="166">
        <v>0</v>
      </c>
      <c r="AJ207" s="166">
        <v>686</v>
      </c>
      <c r="AK207" s="166">
        <v>76</v>
      </c>
      <c r="AL207" s="166">
        <v>18</v>
      </c>
      <c r="AM207" s="166">
        <v>0</v>
      </c>
      <c r="AN207" s="166">
        <v>0</v>
      </c>
      <c r="AO207" s="166">
        <v>8</v>
      </c>
      <c r="AP207" s="166">
        <v>0</v>
      </c>
      <c r="AQ207" s="166">
        <v>0</v>
      </c>
      <c r="AR207" s="166">
        <v>522</v>
      </c>
      <c r="AS207" s="166">
        <v>2030</v>
      </c>
      <c r="AT207" s="166">
        <v>3811</v>
      </c>
      <c r="AU207" s="166">
        <v>3587</v>
      </c>
      <c r="AV207" s="166">
        <v>224</v>
      </c>
      <c r="AW207" s="166">
        <v>1899</v>
      </c>
      <c r="AX207" s="166">
        <v>0</v>
      </c>
      <c r="AY207" s="166">
        <v>-139827</v>
      </c>
      <c r="AZ207" s="166">
        <v>0</v>
      </c>
      <c r="BA207" s="166">
        <v>-1688</v>
      </c>
      <c r="BB207" s="166">
        <v>-1002722</v>
      </c>
      <c r="BC207" s="166">
        <v>-598286</v>
      </c>
      <c r="BD207" s="166">
        <v>-355043</v>
      </c>
      <c r="BE207" s="166">
        <v>5391378</v>
      </c>
      <c r="BF207" s="166"/>
      <c r="BG207" s="760">
        <v>19462200</v>
      </c>
      <c r="BH207" s="760">
        <v>609750</v>
      </c>
      <c r="BI207" s="815">
        <v>5496087</v>
      </c>
      <c r="BJ207" s="1044" t="s">
        <v>2468</v>
      </c>
      <c r="BK207" s="1044" t="s">
        <v>2469</v>
      </c>
      <c r="BL207" s="1044" t="s">
        <v>2663</v>
      </c>
      <c r="BM207" s="650"/>
      <c r="BN207" s="746" t="s">
        <v>297</v>
      </c>
      <c r="BO207" s="142" t="b">
        <v>1</v>
      </c>
      <c r="BP207" s="544"/>
      <c r="BQ207" s="544"/>
      <c r="BR207" s="544"/>
      <c r="BS207" s="544"/>
      <c r="BT207" s="544"/>
      <c r="BU207" s="544"/>
      <c r="BV207" s="544"/>
      <c r="BW207" s="544"/>
      <c r="BX207" s="544"/>
      <c r="BY207" s="544"/>
      <c r="BZ207" s="544"/>
      <c r="CA207" s="544"/>
      <c r="CB207" s="544"/>
      <c r="CC207" s="544"/>
      <c r="CD207" s="544"/>
      <c r="CE207" s="544"/>
      <c r="CF207" s="544"/>
      <c r="CG207" s="544"/>
      <c r="CH207" s="544"/>
      <c r="CI207" s="544"/>
      <c r="CJ207" s="544"/>
      <c r="CK207" s="544"/>
      <c r="CL207" s="544"/>
      <c r="CM207" s="544"/>
      <c r="CN207" s="544"/>
      <c r="CO207" s="544"/>
      <c r="CP207" s="544"/>
      <c r="CQ207" s="544"/>
      <c r="CR207" s="544"/>
      <c r="CS207" s="544"/>
    </row>
    <row r="208" spans="1:97" s="142" customFormat="1" ht="12.75" x14ac:dyDescent="0.2">
      <c r="A208" s="735">
        <v>201</v>
      </c>
      <c r="B208" s="732" t="s">
        <v>298</v>
      </c>
      <c r="C208" s="738" t="s">
        <v>299</v>
      </c>
      <c r="D208" s="905">
        <v>135636.25514494299</v>
      </c>
      <c r="E208" s="905">
        <v>146325865</v>
      </c>
      <c r="F208" s="905">
        <v>3036</v>
      </c>
      <c r="G208" s="166">
        <v>75775214</v>
      </c>
      <c r="H208" s="166">
        <v>-3054603</v>
      </c>
      <c r="I208" s="166">
        <v>1581146</v>
      </c>
      <c r="J208" s="166">
        <v>-1473457</v>
      </c>
      <c r="K208" s="166">
        <v>-4068289</v>
      </c>
      <c r="L208" s="166">
        <v>-79950</v>
      </c>
      <c r="M208" s="166">
        <v>-10606</v>
      </c>
      <c r="N208" s="166">
        <v>-3892</v>
      </c>
      <c r="O208" s="166">
        <v>-200000</v>
      </c>
      <c r="P208" s="166">
        <v>-1820092</v>
      </c>
      <c r="Q208" s="166">
        <v>-116609</v>
      </c>
      <c r="R208" s="166">
        <v>0</v>
      </c>
      <c r="S208" s="166">
        <v>0</v>
      </c>
      <c r="T208" s="166"/>
      <c r="U208" s="166">
        <v>0</v>
      </c>
      <c r="V208" s="166">
        <v>0</v>
      </c>
      <c r="W208" s="166">
        <v>0</v>
      </c>
      <c r="X208" s="166">
        <v>0</v>
      </c>
      <c r="Y208" s="166">
        <v>-5303</v>
      </c>
      <c r="Z208" s="166">
        <v>63229898</v>
      </c>
      <c r="AA208" s="166">
        <v>-3031009</v>
      </c>
      <c r="AB208" s="166"/>
      <c r="AC208" s="166">
        <v>-2457581</v>
      </c>
      <c r="AD208" s="166">
        <v>187</v>
      </c>
      <c r="AE208" s="166">
        <v>11</v>
      </c>
      <c r="AF208" s="166">
        <v>3</v>
      </c>
      <c r="AG208" s="166"/>
      <c r="AH208" s="166">
        <v>2</v>
      </c>
      <c r="AI208" s="166">
        <v>1</v>
      </c>
      <c r="AJ208" s="166">
        <v>136</v>
      </c>
      <c r="AK208" s="166">
        <v>59</v>
      </c>
      <c r="AL208" s="166">
        <v>0</v>
      </c>
      <c r="AM208" s="166">
        <v>0</v>
      </c>
      <c r="AN208" s="166">
        <v>0</v>
      </c>
      <c r="AO208" s="166">
        <v>0</v>
      </c>
      <c r="AP208" s="166">
        <v>0</v>
      </c>
      <c r="AQ208" s="166">
        <v>0</v>
      </c>
      <c r="AR208" s="166">
        <v>337</v>
      </c>
      <c r="AS208" s="166">
        <v>784</v>
      </c>
      <c r="AT208" s="166">
        <v>1110</v>
      </c>
      <c r="AU208" s="166">
        <v>1009</v>
      </c>
      <c r="AV208" s="166">
        <v>101</v>
      </c>
      <c r="AW208" s="166">
        <v>1146</v>
      </c>
      <c r="AX208" s="166">
        <v>-1523754</v>
      </c>
      <c r="AY208" s="166">
        <v>-31522</v>
      </c>
      <c r="AZ208" s="166">
        <v>0</v>
      </c>
      <c r="BA208" s="166">
        <v>-10163</v>
      </c>
      <c r="BB208" s="166">
        <v>-226077</v>
      </c>
      <c r="BC208" s="166">
        <v>-28576</v>
      </c>
      <c r="BD208" s="166">
        <v>-27694</v>
      </c>
      <c r="BE208" s="166">
        <v>-1705562</v>
      </c>
      <c r="BF208" s="166"/>
      <c r="BG208" s="760">
        <v>15045600</v>
      </c>
      <c r="BH208" s="760">
        <v>0</v>
      </c>
      <c r="BI208" s="815">
        <v>-2279668</v>
      </c>
      <c r="BJ208" s="1044" t="s">
        <v>2454</v>
      </c>
      <c r="BK208" s="1044" t="s">
        <v>2478</v>
      </c>
      <c r="BL208" s="1044" t="s">
        <v>2664</v>
      </c>
      <c r="BM208" s="650"/>
      <c r="BN208" s="746" t="s">
        <v>299</v>
      </c>
      <c r="BO208" s="142" t="b">
        <v>1</v>
      </c>
      <c r="BP208" s="544"/>
      <c r="BQ208" s="544"/>
      <c r="BR208" s="544"/>
      <c r="BS208" s="544"/>
      <c r="BT208" s="544"/>
      <c r="BU208" s="544"/>
      <c r="BV208" s="544"/>
      <c r="BW208" s="544"/>
      <c r="BX208" s="544"/>
      <c r="BY208" s="544"/>
      <c r="BZ208" s="544"/>
      <c r="CA208" s="544"/>
      <c r="CB208" s="544"/>
      <c r="CC208" s="544"/>
      <c r="CD208" s="544"/>
      <c r="CE208" s="544"/>
      <c r="CF208" s="544"/>
      <c r="CG208" s="544"/>
      <c r="CH208" s="544"/>
      <c r="CI208" s="544"/>
      <c r="CJ208" s="544"/>
      <c r="CK208" s="544"/>
      <c r="CL208" s="544"/>
      <c r="CM208" s="544"/>
      <c r="CN208" s="544"/>
      <c r="CO208" s="544"/>
      <c r="CP208" s="544"/>
      <c r="CQ208" s="544"/>
      <c r="CR208" s="544"/>
      <c r="CS208" s="544"/>
    </row>
    <row r="209" spans="1:97" s="142" customFormat="1" ht="12.75" x14ac:dyDescent="0.2">
      <c r="A209" s="735">
        <v>202</v>
      </c>
      <c r="B209" s="732" t="s">
        <v>300</v>
      </c>
      <c r="C209" s="738" t="s">
        <v>301</v>
      </c>
      <c r="D209" s="905">
        <v>137110.827059595</v>
      </c>
      <c r="E209" s="905">
        <v>148177530</v>
      </c>
      <c r="F209" s="905">
        <v>2737</v>
      </c>
      <c r="G209" s="166">
        <v>77114420</v>
      </c>
      <c r="H209" s="166">
        <v>-2366606</v>
      </c>
      <c r="I209" s="166">
        <v>1699128</v>
      </c>
      <c r="J209" s="166">
        <v>-667478</v>
      </c>
      <c r="K209" s="166">
        <v>-5085847</v>
      </c>
      <c r="L209" s="166">
        <v>-38222</v>
      </c>
      <c r="M209" s="166">
        <v>0</v>
      </c>
      <c r="N209" s="166">
        <v>0</v>
      </c>
      <c r="O209" s="166">
        <v>0</v>
      </c>
      <c r="P209" s="166">
        <v>-1795679</v>
      </c>
      <c r="Q209" s="166">
        <v>-30420</v>
      </c>
      <c r="R209" s="166">
        <v>0</v>
      </c>
      <c r="S209" s="166">
        <v>0</v>
      </c>
      <c r="T209" s="166"/>
      <c r="U209" s="166">
        <v>0</v>
      </c>
      <c r="V209" s="166">
        <v>0</v>
      </c>
      <c r="W209" s="166">
        <v>0</v>
      </c>
      <c r="X209" s="166">
        <v>0</v>
      </c>
      <c r="Y209" s="166">
        <v>0</v>
      </c>
      <c r="Z209" s="166">
        <v>62891417</v>
      </c>
      <c r="AA209" s="166">
        <v>-888500</v>
      </c>
      <c r="AB209" s="166"/>
      <c r="AC209" s="166">
        <v>-3203011</v>
      </c>
      <c r="AD209" s="166">
        <v>112</v>
      </c>
      <c r="AE209" s="166">
        <v>11</v>
      </c>
      <c r="AF209" s="166">
        <v>0</v>
      </c>
      <c r="AG209" s="166"/>
      <c r="AH209" s="166">
        <v>0</v>
      </c>
      <c r="AI209" s="166">
        <v>0</v>
      </c>
      <c r="AJ209" s="166">
        <v>358</v>
      </c>
      <c r="AK209" s="166">
        <v>31</v>
      </c>
      <c r="AL209" s="166">
        <v>0</v>
      </c>
      <c r="AM209" s="166">
        <v>0</v>
      </c>
      <c r="AN209" s="166">
        <v>0</v>
      </c>
      <c r="AO209" s="166">
        <v>0</v>
      </c>
      <c r="AP209" s="166">
        <v>0</v>
      </c>
      <c r="AQ209" s="166">
        <v>0</v>
      </c>
      <c r="AR209" s="166">
        <v>332</v>
      </c>
      <c r="AS209" s="166">
        <v>821</v>
      </c>
      <c r="AT209" s="166">
        <v>807</v>
      </c>
      <c r="AU209" s="166">
        <v>696</v>
      </c>
      <c r="AV209" s="166">
        <v>111</v>
      </c>
      <c r="AW209" s="166">
        <v>1193</v>
      </c>
      <c r="AX209" s="166">
        <v>0</v>
      </c>
      <c r="AY209" s="166">
        <v>-1024143</v>
      </c>
      <c r="AZ209" s="166">
        <v>0</v>
      </c>
      <c r="BA209" s="166">
        <v>-16373</v>
      </c>
      <c r="BB209" s="166">
        <v>-755163</v>
      </c>
      <c r="BC209" s="166">
        <v>0</v>
      </c>
      <c r="BD209" s="166">
        <v>-242952</v>
      </c>
      <c r="BE209" s="166">
        <v>91104</v>
      </c>
      <c r="BF209" s="166"/>
      <c r="BG209" s="760">
        <v>12524550</v>
      </c>
      <c r="BH209" s="760">
        <v>176000</v>
      </c>
      <c r="BI209" s="815">
        <v>-3586259</v>
      </c>
      <c r="BJ209" s="1044" t="s">
        <v>2454</v>
      </c>
      <c r="BK209" s="1044" t="s">
        <v>2455</v>
      </c>
      <c r="BL209" s="1044" t="s">
        <v>2665</v>
      </c>
      <c r="BM209" s="650"/>
      <c r="BN209" s="746" t="s">
        <v>301</v>
      </c>
      <c r="BO209" s="142" t="b">
        <v>1</v>
      </c>
      <c r="BP209" s="544"/>
      <c r="BQ209" s="544"/>
      <c r="BR209" s="544"/>
      <c r="BS209" s="544"/>
      <c r="BT209" s="544"/>
      <c r="BU209" s="544"/>
      <c r="BV209" s="544"/>
      <c r="BW209" s="544"/>
      <c r="BX209" s="544"/>
      <c r="BY209" s="544"/>
      <c r="BZ209" s="544"/>
      <c r="CA209" s="544"/>
      <c r="CB209" s="544"/>
      <c r="CC209" s="544"/>
      <c r="CD209" s="544"/>
      <c r="CE209" s="544"/>
      <c r="CF209" s="544"/>
      <c r="CG209" s="544"/>
      <c r="CH209" s="544"/>
      <c r="CI209" s="544"/>
      <c r="CJ209" s="544"/>
      <c r="CK209" s="544"/>
      <c r="CL209" s="544"/>
      <c r="CM209" s="544"/>
      <c r="CN209" s="544"/>
      <c r="CO209" s="544"/>
      <c r="CP209" s="544"/>
      <c r="CQ209" s="544"/>
      <c r="CR209" s="544"/>
      <c r="CS209" s="544"/>
    </row>
    <row r="210" spans="1:97" s="142" customFormat="1" ht="12.75" x14ac:dyDescent="0.2">
      <c r="A210" s="735">
        <v>203</v>
      </c>
      <c r="B210" s="732" t="s">
        <v>302</v>
      </c>
      <c r="C210" s="738" t="s">
        <v>303</v>
      </c>
      <c r="D210" s="905">
        <v>117637.297627557</v>
      </c>
      <c r="E210" s="905">
        <v>81586822</v>
      </c>
      <c r="F210" s="905">
        <v>3077</v>
      </c>
      <c r="G210" s="166">
        <v>40650430</v>
      </c>
      <c r="H210" s="166">
        <v>-3233146</v>
      </c>
      <c r="I210" s="166">
        <v>701484</v>
      </c>
      <c r="J210" s="166">
        <v>-2531662</v>
      </c>
      <c r="K210" s="166">
        <v>-3321213</v>
      </c>
      <c r="L210" s="166">
        <v>-85123</v>
      </c>
      <c r="M210" s="166">
        <v>-18098</v>
      </c>
      <c r="N210" s="166">
        <v>-4582</v>
      </c>
      <c r="O210" s="166">
        <v>0</v>
      </c>
      <c r="P210" s="166">
        <v>-73605</v>
      </c>
      <c r="Q210" s="166">
        <v>-16929</v>
      </c>
      <c r="R210" s="166">
        <v>-458132</v>
      </c>
      <c r="S210" s="166">
        <v>-153</v>
      </c>
      <c r="T210" s="166"/>
      <c r="U210" s="166">
        <v>0</v>
      </c>
      <c r="V210" s="166">
        <v>0</v>
      </c>
      <c r="W210" s="166">
        <v>0</v>
      </c>
      <c r="X210" s="166">
        <v>0</v>
      </c>
      <c r="Y210" s="166">
        <v>-9049</v>
      </c>
      <c r="Z210" s="166">
        <v>27835938</v>
      </c>
      <c r="AA210" s="166">
        <v>-918586</v>
      </c>
      <c r="AB210" s="166"/>
      <c r="AC210" s="166">
        <v>-2324373</v>
      </c>
      <c r="AD210" s="166">
        <v>127</v>
      </c>
      <c r="AE210" s="166">
        <v>23</v>
      </c>
      <c r="AF210" s="166">
        <v>8</v>
      </c>
      <c r="AG210" s="166"/>
      <c r="AH210" s="166">
        <v>4</v>
      </c>
      <c r="AI210" s="166">
        <v>0</v>
      </c>
      <c r="AJ210" s="166">
        <v>0</v>
      </c>
      <c r="AK210" s="166">
        <v>50</v>
      </c>
      <c r="AL210" s="166">
        <v>0</v>
      </c>
      <c r="AM210" s="166">
        <v>0</v>
      </c>
      <c r="AN210" s="166">
        <v>0</v>
      </c>
      <c r="AO210" s="166">
        <v>1</v>
      </c>
      <c r="AP210" s="166">
        <v>0</v>
      </c>
      <c r="AQ210" s="166">
        <v>0</v>
      </c>
      <c r="AR210" s="166">
        <v>342</v>
      </c>
      <c r="AS210" s="166">
        <v>550</v>
      </c>
      <c r="AT210" s="166">
        <v>1334</v>
      </c>
      <c r="AU210" s="166">
        <v>1202</v>
      </c>
      <c r="AV210" s="166">
        <v>132</v>
      </c>
      <c r="AW210" s="166">
        <v>1140</v>
      </c>
      <c r="AX210" s="166">
        <v>-1315</v>
      </c>
      <c r="AY210" s="166">
        <v>-6284</v>
      </c>
      <c r="AZ210" s="166">
        <v>0</v>
      </c>
      <c r="BA210" s="166">
        <v>0</v>
      </c>
      <c r="BB210" s="166">
        <v>-66006</v>
      </c>
      <c r="BC210" s="166">
        <v>0</v>
      </c>
      <c r="BD210" s="166">
        <v>-753853</v>
      </c>
      <c r="BE210" s="166">
        <v>-900596</v>
      </c>
      <c r="BF210" s="166"/>
      <c r="BG210" s="760">
        <v>10486500</v>
      </c>
      <c r="BH210" s="760">
        <v>0</v>
      </c>
      <c r="BI210" s="815">
        <v>102107</v>
      </c>
      <c r="BJ210" s="1044" t="s">
        <v>2454</v>
      </c>
      <c r="BK210" s="1044" t="s">
        <v>2457</v>
      </c>
      <c r="BL210" s="1044" t="s">
        <v>2666</v>
      </c>
      <c r="BM210" s="650"/>
      <c r="BN210" s="746" t="s">
        <v>303</v>
      </c>
      <c r="BO210" s="142" t="b">
        <v>1</v>
      </c>
      <c r="BP210" s="544"/>
      <c r="BQ210" s="544"/>
      <c r="BR210" s="544"/>
      <c r="BS210" s="544"/>
      <c r="BT210" s="544"/>
      <c r="BU210" s="544"/>
      <c r="BV210" s="544"/>
      <c r="BW210" s="544"/>
      <c r="BX210" s="544"/>
      <c r="BY210" s="544"/>
      <c r="BZ210" s="544"/>
      <c r="CA210" s="544"/>
      <c r="CB210" s="544"/>
      <c r="CC210" s="544"/>
      <c r="CD210" s="544"/>
      <c r="CE210" s="544"/>
      <c r="CF210" s="544"/>
      <c r="CG210" s="544"/>
      <c r="CH210" s="544"/>
      <c r="CI210" s="544"/>
      <c r="CJ210" s="544"/>
      <c r="CK210" s="544"/>
      <c r="CL210" s="544"/>
      <c r="CM210" s="544"/>
      <c r="CN210" s="544"/>
      <c r="CO210" s="544"/>
      <c r="CP210" s="544"/>
      <c r="CQ210" s="544"/>
      <c r="CR210" s="544"/>
      <c r="CS210" s="544"/>
    </row>
    <row r="211" spans="1:97" s="142" customFormat="1" ht="12.75" x14ac:dyDescent="0.2">
      <c r="A211" s="735">
        <v>204</v>
      </c>
      <c r="B211" s="732" t="s">
        <v>304</v>
      </c>
      <c r="C211" s="738" t="s">
        <v>305</v>
      </c>
      <c r="D211" s="905">
        <v>125262.977722864</v>
      </c>
      <c r="E211" s="905">
        <v>145726335</v>
      </c>
      <c r="F211" s="905">
        <v>2651</v>
      </c>
      <c r="G211" s="166">
        <v>72235297</v>
      </c>
      <c r="H211" s="166">
        <v>-2337929</v>
      </c>
      <c r="I211" s="166">
        <v>1211451</v>
      </c>
      <c r="J211" s="166">
        <v>-1126478</v>
      </c>
      <c r="K211" s="166">
        <v>-1895057</v>
      </c>
      <c r="L211" s="166">
        <v>-22031</v>
      </c>
      <c r="M211" s="166">
        <v>0</v>
      </c>
      <c r="N211" s="166">
        <v>-5158</v>
      </c>
      <c r="O211" s="166">
        <v>-31654</v>
      </c>
      <c r="P211" s="166">
        <v>-671631</v>
      </c>
      <c r="Q211" s="166">
        <v>-50399</v>
      </c>
      <c r="R211" s="166">
        <v>-173274</v>
      </c>
      <c r="S211" s="166">
        <v>-5508</v>
      </c>
      <c r="T211" s="166"/>
      <c r="U211" s="166">
        <v>0</v>
      </c>
      <c r="V211" s="166">
        <v>0</v>
      </c>
      <c r="W211" s="166">
        <v>0</v>
      </c>
      <c r="X211" s="166">
        <v>0</v>
      </c>
      <c r="Y211" s="166">
        <v>0</v>
      </c>
      <c r="Z211" s="166">
        <v>53099654</v>
      </c>
      <c r="AA211" s="166">
        <v>-4488358</v>
      </c>
      <c r="AB211" s="166"/>
      <c r="AC211" s="166">
        <v>-6043965</v>
      </c>
      <c r="AD211" s="166">
        <v>99</v>
      </c>
      <c r="AE211" s="166">
        <v>6</v>
      </c>
      <c r="AF211" s="166">
        <v>0</v>
      </c>
      <c r="AG211" s="166"/>
      <c r="AH211" s="166">
        <v>3</v>
      </c>
      <c r="AI211" s="166">
        <v>1</v>
      </c>
      <c r="AJ211" s="166">
        <v>418</v>
      </c>
      <c r="AK211" s="166">
        <v>48</v>
      </c>
      <c r="AL211" s="166">
        <v>4</v>
      </c>
      <c r="AM211" s="166">
        <v>0</v>
      </c>
      <c r="AN211" s="166">
        <v>0</v>
      </c>
      <c r="AO211" s="166">
        <v>6</v>
      </c>
      <c r="AP211" s="166">
        <v>0</v>
      </c>
      <c r="AQ211" s="166">
        <v>3</v>
      </c>
      <c r="AR211" s="166">
        <v>448</v>
      </c>
      <c r="AS211" s="166">
        <v>1000</v>
      </c>
      <c r="AT211" s="166">
        <v>807</v>
      </c>
      <c r="AU211" s="166">
        <v>725</v>
      </c>
      <c r="AV211" s="166">
        <v>82</v>
      </c>
      <c r="AW211" s="166">
        <v>821</v>
      </c>
      <c r="AX211" s="166">
        <v>-15476</v>
      </c>
      <c r="AY211" s="166">
        <v>-156676</v>
      </c>
      <c r="AZ211" s="166">
        <v>0</v>
      </c>
      <c r="BA211" s="166">
        <v>-233992</v>
      </c>
      <c r="BB211" s="166">
        <v>-265487</v>
      </c>
      <c r="BC211" s="166">
        <v>0</v>
      </c>
      <c r="BD211" s="166">
        <v>-138792</v>
      </c>
      <c r="BE211" s="166">
        <v>543604</v>
      </c>
      <c r="BF211" s="166"/>
      <c r="BG211" s="760">
        <v>12858300</v>
      </c>
      <c r="BH211" s="760">
        <v>0</v>
      </c>
      <c r="BI211" s="815">
        <v>526525</v>
      </c>
      <c r="BJ211" s="1044" t="s">
        <v>2454</v>
      </c>
      <c r="BK211" s="1044" t="s">
        <v>2455</v>
      </c>
      <c r="BL211" s="1044" t="s">
        <v>2667</v>
      </c>
      <c r="BM211" s="650"/>
      <c r="BN211" s="746" t="s">
        <v>305</v>
      </c>
      <c r="BO211" s="142" t="b">
        <v>1</v>
      </c>
      <c r="BP211" s="544"/>
      <c r="BQ211" s="544"/>
      <c r="BR211" s="544"/>
      <c r="BS211" s="544"/>
      <c r="BT211" s="544"/>
      <c r="BU211" s="544"/>
      <c r="BV211" s="544"/>
      <c r="BW211" s="544"/>
      <c r="BX211" s="544"/>
      <c r="BY211" s="544"/>
      <c r="BZ211" s="544"/>
      <c r="CA211" s="544"/>
      <c r="CB211" s="544"/>
      <c r="CC211" s="544"/>
      <c r="CD211" s="544"/>
      <c r="CE211" s="544"/>
      <c r="CF211" s="544"/>
      <c r="CG211" s="544"/>
      <c r="CH211" s="544"/>
      <c r="CI211" s="544"/>
      <c r="CJ211" s="544"/>
      <c r="CK211" s="544"/>
      <c r="CL211" s="544"/>
      <c r="CM211" s="544"/>
      <c r="CN211" s="544"/>
      <c r="CO211" s="544"/>
      <c r="CP211" s="544"/>
      <c r="CQ211" s="544"/>
      <c r="CR211" s="544"/>
      <c r="CS211" s="544"/>
    </row>
    <row r="212" spans="1:97" s="142" customFormat="1" ht="12.75" hidden="1" x14ac:dyDescent="0.2">
      <c r="A212" s="735">
        <v>205</v>
      </c>
      <c r="B212" s="732" t="s">
        <v>620</v>
      </c>
      <c r="C212" s="738" t="s">
        <v>307</v>
      </c>
      <c r="D212" s="905">
        <v>63195.874499240497</v>
      </c>
      <c r="E212" s="905">
        <v>36501393</v>
      </c>
      <c r="F212" s="905">
        <v>1744</v>
      </c>
      <c r="G212" s="166">
        <v>17640486</v>
      </c>
      <c r="H212" s="166">
        <v>-2087984</v>
      </c>
      <c r="I212" s="166">
        <v>302458</v>
      </c>
      <c r="J212" s="166">
        <v>-1785526</v>
      </c>
      <c r="K212" s="166">
        <v>-1868139</v>
      </c>
      <c r="L212" s="166">
        <v>-15576</v>
      </c>
      <c r="M212" s="166">
        <v>-14318</v>
      </c>
      <c r="N212" s="166">
        <v>-4314</v>
      </c>
      <c r="O212" s="166">
        <v>-7858</v>
      </c>
      <c r="P212" s="166">
        <v>-304823</v>
      </c>
      <c r="Q212" s="166">
        <v>-60169</v>
      </c>
      <c r="R212" s="166">
        <v>-41926</v>
      </c>
      <c r="S212" s="166">
        <v>-500</v>
      </c>
      <c r="T212" s="166"/>
      <c r="U212" s="166">
        <v>0</v>
      </c>
      <c r="V212" s="166">
        <v>0</v>
      </c>
      <c r="W212" s="166">
        <v>0</v>
      </c>
      <c r="X212" s="166">
        <v>0</v>
      </c>
      <c r="Y212" s="166">
        <v>-7159</v>
      </c>
      <c r="Z212" s="166">
        <v>11104363</v>
      </c>
      <c r="AA212" s="166">
        <v>-1183300</v>
      </c>
      <c r="AB212" s="166"/>
      <c r="AC212" s="166">
        <v>-1792591</v>
      </c>
      <c r="AD212" s="166">
        <v>99</v>
      </c>
      <c r="AE212" s="166">
        <v>4</v>
      </c>
      <c r="AF212" s="166">
        <v>6</v>
      </c>
      <c r="AG212" s="166"/>
      <c r="AH212" s="166">
        <v>2</v>
      </c>
      <c r="AI212" s="166">
        <v>1</v>
      </c>
      <c r="AJ212" s="166">
        <v>94</v>
      </c>
      <c r="AK212" s="166">
        <v>48</v>
      </c>
      <c r="AL212" s="166">
        <v>4</v>
      </c>
      <c r="AM212" s="166">
        <v>0</v>
      </c>
      <c r="AN212" s="166">
        <v>0</v>
      </c>
      <c r="AO212" s="166">
        <v>4</v>
      </c>
      <c r="AP212" s="166">
        <v>0</v>
      </c>
      <c r="AQ212" s="166">
        <v>0</v>
      </c>
      <c r="AR212" s="166">
        <v>204</v>
      </c>
      <c r="AS212" s="166">
        <v>340</v>
      </c>
      <c r="AT212" s="166">
        <v>827</v>
      </c>
      <c r="AU212" s="166">
        <v>771</v>
      </c>
      <c r="AV212" s="166">
        <v>56</v>
      </c>
      <c r="AW212" s="166">
        <v>580</v>
      </c>
      <c r="AX212" s="166">
        <v>-4764</v>
      </c>
      <c r="AY212" s="166">
        <v>-83311</v>
      </c>
      <c r="AZ212" s="166">
        <v>0</v>
      </c>
      <c r="BA212" s="166">
        <v>0</v>
      </c>
      <c r="BB212" s="166">
        <v>-111105</v>
      </c>
      <c r="BC212" s="166">
        <v>-5643</v>
      </c>
      <c r="BD212" s="166">
        <v>0</v>
      </c>
      <c r="BE212" s="166">
        <v>2678408</v>
      </c>
      <c r="BF212" s="166"/>
      <c r="BG212" s="760">
        <v>4192500</v>
      </c>
      <c r="BH212" s="760">
        <v>0</v>
      </c>
      <c r="BI212" s="815">
        <v>3784788</v>
      </c>
      <c r="BJ212" s="1044" t="s">
        <v>515</v>
      </c>
      <c r="BK212" s="1044" t="s">
        <v>2457</v>
      </c>
      <c r="BL212" s="1044" t="s">
        <v>2668</v>
      </c>
      <c r="BM212" s="650"/>
      <c r="BN212" s="746" t="s">
        <v>307</v>
      </c>
      <c r="BO212" s="142" t="b">
        <v>1</v>
      </c>
      <c r="BP212" s="544"/>
      <c r="BQ212" s="544"/>
      <c r="BR212" s="544"/>
      <c r="BS212" s="544"/>
      <c r="BT212" s="544"/>
      <c r="BU212" s="544"/>
      <c r="BV212" s="544"/>
      <c r="BW212" s="544"/>
      <c r="BX212" s="544"/>
      <c r="BY212" s="544"/>
      <c r="BZ212" s="544"/>
      <c r="CA212" s="544"/>
      <c r="CB212" s="544"/>
      <c r="CC212" s="544"/>
      <c r="CD212" s="544"/>
      <c r="CE212" s="544"/>
      <c r="CF212" s="544"/>
      <c r="CG212" s="544"/>
      <c r="CH212" s="544"/>
      <c r="CI212" s="544"/>
      <c r="CJ212" s="544"/>
      <c r="CK212" s="544"/>
      <c r="CL212" s="544"/>
      <c r="CM212" s="544"/>
      <c r="CN212" s="544"/>
      <c r="CO212" s="544"/>
      <c r="CP212" s="544"/>
      <c r="CQ212" s="544"/>
      <c r="CR212" s="544"/>
      <c r="CS212" s="544"/>
    </row>
    <row r="213" spans="1:97" s="142" customFormat="1" ht="12.75" hidden="1" x14ac:dyDescent="0.2">
      <c r="A213" s="735">
        <v>206</v>
      </c>
      <c r="B213" s="732" t="s">
        <v>308</v>
      </c>
      <c r="C213" s="738" t="s">
        <v>309</v>
      </c>
      <c r="D213" s="905">
        <v>449390.95756739198</v>
      </c>
      <c r="E213" s="905">
        <v>287192114</v>
      </c>
      <c r="F213" s="905">
        <v>11907</v>
      </c>
      <c r="G213" s="166">
        <v>143439975</v>
      </c>
      <c r="H213" s="166">
        <v>-8907825</v>
      </c>
      <c r="I213" s="166">
        <v>2726804</v>
      </c>
      <c r="J213" s="166">
        <v>-6181021</v>
      </c>
      <c r="K213" s="166">
        <v>-9386474</v>
      </c>
      <c r="L213" s="166">
        <v>-125116</v>
      </c>
      <c r="M213" s="166">
        <v>0</v>
      </c>
      <c r="N213" s="166">
        <v>-7885</v>
      </c>
      <c r="O213" s="166">
        <v>0</v>
      </c>
      <c r="P213" s="166">
        <v>-7107650</v>
      </c>
      <c r="Q213" s="166">
        <v>-152925</v>
      </c>
      <c r="R213" s="166">
        <v>-15163</v>
      </c>
      <c r="S213" s="166">
        <v>0</v>
      </c>
      <c r="T213" s="166"/>
      <c r="U213" s="166">
        <v>0</v>
      </c>
      <c r="V213" s="166">
        <v>0</v>
      </c>
      <c r="W213" s="166">
        <v>0</v>
      </c>
      <c r="X213" s="166">
        <v>0</v>
      </c>
      <c r="Y213" s="166">
        <v>0</v>
      </c>
      <c r="Z213" s="166">
        <v>100417148</v>
      </c>
      <c r="AA213" s="166">
        <v>-4733519</v>
      </c>
      <c r="AB213" s="166"/>
      <c r="AC213" s="166">
        <v>-7564071</v>
      </c>
      <c r="AD213" s="166">
        <v>381</v>
      </c>
      <c r="AE213" s="166">
        <v>15</v>
      </c>
      <c r="AF213" s="166">
        <v>0</v>
      </c>
      <c r="AG213" s="166"/>
      <c r="AH213" s="166">
        <v>3</v>
      </c>
      <c r="AI213" s="166">
        <v>0</v>
      </c>
      <c r="AJ213" s="166">
        <v>2267</v>
      </c>
      <c r="AK213" s="166">
        <v>59</v>
      </c>
      <c r="AL213" s="166">
        <v>3</v>
      </c>
      <c r="AM213" s="166">
        <v>0</v>
      </c>
      <c r="AN213" s="166">
        <v>0</v>
      </c>
      <c r="AO213" s="166">
        <v>0</v>
      </c>
      <c r="AP213" s="166">
        <v>0</v>
      </c>
      <c r="AQ213" s="166">
        <v>0</v>
      </c>
      <c r="AR213" s="166">
        <v>968</v>
      </c>
      <c r="AS213" s="166">
        <v>4687</v>
      </c>
      <c r="AT213" s="166">
        <v>3772</v>
      </c>
      <c r="AU213" s="166">
        <v>3595</v>
      </c>
      <c r="AV213" s="166">
        <v>177</v>
      </c>
      <c r="AW213" s="166">
        <v>3380</v>
      </c>
      <c r="AX213" s="166">
        <v>-1351423</v>
      </c>
      <c r="AY213" s="166">
        <v>-492989</v>
      </c>
      <c r="AZ213" s="166">
        <v>0</v>
      </c>
      <c r="BA213" s="166">
        <v>-112477</v>
      </c>
      <c r="BB213" s="166">
        <v>-300450</v>
      </c>
      <c r="BC213" s="166">
        <v>-4850311</v>
      </c>
      <c r="BD213" s="166">
        <v>-1116873</v>
      </c>
      <c r="BE213" s="166">
        <v>-4389639</v>
      </c>
      <c r="BF213" s="166"/>
      <c r="BG213" s="760">
        <v>30310400</v>
      </c>
      <c r="BH213" s="760">
        <v>0</v>
      </c>
      <c r="BI213" s="815">
        <v>-4323638</v>
      </c>
      <c r="BJ213" s="1044" t="s">
        <v>2468</v>
      </c>
      <c r="BK213" s="1044" t="s">
        <v>2481</v>
      </c>
      <c r="BL213" s="1044" t="s">
        <v>2669</v>
      </c>
      <c r="BM213" s="650"/>
      <c r="BN213" s="746" t="s">
        <v>309</v>
      </c>
      <c r="BO213" s="142" t="b">
        <v>1</v>
      </c>
      <c r="BP213" s="544"/>
      <c r="BQ213" s="544"/>
      <c r="BR213" s="544"/>
      <c r="BS213" s="544"/>
      <c r="BT213" s="544"/>
      <c r="BU213" s="544"/>
      <c r="BV213" s="544"/>
      <c r="BW213" s="544"/>
      <c r="BX213" s="544"/>
      <c r="BY213" s="544"/>
      <c r="BZ213" s="544"/>
      <c r="CA213" s="544"/>
      <c r="CB213" s="544"/>
      <c r="CC213" s="544"/>
      <c r="CD213" s="544"/>
      <c r="CE213" s="544"/>
      <c r="CF213" s="544"/>
      <c r="CG213" s="544"/>
      <c r="CH213" s="544"/>
      <c r="CI213" s="544"/>
      <c r="CJ213" s="544"/>
      <c r="CK213" s="544"/>
      <c r="CL213" s="544"/>
      <c r="CM213" s="544"/>
      <c r="CN213" s="544"/>
      <c r="CO213" s="544"/>
      <c r="CP213" s="544"/>
      <c r="CQ213" s="544"/>
      <c r="CR213" s="544"/>
      <c r="CS213" s="544"/>
    </row>
    <row r="214" spans="1:97" s="142" customFormat="1" ht="12.75" hidden="1" x14ac:dyDescent="0.2">
      <c r="A214" s="735">
        <v>207</v>
      </c>
      <c r="B214" s="732" t="s">
        <v>310</v>
      </c>
      <c r="C214" s="738" t="s">
        <v>311</v>
      </c>
      <c r="D214" s="905">
        <v>419990.61180734698</v>
      </c>
      <c r="E214" s="905">
        <v>294612371</v>
      </c>
      <c r="F214" s="905">
        <v>10938</v>
      </c>
      <c r="G214" s="166">
        <v>146720919</v>
      </c>
      <c r="H214" s="166">
        <v>-13000000</v>
      </c>
      <c r="I214" s="166">
        <v>3231628</v>
      </c>
      <c r="J214" s="166">
        <v>-9768372</v>
      </c>
      <c r="K214" s="166">
        <v>-7256000</v>
      </c>
      <c r="L214" s="166">
        <v>-79000</v>
      </c>
      <c r="M214" s="166">
        <v>0</v>
      </c>
      <c r="N214" s="166">
        <v>-7800</v>
      </c>
      <c r="O214" s="166">
        <v>-50000</v>
      </c>
      <c r="P214" s="166">
        <v>-2100000</v>
      </c>
      <c r="Q214" s="166">
        <v>-500000</v>
      </c>
      <c r="R214" s="166">
        <v>-350000</v>
      </c>
      <c r="S214" s="166">
        <v>-80000</v>
      </c>
      <c r="T214" s="166"/>
      <c r="U214" s="166">
        <v>0</v>
      </c>
      <c r="V214" s="166">
        <v>0</v>
      </c>
      <c r="W214" s="166">
        <v>0</v>
      </c>
      <c r="X214" s="166">
        <v>0</v>
      </c>
      <c r="Y214" s="166">
        <v>0</v>
      </c>
      <c r="Z214" s="166">
        <v>106975770</v>
      </c>
      <c r="AA214" s="166">
        <v>-3500000</v>
      </c>
      <c r="AB214" s="166"/>
      <c r="AC214" s="166">
        <v>-5500000</v>
      </c>
      <c r="AD214" s="166">
        <v>329</v>
      </c>
      <c r="AE214" s="166">
        <v>7</v>
      </c>
      <c r="AF214" s="166">
        <v>0</v>
      </c>
      <c r="AG214" s="166"/>
      <c r="AH214" s="166">
        <v>5</v>
      </c>
      <c r="AI214" s="166">
        <v>0</v>
      </c>
      <c r="AJ214" s="166">
        <v>1241</v>
      </c>
      <c r="AK214" s="166">
        <v>148</v>
      </c>
      <c r="AL214" s="166">
        <v>14</v>
      </c>
      <c r="AM214" s="166">
        <v>0</v>
      </c>
      <c r="AN214" s="166">
        <v>0</v>
      </c>
      <c r="AO214" s="166">
        <v>4</v>
      </c>
      <c r="AP214" s="166">
        <v>0</v>
      </c>
      <c r="AQ214" s="166">
        <v>1</v>
      </c>
      <c r="AR214" s="166">
        <v>586</v>
      </c>
      <c r="AS214" s="166">
        <v>1428</v>
      </c>
      <c r="AT214" s="166">
        <v>5286</v>
      </c>
      <c r="AU214" s="166">
        <v>5102</v>
      </c>
      <c r="AV214" s="166">
        <v>184</v>
      </c>
      <c r="AW214" s="166">
        <v>5111</v>
      </c>
      <c r="AX214" s="166">
        <v>-970131</v>
      </c>
      <c r="AY214" s="166">
        <v>-117917</v>
      </c>
      <c r="AZ214" s="166">
        <v>-3993</v>
      </c>
      <c r="BA214" s="166">
        <v>-86225</v>
      </c>
      <c r="BB214" s="166">
        <v>-921734</v>
      </c>
      <c r="BC214" s="166">
        <v>0</v>
      </c>
      <c r="BD214" s="166">
        <v>-2180000</v>
      </c>
      <c r="BE214" s="166">
        <v>52863</v>
      </c>
      <c r="BF214" s="166"/>
      <c r="BG214" s="760">
        <v>37380324</v>
      </c>
      <c r="BH214" s="760">
        <v>0</v>
      </c>
      <c r="BI214" s="815">
        <v>859890</v>
      </c>
      <c r="BJ214" s="1044" t="s">
        <v>2468</v>
      </c>
      <c r="BK214" s="1044" t="s">
        <v>2478</v>
      </c>
      <c r="BL214" s="1044" t="s">
        <v>2670</v>
      </c>
      <c r="BM214" s="650"/>
      <c r="BN214" s="746" t="s">
        <v>311</v>
      </c>
      <c r="BO214" s="142" t="b">
        <v>1</v>
      </c>
      <c r="BP214" s="544"/>
      <c r="BQ214" s="544"/>
      <c r="BR214" s="544"/>
      <c r="BS214" s="544"/>
      <c r="BT214" s="544"/>
      <c r="BU214" s="544"/>
      <c r="BV214" s="544"/>
      <c r="BW214" s="544"/>
      <c r="BX214" s="544"/>
      <c r="BY214" s="544"/>
      <c r="BZ214" s="544"/>
      <c r="CA214" s="544"/>
      <c r="CB214" s="544"/>
      <c r="CC214" s="544"/>
      <c r="CD214" s="544"/>
      <c r="CE214" s="544"/>
      <c r="CF214" s="544"/>
      <c r="CG214" s="544"/>
      <c r="CH214" s="544"/>
      <c r="CI214" s="544"/>
      <c r="CJ214" s="544"/>
      <c r="CK214" s="544"/>
      <c r="CL214" s="544"/>
      <c r="CM214" s="544"/>
      <c r="CN214" s="544"/>
      <c r="CO214" s="544"/>
      <c r="CP214" s="544"/>
      <c r="CQ214" s="544"/>
      <c r="CR214" s="544"/>
      <c r="CS214" s="544"/>
    </row>
    <row r="215" spans="1:97" s="142" customFormat="1" ht="12.75" hidden="1" x14ac:dyDescent="0.2">
      <c r="A215" s="735">
        <v>208</v>
      </c>
      <c r="B215" s="732" t="s">
        <v>312</v>
      </c>
      <c r="C215" s="738" t="s">
        <v>313</v>
      </c>
      <c r="D215" s="905">
        <v>295618.33594287798</v>
      </c>
      <c r="E215" s="905">
        <v>186117196</v>
      </c>
      <c r="F215" s="905">
        <v>7947</v>
      </c>
      <c r="G215" s="166">
        <v>93021141</v>
      </c>
      <c r="H215" s="166">
        <v>-9291825</v>
      </c>
      <c r="I215" s="166">
        <v>1608429</v>
      </c>
      <c r="J215" s="166">
        <v>-7683396</v>
      </c>
      <c r="K215" s="166">
        <v>-5163416</v>
      </c>
      <c r="L215" s="166">
        <v>-33611</v>
      </c>
      <c r="M215" s="166">
        <v>0</v>
      </c>
      <c r="N215" s="166">
        <v>-18279</v>
      </c>
      <c r="O215" s="166">
        <v>0</v>
      </c>
      <c r="P215" s="166">
        <v>-1296809</v>
      </c>
      <c r="Q215" s="166">
        <v>-250515</v>
      </c>
      <c r="R215" s="166">
        <v>-52683</v>
      </c>
      <c r="S215" s="166">
        <v>0</v>
      </c>
      <c r="T215" s="166"/>
      <c r="U215" s="166">
        <v>0</v>
      </c>
      <c r="V215" s="166">
        <v>0</v>
      </c>
      <c r="W215" s="166">
        <v>0</v>
      </c>
      <c r="X215" s="166">
        <v>0</v>
      </c>
      <c r="Y215" s="166">
        <v>0</v>
      </c>
      <c r="Z215" s="166">
        <v>63703145</v>
      </c>
      <c r="AA215" s="166">
        <v>-3580000</v>
      </c>
      <c r="AB215" s="166"/>
      <c r="AC215" s="166">
        <v>-7754323</v>
      </c>
      <c r="AD215" s="166">
        <v>296</v>
      </c>
      <c r="AE215" s="166">
        <v>14</v>
      </c>
      <c r="AF215" s="166">
        <v>0</v>
      </c>
      <c r="AG215" s="166"/>
      <c r="AH215" s="166">
        <v>9</v>
      </c>
      <c r="AI215" s="166">
        <v>0</v>
      </c>
      <c r="AJ215" s="166">
        <v>697</v>
      </c>
      <c r="AK215" s="166">
        <v>40</v>
      </c>
      <c r="AL215" s="166">
        <v>3</v>
      </c>
      <c r="AM215" s="166">
        <v>0</v>
      </c>
      <c r="AN215" s="166">
        <v>0</v>
      </c>
      <c r="AO215" s="166">
        <v>0</v>
      </c>
      <c r="AP215" s="166">
        <v>0</v>
      </c>
      <c r="AQ215" s="166">
        <v>0</v>
      </c>
      <c r="AR215" s="166">
        <v>1147</v>
      </c>
      <c r="AS215" s="166">
        <v>2842</v>
      </c>
      <c r="AT215" s="166">
        <v>3705</v>
      </c>
      <c r="AU215" s="166">
        <v>3515</v>
      </c>
      <c r="AV215" s="166">
        <v>190</v>
      </c>
      <c r="AW215" s="166">
        <v>1411</v>
      </c>
      <c r="AX215" s="166">
        <v>-24879</v>
      </c>
      <c r="AY215" s="166">
        <v>-465811</v>
      </c>
      <c r="AZ215" s="166">
        <v>0</v>
      </c>
      <c r="BA215" s="166">
        <v>0</v>
      </c>
      <c r="BB215" s="166">
        <v>-806119</v>
      </c>
      <c r="BC215" s="166">
        <v>0</v>
      </c>
      <c r="BD215" s="166">
        <v>-251378</v>
      </c>
      <c r="BE215" s="166">
        <v>12836262</v>
      </c>
      <c r="BF215" s="166"/>
      <c r="BG215" s="760">
        <v>24682920</v>
      </c>
      <c r="BH215" s="760">
        <v>0</v>
      </c>
      <c r="BI215" s="815">
        <v>22852656</v>
      </c>
      <c r="BJ215" s="1044" t="s">
        <v>2468</v>
      </c>
      <c r="BK215" s="1044" t="s">
        <v>2481</v>
      </c>
      <c r="BL215" s="1044" t="s">
        <v>2671</v>
      </c>
      <c r="BM215" s="650"/>
      <c r="BN215" s="746" t="s">
        <v>313</v>
      </c>
      <c r="BO215" s="142" t="b">
        <v>1</v>
      </c>
      <c r="BP215" s="544"/>
      <c r="BQ215" s="544"/>
      <c r="BR215" s="544"/>
      <c r="BS215" s="544"/>
      <c r="BT215" s="544"/>
      <c r="BU215" s="544"/>
      <c r="BV215" s="544"/>
      <c r="BW215" s="544"/>
      <c r="BX215" s="544"/>
      <c r="BY215" s="544"/>
      <c r="BZ215" s="544"/>
      <c r="CA215" s="544"/>
      <c r="CB215" s="544"/>
      <c r="CC215" s="544"/>
      <c r="CD215" s="544"/>
      <c r="CE215" s="544"/>
      <c r="CF215" s="544"/>
      <c r="CG215" s="544"/>
      <c r="CH215" s="544"/>
      <c r="CI215" s="544"/>
      <c r="CJ215" s="544"/>
      <c r="CK215" s="544"/>
      <c r="CL215" s="544"/>
      <c r="CM215" s="544"/>
      <c r="CN215" s="544"/>
      <c r="CO215" s="544"/>
      <c r="CP215" s="544"/>
      <c r="CQ215" s="544"/>
      <c r="CR215" s="544"/>
      <c r="CS215" s="544"/>
    </row>
    <row r="216" spans="1:97" s="142" customFormat="1" ht="12.75" x14ac:dyDescent="0.2">
      <c r="A216" s="735">
        <v>209</v>
      </c>
      <c r="B216" s="732" t="s">
        <v>314</v>
      </c>
      <c r="C216" s="738" t="s">
        <v>315</v>
      </c>
      <c r="D216" s="905">
        <v>168729.55602926601</v>
      </c>
      <c r="E216" s="905">
        <v>108536567</v>
      </c>
      <c r="F216" s="905">
        <v>4234</v>
      </c>
      <c r="G216" s="166">
        <v>54209787</v>
      </c>
      <c r="H216" s="166">
        <v>-3801174</v>
      </c>
      <c r="I216" s="166">
        <v>850129</v>
      </c>
      <c r="J216" s="166">
        <v>-2951045</v>
      </c>
      <c r="K216" s="166">
        <v>-3882110</v>
      </c>
      <c r="L216" s="166">
        <v>-104125</v>
      </c>
      <c r="M216" s="166">
        <v>-9362</v>
      </c>
      <c r="N216" s="166">
        <v>-7053</v>
      </c>
      <c r="O216" s="166">
        <v>0</v>
      </c>
      <c r="P216" s="166">
        <v>-1457276</v>
      </c>
      <c r="Q216" s="166">
        <v>-151746</v>
      </c>
      <c r="R216" s="166">
        <v>-50296</v>
      </c>
      <c r="S216" s="166">
        <v>0</v>
      </c>
      <c r="T216" s="166"/>
      <c r="U216" s="166">
        <v>-14959</v>
      </c>
      <c r="V216" s="166">
        <v>0</v>
      </c>
      <c r="W216" s="166">
        <v>0</v>
      </c>
      <c r="X216" s="166">
        <v>0</v>
      </c>
      <c r="Y216" s="166">
        <v>-4681</v>
      </c>
      <c r="Z216" s="166">
        <v>36897936</v>
      </c>
      <c r="AA216" s="166">
        <v>-391000</v>
      </c>
      <c r="AB216" s="166"/>
      <c r="AC216" s="166">
        <v>-3705578</v>
      </c>
      <c r="AD216" s="166">
        <v>179</v>
      </c>
      <c r="AE216" s="166">
        <v>34</v>
      </c>
      <c r="AF216" s="166">
        <v>5</v>
      </c>
      <c r="AG216" s="166"/>
      <c r="AH216" s="166">
        <v>5</v>
      </c>
      <c r="AI216" s="166">
        <v>0</v>
      </c>
      <c r="AJ216" s="166">
        <v>300</v>
      </c>
      <c r="AK216" s="166">
        <v>52</v>
      </c>
      <c r="AL216" s="166">
        <v>8</v>
      </c>
      <c r="AM216" s="166">
        <v>0</v>
      </c>
      <c r="AN216" s="166">
        <v>0</v>
      </c>
      <c r="AO216" s="166">
        <v>0</v>
      </c>
      <c r="AP216" s="166">
        <v>0</v>
      </c>
      <c r="AQ216" s="166">
        <v>0</v>
      </c>
      <c r="AR216" s="166">
        <v>388</v>
      </c>
      <c r="AS216" s="166">
        <v>807</v>
      </c>
      <c r="AT216" s="166">
        <v>1552</v>
      </c>
      <c r="AU216" s="166">
        <v>1425</v>
      </c>
      <c r="AV216" s="166">
        <v>127</v>
      </c>
      <c r="AW216" s="166">
        <v>1849</v>
      </c>
      <c r="AX216" s="166">
        <v>-352068</v>
      </c>
      <c r="AY216" s="166">
        <v>-521428</v>
      </c>
      <c r="AZ216" s="166">
        <v>0</v>
      </c>
      <c r="BA216" s="166">
        <v>0</v>
      </c>
      <c r="BB216" s="166">
        <v>-267916</v>
      </c>
      <c r="BC216" s="166">
        <v>-315864</v>
      </c>
      <c r="BD216" s="166">
        <v>-606656</v>
      </c>
      <c r="BE216" s="166">
        <v>-250493</v>
      </c>
      <c r="BF216" s="166"/>
      <c r="BG216" s="760">
        <v>16812500</v>
      </c>
      <c r="BH216" s="760">
        <v>0</v>
      </c>
      <c r="BI216" s="815">
        <v>-4057550</v>
      </c>
      <c r="BJ216" s="1044" t="s">
        <v>2454</v>
      </c>
      <c r="BK216" s="1044" t="s">
        <v>2455</v>
      </c>
      <c r="BL216" s="1044" t="s">
        <v>2672</v>
      </c>
      <c r="BM216" s="650"/>
      <c r="BN216" s="746" t="s">
        <v>315</v>
      </c>
      <c r="BO216" s="142" t="b">
        <v>1</v>
      </c>
      <c r="BP216" s="544"/>
      <c r="BQ216" s="544"/>
      <c r="BR216" s="544"/>
      <c r="BS216" s="544"/>
      <c r="BT216" s="544"/>
      <c r="BU216" s="544"/>
      <c r="BV216" s="544"/>
      <c r="BW216" s="544"/>
      <c r="BX216" s="544"/>
      <c r="BY216" s="544"/>
      <c r="BZ216" s="544"/>
      <c r="CA216" s="544"/>
      <c r="CB216" s="544"/>
      <c r="CC216" s="544"/>
      <c r="CD216" s="544"/>
      <c r="CE216" s="544"/>
      <c r="CF216" s="544"/>
      <c r="CG216" s="544"/>
      <c r="CH216" s="544"/>
      <c r="CI216" s="544"/>
      <c r="CJ216" s="544"/>
      <c r="CK216" s="544"/>
      <c r="CL216" s="544"/>
      <c r="CM216" s="544"/>
      <c r="CN216" s="544"/>
      <c r="CO216" s="544"/>
      <c r="CP216" s="544"/>
      <c r="CQ216" s="544"/>
      <c r="CR216" s="544"/>
      <c r="CS216" s="544"/>
    </row>
    <row r="217" spans="1:97" s="142" customFormat="1" ht="12.75" hidden="1" x14ac:dyDescent="0.2">
      <c r="A217" s="735">
        <v>210</v>
      </c>
      <c r="B217" s="732" t="s">
        <v>316</v>
      </c>
      <c r="C217" s="738" t="s">
        <v>317</v>
      </c>
      <c r="D217" s="905">
        <v>726727.07146736095</v>
      </c>
      <c r="E217" s="905">
        <v>536983952</v>
      </c>
      <c r="F217" s="905">
        <v>18996</v>
      </c>
      <c r="G217" s="166">
        <v>267110769</v>
      </c>
      <c r="H217" s="166">
        <v>-22031662</v>
      </c>
      <c r="I217" s="166">
        <v>4987482</v>
      </c>
      <c r="J217" s="166">
        <v>-17044180</v>
      </c>
      <c r="K217" s="166">
        <v>-25685452</v>
      </c>
      <c r="L217" s="166">
        <v>-32854</v>
      </c>
      <c r="M217" s="166">
        <v>0</v>
      </c>
      <c r="N217" s="166">
        <v>0</v>
      </c>
      <c r="O217" s="166">
        <v>-87706</v>
      </c>
      <c r="P217" s="166">
        <v>-9921761</v>
      </c>
      <c r="Q217" s="166">
        <v>-5793</v>
      </c>
      <c r="R217" s="166">
        <v>-351793</v>
      </c>
      <c r="S217" s="166">
        <v>0</v>
      </c>
      <c r="T217" s="166"/>
      <c r="U217" s="166">
        <v>0</v>
      </c>
      <c r="V217" s="166">
        <v>-1000000</v>
      </c>
      <c r="W217" s="166">
        <v>0</v>
      </c>
      <c r="X217" s="166">
        <v>0</v>
      </c>
      <c r="Y217" s="166">
        <v>0</v>
      </c>
      <c r="Z217" s="166">
        <v>190586119</v>
      </c>
      <c r="AA217" s="166">
        <v>-6600000</v>
      </c>
      <c r="AB217" s="166"/>
      <c r="AC217" s="166">
        <v>-13007290</v>
      </c>
      <c r="AD217" s="166">
        <v>944</v>
      </c>
      <c r="AE217" s="166">
        <v>14</v>
      </c>
      <c r="AF217" s="166">
        <v>0</v>
      </c>
      <c r="AG217" s="166"/>
      <c r="AH217" s="166">
        <v>10</v>
      </c>
      <c r="AI217" s="166">
        <v>0</v>
      </c>
      <c r="AJ217" s="166">
        <v>2690</v>
      </c>
      <c r="AK217" s="166">
        <v>4</v>
      </c>
      <c r="AL217" s="166">
        <v>37</v>
      </c>
      <c r="AM217" s="166">
        <v>0</v>
      </c>
      <c r="AN217" s="166">
        <v>0</v>
      </c>
      <c r="AO217" s="166">
        <v>0</v>
      </c>
      <c r="AP217" s="166">
        <v>0</v>
      </c>
      <c r="AQ217" s="166">
        <v>0</v>
      </c>
      <c r="AR217" s="166">
        <v>1368</v>
      </c>
      <c r="AS217" s="166">
        <v>5219</v>
      </c>
      <c r="AT217" s="166">
        <v>7513</v>
      </c>
      <c r="AU217" s="166">
        <v>7131</v>
      </c>
      <c r="AV217" s="166">
        <v>382</v>
      </c>
      <c r="AW217" s="166">
        <v>5885</v>
      </c>
      <c r="AX217" s="166">
        <v>-425687</v>
      </c>
      <c r="AY217" s="166">
        <v>-1810377</v>
      </c>
      <c r="AZ217" s="166">
        <v>0</v>
      </c>
      <c r="BA217" s="166">
        <v>-51607</v>
      </c>
      <c r="BB217" s="166">
        <v>-6652846</v>
      </c>
      <c r="BC217" s="166">
        <v>-973669</v>
      </c>
      <c r="BD217" s="166">
        <v>-112471</v>
      </c>
      <c r="BE217" s="166">
        <v>7524004</v>
      </c>
      <c r="BF217" s="166"/>
      <c r="BG217" s="760">
        <v>59741350</v>
      </c>
      <c r="BH217" s="760">
        <v>118500</v>
      </c>
      <c r="BI217" s="815">
        <v>17240860</v>
      </c>
      <c r="BJ217" s="1044" t="s">
        <v>2468</v>
      </c>
      <c r="BK217" s="1044" t="s">
        <v>2469</v>
      </c>
      <c r="BL217" s="1044" t="s">
        <v>2673</v>
      </c>
      <c r="BM217" s="650"/>
      <c r="BN217" s="746" t="s">
        <v>317</v>
      </c>
      <c r="BO217" s="142" t="b">
        <v>1</v>
      </c>
      <c r="BP217" s="544"/>
      <c r="BQ217" s="544"/>
      <c r="BR217" s="544"/>
      <c r="BS217" s="544"/>
      <c r="BT217" s="544"/>
      <c r="BU217" s="544"/>
      <c r="BV217" s="544"/>
      <c r="BW217" s="544"/>
      <c r="BX217" s="544"/>
      <c r="BY217" s="544"/>
      <c r="BZ217" s="544"/>
      <c r="CA217" s="544"/>
      <c r="CB217" s="544"/>
      <c r="CC217" s="544"/>
      <c r="CD217" s="544"/>
      <c r="CE217" s="544"/>
      <c r="CF217" s="544"/>
      <c r="CG217" s="544"/>
      <c r="CH217" s="544"/>
      <c r="CI217" s="544"/>
      <c r="CJ217" s="544"/>
      <c r="CK217" s="544"/>
      <c r="CL217" s="544"/>
      <c r="CM217" s="544"/>
      <c r="CN217" s="544"/>
      <c r="CO217" s="544"/>
      <c r="CP217" s="544"/>
      <c r="CQ217" s="544"/>
      <c r="CR217" s="544"/>
      <c r="CS217" s="544"/>
    </row>
    <row r="218" spans="1:97" s="142" customFormat="1" ht="12.75" hidden="1" x14ac:dyDescent="0.2">
      <c r="A218" s="735">
        <v>211</v>
      </c>
      <c r="B218" s="732" t="s">
        <v>320</v>
      </c>
      <c r="C218" s="738" t="s">
        <v>321</v>
      </c>
      <c r="D218" s="905">
        <v>459851.791182913</v>
      </c>
      <c r="E218" s="905">
        <v>250268583</v>
      </c>
      <c r="F218" s="905">
        <v>12829</v>
      </c>
      <c r="G218" s="166">
        <v>123926895</v>
      </c>
      <c r="H218" s="166">
        <v>-14362938</v>
      </c>
      <c r="I218" s="166">
        <v>1927558</v>
      </c>
      <c r="J218" s="166">
        <v>-12435380</v>
      </c>
      <c r="K218" s="166">
        <v>-9653020</v>
      </c>
      <c r="L218" s="166">
        <v>-227047</v>
      </c>
      <c r="M218" s="166">
        <v>-47946</v>
      </c>
      <c r="N218" s="166">
        <v>-34938</v>
      </c>
      <c r="O218" s="166">
        <v>0</v>
      </c>
      <c r="P218" s="166">
        <v>-1715529</v>
      </c>
      <c r="Q218" s="166">
        <v>-573025</v>
      </c>
      <c r="R218" s="166">
        <v>-82983</v>
      </c>
      <c r="S218" s="166">
        <v>-36755</v>
      </c>
      <c r="T218" s="166"/>
      <c r="U218" s="166">
        <v>0</v>
      </c>
      <c r="V218" s="166">
        <v>0</v>
      </c>
      <c r="W218" s="166">
        <v>0</v>
      </c>
      <c r="X218" s="166">
        <v>0</v>
      </c>
      <c r="Y218" s="166">
        <v>-23973</v>
      </c>
      <c r="Z218" s="166">
        <v>76364223</v>
      </c>
      <c r="AA218" s="166">
        <v>-3260513</v>
      </c>
      <c r="AB218" s="166"/>
      <c r="AC218" s="166">
        <v>-14066125</v>
      </c>
      <c r="AD218" s="166">
        <v>752</v>
      </c>
      <c r="AE218" s="166">
        <v>61</v>
      </c>
      <c r="AF218" s="166">
        <v>24</v>
      </c>
      <c r="AG218" s="166"/>
      <c r="AH218" s="166">
        <v>27</v>
      </c>
      <c r="AI218" s="166">
        <v>0</v>
      </c>
      <c r="AJ218" s="166">
        <v>679</v>
      </c>
      <c r="AK218" s="166">
        <v>416</v>
      </c>
      <c r="AL218" s="166">
        <v>13</v>
      </c>
      <c r="AM218" s="166">
        <v>0</v>
      </c>
      <c r="AN218" s="166">
        <v>0</v>
      </c>
      <c r="AO218" s="166">
        <v>27</v>
      </c>
      <c r="AP218" s="166">
        <v>0</v>
      </c>
      <c r="AQ218" s="166">
        <v>0</v>
      </c>
      <c r="AR218" s="166">
        <v>1918</v>
      </c>
      <c r="AS218" s="166">
        <v>2517</v>
      </c>
      <c r="AT218" s="166">
        <v>6303</v>
      </c>
      <c r="AU218" s="166">
        <v>5967</v>
      </c>
      <c r="AV218" s="166">
        <v>336</v>
      </c>
      <c r="AW218" s="166">
        <v>3939</v>
      </c>
      <c r="AX218" s="166">
        <v>-16512</v>
      </c>
      <c r="AY218" s="166">
        <v>-1157986</v>
      </c>
      <c r="AZ218" s="166">
        <v>0</v>
      </c>
      <c r="BA218" s="166">
        <v>-29136</v>
      </c>
      <c r="BB218" s="166">
        <v>-511895</v>
      </c>
      <c r="BC218" s="166">
        <v>0</v>
      </c>
      <c r="BD218" s="166">
        <v>-1552100</v>
      </c>
      <c r="BE218" s="166">
        <v>3967164</v>
      </c>
      <c r="BF218" s="166"/>
      <c r="BG218" s="760">
        <v>37956850</v>
      </c>
      <c r="BH218" s="760">
        <v>0</v>
      </c>
      <c r="BI218" s="815">
        <v>-869860</v>
      </c>
      <c r="BJ218" s="1044" t="s">
        <v>515</v>
      </c>
      <c r="BK218" s="1044" t="s">
        <v>2478</v>
      </c>
      <c r="BL218" s="1044" t="s">
        <v>2674</v>
      </c>
      <c r="BM218" s="650"/>
      <c r="BN218" s="746" t="s">
        <v>321</v>
      </c>
      <c r="BO218" s="142" t="b">
        <v>1</v>
      </c>
      <c r="BP218" s="544"/>
      <c r="BQ218" s="544"/>
      <c r="BR218" s="544"/>
      <c r="BS218" s="544"/>
      <c r="BT218" s="544"/>
      <c r="BU218" s="544"/>
      <c r="BV218" s="544"/>
      <c r="BW218" s="544"/>
      <c r="BX218" s="544"/>
      <c r="BY218" s="544"/>
      <c r="BZ218" s="544"/>
      <c r="CA218" s="544"/>
      <c r="CB218" s="544"/>
      <c r="CC218" s="544"/>
      <c r="CD218" s="544"/>
      <c r="CE218" s="544"/>
      <c r="CF218" s="544"/>
      <c r="CG218" s="544"/>
      <c r="CH218" s="544"/>
      <c r="CI218" s="544"/>
      <c r="CJ218" s="544"/>
      <c r="CK218" s="544"/>
      <c r="CL218" s="544"/>
      <c r="CM218" s="544"/>
      <c r="CN218" s="544"/>
      <c r="CO218" s="544"/>
      <c r="CP218" s="544"/>
      <c r="CQ218" s="544"/>
      <c r="CR218" s="544"/>
      <c r="CS218" s="544"/>
    </row>
    <row r="219" spans="1:97" s="142" customFormat="1" ht="12.75" hidden="1" x14ac:dyDescent="0.2">
      <c r="A219" s="735">
        <v>212</v>
      </c>
      <c r="B219" s="732" t="s">
        <v>529</v>
      </c>
      <c r="C219" s="738" t="s">
        <v>323</v>
      </c>
      <c r="D219" s="905">
        <v>204166.427871055</v>
      </c>
      <c r="E219" s="905">
        <v>263536887</v>
      </c>
      <c r="F219" s="905">
        <v>3688</v>
      </c>
      <c r="G219" s="166">
        <v>135717829</v>
      </c>
      <c r="H219" s="166">
        <v>-2923783</v>
      </c>
      <c r="I219" s="166">
        <v>3151402</v>
      </c>
      <c r="J219" s="166">
        <v>227619</v>
      </c>
      <c r="K219" s="166">
        <v>-6704947</v>
      </c>
      <c r="L219" s="166">
        <v>0</v>
      </c>
      <c r="M219" s="166">
        <v>0</v>
      </c>
      <c r="N219" s="166">
        <v>0</v>
      </c>
      <c r="O219" s="166">
        <v>0</v>
      </c>
      <c r="P219" s="166">
        <v>-1522382</v>
      </c>
      <c r="Q219" s="166">
        <v>-165276</v>
      </c>
      <c r="R219" s="166">
        <v>-45909</v>
      </c>
      <c r="S219" s="166">
        <v>0</v>
      </c>
      <c r="T219" s="166"/>
      <c r="U219" s="166">
        <v>0</v>
      </c>
      <c r="V219" s="166">
        <v>0</v>
      </c>
      <c r="W219" s="166">
        <v>0</v>
      </c>
      <c r="X219" s="166">
        <v>0</v>
      </c>
      <c r="Y219" s="166">
        <v>0</v>
      </c>
      <c r="Z219" s="166">
        <v>111651749</v>
      </c>
      <c r="AA219" s="166">
        <v>-5400000</v>
      </c>
      <c r="AB219" s="166"/>
      <c r="AC219" s="166">
        <v>-7136326</v>
      </c>
      <c r="AD219" s="166">
        <v>148</v>
      </c>
      <c r="AE219" s="166">
        <v>0</v>
      </c>
      <c r="AF219" s="166">
        <v>0</v>
      </c>
      <c r="AG219" s="166"/>
      <c r="AH219" s="166">
        <v>0</v>
      </c>
      <c r="AI219" s="166">
        <v>2</v>
      </c>
      <c r="AJ219" s="166">
        <v>363</v>
      </c>
      <c r="AK219" s="166">
        <v>23</v>
      </c>
      <c r="AL219" s="166">
        <v>3</v>
      </c>
      <c r="AM219" s="166">
        <v>0</v>
      </c>
      <c r="AN219" s="166">
        <v>0</v>
      </c>
      <c r="AO219" s="166">
        <v>0</v>
      </c>
      <c r="AP219" s="166">
        <v>0</v>
      </c>
      <c r="AQ219" s="166">
        <v>0</v>
      </c>
      <c r="AR219" s="166">
        <v>655</v>
      </c>
      <c r="AS219" s="166">
        <v>1290</v>
      </c>
      <c r="AT219" s="166">
        <v>940</v>
      </c>
      <c r="AU219" s="166">
        <v>845</v>
      </c>
      <c r="AV219" s="166">
        <v>95</v>
      </c>
      <c r="AW219" s="166">
        <v>1654</v>
      </c>
      <c r="AX219" s="166">
        <v>-375325</v>
      </c>
      <c r="AY219" s="166">
        <v>-46928</v>
      </c>
      <c r="AZ219" s="166">
        <v>0</v>
      </c>
      <c r="BA219" s="166">
        <v>-83111</v>
      </c>
      <c r="BB219" s="166">
        <v>-1017018</v>
      </c>
      <c r="BC219" s="166">
        <v>0</v>
      </c>
      <c r="BD219" s="166">
        <v>-454273</v>
      </c>
      <c r="BE219" s="166">
        <v>-15997074</v>
      </c>
      <c r="BF219" s="166"/>
      <c r="BG219" s="760">
        <v>20617650</v>
      </c>
      <c r="BH219" s="760">
        <v>0</v>
      </c>
      <c r="BI219" s="815">
        <v>-17304689</v>
      </c>
      <c r="BJ219" s="1044" t="s">
        <v>515</v>
      </c>
      <c r="BK219" s="1044" t="s">
        <v>2455</v>
      </c>
      <c r="BL219" s="1044" t="s">
        <v>2675</v>
      </c>
      <c r="BM219" s="650"/>
      <c r="BN219" s="746" t="s">
        <v>323</v>
      </c>
      <c r="BO219" s="142" t="b">
        <v>1</v>
      </c>
      <c r="BP219" s="544"/>
      <c r="BQ219" s="544"/>
      <c r="BR219" s="544"/>
      <c r="BS219" s="544"/>
      <c r="BT219" s="544"/>
      <c r="BU219" s="544"/>
      <c r="BV219" s="544"/>
      <c r="BW219" s="544"/>
      <c r="BX219" s="544"/>
      <c r="BY219" s="544"/>
      <c r="BZ219" s="544"/>
      <c r="CA219" s="544"/>
      <c r="CB219" s="544"/>
      <c r="CC219" s="544"/>
      <c r="CD219" s="544"/>
      <c r="CE219" s="544"/>
      <c r="CF219" s="544"/>
      <c r="CG219" s="544"/>
      <c r="CH219" s="544"/>
      <c r="CI219" s="544"/>
      <c r="CJ219" s="544"/>
      <c r="CK219" s="544"/>
      <c r="CL219" s="544"/>
      <c r="CM219" s="544"/>
      <c r="CN219" s="544"/>
      <c r="CO219" s="544"/>
      <c r="CP219" s="544"/>
      <c r="CQ219" s="544"/>
      <c r="CR219" s="544"/>
      <c r="CS219" s="544"/>
    </row>
    <row r="220" spans="1:97" s="142" customFormat="1" ht="12.75" hidden="1" x14ac:dyDescent="0.2">
      <c r="A220" s="735">
        <v>213</v>
      </c>
      <c r="B220" s="732" t="s">
        <v>324</v>
      </c>
      <c r="C220" s="738" t="s">
        <v>325</v>
      </c>
      <c r="D220" s="905">
        <v>243290.85841925701</v>
      </c>
      <c r="E220" s="905">
        <v>277030736</v>
      </c>
      <c r="F220" s="905">
        <v>5375</v>
      </c>
      <c r="G220" s="166">
        <v>142794012</v>
      </c>
      <c r="H220" s="166">
        <v>-4158822</v>
      </c>
      <c r="I220" s="166">
        <v>3033105</v>
      </c>
      <c r="J220" s="166">
        <v>-1125717</v>
      </c>
      <c r="K220" s="166">
        <v>-5988607</v>
      </c>
      <c r="L220" s="166">
        <v>-115712</v>
      </c>
      <c r="M220" s="166">
        <v>0</v>
      </c>
      <c r="N220" s="166">
        <v>0</v>
      </c>
      <c r="O220" s="166">
        <v>-49415</v>
      </c>
      <c r="P220" s="166">
        <v>-3140100</v>
      </c>
      <c r="Q220" s="166">
        <v>-44787</v>
      </c>
      <c r="R220" s="166">
        <v>-6213</v>
      </c>
      <c r="S220" s="166">
        <v>0</v>
      </c>
      <c r="T220" s="166"/>
      <c r="U220" s="166">
        <v>0</v>
      </c>
      <c r="V220" s="166">
        <v>0</v>
      </c>
      <c r="W220" s="166">
        <v>0</v>
      </c>
      <c r="X220" s="166">
        <v>0</v>
      </c>
      <c r="Y220" s="166">
        <v>0</v>
      </c>
      <c r="Z220" s="166">
        <v>120103589</v>
      </c>
      <c r="AA220" s="166">
        <v>-3914000</v>
      </c>
      <c r="AB220" s="166"/>
      <c r="AC220" s="166">
        <v>-5750000</v>
      </c>
      <c r="AD220" s="166">
        <v>212</v>
      </c>
      <c r="AE220" s="166">
        <v>19</v>
      </c>
      <c r="AF220" s="166">
        <v>0</v>
      </c>
      <c r="AG220" s="166"/>
      <c r="AH220" s="166">
        <v>0</v>
      </c>
      <c r="AI220" s="166">
        <v>0</v>
      </c>
      <c r="AJ220" s="166">
        <v>301</v>
      </c>
      <c r="AK220" s="166">
        <v>25</v>
      </c>
      <c r="AL220" s="166">
        <v>2</v>
      </c>
      <c r="AM220" s="166">
        <v>0</v>
      </c>
      <c r="AN220" s="166">
        <v>0</v>
      </c>
      <c r="AO220" s="166">
        <v>0</v>
      </c>
      <c r="AP220" s="166">
        <v>0</v>
      </c>
      <c r="AQ220" s="166">
        <v>0</v>
      </c>
      <c r="AR220" s="166">
        <v>659</v>
      </c>
      <c r="AS220" s="166">
        <v>1912</v>
      </c>
      <c r="AT220" s="166">
        <v>1569</v>
      </c>
      <c r="AU220" s="166">
        <v>1432</v>
      </c>
      <c r="AV220" s="166">
        <v>137</v>
      </c>
      <c r="AW220" s="166">
        <v>1965</v>
      </c>
      <c r="AX220" s="166">
        <v>-693504</v>
      </c>
      <c r="AY220" s="166">
        <v>-513637</v>
      </c>
      <c r="AZ220" s="166">
        <v>0</v>
      </c>
      <c r="BA220" s="166">
        <v>0</v>
      </c>
      <c r="BB220" s="166">
        <v>-156711</v>
      </c>
      <c r="BC220" s="166">
        <v>-1776248</v>
      </c>
      <c r="BD220" s="166">
        <v>-830000</v>
      </c>
      <c r="BE220" s="166">
        <v>7261669</v>
      </c>
      <c r="BF220" s="166"/>
      <c r="BG220" s="760">
        <v>25892250</v>
      </c>
      <c r="BH220" s="760">
        <v>0</v>
      </c>
      <c r="BI220" s="815">
        <v>6491566</v>
      </c>
      <c r="BJ220" s="1044" t="s">
        <v>2468</v>
      </c>
      <c r="BK220" s="1044" t="s">
        <v>2478</v>
      </c>
      <c r="BL220" s="1044" t="s">
        <v>2676</v>
      </c>
      <c r="BM220" s="650"/>
      <c r="BN220" s="746" t="s">
        <v>325</v>
      </c>
      <c r="BO220" s="142" t="b">
        <v>1</v>
      </c>
      <c r="BP220" s="544"/>
      <c r="BQ220" s="544"/>
      <c r="BR220" s="544"/>
      <c r="BS220" s="544"/>
      <c r="BT220" s="544"/>
      <c r="BU220" s="544"/>
      <c r="BV220" s="544"/>
      <c r="BW220" s="544"/>
      <c r="BX220" s="544"/>
      <c r="BY220" s="544"/>
      <c r="BZ220" s="544"/>
      <c r="CA220" s="544"/>
      <c r="CB220" s="544"/>
      <c r="CC220" s="544"/>
      <c r="CD220" s="544"/>
      <c r="CE220" s="544"/>
      <c r="CF220" s="544"/>
      <c r="CG220" s="544"/>
      <c r="CH220" s="544"/>
      <c r="CI220" s="544"/>
      <c r="CJ220" s="544"/>
      <c r="CK220" s="544"/>
      <c r="CL220" s="544"/>
      <c r="CM220" s="544"/>
      <c r="CN220" s="544"/>
      <c r="CO220" s="544"/>
      <c r="CP220" s="544"/>
      <c r="CQ220" s="544"/>
      <c r="CR220" s="544"/>
      <c r="CS220" s="544"/>
    </row>
    <row r="221" spans="1:97" s="142" customFormat="1" ht="12.75" hidden="1" x14ac:dyDescent="0.2">
      <c r="A221" s="735">
        <v>214</v>
      </c>
      <c r="B221" s="906" t="s">
        <v>647</v>
      </c>
      <c r="C221" s="907" t="s">
        <v>2431</v>
      </c>
      <c r="D221" s="905">
        <v>835383.29013857397</v>
      </c>
      <c r="E221" s="905">
        <v>502746687</v>
      </c>
      <c r="F221" s="905">
        <v>22871</v>
      </c>
      <c r="G221" s="166">
        <v>251321417</v>
      </c>
      <c r="H221" s="166">
        <v>-24462607</v>
      </c>
      <c r="I221" s="166">
        <v>4169181</v>
      </c>
      <c r="J221" s="166">
        <v>-20293426</v>
      </c>
      <c r="K221" s="166">
        <v>-17472349</v>
      </c>
      <c r="L221" s="166">
        <v>-231059</v>
      </c>
      <c r="M221" s="166">
        <v>-263528</v>
      </c>
      <c r="N221" s="166">
        <v>-64065</v>
      </c>
      <c r="O221" s="166">
        <v>0</v>
      </c>
      <c r="P221" s="166">
        <v>-5298463</v>
      </c>
      <c r="Q221" s="166">
        <v>-692346</v>
      </c>
      <c r="R221" s="166">
        <v>-132163</v>
      </c>
      <c r="S221" s="166">
        <v>-15807</v>
      </c>
      <c r="T221" s="166"/>
      <c r="U221" s="166">
        <v>-13355</v>
      </c>
      <c r="V221" s="166">
        <v>-57106</v>
      </c>
      <c r="W221" s="166">
        <v>0</v>
      </c>
      <c r="X221" s="166">
        <v>0</v>
      </c>
      <c r="Y221" s="166">
        <v>-118530</v>
      </c>
      <c r="Z221" s="166">
        <v>168799008</v>
      </c>
      <c r="AA221" s="166">
        <v>-2493250</v>
      </c>
      <c r="AB221" s="166"/>
      <c r="AC221" s="166">
        <v>-21833913</v>
      </c>
      <c r="AD221" s="166">
        <v>1325</v>
      </c>
      <c r="AE221" s="166">
        <v>51</v>
      </c>
      <c r="AF221" s="166">
        <v>117</v>
      </c>
      <c r="AG221" s="166"/>
      <c r="AH221" s="166">
        <v>41</v>
      </c>
      <c r="AI221" s="166">
        <v>0</v>
      </c>
      <c r="AJ221" s="166">
        <v>1450</v>
      </c>
      <c r="AK221" s="166">
        <v>562</v>
      </c>
      <c r="AL221" s="166">
        <v>34</v>
      </c>
      <c r="AM221" s="166">
        <v>1</v>
      </c>
      <c r="AN221" s="166">
        <v>9</v>
      </c>
      <c r="AO221" s="166">
        <v>16</v>
      </c>
      <c r="AP221" s="166">
        <v>0</v>
      </c>
      <c r="AQ221" s="166">
        <v>56</v>
      </c>
      <c r="AR221" s="166">
        <v>2582</v>
      </c>
      <c r="AS221" s="166">
        <v>4279</v>
      </c>
      <c r="AT221" s="166">
        <v>11173</v>
      </c>
      <c r="AU221" s="166">
        <v>10635</v>
      </c>
      <c r="AV221" s="166">
        <v>538</v>
      </c>
      <c r="AW221" s="166">
        <v>7131</v>
      </c>
      <c r="AX221" s="166">
        <v>-249745</v>
      </c>
      <c r="AY221" s="166">
        <v>-2089426</v>
      </c>
      <c r="AZ221" s="166">
        <v>0</v>
      </c>
      <c r="BA221" s="166">
        <v>-118604</v>
      </c>
      <c r="BB221" s="166">
        <v>-1840952</v>
      </c>
      <c r="BC221" s="166">
        <v>-999736</v>
      </c>
      <c r="BD221" s="166">
        <v>-2172714</v>
      </c>
      <c r="BE221" s="166">
        <v>-12453564</v>
      </c>
      <c r="BF221" s="166"/>
      <c r="BG221" s="760">
        <v>73446539.469999999</v>
      </c>
      <c r="BH221" s="760">
        <v>0</v>
      </c>
      <c r="BI221" s="815">
        <v>-12753040</v>
      </c>
      <c r="BJ221" s="1044" t="s">
        <v>515</v>
      </c>
      <c r="BK221" s="1044" t="s">
        <v>2474</v>
      </c>
      <c r="BL221" s="1044" t="s">
        <v>2761</v>
      </c>
      <c r="BM221" s="650"/>
      <c r="BN221" s="746"/>
      <c r="BP221" s="544"/>
      <c r="BQ221" s="544"/>
      <c r="BR221" s="544"/>
      <c r="BS221" s="544"/>
      <c r="BT221" s="544"/>
      <c r="BU221" s="544"/>
      <c r="BV221" s="544"/>
      <c r="BW221" s="544"/>
      <c r="BX221" s="544"/>
      <c r="BY221" s="544"/>
      <c r="BZ221" s="544"/>
      <c r="CA221" s="544"/>
      <c r="CB221" s="544"/>
      <c r="CC221" s="544"/>
      <c r="CD221" s="544"/>
      <c r="CE221" s="544"/>
      <c r="CF221" s="544"/>
      <c r="CG221" s="544"/>
      <c r="CH221" s="544"/>
      <c r="CI221" s="544"/>
      <c r="CJ221" s="544"/>
      <c r="CK221" s="544"/>
      <c r="CL221" s="544"/>
      <c r="CM221" s="544"/>
      <c r="CN221" s="544"/>
      <c r="CO221" s="544"/>
      <c r="CP221" s="544"/>
      <c r="CQ221" s="544"/>
      <c r="CR221" s="544"/>
      <c r="CS221" s="544"/>
    </row>
    <row r="222" spans="1:97" s="142" customFormat="1" ht="12.75" x14ac:dyDescent="0.2">
      <c r="A222" s="735">
        <v>215</v>
      </c>
      <c r="B222" s="732" t="s">
        <v>326</v>
      </c>
      <c r="C222" s="738" t="s">
        <v>327</v>
      </c>
      <c r="D222" s="905">
        <v>254611.21260448199</v>
      </c>
      <c r="E222" s="905">
        <v>283017757</v>
      </c>
      <c r="F222" s="905">
        <v>5524</v>
      </c>
      <c r="G222" s="166">
        <v>140570141</v>
      </c>
      <c r="H222" s="166">
        <v>-4360036</v>
      </c>
      <c r="I222" s="166">
        <v>2964043</v>
      </c>
      <c r="J222" s="166">
        <v>-1395993</v>
      </c>
      <c r="K222" s="166">
        <v>-12517123</v>
      </c>
      <c r="L222" s="166">
        <v>-23828</v>
      </c>
      <c r="M222" s="166">
        <v>-58595</v>
      </c>
      <c r="N222" s="166">
        <v>0</v>
      </c>
      <c r="O222" s="166">
        <v>0</v>
      </c>
      <c r="P222" s="166">
        <v>-2299357</v>
      </c>
      <c r="Q222" s="166">
        <v>-142257</v>
      </c>
      <c r="R222" s="166">
        <v>-76712</v>
      </c>
      <c r="S222" s="166">
        <v>0</v>
      </c>
      <c r="T222" s="166"/>
      <c r="U222" s="166">
        <v>-21457</v>
      </c>
      <c r="V222" s="166">
        <v>-203288</v>
      </c>
      <c r="W222" s="166">
        <v>-203288</v>
      </c>
      <c r="X222" s="166">
        <v>0</v>
      </c>
      <c r="Y222" s="166">
        <v>-34948</v>
      </c>
      <c r="Z222" s="166">
        <v>107764302</v>
      </c>
      <c r="AA222" s="166">
        <v>-8621144</v>
      </c>
      <c r="AB222" s="166"/>
      <c r="AC222" s="166">
        <v>-3549476</v>
      </c>
      <c r="AD222" s="166">
        <v>286</v>
      </c>
      <c r="AE222" s="166">
        <v>4</v>
      </c>
      <c r="AF222" s="166">
        <v>18</v>
      </c>
      <c r="AG222" s="166"/>
      <c r="AH222" s="166">
        <v>0</v>
      </c>
      <c r="AI222" s="166">
        <v>0</v>
      </c>
      <c r="AJ222" s="166">
        <v>275</v>
      </c>
      <c r="AK222" s="166">
        <v>148</v>
      </c>
      <c r="AL222" s="166">
        <v>12</v>
      </c>
      <c r="AM222" s="166">
        <v>0</v>
      </c>
      <c r="AN222" s="166">
        <v>3</v>
      </c>
      <c r="AO222" s="166">
        <v>0</v>
      </c>
      <c r="AP222" s="166">
        <v>6</v>
      </c>
      <c r="AQ222" s="166">
        <v>3</v>
      </c>
      <c r="AR222" s="166">
        <v>329</v>
      </c>
      <c r="AS222" s="166">
        <v>1570</v>
      </c>
      <c r="AT222" s="166">
        <v>1640</v>
      </c>
      <c r="AU222" s="166">
        <v>1495</v>
      </c>
      <c r="AV222" s="166">
        <v>145</v>
      </c>
      <c r="AW222" s="166">
        <v>2295</v>
      </c>
      <c r="AX222" s="166">
        <v>-55157</v>
      </c>
      <c r="AY222" s="166">
        <v>-342191</v>
      </c>
      <c r="AZ222" s="166">
        <v>0</v>
      </c>
      <c r="BA222" s="166">
        <v>0</v>
      </c>
      <c r="BB222" s="166">
        <v>-1777240</v>
      </c>
      <c r="BC222" s="166">
        <v>-124769</v>
      </c>
      <c r="BD222" s="166">
        <v>-1493490</v>
      </c>
      <c r="BE222" s="166">
        <v>1737369</v>
      </c>
      <c r="BF222" s="166"/>
      <c r="BG222" s="760">
        <v>25904333</v>
      </c>
      <c r="BH222" s="760">
        <v>121250</v>
      </c>
      <c r="BI222" s="815">
        <v>3507412</v>
      </c>
      <c r="BJ222" s="1044" t="s">
        <v>2454</v>
      </c>
      <c r="BK222" s="1044" t="s">
        <v>2462</v>
      </c>
      <c r="BL222" s="1044" t="s">
        <v>2677</v>
      </c>
      <c r="BM222" s="650"/>
      <c r="BN222" s="746" t="s">
        <v>327</v>
      </c>
      <c r="BO222" s="142" t="b">
        <v>1</v>
      </c>
      <c r="BP222" s="544"/>
      <c r="BQ222" s="544"/>
      <c r="BR222" s="544"/>
      <c r="BS222" s="544"/>
      <c r="BT222" s="544"/>
      <c r="BU222" s="544"/>
      <c r="BV222" s="544"/>
      <c r="BW222" s="544"/>
      <c r="BX222" s="544"/>
      <c r="BY222" s="544"/>
      <c r="BZ222" s="544"/>
      <c r="CA222" s="544"/>
      <c r="CB222" s="544"/>
      <c r="CC222" s="544"/>
      <c r="CD222" s="544"/>
      <c r="CE222" s="544"/>
      <c r="CF222" s="544"/>
      <c r="CG222" s="544"/>
      <c r="CH222" s="544"/>
      <c r="CI222" s="544"/>
      <c r="CJ222" s="544"/>
      <c r="CK222" s="544"/>
      <c r="CL222" s="544"/>
      <c r="CM222" s="544"/>
      <c r="CN222" s="544"/>
      <c r="CO222" s="544"/>
      <c r="CP222" s="544"/>
      <c r="CQ222" s="544"/>
      <c r="CR222" s="544"/>
      <c r="CS222" s="544"/>
    </row>
    <row r="223" spans="1:97" s="142" customFormat="1" ht="12.75" x14ac:dyDescent="0.2">
      <c r="A223" s="735">
        <v>216</v>
      </c>
      <c r="B223" s="732" t="s">
        <v>328</v>
      </c>
      <c r="C223" s="738" t="s">
        <v>329</v>
      </c>
      <c r="D223" s="905">
        <v>96686.263475460699</v>
      </c>
      <c r="E223" s="905">
        <v>75458747</v>
      </c>
      <c r="F223" s="905">
        <v>2491</v>
      </c>
      <c r="G223" s="166">
        <v>37813063</v>
      </c>
      <c r="H223" s="166">
        <v>-2900111</v>
      </c>
      <c r="I223" s="166">
        <v>727737</v>
      </c>
      <c r="J223" s="166">
        <v>-2172374</v>
      </c>
      <c r="K223" s="166">
        <v>-1951969</v>
      </c>
      <c r="L223" s="166">
        <v>-31502</v>
      </c>
      <c r="M223" s="166">
        <v>-43606</v>
      </c>
      <c r="N223" s="166">
        <v>-8920</v>
      </c>
      <c r="O223" s="166">
        <v>-320000</v>
      </c>
      <c r="P223" s="166">
        <v>-508183</v>
      </c>
      <c r="Q223" s="166">
        <v>-16393</v>
      </c>
      <c r="R223" s="166">
        <v>-10541</v>
      </c>
      <c r="S223" s="166">
        <v>0</v>
      </c>
      <c r="T223" s="166"/>
      <c r="U223" s="166">
        <v>0</v>
      </c>
      <c r="V223" s="166">
        <v>-1024</v>
      </c>
      <c r="W223" s="166">
        <v>0</v>
      </c>
      <c r="X223" s="166">
        <v>0</v>
      </c>
      <c r="Y223" s="166">
        <v>-21291</v>
      </c>
      <c r="Z223" s="166">
        <v>28831552</v>
      </c>
      <c r="AA223" s="166">
        <v>-25783</v>
      </c>
      <c r="AB223" s="166"/>
      <c r="AC223" s="166">
        <v>-2037720</v>
      </c>
      <c r="AD223" s="166">
        <v>132</v>
      </c>
      <c r="AE223" s="166">
        <v>6</v>
      </c>
      <c r="AF223" s="166">
        <v>8</v>
      </c>
      <c r="AG223" s="166"/>
      <c r="AH223" s="166">
        <v>6</v>
      </c>
      <c r="AI223" s="166">
        <v>2</v>
      </c>
      <c r="AJ223" s="166">
        <v>161</v>
      </c>
      <c r="AK223" s="166">
        <v>18</v>
      </c>
      <c r="AL223" s="166">
        <v>2</v>
      </c>
      <c r="AM223" s="166">
        <v>0</v>
      </c>
      <c r="AN223" s="166">
        <v>0</v>
      </c>
      <c r="AO223" s="166">
        <v>0</v>
      </c>
      <c r="AP223" s="166">
        <v>0</v>
      </c>
      <c r="AQ223" s="166">
        <v>0</v>
      </c>
      <c r="AR223" s="166">
        <v>310</v>
      </c>
      <c r="AS223" s="166">
        <v>572</v>
      </c>
      <c r="AT223" s="166">
        <v>1074</v>
      </c>
      <c r="AU223" s="166">
        <v>990</v>
      </c>
      <c r="AV223" s="166">
        <v>84</v>
      </c>
      <c r="AW223" s="166">
        <v>828</v>
      </c>
      <c r="AX223" s="166">
        <v>-49857</v>
      </c>
      <c r="AY223" s="166">
        <v>-163668</v>
      </c>
      <c r="AZ223" s="166">
        <v>0</v>
      </c>
      <c r="BA223" s="166">
        <v>-4454</v>
      </c>
      <c r="BB223" s="166">
        <v>-281996</v>
      </c>
      <c r="BC223" s="166">
        <v>-8208</v>
      </c>
      <c r="BD223" s="166">
        <v>-228861</v>
      </c>
      <c r="BE223" s="166">
        <v>-1242694</v>
      </c>
      <c r="BF223" s="166"/>
      <c r="BG223" s="760">
        <v>7453250</v>
      </c>
      <c r="BH223" s="760">
        <v>0</v>
      </c>
      <c r="BI223" s="815">
        <v>-1185533</v>
      </c>
      <c r="BJ223" s="1044" t="s">
        <v>2454</v>
      </c>
      <c r="BK223" s="1044" t="s">
        <v>2457</v>
      </c>
      <c r="BL223" s="1044" t="s">
        <v>2678</v>
      </c>
      <c r="BM223" s="650"/>
      <c r="BN223" s="746" t="s">
        <v>329</v>
      </c>
      <c r="BO223" s="142" t="b">
        <v>1</v>
      </c>
      <c r="BP223" s="544"/>
      <c r="BQ223" s="544"/>
      <c r="BR223" s="544"/>
      <c r="BS223" s="544"/>
      <c r="BT223" s="544"/>
      <c r="BU223" s="544"/>
      <c r="BV223" s="544"/>
      <c r="BW223" s="544"/>
      <c r="BX223" s="544"/>
      <c r="BY223" s="544"/>
      <c r="BZ223" s="544"/>
      <c r="CA223" s="544"/>
      <c r="CB223" s="544"/>
      <c r="CC223" s="544"/>
      <c r="CD223" s="544"/>
      <c r="CE223" s="544"/>
      <c r="CF223" s="544"/>
      <c r="CG223" s="544"/>
      <c r="CH223" s="544"/>
      <c r="CI223" s="544"/>
      <c r="CJ223" s="544"/>
      <c r="CK223" s="544"/>
      <c r="CL223" s="544"/>
      <c r="CM223" s="544"/>
      <c r="CN223" s="544"/>
      <c r="CO223" s="544"/>
      <c r="CP223" s="544"/>
      <c r="CQ223" s="544"/>
      <c r="CR223" s="544"/>
      <c r="CS223" s="544"/>
    </row>
    <row r="224" spans="1:97" s="142" customFormat="1" ht="12.75" hidden="1" x14ac:dyDescent="0.2">
      <c r="A224" s="735">
        <v>217</v>
      </c>
      <c r="B224" s="732" t="s">
        <v>519</v>
      </c>
      <c r="C224" s="738" t="s">
        <v>331</v>
      </c>
      <c r="D224" s="905">
        <v>354119.29753322498</v>
      </c>
      <c r="E224" s="905">
        <v>372564113</v>
      </c>
      <c r="F224" s="905">
        <v>7831</v>
      </c>
      <c r="G224" s="166">
        <v>189798642</v>
      </c>
      <c r="H224" s="166">
        <v>-5851792</v>
      </c>
      <c r="I224" s="166">
        <v>4019547</v>
      </c>
      <c r="J224" s="166">
        <v>-1832245</v>
      </c>
      <c r="K224" s="166">
        <v>-9994131</v>
      </c>
      <c r="L224" s="166">
        <v>-100127</v>
      </c>
      <c r="M224" s="166">
        <v>-44191</v>
      </c>
      <c r="N224" s="166">
        <v>-14829</v>
      </c>
      <c r="O224" s="166">
        <v>-500000</v>
      </c>
      <c r="P224" s="166">
        <v>-7500000</v>
      </c>
      <c r="Q224" s="166">
        <v>-91920</v>
      </c>
      <c r="R224" s="166">
        <v>-24432</v>
      </c>
      <c r="S224" s="166">
        <v>0</v>
      </c>
      <c r="T224" s="166"/>
      <c r="U224" s="166">
        <v>0</v>
      </c>
      <c r="V224" s="166">
        <v>0</v>
      </c>
      <c r="W224" s="166">
        <v>0</v>
      </c>
      <c r="X224" s="166">
        <v>0</v>
      </c>
      <c r="Y224" s="166">
        <v>-15547</v>
      </c>
      <c r="Z224" s="166">
        <v>147450036</v>
      </c>
      <c r="AA224" s="166">
        <v>-5300000</v>
      </c>
      <c r="AB224" s="166"/>
      <c r="AC224" s="166">
        <v>-8000000</v>
      </c>
      <c r="AD224" s="166">
        <v>524</v>
      </c>
      <c r="AE224" s="166">
        <v>35</v>
      </c>
      <c r="AF224" s="166">
        <v>21</v>
      </c>
      <c r="AG224" s="166"/>
      <c r="AH224" s="166">
        <v>13</v>
      </c>
      <c r="AI224" s="166">
        <v>2</v>
      </c>
      <c r="AJ224" s="166">
        <v>1572</v>
      </c>
      <c r="AK224" s="166">
        <v>182</v>
      </c>
      <c r="AL224" s="166">
        <v>18</v>
      </c>
      <c r="AM224" s="166">
        <v>21</v>
      </c>
      <c r="AN224" s="166">
        <v>6</v>
      </c>
      <c r="AO224" s="166">
        <v>35</v>
      </c>
      <c r="AP224" s="166">
        <v>0</v>
      </c>
      <c r="AQ224" s="166">
        <v>0</v>
      </c>
      <c r="AR224" s="166">
        <v>1109</v>
      </c>
      <c r="AS224" s="166">
        <v>2242</v>
      </c>
      <c r="AT224" s="166">
        <v>2744</v>
      </c>
      <c r="AU224" s="166">
        <v>2568</v>
      </c>
      <c r="AV224" s="166">
        <v>176</v>
      </c>
      <c r="AW224" s="166">
        <v>2899</v>
      </c>
      <c r="AX224" s="166">
        <v>-719646</v>
      </c>
      <c r="AY224" s="166">
        <v>-1039527</v>
      </c>
      <c r="AZ224" s="166">
        <v>0</v>
      </c>
      <c r="BA224" s="166">
        <v>-143938</v>
      </c>
      <c r="BB224" s="166">
        <v>-2736664</v>
      </c>
      <c r="BC224" s="166">
        <v>-2860225</v>
      </c>
      <c r="BD224" s="166">
        <v>-1692679</v>
      </c>
      <c r="BE224" s="166">
        <v>153007</v>
      </c>
      <c r="BF224" s="166"/>
      <c r="BG224" s="760">
        <v>7515250</v>
      </c>
      <c r="BH224" s="760">
        <v>126000</v>
      </c>
      <c r="BI224" s="815">
        <v>4427361</v>
      </c>
      <c r="BJ224" s="1044" t="s">
        <v>515</v>
      </c>
      <c r="BK224" s="1044" t="s">
        <v>2474</v>
      </c>
      <c r="BL224" s="1044" t="s">
        <v>2679</v>
      </c>
      <c r="BM224" s="650"/>
      <c r="BN224" s="746" t="s">
        <v>331</v>
      </c>
      <c r="BO224" s="142" t="b">
        <v>1</v>
      </c>
      <c r="BP224" s="544"/>
      <c r="BQ224" s="544"/>
      <c r="BR224" s="544"/>
      <c r="BS224" s="544"/>
      <c r="BT224" s="544"/>
      <c r="BU224" s="544"/>
      <c r="BV224" s="544"/>
      <c r="BW224" s="544"/>
      <c r="BX224" s="544"/>
      <c r="BY224" s="544"/>
      <c r="BZ224" s="544"/>
      <c r="CA224" s="544"/>
      <c r="CB224" s="544"/>
      <c r="CC224" s="544"/>
      <c r="CD224" s="544"/>
      <c r="CE224" s="544"/>
      <c r="CF224" s="544"/>
      <c r="CG224" s="544"/>
      <c r="CH224" s="544"/>
      <c r="CI224" s="544"/>
      <c r="CJ224" s="544"/>
      <c r="CK224" s="544"/>
      <c r="CL224" s="544"/>
      <c r="CM224" s="544"/>
      <c r="CN224" s="544"/>
      <c r="CO224" s="544"/>
      <c r="CP224" s="544"/>
      <c r="CQ224" s="544"/>
      <c r="CR224" s="544"/>
      <c r="CS224" s="544"/>
    </row>
    <row r="225" spans="1:98" s="142" customFormat="1" ht="12.75" x14ac:dyDescent="0.2">
      <c r="A225" s="735">
        <v>218</v>
      </c>
      <c r="B225" s="732" t="s">
        <v>332</v>
      </c>
      <c r="C225" s="738" t="s">
        <v>333</v>
      </c>
      <c r="D225" s="905">
        <v>222213.28666057499</v>
      </c>
      <c r="E225" s="905">
        <v>95076779</v>
      </c>
      <c r="F225" s="905">
        <v>6433</v>
      </c>
      <c r="G225" s="166">
        <v>47112525</v>
      </c>
      <c r="H225" s="166">
        <v>-9191207</v>
      </c>
      <c r="I225" s="166">
        <v>636037</v>
      </c>
      <c r="J225" s="166">
        <v>-8555170</v>
      </c>
      <c r="K225" s="166">
        <v>-2915187</v>
      </c>
      <c r="L225" s="166">
        <v>-114857</v>
      </c>
      <c r="M225" s="166">
        <v>-75464</v>
      </c>
      <c r="N225" s="166">
        <v>-48467</v>
      </c>
      <c r="O225" s="166">
        <v>-300000</v>
      </c>
      <c r="P225" s="166">
        <v>-737596</v>
      </c>
      <c r="Q225" s="166">
        <v>-120000</v>
      </c>
      <c r="R225" s="166">
        <v>-25000</v>
      </c>
      <c r="S225" s="166">
        <v>-15000</v>
      </c>
      <c r="T225" s="166"/>
      <c r="U225" s="166">
        <v>0</v>
      </c>
      <c r="V225" s="166">
        <v>0</v>
      </c>
      <c r="W225" s="166">
        <v>0</v>
      </c>
      <c r="X225" s="166">
        <v>0</v>
      </c>
      <c r="Y225" s="166">
        <v>-37732</v>
      </c>
      <c r="Z225" s="166">
        <v>26068574</v>
      </c>
      <c r="AA225" s="166">
        <v>-1008211</v>
      </c>
      <c r="AB225" s="166"/>
      <c r="AC225" s="166">
        <v>-5066526</v>
      </c>
      <c r="AD225" s="166">
        <v>346</v>
      </c>
      <c r="AE225" s="166">
        <v>20</v>
      </c>
      <c r="AF225" s="166">
        <v>24</v>
      </c>
      <c r="AG225" s="166"/>
      <c r="AH225" s="166">
        <v>43</v>
      </c>
      <c r="AI225" s="166">
        <v>0</v>
      </c>
      <c r="AJ225" s="166">
        <v>190</v>
      </c>
      <c r="AK225" s="166">
        <v>152</v>
      </c>
      <c r="AL225" s="166">
        <v>3</v>
      </c>
      <c r="AM225" s="166">
        <v>0</v>
      </c>
      <c r="AN225" s="166">
        <v>0</v>
      </c>
      <c r="AO225" s="166">
        <v>3</v>
      </c>
      <c r="AP225" s="166">
        <v>0</v>
      </c>
      <c r="AQ225" s="166">
        <v>1</v>
      </c>
      <c r="AR225" s="166">
        <v>1389</v>
      </c>
      <c r="AS225" s="166">
        <v>938</v>
      </c>
      <c r="AT225" s="166">
        <v>3590</v>
      </c>
      <c r="AU225" s="166">
        <v>3473</v>
      </c>
      <c r="AV225" s="166">
        <v>117</v>
      </c>
      <c r="AW225" s="166">
        <v>1929</v>
      </c>
      <c r="AX225" s="166">
        <v>-232466</v>
      </c>
      <c r="AY225" s="166">
        <v>-327366</v>
      </c>
      <c r="AZ225" s="166">
        <v>0</v>
      </c>
      <c r="BA225" s="166">
        <v>-10519</v>
      </c>
      <c r="BB225" s="166">
        <v>-136832</v>
      </c>
      <c r="BC225" s="166">
        <v>-30413</v>
      </c>
      <c r="BD225" s="166">
        <v>-332269</v>
      </c>
      <c r="BE225" s="166">
        <v>6862487</v>
      </c>
      <c r="BF225" s="166"/>
      <c r="BG225" s="760">
        <v>16485425</v>
      </c>
      <c r="BH225" s="760">
        <v>0</v>
      </c>
      <c r="BI225" s="815">
        <v>5957143</v>
      </c>
      <c r="BJ225" s="1044" t="s">
        <v>2454</v>
      </c>
      <c r="BK225" s="1044" t="s">
        <v>2474</v>
      </c>
      <c r="BL225" s="1044" t="s">
        <v>2680</v>
      </c>
      <c r="BM225" s="650"/>
      <c r="BN225" s="746" t="s">
        <v>333</v>
      </c>
      <c r="BO225" s="142" t="b">
        <v>1</v>
      </c>
      <c r="BP225" s="544"/>
      <c r="BQ225" s="544"/>
      <c r="BR225" s="544"/>
      <c r="BS225" s="544"/>
      <c r="BT225" s="544"/>
      <c r="BU225" s="544"/>
      <c r="BV225" s="544"/>
      <c r="BW225" s="544"/>
      <c r="BX225" s="544"/>
      <c r="BY225" s="544"/>
      <c r="BZ225" s="544"/>
      <c r="CA225" s="544"/>
      <c r="CB225" s="544"/>
      <c r="CC225" s="544"/>
      <c r="CD225" s="544"/>
      <c r="CE225" s="544"/>
      <c r="CF225" s="544"/>
      <c r="CG225" s="544"/>
      <c r="CH225" s="544"/>
      <c r="CI225" s="544"/>
      <c r="CJ225" s="544"/>
      <c r="CK225" s="544"/>
      <c r="CL225" s="544"/>
      <c r="CM225" s="544"/>
      <c r="CN225" s="544"/>
      <c r="CO225" s="544"/>
      <c r="CP225" s="544"/>
      <c r="CQ225" s="544"/>
      <c r="CR225" s="544"/>
      <c r="CS225" s="544"/>
    </row>
    <row r="226" spans="1:98" s="142" customFormat="1" ht="12.75" x14ac:dyDescent="0.2">
      <c r="A226" s="735">
        <v>219</v>
      </c>
      <c r="B226" s="732" t="s">
        <v>334</v>
      </c>
      <c r="C226" s="738" t="s">
        <v>335</v>
      </c>
      <c r="D226" s="905">
        <v>107699.87007458801</v>
      </c>
      <c r="E226" s="905">
        <v>65212888</v>
      </c>
      <c r="F226" s="905">
        <v>2945</v>
      </c>
      <c r="G226" s="166">
        <v>32342094</v>
      </c>
      <c r="H226" s="166">
        <v>-3153289</v>
      </c>
      <c r="I226" s="166">
        <v>552943</v>
      </c>
      <c r="J226" s="166">
        <v>-2600346</v>
      </c>
      <c r="K226" s="166">
        <v>-1577146</v>
      </c>
      <c r="L226" s="166">
        <v>-57677</v>
      </c>
      <c r="M226" s="166">
        <v>-45572</v>
      </c>
      <c r="N226" s="166">
        <v>-15743</v>
      </c>
      <c r="O226" s="166">
        <v>0</v>
      </c>
      <c r="P226" s="166">
        <v>-184694</v>
      </c>
      <c r="Q226" s="166">
        <v>-74358</v>
      </c>
      <c r="R226" s="166">
        <v>-192156</v>
      </c>
      <c r="S226" s="166">
        <v>-7479</v>
      </c>
      <c r="T226" s="166"/>
      <c r="U226" s="166">
        <v>0</v>
      </c>
      <c r="V226" s="166">
        <v>0</v>
      </c>
      <c r="W226" s="166">
        <v>0</v>
      </c>
      <c r="X226" s="166">
        <v>0</v>
      </c>
      <c r="Y226" s="166">
        <v>-22786</v>
      </c>
      <c r="Z226" s="166">
        <v>23875736</v>
      </c>
      <c r="AA226" s="166">
        <v>-286509</v>
      </c>
      <c r="AB226" s="166"/>
      <c r="AC226" s="166">
        <v>-1873452</v>
      </c>
      <c r="AD226" s="166">
        <v>137</v>
      </c>
      <c r="AE226" s="166">
        <v>17</v>
      </c>
      <c r="AF226" s="166">
        <v>21</v>
      </c>
      <c r="AG226" s="166"/>
      <c r="AH226" s="166">
        <v>0</v>
      </c>
      <c r="AI226" s="166">
        <v>0</v>
      </c>
      <c r="AJ226" s="166">
        <v>99</v>
      </c>
      <c r="AK226" s="166">
        <v>90</v>
      </c>
      <c r="AL226" s="166">
        <v>8</v>
      </c>
      <c r="AM226" s="166">
        <v>0</v>
      </c>
      <c r="AN226" s="166">
        <v>0</v>
      </c>
      <c r="AO226" s="166">
        <v>12</v>
      </c>
      <c r="AP226" s="166">
        <v>0</v>
      </c>
      <c r="AQ226" s="166">
        <v>0</v>
      </c>
      <c r="AR226" s="166">
        <v>237</v>
      </c>
      <c r="AS226" s="166">
        <v>553</v>
      </c>
      <c r="AT226" s="166">
        <v>1356</v>
      </c>
      <c r="AU226" s="166">
        <v>1281</v>
      </c>
      <c r="AV226" s="166">
        <v>75</v>
      </c>
      <c r="AW226" s="166">
        <v>1006</v>
      </c>
      <c r="AX226" s="166">
        <v>-10240</v>
      </c>
      <c r="AY226" s="166">
        <v>-51711</v>
      </c>
      <c r="AZ226" s="166">
        <v>0</v>
      </c>
      <c r="BA226" s="166">
        <v>0</v>
      </c>
      <c r="BB226" s="166">
        <v>-117447</v>
      </c>
      <c r="BC226" s="166">
        <v>-5296</v>
      </c>
      <c r="BD226" s="166">
        <v>-349330</v>
      </c>
      <c r="BE226" s="166">
        <v>1464566</v>
      </c>
      <c r="BF226" s="166"/>
      <c r="BG226" s="760">
        <v>9372850</v>
      </c>
      <c r="BH226" s="760">
        <v>0</v>
      </c>
      <c r="BI226" s="815">
        <v>2474151</v>
      </c>
      <c r="BJ226" s="1044" t="s">
        <v>2454</v>
      </c>
      <c r="BK226" s="1044" t="s">
        <v>2457</v>
      </c>
      <c r="BL226" s="1044" t="s">
        <v>2681</v>
      </c>
      <c r="BM226" s="650"/>
      <c r="BN226" s="746" t="s">
        <v>335</v>
      </c>
      <c r="BO226" s="142" t="b">
        <v>1</v>
      </c>
      <c r="BP226" s="544"/>
      <c r="BQ226" s="544"/>
      <c r="BR226" s="544"/>
      <c r="BS226" s="544"/>
      <c r="BT226" s="544"/>
      <c r="BU226" s="544"/>
      <c r="BV226" s="544"/>
      <c r="BW226" s="544"/>
      <c r="BX226" s="544"/>
      <c r="BY226" s="544"/>
      <c r="BZ226" s="544"/>
      <c r="CA226" s="544"/>
      <c r="CB226" s="544"/>
      <c r="CC226" s="544"/>
      <c r="CD226" s="544"/>
      <c r="CE226" s="544"/>
      <c r="CF226" s="544"/>
      <c r="CG226" s="544"/>
      <c r="CH226" s="544"/>
      <c r="CI226" s="544"/>
      <c r="CJ226" s="544"/>
      <c r="CK226" s="544"/>
      <c r="CL226" s="544"/>
      <c r="CM226" s="544"/>
      <c r="CN226" s="544"/>
      <c r="CO226" s="544"/>
      <c r="CP226" s="544"/>
      <c r="CQ226" s="544"/>
      <c r="CR226" s="544"/>
      <c r="CS226" s="544"/>
    </row>
    <row r="227" spans="1:98" s="142" customFormat="1" ht="12.75" x14ac:dyDescent="0.2">
      <c r="A227" s="735">
        <v>220</v>
      </c>
      <c r="B227" s="732" t="s">
        <v>336</v>
      </c>
      <c r="C227" s="738" t="s">
        <v>337</v>
      </c>
      <c r="D227" s="905">
        <v>174979.22547998399</v>
      </c>
      <c r="E227" s="905">
        <v>114220305</v>
      </c>
      <c r="F227" s="905">
        <v>4710</v>
      </c>
      <c r="G227" s="166">
        <v>57195513</v>
      </c>
      <c r="H227" s="166">
        <v>-4954876</v>
      </c>
      <c r="I227" s="166">
        <v>960720</v>
      </c>
      <c r="J227" s="166">
        <v>-3994156</v>
      </c>
      <c r="K227" s="166">
        <v>-3986827</v>
      </c>
      <c r="L227" s="166">
        <v>-175450</v>
      </c>
      <c r="M227" s="166">
        <v>-75768</v>
      </c>
      <c r="N227" s="166">
        <v>-9905</v>
      </c>
      <c r="O227" s="166">
        <v>-100000</v>
      </c>
      <c r="P227" s="166">
        <v>-1639700</v>
      </c>
      <c r="Q227" s="166">
        <v>-29199</v>
      </c>
      <c r="R227" s="166">
        <v>-1208</v>
      </c>
      <c r="S227" s="166">
        <v>-1505</v>
      </c>
      <c r="T227" s="166"/>
      <c r="U227" s="166">
        <v>-31028</v>
      </c>
      <c r="V227" s="166">
        <v>-100000</v>
      </c>
      <c r="W227" s="166">
        <v>0</v>
      </c>
      <c r="X227" s="166">
        <v>0</v>
      </c>
      <c r="Y227" s="166">
        <v>-37884</v>
      </c>
      <c r="Z227" s="166">
        <v>39509979</v>
      </c>
      <c r="AA227" s="166">
        <v>-1186800</v>
      </c>
      <c r="AB227" s="166"/>
      <c r="AC227" s="166">
        <v>-4808301</v>
      </c>
      <c r="AD227" s="166">
        <v>232</v>
      </c>
      <c r="AE227" s="166">
        <v>29</v>
      </c>
      <c r="AF227" s="166">
        <v>27</v>
      </c>
      <c r="AG227" s="166"/>
      <c r="AH227" s="166">
        <v>0</v>
      </c>
      <c r="AI227" s="166">
        <v>0</v>
      </c>
      <c r="AJ227" s="166">
        <v>409</v>
      </c>
      <c r="AK227" s="166">
        <v>66</v>
      </c>
      <c r="AL227" s="166">
        <v>2</v>
      </c>
      <c r="AM227" s="166">
        <v>0</v>
      </c>
      <c r="AN227" s="166">
        <v>8</v>
      </c>
      <c r="AO227" s="166">
        <v>1</v>
      </c>
      <c r="AP227" s="166">
        <v>0</v>
      </c>
      <c r="AQ227" s="166">
        <v>0</v>
      </c>
      <c r="AR227" s="166">
        <v>578</v>
      </c>
      <c r="AS227" s="166">
        <v>1037</v>
      </c>
      <c r="AT227" s="166">
        <v>1916</v>
      </c>
      <c r="AU227" s="166">
        <v>1804</v>
      </c>
      <c r="AV227" s="166">
        <v>112</v>
      </c>
      <c r="AW227" s="166">
        <v>4</v>
      </c>
      <c r="AX227" s="166">
        <v>-312806</v>
      </c>
      <c r="AY227" s="166">
        <v>-509460</v>
      </c>
      <c r="AZ227" s="166">
        <v>0</v>
      </c>
      <c r="BA227" s="166">
        <v>-4710</v>
      </c>
      <c r="BB227" s="166">
        <v>-772317</v>
      </c>
      <c r="BC227" s="166">
        <v>-113155</v>
      </c>
      <c r="BD227" s="166">
        <v>-26000</v>
      </c>
      <c r="BE227" s="166">
        <v>31396</v>
      </c>
      <c r="BF227" s="166"/>
      <c r="BG227" s="760">
        <v>19705400</v>
      </c>
      <c r="BH227" s="760">
        <v>0</v>
      </c>
      <c r="BI227" s="815">
        <v>-1321823</v>
      </c>
      <c r="BJ227" s="1044" t="s">
        <v>2454</v>
      </c>
      <c r="BK227" s="1044" t="s">
        <v>2457</v>
      </c>
      <c r="BL227" s="1044" t="s">
        <v>2682</v>
      </c>
      <c r="BM227" s="650"/>
      <c r="BN227" s="746" t="s">
        <v>337</v>
      </c>
      <c r="BO227" s="142" t="b">
        <v>1</v>
      </c>
      <c r="BP227" s="544"/>
      <c r="BQ227" s="544"/>
      <c r="BR227" s="544"/>
      <c r="BS227" s="544"/>
      <c r="BT227" s="544"/>
      <c r="BU227" s="544"/>
      <c r="BV227" s="544"/>
      <c r="BW227" s="544"/>
      <c r="BX227" s="544"/>
      <c r="BY227" s="544"/>
      <c r="BZ227" s="544"/>
      <c r="CA227" s="544"/>
      <c r="CB227" s="544"/>
      <c r="CC227" s="544"/>
      <c r="CD227" s="544"/>
      <c r="CE227" s="544"/>
      <c r="CF227" s="544"/>
      <c r="CG227" s="544"/>
      <c r="CH227" s="544"/>
      <c r="CI227" s="544"/>
      <c r="CJ227" s="544"/>
      <c r="CK227" s="544"/>
      <c r="CL227" s="544"/>
      <c r="CM227" s="544"/>
      <c r="CN227" s="544"/>
      <c r="CO227" s="544"/>
      <c r="CP227" s="544"/>
      <c r="CQ227" s="544"/>
      <c r="CR227" s="544"/>
      <c r="CS227" s="544"/>
    </row>
    <row r="228" spans="1:98" s="142" customFormat="1" ht="12.75" x14ac:dyDescent="0.2">
      <c r="A228" s="735">
        <v>221</v>
      </c>
      <c r="B228" s="732" t="s">
        <v>338</v>
      </c>
      <c r="C228" s="738" t="s">
        <v>339</v>
      </c>
      <c r="D228" s="905">
        <v>179555.600578471</v>
      </c>
      <c r="E228" s="905">
        <v>98967425</v>
      </c>
      <c r="F228" s="905">
        <v>4998</v>
      </c>
      <c r="G228" s="166">
        <v>49279301</v>
      </c>
      <c r="H228" s="166">
        <v>-4757275</v>
      </c>
      <c r="I228" s="166">
        <v>840001</v>
      </c>
      <c r="J228" s="166">
        <v>-3917274</v>
      </c>
      <c r="K228" s="166">
        <v>-5213627</v>
      </c>
      <c r="L228" s="166">
        <v>-83223</v>
      </c>
      <c r="M228" s="166">
        <v>-143114</v>
      </c>
      <c r="N228" s="166">
        <v>-12863</v>
      </c>
      <c r="O228" s="166">
        <v>-10000</v>
      </c>
      <c r="P228" s="166">
        <v>-763011</v>
      </c>
      <c r="Q228" s="166">
        <v>-120453</v>
      </c>
      <c r="R228" s="166">
        <v>-127915</v>
      </c>
      <c r="S228" s="166">
        <v>-4350</v>
      </c>
      <c r="T228" s="166"/>
      <c r="U228" s="166">
        <v>0</v>
      </c>
      <c r="V228" s="166">
        <v>-238333</v>
      </c>
      <c r="W228" s="166">
        <v>-238333</v>
      </c>
      <c r="X228" s="166">
        <v>0</v>
      </c>
      <c r="Y228" s="166">
        <v>-28096</v>
      </c>
      <c r="Z228" s="166">
        <v>31889000</v>
      </c>
      <c r="AA228" s="166">
        <v>-1143000</v>
      </c>
      <c r="AB228" s="166"/>
      <c r="AC228" s="166">
        <v>-3621104</v>
      </c>
      <c r="AD228" s="166">
        <v>303</v>
      </c>
      <c r="AE228" s="166">
        <v>11</v>
      </c>
      <c r="AF228" s="166">
        <v>39</v>
      </c>
      <c r="AG228" s="166"/>
      <c r="AH228" s="166">
        <v>8</v>
      </c>
      <c r="AI228" s="166">
        <v>0</v>
      </c>
      <c r="AJ228" s="166">
        <v>212</v>
      </c>
      <c r="AK228" s="166">
        <v>165</v>
      </c>
      <c r="AL228" s="166">
        <v>26</v>
      </c>
      <c r="AM228" s="166">
        <v>44</v>
      </c>
      <c r="AN228" s="166">
        <v>0</v>
      </c>
      <c r="AO228" s="166">
        <v>8</v>
      </c>
      <c r="AP228" s="166">
        <v>14</v>
      </c>
      <c r="AQ228" s="166">
        <v>15</v>
      </c>
      <c r="AR228" s="166">
        <v>498</v>
      </c>
      <c r="AS228" s="166">
        <v>919</v>
      </c>
      <c r="AT228" s="166">
        <v>4783</v>
      </c>
      <c r="AU228" s="166">
        <v>112</v>
      </c>
      <c r="AV228" s="166">
        <v>4671</v>
      </c>
      <c r="AW228" s="166">
        <v>1751</v>
      </c>
      <c r="AX228" s="166">
        <v>-33295</v>
      </c>
      <c r="AY228" s="166">
        <v>-312818</v>
      </c>
      <c r="AZ228" s="166">
        <v>0</v>
      </c>
      <c r="BA228" s="166">
        <v>0</v>
      </c>
      <c r="BB228" s="166">
        <v>-261452</v>
      </c>
      <c r="BC228" s="166">
        <v>-18221</v>
      </c>
      <c r="BD228" s="166">
        <v>-450000</v>
      </c>
      <c r="BE228" s="166">
        <v>-1729616</v>
      </c>
      <c r="BF228" s="166"/>
      <c r="BG228" s="760">
        <v>13091850</v>
      </c>
      <c r="BH228" s="760">
        <v>70000</v>
      </c>
      <c r="BI228" s="815">
        <v>-116189</v>
      </c>
      <c r="BJ228" s="1044" t="s">
        <v>2454</v>
      </c>
      <c r="BK228" s="1044" t="s">
        <v>2462</v>
      </c>
      <c r="BL228" s="1044" t="s">
        <v>2683</v>
      </c>
      <c r="BM228" s="650"/>
      <c r="BN228" s="746" t="s">
        <v>339</v>
      </c>
      <c r="BO228" s="142" t="b">
        <v>1</v>
      </c>
      <c r="BP228" s="544"/>
      <c r="BQ228" s="544"/>
      <c r="BR228" s="544"/>
      <c r="BS228" s="544"/>
      <c r="BT228" s="544"/>
      <c r="BU228" s="544"/>
      <c r="BV228" s="544"/>
      <c r="BW228" s="544"/>
      <c r="BX228" s="544"/>
      <c r="BY228" s="544"/>
      <c r="BZ228" s="544"/>
      <c r="CA228" s="544"/>
      <c r="CB228" s="544"/>
      <c r="CC228" s="544"/>
      <c r="CD228" s="544"/>
      <c r="CE228" s="544"/>
      <c r="CF228" s="544"/>
      <c r="CG228" s="544"/>
      <c r="CH228" s="544"/>
      <c r="CI228" s="544"/>
      <c r="CJ228" s="544"/>
      <c r="CK228" s="544"/>
      <c r="CL228" s="544"/>
      <c r="CM228" s="544"/>
      <c r="CN228" s="544"/>
      <c r="CO228" s="544"/>
      <c r="CP228" s="544"/>
      <c r="CQ228" s="544"/>
      <c r="CR228" s="544"/>
      <c r="CS228" s="544"/>
    </row>
    <row r="229" spans="1:98" s="142" customFormat="1" ht="12.75" x14ac:dyDescent="0.2">
      <c r="A229" s="735">
        <v>222</v>
      </c>
      <c r="B229" s="732" t="s">
        <v>340</v>
      </c>
      <c r="C229" s="738" t="s">
        <v>341</v>
      </c>
      <c r="D229" s="905">
        <v>184502.85496882501</v>
      </c>
      <c r="E229" s="905">
        <v>135424648</v>
      </c>
      <c r="F229" s="905">
        <v>4524</v>
      </c>
      <c r="G229" s="166">
        <v>66599566</v>
      </c>
      <c r="H229" s="166">
        <v>-4005674</v>
      </c>
      <c r="I229" s="166">
        <v>1188526</v>
      </c>
      <c r="J229" s="166">
        <v>-2817148</v>
      </c>
      <c r="K229" s="166">
        <v>-5373999</v>
      </c>
      <c r="L229" s="166">
        <v>-68539</v>
      </c>
      <c r="M229" s="166">
        <v>-30176</v>
      </c>
      <c r="N229" s="166">
        <v>-12076</v>
      </c>
      <c r="O229" s="166">
        <v>0</v>
      </c>
      <c r="P229" s="166">
        <v>-1358216</v>
      </c>
      <c r="Q229" s="166">
        <v>-196060</v>
      </c>
      <c r="R229" s="166">
        <v>-15656</v>
      </c>
      <c r="S229" s="166">
        <v>-8567</v>
      </c>
      <c r="T229" s="166"/>
      <c r="U229" s="166">
        <v>0</v>
      </c>
      <c r="V229" s="166">
        <v>0</v>
      </c>
      <c r="W229" s="166">
        <v>0</v>
      </c>
      <c r="X229" s="166">
        <v>0</v>
      </c>
      <c r="Y229" s="166">
        <v>0</v>
      </c>
      <c r="Z229" s="166">
        <v>48636062</v>
      </c>
      <c r="AA229" s="166">
        <v>-2122000</v>
      </c>
      <c r="AB229" s="166"/>
      <c r="AC229" s="166">
        <v>-3428460</v>
      </c>
      <c r="AD229" s="166">
        <v>317</v>
      </c>
      <c r="AE229" s="166">
        <v>21</v>
      </c>
      <c r="AF229" s="166">
        <v>21</v>
      </c>
      <c r="AG229" s="166"/>
      <c r="AH229" s="166">
        <v>11</v>
      </c>
      <c r="AI229" s="166">
        <v>0</v>
      </c>
      <c r="AJ229" s="166">
        <v>339</v>
      </c>
      <c r="AK229" s="166">
        <v>166</v>
      </c>
      <c r="AL229" s="166">
        <v>2</v>
      </c>
      <c r="AM229" s="166">
        <v>0</v>
      </c>
      <c r="AN229" s="166">
        <v>0</v>
      </c>
      <c r="AO229" s="166">
        <v>21</v>
      </c>
      <c r="AP229" s="166">
        <v>0</v>
      </c>
      <c r="AQ229" s="166">
        <v>0</v>
      </c>
      <c r="AR229" s="166">
        <v>403</v>
      </c>
      <c r="AS229" s="166">
        <v>1040</v>
      </c>
      <c r="AT229" s="166">
        <v>1580</v>
      </c>
      <c r="AU229" s="166">
        <v>1446</v>
      </c>
      <c r="AV229" s="166">
        <v>134</v>
      </c>
      <c r="AW229" s="166">
        <v>1809</v>
      </c>
      <c r="AX229" s="166">
        <v>-71695</v>
      </c>
      <c r="AY229" s="166">
        <v>-684220</v>
      </c>
      <c r="AZ229" s="166">
        <v>0</v>
      </c>
      <c r="BA229" s="166">
        <v>-2863</v>
      </c>
      <c r="BB229" s="166">
        <v>-77872</v>
      </c>
      <c r="BC229" s="166">
        <v>-521566</v>
      </c>
      <c r="BD229" s="166">
        <v>-479960</v>
      </c>
      <c r="BE229" s="166">
        <v>3439559</v>
      </c>
      <c r="BF229" s="166"/>
      <c r="BG229" s="760">
        <v>20031900</v>
      </c>
      <c r="BH229" s="760">
        <v>0</v>
      </c>
      <c r="BI229" s="815">
        <v>6474550</v>
      </c>
      <c r="BJ229" s="1044" t="s">
        <v>2454</v>
      </c>
      <c r="BK229" s="1044" t="s">
        <v>2455</v>
      </c>
      <c r="BL229" s="1044" t="s">
        <v>2684</v>
      </c>
      <c r="BM229" s="650"/>
      <c r="BN229" s="746" t="s">
        <v>341</v>
      </c>
      <c r="BO229" s="142" t="b">
        <v>1</v>
      </c>
      <c r="BP229" s="544"/>
      <c r="BQ229" s="544"/>
      <c r="BR229" s="544"/>
      <c r="BS229" s="544"/>
      <c r="BT229" s="544"/>
      <c r="BU229" s="544"/>
      <c r="BV229" s="544"/>
      <c r="BW229" s="544"/>
      <c r="BX229" s="544"/>
      <c r="BY229" s="544"/>
      <c r="BZ229" s="544"/>
      <c r="CA229" s="544"/>
      <c r="CB229" s="544"/>
      <c r="CC229" s="544"/>
      <c r="CD229" s="544"/>
      <c r="CE229" s="544"/>
      <c r="CF229" s="544"/>
      <c r="CG229" s="544"/>
      <c r="CH229" s="544"/>
      <c r="CI229" s="544"/>
      <c r="CJ229" s="544"/>
      <c r="CK229" s="544"/>
      <c r="CL229" s="544"/>
      <c r="CM229" s="544"/>
      <c r="CN229" s="544"/>
      <c r="CO229" s="544"/>
      <c r="CP229" s="544"/>
      <c r="CQ229" s="544"/>
      <c r="CR229" s="544"/>
      <c r="CS229" s="544"/>
    </row>
    <row r="230" spans="1:98" s="142" customFormat="1" ht="12.75" x14ac:dyDescent="0.2">
      <c r="A230" s="735">
        <v>223</v>
      </c>
      <c r="B230" s="732" t="s">
        <v>342</v>
      </c>
      <c r="C230" s="738" t="s">
        <v>343</v>
      </c>
      <c r="D230" s="905">
        <v>131016.41456097001</v>
      </c>
      <c r="E230" s="905">
        <v>103964117</v>
      </c>
      <c r="F230" s="905">
        <v>3360</v>
      </c>
      <c r="G230" s="166">
        <v>51809472</v>
      </c>
      <c r="H230" s="166">
        <v>-3763640</v>
      </c>
      <c r="I230" s="166">
        <v>964908</v>
      </c>
      <c r="J230" s="166">
        <v>-2798732</v>
      </c>
      <c r="K230" s="166">
        <v>-2486230</v>
      </c>
      <c r="L230" s="166">
        <v>-15526</v>
      </c>
      <c r="M230" s="166">
        <v>-6518</v>
      </c>
      <c r="N230" s="166">
        <v>0</v>
      </c>
      <c r="O230" s="166">
        <v>0</v>
      </c>
      <c r="P230" s="166">
        <v>-473798</v>
      </c>
      <c r="Q230" s="166">
        <v>-120141</v>
      </c>
      <c r="R230" s="166">
        <v>-29736</v>
      </c>
      <c r="S230" s="166">
        <v>-1151</v>
      </c>
      <c r="T230" s="166"/>
      <c r="U230" s="166">
        <v>0</v>
      </c>
      <c r="V230" s="166">
        <v>0</v>
      </c>
      <c r="W230" s="166">
        <v>0</v>
      </c>
      <c r="X230" s="166">
        <v>0</v>
      </c>
      <c r="Y230" s="166">
        <v>-3259</v>
      </c>
      <c r="Z230" s="166">
        <v>39158116</v>
      </c>
      <c r="AA230" s="166">
        <v>-1558389</v>
      </c>
      <c r="AB230" s="166"/>
      <c r="AC230" s="166">
        <v>-2805862</v>
      </c>
      <c r="AD230" s="166">
        <v>131</v>
      </c>
      <c r="AE230" s="166">
        <v>4</v>
      </c>
      <c r="AF230" s="166">
        <v>2</v>
      </c>
      <c r="AG230" s="166"/>
      <c r="AH230" s="166">
        <v>0</v>
      </c>
      <c r="AI230" s="166">
        <v>0</v>
      </c>
      <c r="AJ230" s="166">
        <v>124</v>
      </c>
      <c r="AK230" s="166">
        <v>53</v>
      </c>
      <c r="AL230" s="166">
        <v>13</v>
      </c>
      <c r="AM230" s="166">
        <v>2</v>
      </c>
      <c r="AN230" s="166">
        <v>0</v>
      </c>
      <c r="AO230" s="166">
        <v>1</v>
      </c>
      <c r="AP230" s="166">
        <v>0</v>
      </c>
      <c r="AQ230" s="166">
        <v>0</v>
      </c>
      <c r="AR230" s="166">
        <v>307</v>
      </c>
      <c r="AS230" s="166">
        <v>687</v>
      </c>
      <c r="AT230" s="166">
        <v>1458</v>
      </c>
      <c r="AU230" s="166">
        <v>1353</v>
      </c>
      <c r="AV230" s="166">
        <v>105</v>
      </c>
      <c r="AW230" s="166">
        <v>1199</v>
      </c>
      <c r="AX230" s="166">
        <v>-167176</v>
      </c>
      <c r="AY230" s="166">
        <v>-23596</v>
      </c>
      <c r="AZ230" s="166">
        <v>0</v>
      </c>
      <c r="BA230" s="166">
        <v>0</v>
      </c>
      <c r="BB230" s="166">
        <v>-262535</v>
      </c>
      <c r="BC230" s="166">
        <v>-20491</v>
      </c>
      <c r="BD230" s="166">
        <v>-518108</v>
      </c>
      <c r="BE230" s="166">
        <v>-1202314</v>
      </c>
      <c r="BF230" s="166"/>
      <c r="BG230" s="760">
        <v>12826100</v>
      </c>
      <c r="BH230" s="760">
        <v>0</v>
      </c>
      <c r="BI230" s="815">
        <v>-138984</v>
      </c>
      <c r="BJ230" s="1044" t="s">
        <v>2454</v>
      </c>
      <c r="BK230" s="1044" t="s">
        <v>2481</v>
      </c>
      <c r="BL230" s="1044" t="s">
        <v>2685</v>
      </c>
      <c r="BM230" s="650"/>
      <c r="BN230" s="746" t="s">
        <v>343</v>
      </c>
      <c r="BO230" s="142" t="b">
        <v>1</v>
      </c>
      <c r="BP230" s="544"/>
      <c r="BQ230" s="544"/>
      <c r="BR230" s="544"/>
      <c r="BS230" s="544"/>
      <c r="BT230" s="544"/>
      <c r="BU230" s="544"/>
      <c r="BV230" s="544"/>
      <c r="BW230" s="544"/>
      <c r="BX230" s="544"/>
      <c r="BY230" s="544"/>
      <c r="BZ230" s="544"/>
      <c r="CA230" s="544"/>
      <c r="CB230" s="544"/>
      <c r="CC230" s="544"/>
      <c r="CD230" s="544"/>
      <c r="CE230" s="544"/>
      <c r="CF230" s="544"/>
      <c r="CG230" s="544"/>
      <c r="CH230" s="544"/>
      <c r="CI230" s="544"/>
      <c r="CJ230" s="544"/>
      <c r="CK230" s="544"/>
      <c r="CL230" s="544"/>
      <c r="CM230" s="544"/>
      <c r="CN230" s="544"/>
      <c r="CO230" s="544"/>
      <c r="CP230" s="544"/>
      <c r="CQ230" s="544"/>
      <c r="CR230" s="544"/>
      <c r="CS230" s="544"/>
    </row>
    <row r="231" spans="1:98" s="142" customFormat="1" ht="12.75" x14ac:dyDescent="0.2">
      <c r="A231" s="735">
        <v>224</v>
      </c>
      <c r="B231" s="732" t="s">
        <v>344</v>
      </c>
      <c r="C231" s="738" t="s">
        <v>345</v>
      </c>
      <c r="D231" s="905">
        <v>109913.55204182499</v>
      </c>
      <c r="E231" s="905">
        <v>83434048</v>
      </c>
      <c r="F231" s="905">
        <v>2853</v>
      </c>
      <c r="G231" s="166">
        <v>41451497</v>
      </c>
      <c r="H231" s="166">
        <v>-3553318</v>
      </c>
      <c r="I231" s="166">
        <v>774405</v>
      </c>
      <c r="J231" s="166">
        <v>-2778913</v>
      </c>
      <c r="K231" s="166">
        <v>-1671643</v>
      </c>
      <c r="L231" s="166">
        <v>-39003</v>
      </c>
      <c r="M231" s="166">
        <v>-6753</v>
      </c>
      <c r="N231" s="166">
        <v>-3852</v>
      </c>
      <c r="O231" s="166">
        <v>0</v>
      </c>
      <c r="P231" s="166">
        <v>-359954</v>
      </c>
      <c r="Q231" s="166">
        <v>-53728</v>
      </c>
      <c r="R231" s="166">
        <v>-220404</v>
      </c>
      <c r="S231" s="166">
        <v>-8932</v>
      </c>
      <c r="T231" s="166"/>
      <c r="U231" s="166">
        <v>0</v>
      </c>
      <c r="V231" s="166">
        <v>0</v>
      </c>
      <c r="W231" s="166">
        <v>0</v>
      </c>
      <c r="X231" s="166">
        <v>0</v>
      </c>
      <c r="Y231" s="166">
        <v>-3378</v>
      </c>
      <c r="Z231" s="166">
        <v>30442437</v>
      </c>
      <c r="AA231" s="166">
        <v>-989674</v>
      </c>
      <c r="AB231" s="166"/>
      <c r="AC231" s="166">
        <v>-2728488</v>
      </c>
      <c r="AD231" s="166">
        <v>138</v>
      </c>
      <c r="AE231" s="166">
        <v>15</v>
      </c>
      <c r="AF231" s="166">
        <v>0</v>
      </c>
      <c r="AG231" s="166"/>
      <c r="AH231" s="166">
        <v>4</v>
      </c>
      <c r="AI231" s="166">
        <v>0</v>
      </c>
      <c r="AJ231" s="166">
        <v>157</v>
      </c>
      <c r="AK231" s="166">
        <v>65</v>
      </c>
      <c r="AL231" s="166">
        <v>23</v>
      </c>
      <c r="AM231" s="166">
        <v>0</v>
      </c>
      <c r="AN231" s="166">
        <v>0</v>
      </c>
      <c r="AO231" s="166">
        <v>10</v>
      </c>
      <c r="AP231" s="166">
        <v>0</v>
      </c>
      <c r="AQ231" s="166">
        <v>0</v>
      </c>
      <c r="AR231" s="166">
        <v>306</v>
      </c>
      <c r="AS231" s="166">
        <v>585</v>
      </c>
      <c r="AT231" s="166">
        <v>1353</v>
      </c>
      <c r="AU231" s="166">
        <v>1238</v>
      </c>
      <c r="AV231" s="166">
        <v>115</v>
      </c>
      <c r="AW231" s="166">
        <v>896</v>
      </c>
      <c r="AX231" s="166">
        <v>-97639</v>
      </c>
      <c r="AY231" s="166">
        <v>-21216</v>
      </c>
      <c r="AZ231" s="166">
        <v>0</v>
      </c>
      <c r="BA231" s="166">
        <v>0</v>
      </c>
      <c r="BB231" s="166">
        <v>-233397</v>
      </c>
      <c r="BC231" s="166">
        <v>-7702</v>
      </c>
      <c r="BD231" s="166">
        <v>-485317</v>
      </c>
      <c r="BE231" s="166">
        <v>4840822</v>
      </c>
      <c r="BF231" s="166"/>
      <c r="BG231" s="760">
        <v>8057525</v>
      </c>
      <c r="BH231" s="760">
        <v>0</v>
      </c>
      <c r="BI231" s="815">
        <v>3903074</v>
      </c>
      <c r="BJ231" s="1044" t="s">
        <v>2454</v>
      </c>
      <c r="BK231" s="1044" t="s">
        <v>2478</v>
      </c>
      <c r="BL231" s="1044" t="s">
        <v>2686</v>
      </c>
      <c r="BM231" s="650"/>
      <c r="BN231" s="746" t="s">
        <v>345</v>
      </c>
      <c r="BO231" s="142" t="b">
        <v>1</v>
      </c>
      <c r="BP231" s="544"/>
      <c r="BQ231" s="544"/>
      <c r="BR231" s="544"/>
      <c r="BS231" s="544"/>
      <c r="BT231" s="544"/>
      <c r="BU231" s="544"/>
      <c r="BV231" s="544"/>
      <c r="BW231" s="544"/>
      <c r="BX231" s="544"/>
      <c r="BY231" s="544"/>
      <c r="BZ231" s="544"/>
      <c r="CA231" s="544"/>
      <c r="CB231" s="544"/>
      <c r="CC231" s="544"/>
      <c r="CD231" s="544"/>
      <c r="CE231" s="544"/>
      <c r="CF231" s="544"/>
      <c r="CG231" s="544"/>
      <c r="CH231" s="544"/>
      <c r="CI231" s="544"/>
      <c r="CJ231" s="544"/>
      <c r="CK231" s="544"/>
      <c r="CL231" s="544"/>
      <c r="CM231" s="544"/>
      <c r="CN231" s="544"/>
      <c r="CO231" s="544"/>
      <c r="CP231" s="544"/>
      <c r="CQ231" s="544"/>
      <c r="CR231" s="544"/>
      <c r="CS231" s="544"/>
    </row>
    <row r="232" spans="1:98" s="142" customFormat="1" ht="12.75" hidden="1" x14ac:dyDescent="0.2">
      <c r="A232" s="735">
        <v>225</v>
      </c>
      <c r="B232" s="732" t="s">
        <v>346</v>
      </c>
      <c r="C232" s="738" t="s">
        <v>347</v>
      </c>
      <c r="D232" s="905">
        <v>139892.57271821599</v>
      </c>
      <c r="E232" s="905">
        <v>79204736</v>
      </c>
      <c r="F232" s="905">
        <v>3875</v>
      </c>
      <c r="G232" s="166">
        <v>40154765</v>
      </c>
      <c r="H232" s="166">
        <v>-4750000</v>
      </c>
      <c r="I232" s="166">
        <v>650000</v>
      </c>
      <c r="J232" s="166">
        <v>-4100000</v>
      </c>
      <c r="K232" s="166">
        <v>-1600000</v>
      </c>
      <c r="L232" s="166">
        <v>-70000</v>
      </c>
      <c r="M232" s="166">
        <v>0</v>
      </c>
      <c r="N232" s="166">
        <v>0</v>
      </c>
      <c r="O232" s="166">
        <v>0</v>
      </c>
      <c r="P232" s="166">
        <v>-1100000</v>
      </c>
      <c r="Q232" s="166">
        <v>-4000</v>
      </c>
      <c r="R232" s="166">
        <v>-70000</v>
      </c>
      <c r="S232" s="166">
        <v>0</v>
      </c>
      <c r="T232" s="166"/>
      <c r="U232" s="166">
        <v>0</v>
      </c>
      <c r="V232" s="166">
        <v>0</v>
      </c>
      <c r="W232" s="166">
        <v>0</v>
      </c>
      <c r="X232" s="166">
        <v>0</v>
      </c>
      <c r="Y232" s="166">
        <v>0</v>
      </c>
      <c r="Z232" s="166">
        <v>28530765</v>
      </c>
      <c r="AA232" s="166">
        <v>-1000000</v>
      </c>
      <c r="AB232" s="166"/>
      <c r="AC232" s="166">
        <v>-3000000</v>
      </c>
      <c r="AD232" s="166">
        <v>148</v>
      </c>
      <c r="AE232" s="166">
        <v>6</v>
      </c>
      <c r="AF232" s="166">
        <v>0</v>
      </c>
      <c r="AG232" s="166"/>
      <c r="AH232" s="166">
        <v>0</v>
      </c>
      <c r="AI232" s="166">
        <v>0</v>
      </c>
      <c r="AJ232" s="166">
        <v>339</v>
      </c>
      <c r="AK232" s="166">
        <v>4</v>
      </c>
      <c r="AL232" s="166">
        <v>11</v>
      </c>
      <c r="AM232" s="166">
        <v>0</v>
      </c>
      <c r="AN232" s="166">
        <v>0</v>
      </c>
      <c r="AO232" s="166">
        <v>0</v>
      </c>
      <c r="AP232" s="166">
        <v>0</v>
      </c>
      <c r="AQ232" s="166">
        <v>0</v>
      </c>
      <c r="AR232" s="166">
        <v>366</v>
      </c>
      <c r="AS232" s="166">
        <v>860</v>
      </c>
      <c r="AT232" s="166">
        <v>1824</v>
      </c>
      <c r="AU232" s="166">
        <v>1763</v>
      </c>
      <c r="AV232" s="166">
        <v>61</v>
      </c>
      <c r="AW232" s="166">
        <v>1188</v>
      </c>
      <c r="AX232" s="166">
        <v>0</v>
      </c>
      <c r="AY232" s="166">
        <v>0</v>
      </c>
      <c r="AZ232" s="166">
        <v>0</v>
      </c>
      <c r="BA232" s="166">
        <v>0</v>
      </c>
      <c r="BB232" s="166">
        <v>-1100000</v>
      </c>
      <c r="BC232" s="166">
        <v>0</v>
      </c>
      <c r="BD232" s="166">
        <v>-40000</v>
      </c>
      <c r="BE232" s="166">
        <v>-1165388</v>
      </c>
      <c r="BF232" s="166"/>
      <c r="BG232" s="760">
        <v>12208800</v>
      </c>
      <c r="BH232" s="760">
        <v>0</v>
      </c>
      <c r="BI232" s="815">
        <v>-1004586</v>
      </c>
      <c r="BJ232" s="1044" t="s">
        <v>2468</v>
      </c>
      <c r="BK232" s="1044" t="s">
        <v>867</v>
      </c>
      <c r="BL232" s="1044" t="s">
        <v>2687</v>
      </c>
      <c r="BM232" s="650"/>
      <c r="BN232" s="746" t="s">
        <v>347</v>
      </c>
      <c r="BO232" s="142" t="b">
        <v>1</v>
      </c>
      <c r="BP232" s="544"/>
      <c r="BQ232" s="544"/>
      <c r="BR232" s="544"/>
      <c r="BS232" s="544"/>
      <c r="BT232" s="544"/>
      <c r="BU232" s="544"/>
      <c r="BV232" s="544"/>
      <c r="BW232" s="544"/>
      <c r="BX232" s="544"/>
      <c r="BY232" s="544"/>
      <c r="BZ232" s="544"/>
      <c r="CA232" s="544"/>
      <c r="CB232" s="544"/>
      <c r="CC232" s="544"/>
      <c r="CD232" s="544"/>
      <c r="CE232" s="544"/>
      <c r="CF232" s="544"/>
      <c r="CG232" s="544"/>
      <c r="CH232" s="544"/>
      <c r="CI232" s="544"/>
      <c r="CJ232" s="544"/>
      <c r="CK232" s="544"/>
      <c r="CL232" s="544"/>
      <c r="CM232" s="544"/>
      <c r="CN232" s="544"/>
      <c r="CO232" s="544"/>
      <c r="CP232" s="544"/>
      <c r="CQ232" s="544"/>
      <c r="CR232" s="544"/>
      <c r="CS232" s="544"/>
    </row>
    <row r="233" spans="1:98" s="142" customFormat="1" ht="12.75" hidden="1" x14ac:dyDescent="0.2">
      <c r="A233" s="735">
        <v>226</v>
      </c>
      <c r="B233" s="732" t="s">
        <v>588</v>
      </c>
      <c r="C233" s="738" t="s">
        <v>349</v>
      </c>
      <c r="D233" s="905">
        <v>291761.13486503199</v>
      </c>
      <c r="E233" s="905">
        <v>271437167</v>
      </c>
      <c r="F233" s="905">
        <v>6789</v>
      </c>
      <c r="G233" s="166">
        <v>132251687</v>
      </c>
      <c r="H233" s="166">
        <v>-5705356</v>
      </c>
      <c r="I233" s="166">
        <v>2735918</v>
      </c>
      <c r="J233" s="166">
        <v>-2969438</v>
      </c>
      <c r="K233" s="166">
        <v>-12624379</v>
      </c>
      <c r="L233" s="166">
        <v>-55720</v>
      </c>
      <c r="M233" s="166">
        <v>0</v>
      </c>
      <c r="N233" s="166">
        <v>-5300</v>
      </c>
      <c r="O233" s="166">
        <v>-50000</v>
      </c>
      <c r="P233" s="166">
        <v>-1376558</v>
      </c>
      <c r="Q233" s="166">
        <v>0</v>
      </c>
      <c r="R233" s="166">
        <v>-100044</v>
      </c>
      <c r="S233" s="166">
        <v>0</v>
      </c>
      <c r="T233" s="166"/>
      <c r="U233" s="166">
        <v>0</v>
      </c>
      <c r="V233" s="166">
        <v>-13000</v>
      </c>
      <c r="W233" s="166">
        <v>0</v>
      </c>
      <c r="X233" s="166">
        <v>0</v>
      </c>
      <c r="Y233" s="166">
        <v>0</v>
      </c>
      <c r="Z233" s="166">
        <v>97481691</v>
      </c>
      <c r="AA233" s="166">
        <v>-4628800</v>
      </c>
      <c r="AB233" s="166"/>
      <c r="AC233" s="166">
        <v>-8052438</v>
      </c>
      <c r="AD233" s="166">
        <v>326</v>
      </c>
      <c r="AE233" s="166">
        <v>8</v>
      </c>
      <c r="AF233" s="166">
        <v>0</v>
      </c>
      <c r="AG233" s="166"/>
      <c r="AH233" s="166">
        <v>4</v>
      </c>
      <c r="AI233" s="166">
        <v>0</v>
      </c>
      <c r="AJ233" s="166">
        <v>364</v>
      </c>
      <c r="AK233" s="166">
        <v>0</v>
      </c>
      <c r="AL233" s="166">
        <v>28</v>
      </c>
      <c r="AM233" s="166">
        <v>0</v>
      </c>
      <c r="AN233" s="166">
        <v>0</v>
      </c>
      <c r="AO233" s="166">
        <v>0</v>
      </c>
      <c r="AP233" s="166">
        <v>0</v>
      </c>
      <c r="AQ233" s="166">
        <v>0</v>
      </c>
      <c r="AR233" s="166">
        <v>970</v>
      </c>
      <c r="AS233" s="166">
        <v>1976</v>
      </c>
      <c r="AT233" s="166">
        <v>1972</v>
      </c>
      <c r="AU233" s="166">
        <v>1787</v>
      </c>
      <c r="AV233" s="166">
        <v>185</v>
      </c>
      <c r="AW233" s="166">
        <v>2840</v>
      </c>
      <c r="AX233" s="166">
        <v>-43059</v>
      </c>
      <c r="AY233" s="166">
        <v>-498029</v>
      </c>
      <c r="AZ233" s="166">
        <v>0</v>
      </c>
      <c r="BA233" s="166">
        <v>-48947</v>
      </c>
      <c r="BB233" s="166">
        <v>-773766</v>
      </c>
      <c r="BC233" s="166">
        <v>-12757</v>
      </c>
      <c r="BD233" s="166">
        <v>-720260</v>
      </c>
      <c r="BE233" s="166">
        <v>3447967</v>
      </c>
      <c r="BF233" s="166"/>
      <c r="BG233" s="760">
        <v>30107600</v>
      </c>
      <c r="BH233" s="760">
        <v>0</v>
      </c>
      <c r="BI233" s="815">
        <v>13203933</v>
      </c>
      <c r="BJ233" s="1044" t="s">
        <v>515</v>
      </c>
      <c r="BK233" s="1044" t="s">
        <v>2455</v>
      </c>
      <c r="BL233" s="1044" t="s">
        <v>2688</v>
      </c>
      <c r="BM233" s="650"/>
      <c r="BN233" s="746" t="s">
        <v>349</v>
      </c>
      <c r="BO233" s="142" t="b">
        <v>1</v>
      </c>
      <c r="BP233" s="544"/>
      <c r="BQ233" s="544"/>
      <c r="BR233" s="544"/>
      <c r="BS233" s="544"/>
      <c r="BT233" s="544"/>
      <c r="BU233" s="544"/>
      <c r="BV233" s="544"/>
      <c r="BW233" s="544"/>
      <c r="BX233" s="544"/>
      <c r="BY233" s="544"/>
      <c r="BZ233" s="544"/>
      <c r="CA233" s="544"/>
      <c r="CB233" s="544"/>
      <c r="CC233" s="544"/>
      <c r="CD233" s="544"/>
      <c r="CE233" s="544"/>
      <c r="CF233" s="544"/>
      <c r="CG233" s="544"/>
      <c r="CH233" s="544"/>
      <c r="CI233" s="544"/>
      <c r="CJ233" s="544"/>
      <c r="CK233" s="544"/>
      <c r="CL233" s="544"/>
      <c r="CM233" s="544"/>
      <c r="CN233" s="544"/>
      <c r="CO233" s="544"/>
      <c r="CP233" s="544"/>
      <c r="CQ233" s="544"/>
      <c r="CR233" s="544"/>
      <c r="CS233" s="544"/>
    </row>
    <row r="234" spans="1:98" s="741" customFormat="1" ht="12.75" hidden="1" x14ac:dyDescent="0.2">
      <c r="A234" s="735">
        <v>227</v>
      </c>
      <c r="B234" s="732" t="s">
        <v>577</v>
      </c>
      <c r="C234" s="738" t="s">
        <v>351</v>
      </c>
      <c r="D234" s="905">
        <v>213692.85407764901</v>
      </c>
      <c r="E234" s="905">
        <v>126551729</v>
      </c>
      <c r="F234" s="905">
        <v>5779</v>
      </c>
      <c r="G234" s="166">
        <v>63714432</v>
      </c>
      <c r="H234" s="166">
        <v>-7470516</v>
      </c>
      <c r="I234" s="166">
        <v>1014236</v>
      </c>
      <c r="J234" s="166">
        <v>-6456280</v>
      </c>
      <c r="K234" s="166">
        <v>-5924638</v>
      </c>
      <c r="L234" s="166">
        <v>-52612</v>
      </c>
      <c r="M234" s="166">
        <v>0</v>
      </c>
      <c r="N234" s="166">
        <v>-22713</v>
      </c>
      <c r="O234" s="166">
        <v>0</v>
      </c>
      <c r="P234" s="166">
        <v>-947128</v>
      </c>
      <c r="Q234" s="166">
        <v>-89287</v>
      </c>
      <c r="R234" s="166">
        <v>-59420</v>
      </c>
      <c r="S234" s="166">
        <v>-4336</v>
      </c>
      <c r="T234" s="166"/>
      <c r="U234" s="166">
        <v>0</v>
      </c>
      <c r="V234" s="166">
        <v>0</v>
      </c>
      <c r="W234" s="166">
        <v>0</v>
      </c>
      <c r="X234" s="166">
        <v>0</v>
      </c>
      <c r="Y234" s="166">
        <v>0</v>
      </c>
      <c r="Z234" s="166">
        <v>39723551</v>
      </c>
      <c r="AA234" s="166">
        <v>-2548577</v>
      </c>
      <c r="AB234" s="166"/>
      <c r="AC234" s="166">
        <v>-6003889</v>
      </c>
      <c r="AD234" s="166">
        <v>225</v>
      </c>
      <c r="AE234" s="166">
        <v>15</v>
      </c>
      <c r="AF234" s="166">
        <v>0</v>
      </c>
      <c r="AG234" s="166"/>
      <c r="AH234" s="166">
        <v>8</v>
      </c>
      <c r="AI234" s="166">
        <v>0</v>
      </c>
      <c r="AJ234" s="166">
        <v>520</v>
      </c>
      <c r="AK234" s="166">
        <v>83</v>
      </c>
      <c r="AL234" s="166">
        <v>7</v>
      </c>
      <c r="AM234" s="166">
        <v>0</v>
      </c>
      <c r="AN234" s="166">
        <v>0</v>
      </c>
      <c r="AO234" s="166">
        <v>7</v>
      </c>
      <c r="AP234" s="166">
        <v>0</v>
      </c>
      <c r="AQ234" s="166">
        <v>0</v>
      </c>
      <c r="AR234" s="166">
        <v>879</v>
      </c>
      <c r="AS234" s="166">
        <v>1063</v>
      </c>
      <c r="AT234" s="166">
        <v>2922</v>
      </c>
      <c r="AU234" s="166">
        <v>2658</v>
      </c>
      <c r="AV234" s="166">
        <v>264</v>
      </c>
      <c r="AW234" s="166">
        <v>1797</v>
      </c>
      <c r="AX234" s="166">
        <v>-2296</v>
      </c>
      <c r="AY234" s="166">
        <v>-395045</v>
      </c>
      <c r="AZ234" s="166">
        <v>0</v>
      </c>
      <c r="BA234" s="166">
        <v>-4330</v>
      </c>
      <c r="BB234" s="166">
        <v>-545457</v>
      </c>
      <c r="BC234" s="166">
        <v>0</v>
      </c>
      <c r="BD234" s="166">
        <v>0</v>
      </c>
      <c r="BE234" s="166">
        <v>-802112</v>
      </c>
      <c r="BF234" s="166"/>
      <c r="BG234" s="760">
        <v>18847650</v>
      </c>
      <c r="BH234" s="760">
        <v>0</v>
      </c>
      <c r="BI234" s="815">
        <v>-3095223</v>
      </c>
      <c r="BJ234" s="1044" t="s">
        <v>515</v>
      </c>
      <c r="BK234" s="1044" t="s">
        <v>2462</v>
      </c>
      <c r="BL234" s="1044" t="s">
        <v>2689</v>
      </c>
      <c r="BM234" s="650"/>
      <c r="BN234" s="746" t="s">
        <v>351</v>
      </c>
      <c r="BO234" s="142" t="b">
        <v>1</v>
      </c>
      <c r="BP234" s="544"/>
      <c r="BQ234" s="544"/>
      <c r="BR234" s="544"/>
      <c r="BS234" s="544"/>
      <c r="BT234" s="544"/>
      <c r="BU234" s="544"/>
      <c r="BV234" s="544"/>
      <c r="BW234" s="544"/>
      <c r="BX234" s="544"/>
      <c r="BY234" s="544"/>
      <c r="BZ234" s="544"/>
      <c r="CA234" s="544"/>
      <c r="CB234" s="544"/>
      <c r="CC234" s="544"/>
      <c r="CD234" s="544"/>
      <c r="CE234" s="544"/>
      <c r="CF234" s="544"/>
      <c r="CG234" s="544"/>
      <c r="CH234" s="544"/>
      <c r="CI234" s="544"/>
      <c r="CJ234" s="544"/>
      <c r="CK234" s="544"/>
      <c r="CL234" s="544"/>
      <c r="CM234" s="544"/>
      <c r="CN234" s="544"/>
      <c r="CO234" s="544"/>
      <c r="CP234" s="544"/>
      <c r="CQ234" s="544"/>
      <c r="CR234" s="544"/>
      <c r="CS234" s="544"/>
      <c r="CT234" s="142"/>
    </row>
    <row r="235" spans="1:98" s="142" customFormat="1" ht="12.75" hidden="1" x14ac:dyDescent="0.2">
      <c r="A235" s="735">
        <v>228</v>
      </c>
      <c r="B235" s="732" t="s">
        <v>352</v>
      </c>
      <c r="C235" s="738" t="s">
        <v>353</v>
      </c>
      <c r="D235" s="905">
        <v>755111.13686753798</v>
      </c>
      <c r="E235" s="905">
        <v>821593711</v>
      </c>
      <c r="F235" s="905">
        <v>12874</v>
      </c>
      <c r="G235" s="166">
        <v>418380602</v>
      </c>
      <c r="H235" s="166">
        <v>-8199347</v>
      </c>
      <c r="I235" s="166">
        <v>9175024</v>
      </c>
      <c r="J235" s="166">
        <v>975677</v>
      </c>
      <c r="K235" s="166">
        <v>-45053962</v>
      </c>
      <c r="L235" s="166">
        <v>-25940</v>
      </c>
      <c r="M235" s="166">
        <v>0</v>
      </c>
      <c r="N235" s="166">
        <v>-11348</v>
      </c>
      <c r="O235" s="166">
        <v>-100000</v>
      </c>
      <c r="P235" s="166">
        <v>-14239352</v>
      </c>
      <c r="Q235" s="166">
        <v>-528318</v>
      </c>
      <c r="R235" s="166">
        <v>-65330</v>
      </c>
      <c r="S235" s="166">
        <v>0</v>
      </c>
      <c r="T235" s="166"/>
      <c r="U235" s="166">
        <v>0</v>
      </c>
      <c r="V235" s="166">
        <v>0</v>
      </c>
      <c r="W235" s="166">
        <v>0</v>
      </c>
      <c r="X235" s="166">
        <v>0</v>
      </c>
      <c r="Y235" s="166">
        <v>0</v>
      </c>
      <c r="Z235" s="166">
        <v>319313733</v>
      </c>
      <c r="AA235" s="166">
        <v>-3452160</v>
      </c>
      <c r="AB235" s="166"/>
      <c r="AC235" s="166">
        <v>-16413128</v>
      </c>
      <c r="AD235" s="166">
        <v>751</v>
      </c>
      <c r="AE235" s="166">
        <v>5</v>
      </c>
      <c r="AF235" s="166">
        <v>0</v>
      </c>
      <c r="AG235" s="166"/>
      <c r="AH235" s="166">
        <v>5</v>
      </c>
      <c r="AI235" s="166">
        <v>0</v>
      </c>
      <c r="AJ235" s="166">
        <v>1686</v>
      </c>
      <c r="AK235" s="166">
        <v>83</v>
      </c>
      <c r="AL235" s="166">
        <v>5</v>
      </c>
      <c r="AM235" s="166">
        <v>0</v>
      </c>
      <c r="AN235" s="166">
        <v>0</v>
      </c>
      <c r="AO235" s="166">
        <v>0</v>
      </c>
      <c r="AP235" s="166">
        <v>0</v>
      </c>
      <c r="AQ235" s="166">
        <v>0</v>
      </c>
      <c r="AR235" s="166">
        <v>1478</v>
      </c>
      <c r="AS235" s="166">
        <v>5192</v>
      </c>
      <c r="AT235" s="166">
        <v>2647</v>
      </c>
      <c r="AU235" s="166">
        <v>2431</v>
      </c>
      <c r="AV235" s="166">
        <v>216</v>
      </c>
      <c r="AW235" s="166">
        <v>5071</v>
      </c>
      <c r="AX235" s="166">
        <v>-1364029</v>
      </c>
      <c r="AY235" s="166">
        <v>-6306630</v>
      </c>
      <c r="AZ235" s="166">
        <v>0</v>
      </c>
      <c r="BA235" s="166">
        <v>-296218</v>
      </c>
      <c r="BB235" s="166">
        <v>-983955</v>
      </c>
      <c r="BC235" s="166">
        <v>-4708520</v>
      </c>
      <c r="BD235" s="166">
        <v>-2830786</v>
      </c>
      <c r="BE235" s="166">
        <v>-17555341</v>
      </c>
      <c r="BF235" s="166"/>
      <c r="BG235" s="760">
        <v>47714900</v>
      </c>
      <c r="BH235" s="760">
        <v>0</v>
      </c>
      <c r="BI235" s="815">
        <v>-20784559</v>
      </c>
      <c r="BJ235" s="1044" t="s">
        <v>2506</v>
      </c>
      <c r="BK235" s="1044" t="s">
        <v>2465</v>
      </c>
      <c r="BL235" s="1044" t="s">
        <v>2690</v>
      </c>
      <c r="BM235" s="650"/>
      <c r="BN235" s="746" t="s">
        <v>353</v>
      </c>
      <c r="BO235" s="142" t="b">
        <v>1</v>
      </c>
      <c r="BP235" s="544"/>
      <c r="BQ235" s="544"/>
      <c r="BR235" s="544"/>
      <c r="BS235" s="544"/>
      <c r="BT235" s="544"/>
      <c r="BU235" s="544"/>
      <c r="BV235" s="544"/>
      <c r="BW235" s="544"/>
      <c r="BX235" s="544"/>
      <c r="BY235" s="544"/>
      <c r="BZ235" s="544"/>
      <c r="CA235" s="544"/>
      <c r="CB235" s="544"/>
      <c r="CC235" s="544"/>
      <c r="CD235" s="544"/>
      <c r="CE235" s="544"/>
      <c r="CF235" s="544"/>
      <c r="CG235" s="544"/>
      <c r="CH235" s="544"/>
      <c r="CI235" s="544"/>
      <c r="CJ235" s="544"/>
      <c r="CK235" s="544"/>
      <c r="CL235" s="544"/>
      <c r="CM235" s="544"/>
      <c r="CN235" s="544"/>
      <c r="CO235" s="544"/>
      <c r="CP235" s="544"/>
      <c r="CQ235" s="544"/>
      <c r="CR235" s="544"/>
      <c r="CS235" s="544"/>
    </row>
    <row r="236" spans="1:98" s="142" customFormat="1" ht="12.75" x14ac:dyDescent="0.2">
      <c r="A236" s="735">
        <v>229</v>
      </c>
      <c r="B236" s="732" t="s">
        <v>354</v>
      </c>
      <c r="C236" s="738" t="s">
        <v>355</v>
      </c>
      <c r="D236" s="905">
        <v>122036.436968614</v>
      </c>
      <c r="E236" s="905">
        <v>129461173</v>
      </c>
      <c r="F236" s="905">
        <v>2458</v>
      </c>
      <c r="G236" s="166">
        <v>64290996</v>
      </c>
      <c r="H236" s="166">
        <v>-2126109</v>
      </c>
      <c r="I236" s="166">
        <v>1379948</v>
      </c>
      <c r="J236" s="166">
        <v>-746161</v>
      </c>
      <c r="K236" s="166">
        <v>-2656246</v>
      </c>
      <c r="L236" s="166">
        <v>-17469</v>
      </c>
      <c r="M236" s="166">
        <v>0</v>
      </c>
      <c r="N236" s="166">
        <v>-2338</v>
      </c>
      <c r="O236" s="166">
        <v>-15000</v>
      </c>
      <c r="P236" s="166">
        <v>-1465026</v>
      </c>
      <c r="Q236" s="166">
        <v>-58416</v>
      </c>
      <c r="R236" s="166">
        <v>-100522</v>
      </c>
      <c r="S236" s="166">
        <v>-3702</v>
      </c>
      <c r="T236" s="166"/>
      <c r="U236" s="166">
        <v>0</v>
      </c>
      <c r="V236" s="166">
        <v>0</v>
      </c>
      <c r="W236" s="166">
        <v>0</v>
      </c>
      <c r="X236" s="166">
        <v>0</v>
      </c>
      <c r="Y236" s="166">
        <v>0</v>
      </c>
      <c r="Z236" s="166">
        <v>48854972</v>
      </c>
      <c r="AA236" s="166">
        <v>-800000</v>
      </c>
      <c r="AB236" s="166"/>
      <c r="AC236" s="166">
        <v>-3611291</v>
      </c>
      <c r="AD236" s="166">
        <v>70</v>
      </c>
      <c r="AE236" s="166">
        <v>4</v>
      </c>
      <c r="AF236" s="166">
        <v>0</v>
      </c>
      <c r="AG236" s="166"/>
      <c r="AH236" s="166">
        <v>0</v>
      </c>
      <c r="AI236" s="166">
        <v>0</v>
      </c>
      <c r="AJ236" s="166">
        <v>105</v>
      </c>
      <c r="AK236" s="166">
        <v>39</v>
      </c>
      <c r="AL236" s="166">
        <v>16</v>
      </c>
      <c r="AM236" s="166">
        <v>0</v>
      </c>
      <c r="AN236" s="166">
        <v>0</v>
      </c>
      <c r="AO236" s="166">
        <v>9</v>
      </c>
      <c r="AP236" s="166">
        <v>0</v>
      </c>
      <c r="AQ236" s="166">
        <v>0</v>
      </c>
      <c r="AR236" s="166">
        <v>370</v>
      </c>
      <c r="AS236" s="166">
        <v>702</v>
      </c>
      <c r="AT236" s="166">
        <v>729</v>
      </c>
      <c r="AU236" s="166">
        <v>620</v>
      </c>
      <c r="AV236" s="166">
        <v>109</v>
      </c>
      <c r="AW236" s="166">
        <v>1010</v>
      </c>
      <c r="AX236" s="166">
        <v>-73613</v>
      </c>
      <c r="AY236" s="166">
        <v>-111222</v>
      </c>
      <c r="AZ236" s="166">
        <v>0</v>
      </c>
      <c r="BA236" s="166">
        <v>-22039</v>
      </c>
      <c r="BB236" s="166">
        <v>-1048989</v>
      </c>
      <c r="BC236" s="166">
        <v>-209163</v>
      </c>
      <c r="BD236" s="166">
        <v>0</v>
      </c>
      <c r="BE236" s="166">
        <v>9471403</v>
      </c>
      <c r="BF236" s="166"/>
      <c r="BG236" s="760">
        <v>12844400</v>
      </c>
      <c r="BH236" s="760">
        <v>0</v>
      </c>
      <c r="BI236" s="815">
        <v>11578371</v>
      </c>
      <c r="BJ236" s="1044" t="s">
        <v>2454</v>
      </c>
      <c r="BK236" s="1044" t="s">
        <v>2455</v>
      </c>
      <c r="BL236" s="1044" t="s">
        <v>2691</v>
      </c>
      <c r="BM236" s="650"/>
      <c r="BN236" s="746" t="s">
        <v>355</v>
      </c>
      <c r="BO236" s="142" t="b">
        <v>1</v>
      </c>
      <c r="BP236" s="544"/>
      <c r="BQ236" s="544"/>
      <c r="BR236" s="544"/>
      <c r="BS236" s="544"/>
      <c r="BT236" s="544"/>
      <c r="BU236" s="544"/>
      <c r="BV236" s="544"/>
      <c r="BW236" s="544"/>
      <c r="BX236" s="544"/>
      <c r="BY236" s="544"/>
      <c r="BZ236" s="544"/>
      <c r="CA236" s="544"/>
      <c r="CB236" s="544"/>
      <c r="CC236" s="544"/>
      <c r="CD236" s="544"/>
      <c r="CE236" s="544"/>
      <c r="CF236" s="544"/>
      <c r="CG236" s="544"/>
      <c r="CH236" s="544"/>
      <c r="CI236" s="544"/>
      <c r="CJ236" s="544"/>
      <c r="CK236" s="544"/>
      <c r="CL236" s="544"/>
      <c r="CM236" s="544"/>
      <c r="CN236" s="544"/>
      <c r="CO236" s="544"/>
      <c r="CP236" s="544"/>
      <c r="CQ236" s="544"/>
      <c r="CR236" s="544"/>
      <c r="CS236" s="544"/>
    </row>
    <row r="237" spans="1:98" s="142" customFormat="1" ht="12.75" x14ac:dyDescent="0.2">
      <c r="A237" s="735">
        <v>230</v>
      </c>
      <c r="B237" s="732" t="s">
        <v>356</v>
      </c>
      <c r="C237" s="738" t="s">
        <v>357</v>
      </c>
      <c r="D237" s="905">
        <v>184107.682977897</v>
      </c>
      <c r="E237" s="905">
        <v>175615028</v>
      </c>
      <c r="F237" s="905">
        <v>3999</v>
      </c>
      <c r="G237" s="166">
        <v>89026776</v>
      </c>
      <c r="H237" s="166">
        <v>-2709922</v>
      </c>
      <c r="I237" s="166">
        <v>1756185</v>
      </c>
      <c r="J237" s="166">
        <v>-953737</v>
      </c>
      <c r="K237" s="166">
        <v>-7530861</v>
      </c>
      <c r="L237" s="166">
        <v>-96846</v>
      </c>
      <c r="M237" s="166">
        <v>0</v>
      </c>
      <c r="N237" s="166">
        <v>-11028</v>
      </c>
      <c r="O237" s="166">
        <v>0</v>
      </c>
      <c r="P237" s="166">
        <v>-1500000</v>
      </c>
      <c r="Q237" s="166">
        <v>-67086</v>
      </c>
      <c r="R237" s="166">
        <v>-48681</v>
      </c>
      <c r="S237" s="166">
        <v>0</v>
      </c>
      <c r="T237" s="166"/>
      <c r="U237" s="166">
        <v>0</v>
      </c>
      <c r="V237" s="166">
        <v>0</v>
      </c>
      <c r="W237" s="166">
        <v>0</v>
      </c>
      <c r="X237" s="166">
        <v>0</v>
      </c>
      <c r="Y237" s="166">
        <v>0</v>
      </c>
      <c r="Z237" s="166">
        <v>55927105</v>
      </c>
      <c r="AA237" s="166">
        <v>-3014760</v>
      </c>
      <c r="AB237" s="166"/>
      <c r="AC237" s="166">
        <v>-8807865</v>
      </c>
      <c r="AD237" s="166">
        <v>216</v>
      </c>
      <c r="AE237" s="166">
        <v>11</v>
      </c>
      <c r="AF237" s="166">
        <v>0</v>
      </c>
      <c r="AG237" s="166"/>
      <c r="AH237" s="166">
        <v>8</v>
      </c>
      <c r="AI237" s="166">
        <v>1</v>
      </c>
      <c r="AJ237" s="166">
        <v>342</v>
      </c>
      <c r="AK237" s="166">
        <v>52</v>
      </c>
      <c r="AL237" s="166">
        <v>15</v>
      </c>
      <c r="AM237" s="166">
        <v>0</v>
      </c>
      <c r="AN237" s="166">
        <v>0</v>
      </c>
      <c r="AO237" s="166">
        <v>0</v>
      </c>
      <c r="AP237" s="166">
        <v>2</v>
      </c>
      <c r="AQ237" s="166">
        <v>0</v>
      </c>
      <c r="AR237" s="166">
        <v>830</v>
      </c>
      <c r="AS237" s="166">
        <v>1051</v>
      </c>
      <c r="AT237" s="166">
        <v>1141</v>
      </c>
      <c r="AU237" s="166">
        <v>1002</v>
      </c>
      <c r="AV237" s="166">
        <v>139</v>
      </c>
      <c r="AW237" s="166">
        <v>1858</v>
      </c>
      <c r="AX237" s="166">
        <v>-975000</v>
      </c>
      <c r="AY237" s="166">
        <v>-350000</v>
      </c>
      <c r="AZ237" s="166">
        <v>0</v>
      </c>
      <c r="BA237" s="166">
        <v>-40000</v>
      </c>
      <c r="BB237" s="166">
        <v>-135000</v>
      </c>
      <c r="BC237" s="166">
        <v>0</v>
      </c>
      <c r="BD237" s="166">
        <v>-1600000</v>
      </c>
      <c r="BE237" s="166">
        <v>2167048</v>
      </c>
      <c r="BF237" s="166"/>
      <c r="BG237" s="760">
        <v>0</v>
      </c>
      <c r="BH237" s="760">
        <v>0</v>
      </c>
      <c r="BI237" s="815">
        <v>-5897628</v>
      </c>
      <c r="BJ237" s="1044" t="s">
        <v>2454</v>
      </c>
      <c r="BK237" s="1044" t="s">
        <v>2462</v>
      </c>
      <c r="BL237" s="1044" t="s">
        <v>2692</v>
      </c>
      <c r="BM237" s="650"/>
      <c r="BN237" s="746" t="s">
        <v>357</v>
      </c>
      <c r="BO237" s="142" t="b">
        <v>1</v>
      </c>
      <c r="BP237" s="544"/>
      <c r="BQ237" s="544"/>
      <c r="BR237" s="544"/>
      <c r="BS237" s="544"/>
      <c r="BT237" s="544"/>
      <c r="BU237" s="544"/>
      <c r="BV237" s="544"/>
      <c r="BW237" s="544"/>
      <c r="BX237" s="544"/>
      <c r="BY237" s="544"/>
      <c r="BZ237" s="544"/>
      <c r="CA237" s="544"/>
      <c r="CB237" s="544"/>
      <c r="CC237" s="544"/>
      <c r="CD237" s="544"/>
      <c r="CE237" s="544"/>
      <c r="CF237" s="544"/>
      <c r="CG237" s="544"/>
      <c r="CH237" s="544"/>
      <c r="CI237" s="544"/>
      <c r="CJ237" s="544"/>
      <c r="CK237" s="544"/>
      <c r="CL237" s="544"/>
      <c r="CM237" s="544"/>
      <c r="CN237" s="544"/>
      <c r="CO237" s="544"/>
      <c r="CP237" s="544"/>
      <c r="CQ237" s="544"/>
      <c r="CR237" s="544"/>
      <c r="CS237" s="544"/>
    </row>
    <row r="238" spans="1:98" s="142" customFormat="1" ht="12.75" hidden="1" x14ac:dyDescent="0.2">
      <c r="A238" s="735">
        <v>231</v>
      </c>
      <c r="B238" s="732" t="s">
        <v>990</v>
      </c>
      <c r="C238" s="738" t="s">
        <v>359</v>
      </c>
      <c r="D238" s="905">
        <v>186763.978697871</v>
      </c>
      <c r="E238" s="905">
        <v>145772607</v>
      </c>
      <c r="F238" s="905">
        <v>4766</v>
      </c>
      <c r="G238" s="166">
        <v>72524167</v>
      </c>
      <c r="H238" s="166">
        <v>-5505504</v>
      </c>
      <c r="I238" s="166">
        <v>1418226</v>
      </c>
      <c r="J238" s="166">
        <v>-4087278</v>
      </c>
      <c r="K238" s="166">
        <v>-4059697</v>
      </c>
      <c r="L238" s="166">
        <v>-65520</v>
      </c>
      <c r="M238" s="166">
        <v>0</v>
      </c>
      <c r="N238" s="166">
        <v>-896</v>
      </c>
      <c r="O238" s="166">
        <v>0</v>
      </c>
      <c r="P238" s="166">
        <v>-1939242</v>
      </c>
      <c r="Q238" s="166">
        <v>-171799</v>
      </c>
      <c r="R238" s="166">
        <v>-28000</v>
      </c>
      <c r="S238" s="166">
        <v>-9873</v>
      </c>
      <c r="T238" s="166"/>
      <c r="U238" s="166">
        <v>0</v>
      </c>
      <c r="V238" s="166">
        <v>0</v>
      </c>
      <c r="W238" s="166">
        <v>0</v>
      </c>
      <c r="X238" s="166">
        <v>0</v>
      </c>
      <c r="Y238" s="166">
        <v>0</v>
      </c>
      <c r="Z238" s="166">
        <v>54548176</v>
      </c>
      <c r="AA238" s="166">
        <v>-1975675</v>
      </c>
      <c r="AB238" s="166"/>
      <c r="AC238" s="166">
        <v>-3699462</v>
      </c>
      <c r="AD238" s="166">
        <v>191</v>
      </c>
      <c r="AE238" s="166">
        <v>15</v>
      </c>
      <c r="AF238" s="166">
        <v>0</v>
      </c>
      <c r="AG238" s="166"/>
      <c r="AH238" s="166">
        <v>1</v>
      </c>
      <c r="AI238" s="166">
        <v>0</v>
      </c>
      <c r="AJ238" s="166">
        <v>483</v>
      </c>
      <c r="AK238" s="166">
        <v>62</v>
      </c>
      <c r="AL238" s="166">
        <v>2</v>
      </c>
      <c r="AM238" s="166">
        <v>0</v>
      </c>
      <c r="AN238" s="166">
        <v>0</v>
      </c>
      <c r="AO238" s="166">
        <v>9</v>
      </c>
      <c r="AP238" s="166">
        <v>0</v>
      </c>
      <c r="AQ238" s="166">
        <v>0</v>
      </c>
      <c r="AR238" s="166">
        <v>459</v>
      </c>
      <c r="AS238" s="166">
        <v>1240</v>
      </c>
      <c r="AT238" s="166">
        <v>2030</v>
      </c>
      <c r="AU238" s="166">
        <v>1923</v>
      </c>
      <c r="AV238" s="166">
        <v>107</v>
      </c>
      <c r="AW238" s="166">
        <v>1567</v>
      </c>
      <c r="AX238" s="166">
        <v>-240169</v>
      </c>
      <c r="AY238" s="166">
        <v>-311263</v>
      </c>
      <c r="AZ238" s="166">
        <v>0</v>
      </c>
      <c r="BA238" s="166">
        <v>-16734</v>
      </c>
      <c r="BB238" s="166">
        <v>-1154675</v>
      </c>
      <c r="BC238" s="166">
        <v>-216401</v>
      </c>
      <c r="BD238" s="166">
        <v>-422010</v>
      </c>
      <c r="BE238" s="166">
        <v>1429134</v>
      </c>
      <c r="BF238" s="166"/>
      <c r="BG238" s="760">
        <v>17404500</v>
      </c>
      <c r="BH238" s="760">
        <v>0</v>
      </c>
      <c r="BI238" s="815">
        <v>1784412</v>
      </c>
      <c r="BJ238" s="1044" t="s">
        <v>2468</v>
      </c>
      <c r="BK238" s="1044" t="s">
        <v>2481</v>
      </c>
      <c r="BL238" s="1044" t="s">
        <v>2693</v>
      </c>
      <c r="BM238" s="650"/>
      <c r="BN238" s="746" t="s">
        <v>359</v>
      </c>
      <c r="BO238" s="142" t="b">
        <v>1</v>
      </c>
      <c r="BP238" s="544"/>
      <c r="BQ238" s="544"/>
      <c r="BR238" s="544"/>
      <c r="BS238" s="544"/>
      <c r="BT238" s="544"/>
      <c r="BU238" s="544"/>
      <c r="BV238" s="544"/>
      <c r="BW238" s="544"/>
      <c r="BX238" s="544"/>
      <c r="BY238" s="544"/>
      <c r="BZ238" s="544"/>
      <c r="CA238" s="544"/>
      <c r="CB238" s="544"/>
      <c r="CC238" s="544"/>
      <c r="CD238" s="544"/>
      <c r="CE238" s="544"/>
      <c r="CF238" s="544"/>
      <c r="CG238" s="544"/>
      <c r="CH238" s="544"/>
      <c r="CI238" s="544"/>
      <c r="CJ238" s="544"/>
      <c r="CK238" s="544"/>
      <c r="CL238" s="544"/>
      <c r="CM238" s="544"/>
      <c r="CN238" s="544"/>
      <c r="CO238" s="544"/>
      <c r="CP238" s="544"/>
      <c r="CQ238" s="544"/>
      <c r="CR238" s="544"/>
      <c r="CS238" s="544"/>
    </row>
    <row r="239" spans="1:98" s="142" customFormat="1" ht="12.75" x14ac:dyDescent="0.2">
      <c r="A239" s="735">
        <v>232</v>
      </c>
      <c r="B239" s="732" t="s">
        <v>360</v>
      </c>
      <c r="C239" s="738" t="s">
        <v>361</v>
      </c>
      <c r="D239" s="905">
        <v>169748.78217654501</v>
      </c>
      <c r="E239" s="905">
        <v>131192586</v>
      </c>
      <c r="F239" s="905">
        <v>4385</v>
      </c>
      <c r="G239" s="166">
        <v>67425699</v>
      </c>
      <c r="H239" s="166">
        <v>-5874533</v>
      </c>
      <c r="I239" s="166">
        <v>1223052</v>
      </c>
      <c r="J239" s="166">
        <v>-4651481</v>
      </c>
      <c r="K239" s="166">
        <v>-3191844</v>
      </c>
      <c r="L239" s="166">
        <v>-80033</v>
      </c>
      <c r="M239" s="166">
        <v>-14927</v>
      </c>
      <c r="N239" s="166">
        <v>0</v>
      </c>
      <c r="O239" s="166">
        <v>0</v>
      </c>
      <c r="P239" s="166">
        <v>-2033503</v>
      </c>
      <c r="Q239" s="166">
        <v>-171463</v>
      </c>
      <c r="R239" s="166">
        <v>-48666</v>
      </c>
      <c r="S239" s="166">
        <v>-7933</v>
      </c>
      <c r="T239" s="166"/>
      <c r="U239" s="166">
        <v>0</v>
      </c>
      <c r="V239" s="166">
        <v>-15872</v>
      </c>
      <c r="W239" s="166">
        <v>0</v>
      </c>
      <c r="X239" s="166">
        <v>0</v>
      </c>
      <c r="Y239" s="166">
        <v>-7113</v>
      </c>
      <c r="Z239" s="166">
        <v>49830767</v>
      </c>
      <c r="AA239" s="166">
        <v>-1285592</v>
      </c>
      <c r="AB239" s="166"/>
      <c r="AC239" s="166">
        <v>-3979836</v>
      </c>
      <c r="AD239" s="166">
        <v>216</v>
      </c>
      <c r="AE239" s="166">
        <v>13</v>
      </c>
      <c r="AF239" s="166">
        <v>9</v>
      </c>
      <c r="AG239" s="166"/>
      <c r="AH239" s="166">
        <v>0</v>
      </c>
      <c r="AI239" s="166">
        <v>0</v>
      </c>
      <c r="AJ239" s="166">
        <v>403</v>
      </c>
      <c r="AK239" s="166">
        <v>125</v>
      </c>
      <c r="AL239" s="166">
        <v>16</v>
      </c>
      <c r="AM239" s="166">
        <v>8</v>
      </c>
      <c r="AN239" s="166">
        <v>0</v>
      </c>
      <c r="AO239" s="166">
        <v>5</v>
      </c>
      <c r="AP239" s="166">
        <v>0</v>
      </c>
      <c r="AQ239" s="166">
        <v>1</v>
      </c>
      <c r="AR239" s="166">
        <v>451</v>
      </c>
      <c r="AS239" s="166">
        <v>997</v>
      </c>
      <c r="AT239" s="166">
        <v>1653</v>
      </c>
      <c r="AU239" s="166">
        <v>1504</v>
      </c>
      <c r="AV239" s="166">
        <v>149</v>
      </c>
      <c r="AW239" s="166">
        <v>1728</v>
      </c>
      <c r="AX239" s="166">
        <v>-749314</v>
      </c>
      <c r="AY239" s="166">
        <v>-307119</v>
      </c>
      <c r="AZ239" s="166">
        <v>0</v>
      </c>
      <c r="BA239" s="166">
        <v>-36165</v>
      </c>
      <c r="BB239" s="166">
        <v>-582884</v>
      </c>
      <c r="BC239" s="166">
        <v>-358021</v>
      </c>
      <c r="BD239" s="166">
        <v>0</v>
      </c>
      <c r="BE239" s="166">
        <v>-1975039</v>
      </c>
      <c r="BF239" s="166"/>
      <c r="BG239" s="760">
        <v>17542000</v>
      </c>
      <c r="BH239" s="760">
        <v>0</v>
      </c>
      <c r="BI239" s="815">
        <v>-2128604</v>
      </c>
      <c r="BJ239" s="1044" t="s">
        <v>2454</v>
      </c>
      <c r="BK239" s="1044" t="s">
        <v>2478</v>
      </c>
      <c r="BL239" s="1044" t="s">
        <v>2694</v>
      </c>
      <c r="BM239" s="650"/>
      <c r="BN239" s="746" t="s">
        <v>361</v>
      </c>
      <c r="BO239" s="142" t="b">
        <v>1</v>
      </c>
      <c r="BP239" s="544"/>
      <c r="BQ239" s="544"/>
      <c r="BR239" s="544"/>
      <c r="BS239" s="544"/>
      <c r="BT239" s="544"/>
      <c r="BU239" s="544"/>
      <c r="BV239" s="544"/>
      <c r="BW239" s="544"/>
      <c r="BX239" s="544"/>
      <c r="BY239" s="544"/>
      <c r="BZ239" s="544"/>
      <c r="CA239" s="544"/>
      <c r="CB239" s="544"/>
      <c r="CC239" s="544"/>
      <c r="CD239" s="544"/>
      <c r="CE239" s="544"/>
      <c r="CF239" s="544"/>
      <c r="CG239" s="544"/>
      <c r="CH239" s="544"/>
      <c r="CI239" s="544"/>
      <c r="CJ239" s="544"/>
      <c r="CK239" s="544"/>
      <c r="CL239" s="544"/>
      <c r="CM239" s="544"/>
      <c r="CN239" s="544"/>
      <c r="CO239" s="544"/>
      <c r="CP239" s="544"/>
      <c r="CQ239" s="544"/>
      <c r="CR239" s="544"/>
      <c r="CS239" s="544"/>
    </row>
    <row r="240" spans="1:98" s="142" customFormat="1" ht="12.75" x14ac:dyDescent="0.2">
      <c r="A240" s="735">
        <v>233</v>
      </c>
      <c r="B240" s="732" t="s">
        <v>362</v>
      </c>
      <c r="C240" s="738" t="s">
        <v>363</v>
      </c>
      <c r="D240" s="905">
        <v>113758.873987795</v>
      </c>
      <c r="E240" s="905">
        <v>59660656</v>
      </c>
      <c r="F240" s="905">
        <v>3194</v>
      </c>
      <c r="G240" s="166">
        <v>29742164</v>
      </c>
      <c r="H240" s="166">
        <v>-4906789</v>
      </c>
      <c r="I240" s="166">
        <v>484964</v>
      </c>
      <c r="J240" s="166">
        <v>-4421825</v>
      </c>
      <c r="K240" s="166">
        <v>-1701985</v>
      </c>
      <c r="L240" s="166">
        <v>-53482</v>
      </c>
      <c r="M240" s="166">
        <v>-13020</v>
      </c>
      <c r="N240" s="166">
        <v>-27633</v>
      </c>
      <c r="O240" s="166">
        <v>-55000</v>
      </c>
      <c r="P240" s="166">
        <v>-598581</v>
      </c>
      <c r="Q240" s="166">
        <v>-46137</v>
      </c>
      <c r="R240" s="166">
        <v>-426390</v>
      </c>
      <c r="S240" s="166">
        <v>-3467</v>
      </c>
      <c r="T240" s="166"/>
      <c r="U240" s="166">
        <v>0</v>
      </c>
      <c r="V240" s="166">
        <v>0</v>
      </c>
      <c r="W240" s="166">
        <v>0</v>
      </c>
      <c r="X240" s="166">
        <v>0</v>
      </c>
      <c r="Y240" s="166">
        <v>-6510</v>
      </c>
      <c r="Z240" s="166">
        <v>17407579</v>
      </c>
      <c r="AA240" s="166">
        <v>-432842</v>
      </c>
      <c r="AB240" s="166"/>
      <c r="AC240" s="166">
        <v>-2437065</v>
      </c>
      <c r="AD240" s="166">
        <v>192</v>
      </c>
      <c r="AE240" s="166">
        <v>8</v>
      </c>
      <c r="AF240" s="166">
        <v>7</v>
      </c>
      <c r="AG240" s="166"/>
      <c r="AH240" s="166">
        <v>13</v>
      </c>
      <c r="AI240" s="166">
        <v>0</v>
      </c>
      <c r="AJ240" s="166">
        <v>194</v>
      </c>
      <c r="AK240" s="166">
        <v>53</v>
      </c>
      <c r="AL240" s="166">
        <v>37</v>
      </c>
      <c r="AM240" s="166">
        <v>7</v>
      </c>
      <c r="AN240" s="166">
        <v>0</v>
      </c>
      <c r="AO240" s="166">
        <v>6</v>
      </c>
      <c r="AP240" s="166">
        <v>0</v>
      </c>
      <c r="AQ240" s="166">
        <v>0</v>
      </c>
      <c r="AR240" s="166">
        <v>392</v>
      </c>
      <c r="AS240" s="166">
        <v>630</v>
      </c>
      <c r="AT240" s="166">
        <v>1705</v>
      </c>
      <c r="AU240" s="166">
        <v>1630</v>
      </c>
      <c r="AV240" s="166">
        <v>75</v>
      </c>
      <c r="AW240" s="166">
        <v>836</v>
      </c>
      <c r="AX240" s="166">
        <v>-105981</v>
      </c>
      <c r="AY240" s="166">
        <v>-201717</v>
      </c>
      <c r="AZ240" s="166">
        <v>0</v>
      </c>
      <c r="BA240" s="166">
        <v>-11925</v>
      </c>
      <c r="BB240" s="166">
        <v>-260898</v>
      </c>
      <c r="BC240" s="166">
        <v>-18060</v>
      </c>
      <c r="BD240" s="166">
        <v>-50000</v>
      </c>
      <c r="BE240" s="166">
        <v>426161</v>
      </c>
      <c r="BF240" s="166"/>
      <c r="BG240" s="760">
        <v>7411650</v>
      </c>
      <c r="BH240" s="760">
        <v>0</v>
      </c>
      <c r="BI240" s="815">
        <v>-985970</v>
      </c>
      <c r="BJ240" s="1044" t="s">
        <v>2454</v>
      </c>
      <c r="BK240" s="1044" t="s">
        <v>2478</v>
      </c>
      <c r="BL240" s="1044" t="s">
        <v>2695</v>
      </c>
      <c r="BM240" s="650"/>
      <c r="BN240" s="746" t="s">
        <v>363</v>
      </c>
      <c r="BO240" s="142" t="b">
        <v>1</v>
      </c>
      <c r="BP240" s="544"/>
      <c r="BQ240" s="544"/>
      <c r="BR240" s="544"/>
      <c r="BS240" s="544"/>
      <c r="BT240" s="544"/>
      <c r="BU240" s="544"/>
      <c r="BV240" s="544"/>
      <c r="BW240" s="544"/>
      <c r="BX240" s="544"/>
      <c r="BY240" s="544"/>
      <c r="BZ240" s="544"/>
      <c r="CA240" s="544"/>
      <c r="CB240" s="544"/>
      <c r="CC240" s="544"/>
      <c r="CD240" s="544"/>
      <c r="CE240" s="544"/>
      <c r="CF240" s="544"/>
      <c r="CG240" s="544"/>
      <c r="CH240" s="544"/>
      <c r="CI240" s="544"/>
      <c r="CJ240" s="544"/>
      <c r="CK240" s="544"/>
      <c r="CL240" s="544"/>
      <c r="CM240" s="544"/>
      <c r="CN240" s="544"/>
      <c r="CO240" s="544"/>
      <c r="CP240" s="544"/>
      <c r="CQ240" s="544"/>
      <c r="CR240" s="544"/>
      <c r="CS240" s="544"/>
    </row>
    <row r="241" spans="1:98" s="142" customFormat="1" ht="12.75" x14ac:dyDescent="0.2">
      <c r="A241" s="735">
        <v>234</v>
      </c>
      <c r="B241" s="732" t="s">
        <v>364</v>
      </c>
      <c r="C241" s="738" t="s">
        <v>365</v>
      </c>
      <c r="D241" s="905">
        <v>107498.890502055</v>
      </c>
      <c r="E241" s="905">
        <v>124422604</v>
      </c>
      <c r="F241" s="905">
        <v>2270</v>
      </c>
      <c r="G241" s="166">
        <v>62596456</v>
      </c>
      <c r="H241" s="166">
        <v>-1779589</v>
      </c>
      <c r="I241" s="166">
        <v>1376976</v>
      </c>
      <c r="J241" s="166">
        <v>-402613</v>
      </c>
      <c r="K241" s="166">
        <v>-2984196</v>
      </c>
      <c r="L241" s="166">
        <v>-4733</v>
      </c>
      <c r="M241" s="166">
        <v>0</v>
      </c>
      <c r="N241" s="166">
        <v>-7844</v>
      </c>
      <c r="O241" s="166">
        <v>0</v>
      </c>
      <c r="P241" s="166">
        <v>-898807</v>
      </c>
      <c r="Q241" s="166">
        <v>-135418</v>
      </c>
      <c r="R241" s="166">
        <v>-58059</v>
      </c>
      <c r="S241" s="166">
        <v>0</v>
      </c>
      <c r="T241" s="166"/>
      <c r="U241" s="166">
        <v>0</v>
      </c>
      <c r="V241" s="166">
        <v>0</v>
      </c>
      <c r="W241" s="166">
        <v>0</v>
      </c>
      <c r="X241" s="166">
        <v>0</v>
      </c>
      <c r="Y241" s="166">
        <v>0</v>
      </c>
      <c r="Z241" s="166">
        <v>49273565</v>
      </c>
      <c r="AA241" s="166">
        <v>-2672000</v>
      </c>
      <c r="AB241" s="166"/>
      <c r="AC241" s="166">
        <v>-2369582</v>
      </c>
      <c r="AD241" s="166">
        <v>111</v>
      </c>
      <c r="AE241" s="166">
        <v>1</v>
      </c>
      <c r="AF241" s="166">
        <v>0</v>
      </c>
      <c r="AG241" s="166"/>
      <c r="AH241" s="166">
        <v>3</v>
      </c>
      <c r="AI241" s="166">
        <v>0</v>
      </c>
      <c r="AJ241" s="166">
        <v>260</v>
      </c>
      <c r="AK241" s="166">
        <v>53</v>
      </c>
      <c r="AL241" s="166">
        <v>6</v>
      </c>
      <c r="AM241" s="166">
        <v>0</v>
      </c>
      <c r="AN241" s="166">
        <v>0</v>
      </c>
      <c r="AO241" s="166">
        <v>0</v>
      </c>
      <c r="AP241" s="166">
        <v>0</v>
      </c>
      <c r="AQ241" s="166">
        <v>0</v>
      </c>
      <c r="AR241" s="166">
        <v>201</v>
      </c>
      <c r="AS241" s="166">
        <v>651</v>
      </c>
      <c r="AT241" s="166">
        <v>691</v>
      </c>
      <c r="AU241" s="166">
        <v>641</v>
      </c>
      <c r="AV241" s="166">
        <v>50</v>
      </c>
      <c r="AW241" s="166">
        <v>992</v>
      </c>
      <c r="AX241" s="166">
        <v>-119766</v>
      </c>
      <c r="AY241" s="166">
        <v>-68390</v>
      </c>
      <c r="AZ241" s="166">
        <v>0</v>
      </c>
      <c r="BA241" s="166">
        <v>-66048</v>
      </c>
      <c r="BB241" s="166">
        <v>-413848</v>
      </c>
      <c r="BC241" s="166">
        <v>-230755</v>
      </c>
      <c r="BD241" s="166">
        <v>-316843</v>
      </c>
      <c r="BE241" s="166">
        <v>3620249</v>
      </c>
      <c r="BF241" s="166"/>
      <c r="BG241" s="760">
        <v>11475500</v>
      </c>
      <c r="BH241" s="760">
        <v>0</v>
      </c>
      <c r="BI241" s="815">
        <v>4722299</v>
      </c>
      <c r="BJ241" s="1044" t="s">
        <v>2454</v>
      </c>
      <c r="BK241" s="1044" t="s">
        <v>2462</v>
      </c>
      <c r="BL241" s="1044" t="s">
        <v>2696</v>
      </c>
      <c r="BM241" s="650"/>
      <c r="BN241" s="746" t="s">
        <v>365</v>
      </c>
      <c r="BO241" s="142" t="b">
        <v>1</v>
      </c>
      <c r="BP241" s="544"/>
      <c r="BQ241" s="544"/>
      <c r="BR241" s="544"/>
      <c r="BS241" s="544"/>
      <c r="BT241" s="544"/>
      <c r="BU241" s="544"/>
      <c r="BV241" s="544"/>
      <c r="BW241" s="544"/>
      <c r="BX241" s="544"/>
      <c r="BY241" s="544"/>
      <c r="BZ241" s="544"/>
      <c r="CA241" s="544"/>
      <c r="CB241" s="544"/>
      <c r="CC241" s="544"/>
      <c r="CD241" s="544"/>
      <c r="CE241" s="544"/>
      <c r="CF241" s="544"/>
      <c r="CG241" s="544"/>
      <c r="CH241" s="544"/>
      <c r="CI241" s="544"/>
      <c r="CJ241" s="544"/>
      <c r="CK241" s="544"/>
      <c r="CL241" s="544"/>
      <c r="CM241" s="544"/>
      <c r="CN241" s="544"/>
      <c r="CO241" s="544"/>
      <c r="CP241" s="544"/>
      <c r="CQ241" s="544"/>
      <c r="CR241" s="544"/>
      <c r="CS241" s="544"/>
    </row>
    <row r="242" spans="1:98" s="142" customFormat="1" ht="12.75" hidden="1" x14ac:dyDescent="0.2">
      <c r="A242" s="735">
        <v>235</v>
      </c>
      <c r="B242" s="732" t="s">
        <v>366</v>
      </c>
      <c r="C242" s="738" t="s">
        <v>367</v>
      </c>
      <c r="D242" s="905">
        <v>420461.50065623299</v>
      </c>
      <c r="E242" s="905">
        <v>241754765</v>
      </c>
      <c r="F242" s="905">
        <v>11384</v>
      </c>
      <c r="G242" s="166">
        <v>121025927</v>
      </c>
      <c r="H242" s="166">
        <v>-11752114</v>
      </c>
      <c r="I242" s="166">
        <v>2049911</v>
      </c>
      <c r="J242" s="166">
        <v>-9702203</v>
      </c>
      <c r="K242" s="166">
        <v>-5146427</v>
      </c>
      <c r="L242" s="166">
        <v>-245515</v>
      </c>
      <c r="M242" s="166">
        <v>0</v>
      </c>
      <c r="N242" s="166">
        <v>-7851</v>
      </c>
      <c r="O242" s="166">
        <v>0</v>
      </c>
      <c r="P242" s="166">
        <v>-2962402</v>
      </c>
      <c r="Q242" s="166">
        <v>0</v>
      </c>
      <c r="R242" s="166">
        <v>-552631</v>
      </c>
      <c r="S242" s="166">
        <v>-20279</v>
      </c>
      <c r="T242" s="166"/>
      <c r="U242" s="166">
        <v>0</v>
      </c>
      <c r="V242" s="166">
        <v>0</v>
      </c>
      <c r="W242" s="166">
        <v>0</v>
      </c>
      <c r="X242" s="166">
        <v>0</v>
      </c>
      <c r="Y242" s="166">
        <v>0</v>
      </c>
      <c r="Z242" s="166">
        <v>83467751</v>
      </c>
      <c r="AA242" s="166">
        <v>-1109062</v>
      </c>
      <c r="AB242" s="166"/>
      <c r="AC242" s="166">
        <v>-7357726</v>
      </c>
      <c r="AD242" s="166">
        <v>295</v>
      </c>
      <c r="AE242" s="166">
        <v>35</v>
      </c>
      <c r="AF242" s="166">
        <v>0</v>
      </c>
      <c r="AG242" s="166"/>
      <c r="AH242" s="166">
        <v>7</v>
      </c>
      <c r="AI242" s="166">
        <v>0</v>
      </c>
      <c r="AJ242" s="166">
        <v>1227</v>
      </c>
      <c r="AK242" s="166">
        <v>0</v>
      </c>
      <c r="AL242" s="166">
        <v>25</v>
      </c>
      <c r="AM242" s="166">
        <v>0</v>
      </c>
      <c r="AN242" s="166">
        <v>0</v>
      </c>
      <c r="AO242" s="166">
        <v>16</v>
      </c>
      <c r="AP242" s="166">
        <v>0</v>
      </c>
      <c r="AQ242" s="166">
        <v>0</v>
      </c>
      <c r="AR242" s="166">
        <v>950</v>
      </c>
      <c r="AS242" s="166">
        <v>2933</v>
      </c>
      <c r="AT242" s="166">
        <v>4615</v>
      </c>
      <c r="AU242" s="166">
        <v>4275</v>
      </c>
      <c r="AV242" s="166">
        <v>340</v>
      </c>
      <c r="AW242" s="166">
        <v>3808</v>
      </c>
      <c r="AX242" s="166">
        <v>-239583</v>
      </c>
      <c r="AY242" s="166">
        <v>-581584</v>
      </c>
      <c r="AZ242" s="166">
        <v>0</v>
      </c>
      <c r="BA242" s="166">
        <v>0</v>
      </c>
      <c r="BB242" s="166">
        <v>-2053094</v>
      </c>
      <c r="BC242" s="166">
        <v>-88141</v>
      </c>
      <c r="BD242" s="166">
        <v>-1620069</v>
      </c>
      <c r="BE242" s="166">
        <v>15334028</v>
      </c>
      <c r="BF242" s="166"/>
      <c r="BG242" s="760">
        <v>34944275</v>
      </c>
      <c r="BH242" s="760">
        <v>0</v>
      </c>
      <c r="BI242" s="815">
        <v>18485330</v>
      </c>
      <c r="BJ242" s="1044" t="s">
        <v>2468</v>
      </c>
      <c r="BK242" s="1044" t="s">
        <v>2481</v>
      </c>
      <c r="BL242" s="1044" t="s">
        <v>2697</v>
      </c>
      <c r="BM242" s="650"/>
      <c r="BN242" s="746" t="s">
        <v>367</v>
      </c>
      <c r="BO242" s="142" t="b">
        <v>1</v>
      </c>
      <c r="BP242" s="544"/>
      <c r="BQ242" s="544"/>
      <c r="BR242" s="544"/>
      <c r="BS242" s="544"/>
      <c r="BT242" s="544"/>
      <c r="BU242" s="544"/>
      <c r="BV242" s="544"/>
      <c r="BW242" s="544"/>
      <c r="BX242" s="544"/>
      <c r="BY242" s="544"/>
      <c r="BZ242" s="544"/>
      <c r="CA242" s="544"/>
      <c r="CB242" s="544"/>
      <c r="CC242" s="544"/>
      <c r="CD242" s="544"/>
      <c r="CE242" s="544"/>
      <c r="CF242" s="544"/>
      <c r="CG242" s="544"/>
      <c r="CH242" s="544"/>
      <c r="CI242" s="544"/>
      <c r="CJ242" s="544"/>
      <c r="CK242" s="544"/>
      <c r="CL242" s="544"/>
      <c r="CM242" s="544"/>
      <c r="CN242" s="544"/>
      <c r="CO242" s="544"/>
      <c r="CP242" s="544"/>
      <c r="CQ242" s="544"/>
      <c r="CR242" s="544"/>
      <c r="CS242" s="544"/>
    </row>
    <row r="243" spans="1:98" s="741" customFormat="1" ht="12.75" hidden="1" x14ac:dyDescent="0.2">
      <c r="A243" s="735">
        <v>236</v>
      </c>
      <c r="B243" s="732" t="s">
        <v>551</v>
      </c>
      <c r="C243" s="738" t="s">
        <v>369</v>
      </c>
      <c r="D243" s="905">
        <v>230013.578444124</v>
      </c>
      <c r="E243" s="905">
        <v>201206533</v>
      </c>
      <c r="F243" s="905">
        <v>5730</v>
      </c>
      <c r="G243" s="166">
        <v>100220224</v>
      </c>
      <c r="H243" s="166">
        <v>-5786828</v>
      </c>
      <c r="I243" s="166">
        <v>2040579</v>
      </c>
      <c r="J243" s="166">
        <v>-3746249</v>
      </c>
      <c r="K243" s="166">
        <v>-5590481</v>
      </c>
      <c r="L243" s="166">
        <v>-52264</v>
      </c>
      <c r="M243" s="166">
        <v>0</v>
      </c>
      <c r="N243" s="166">
        <v>-14342</v>
      </c>
      <c r="O243" s="166">
        <v>-50000</v>
      </c>
      <c r="P243" s="166">
        <v>-3000000</v>
      </c>
      <c r="Q243" s="166">
        <v>-241162</v>
      </c>
      <c r="R243" s="166">
        <v>-72000</v>
      </c>
      <c r="S243" s="166">
        <v>-13045</v>
      </c>
      <c r="T243" s="166"/>
      <c r="U243" s="166">
        <v>0</v>
      </c>
      <c r="V243" s="166">
        <v>-52844</v>
      </c>
      <c r="W243" s="166">
        <v>0</v>
      </c>
      <c r="X243" s="166">
        <v>-10593</v>
      </c>
      <c r="Y243" s="166">
        <v>0</v>
      </c>
      <c r="Z243" s="166">
        <v>80228593</v>
      </c>
      <c r="AA243" s="166">
        <v>-3209144</v>
      </c>
      <c r="AB243" s="166"/>
      <c r="AC243" s="166">
        <v>-4000000</v>
      </c>
      <c r="AD243" s="166">
        <v>213</v>
      </c>
      <c r="AE243" s="166">
        <v>5</v>
      </c>
      <c r="AF243" s="166">
        <v>0</v>
      </c>
      <c r="AG243" s="166"/>
      <c r="AH243" s="166">
        <v>14</v>
      </c>
      <c r="AI243" s="166">
        <v>0</v>
      </c>
      <c r="AJ243" s="166">
        <v>382</v>
      </c>
      <c r="AK243" s="166">
        <v>80</v>
      </c>
      <c r="AL243" s="166">
        <v>8</v>
      </c>
      <c r="AM243" s="166">
        <v>0</v>
      </c>
      <c r="AN243" s="166">
        <v>0</v>
      </c>
      <c r="AO243" s="166">
        <v>5</v>
      </c>
      <c r="AP243" s="166">
        <v>7</v>
      </c>
      <c r="AQ243" s="166">
        <v>4</v>
      </c>
      <c r="AR243" s="166">
        <v>618</v>
      </c>
      <c r="AS243" s="166">
        <v>1403</v>
      </c>
      <c r="AT243" s="166">
        <v>2200</v>
      </c>
      <c r="AU243" s="166">
        <v>2081</v>
      </c>
      <c r="AV243" s="166">
        <v>119</v>
      </c>
      <c r="AW243" s="166">
        <v>2123</v>
      </c>
      <c r="AX243" s="166">
        <v>-91543</v>
      </c>
      <c r="AY243" s="166">
        <v>-160556</v>
      </c>
      <c r="AZ243" s="166">
        <v>0</v>
      </c>
      <c r="BA243" s="166">
        <v>0</v>
      </c>
      <c r="BB243" s="166">
        <v>-2462953</v>
      </c>
      <c r="BC243" s="166">
        <v>-284948</v>
      </c>
      <c r="BD243" s="166">
        <v>-200000</v>
      </c>
      <c r="BE243" s="166">
        <v>-977758</v>
      </c>
      <c r="BF243" s="166"/>
      <c r="BG243" s="760">
        <v>22250100</v>
      </c>
      <c r="BH243" s="760">
        <v>116250</v>
      </c>
      <c r="BI243" s="815">
        <v>782808</v>
      </c>
      <c r="BJ243" s="1044" t="s">
        <v>515</v>
      </c>
      <c r="BK243" s="1044" t="s">
        <v>867</v>
      </c>
      <c r="BL243" s="1044" t="s">
        <v>2698</v>
      </c>
      <c r="BM243" s="650"/>
      <c r="BN243" s="746" t="s">
        <v>369</v>
      </c>
      <c r="BO243" s="142" t="b">
        <v>1</v>
      </c>
      <c r="BP243" s="544"/>
      <c r="BQ243" s="544"/>
      <c r="BR243" s="544"/>
      <c r="BS243" s="544"/>
      <c r="BT243" s="544"/>
      <c r="BU243" s="544"/>
      <c r="BV243" s="544"/>
      <c r="BW243" s="544"/>
      <c r="BX243" s="544"/>
      <c r="BY243" s="544"/>
      <c r="BZ243" s="544"/>
      <c r="CA243" s="544"/>
      <c r="CB243" s="544"/>
      <c r="CC243" s="544"/>
      <c r="CD243" s="544"/>
      <c r="CE243" s="544"/>
      <c r="CF243" s="544"/>
      <c r="CG243" s="544"/>
      <c r="CH243" s="544"/>
      <c r="CI243" s="544"/>
      <c r="CJ243" s="544"/>
      <c r="CK243" s="544"/>
      <c r="CL243" s="544"/>
      <c r="CM243" s="544"/>
      <c r="CN243" s="544"/>
      <c r="CO243" s="544"/>
      <c r="CP243" s="544"/>
      <c r="CQ243" s="544"/>
      <c r="CR243" s="544"/>
      <c r="CS243" s="544"/>
      <c r="CT243" s="142"/>
    </row>
    <row r="244" spans="1:98" s="142" customFormat="1" ht="12.75" hidden="1" x14ac:dyDescent="0.2">
      <c r="A244" s="735">
        <v>237</v>
      </c>
      <c r="B244" s="732" t="s">
        <v>648</v>
      </c>
      <c r="C244" s="738" t="s">
        <v>371</v>
      </c>
      <c r="D244" s="905">
        <v>353612.50922187499</v>
      </c>
      <c r="E244" s="905">
        <v>243481887</v>
      </c>
      <c r="F244" s="905">
        <v>9404</v>
      </c>
      <c r="G244" s="166">
        <v>122419443</v>
      </c>
      <c r="H244" s="166">
        <v>-10588363</v>
      </c>
      <c r="I244" s="166">
        <v>2216797</v>
      </c>
      <c r="J244" s="166">
        <v>-8371566</v>
      </c>
      <c r="K244" s="166">
        <v>-6822218</v>
      </c>
      <c r="L244" s="166">
        <v>-69222</v>
      </c>
      <c r="M244" s="166">
        <v>0</v>
      </c>
      <c r="N244" s="166">
        <v>-19384</v>
      </c>
      <c r="O244" s="166">
        <v>-8427</v>
      </c>
      <c r="P244" s="166">
        <v>-3820006</v>
      </c>
      <c r="Q244" s="166">
        <v>-183150</v>
      </c>
      <c r="R244" s="166">
        <v>-184476</v>
      </c>
      <c r="S244" s="166">
        <v>-18099</v>
      </c>
      <c r="T244" s="166"/>
      <c r="U244" s="166">
        <v>0</v>
      </c>
      <c r="V244" s="166">
        <v>-234483</v>
      </c>
      <c r="W244" s="166">
        <v>-193895</v>
      </c>
      <c r="X244" s="166">
        <v>0</v>
      </c>
      <c r="Y244" s="166">
        <v>0</v>
      </c>
      <c r="Z244" s="166">
        <v>88692158</v>
      </c>
      <c r="AA244" s="166">
        <v>0</v>
      </c>
      <c r="AB244" s="166"/>
      <c r="AC244" s="166">
        <v>-8993635</v>
      </c>
      <c r="AD244" s="166">
        <v>374</v>
      </c>
      <c r="AE244" s="166">
        <v>15</v>
      </c>
      <c r="AF244" s="166">
        <v>0</v>
      </c>
      <c r="AG244" s="166"/>
      <c r="AH244" s="166">
        <v>7</v>
      </c>
      <c r="AI244" s="166">
        <v>2</v>
      </c>
      <c r="AJ244" s="166">
        <v>1474</v>
      </c>
      <c r="AK244" s="166">
        <v>110</v>
      </c>
      <c r="AL244" s="166">
        <v>24</v>
      </c>
      <c r="AM244" s="166">
        <v>0</v>
      </c>
      <c r="AN244" s="166">
        <v>0</v>
      </c>
      <c r="AO244" s="166">
        <v>8</v>
      </c>
      <c r="AP244" s="166">
        <v>19</v>
      </c>
      <c r="AQ244" s="166">
        <v>0</v>
      </c>
      <c r="AR244" s="166">
        <v>843</v>
      </c>
      <c r="AS244" s="166">
        <v>664</v>
      </c>
      <c r="AT244" s="166">
        <v>4557</v>
      </c>
      <c r="AU244" s="166">
        <v>4372</v>
      </c>
      <c r="AV244" s="166">
        <v>185</v>
      </c>
      <c r="AW244" s="166">
        <v>4209</v>
      </c>
      <c r="AX244" s="166">
        <v>0</v>
      </c>
      <c r="AY244" s="166">
        <v>-500485</v>
      </c>
      <c r="AZ244" s="166">
        <v>0</v>
      </c>
      <c r="BA244" s="166">
        <v>-69786</v>
      </c>
      <c r="BB244" s="166">
        <v>-3249735</v>
      </c>
      <c r="BC244" s="166">
        <v>0</v>
      </c>
      <c r="BD244" s="166">
        <v>0</v>
      </c>
      <c r="BE244" s="166">
        <v>14867488</v>
      </c>
      <c r="BF244" s="166"/>
      <c r="BG244" s="760">
        <v>25814350</v>
      </c>
      <c r="BH244" s="760">
        <v>0</v>
      </c>
      <c r="BI244" s="815">
        <v>11566939</v>
      </c>
      <c r="BJ244" s="1044" t="s">
        <v>515</v>
      </c>
      <c r="BK244" s="1044" t="s">
        <v>2478</v>
      </c>
      <c r="BL244" s="1044" t="s">
        <v>2699</v>
      </c>
      <c r="BM244" s="650"/>
      <c r="BN244" s="746" t="s">
        <v>371</v>
      </c>
      <c r="BO244" s="142" t="b">
        <v>1</v>
      </c>
      <c r="BP244" s="544"/>
      <c r="BQ244" s="544"/>
      <c r="BR244" s="544"/>
      <c r="BS244" s="544"/>
      <c r="BT244" s="544"/>
      <c r="BU244" s="544"/>
      <c r="BV244" s="544"/>
      <c r="BW244" s="544"/>
      <c r="BX244" s="544"/>
      <c r="BY244" s="544"/>
      <c r="BZ244" s="544"/>
      <c r="CA244" s="544"/>
      <c r="CB244" s="544"/>
      <c r="CC244" s="544"/>
      <c r="CD244" s="544"/>
      <c r="CE244" s="544"/>
      <c r="CF244" s="544"/>
      <c r="CG244" s="544"/>
      <c r="CH244" s="544"/>
      <c r="CI244" s="544"/>
      <c r="CJ244" s="544"/>
      <c r="CK244" s="544"/>
      <c r="CL244" s="544"/>
      <c r="CM244" s="544"/>
      <c r="CN244" s="544"/>
      <c r="CO244" s="544"/>
      <c r="CP244" s="544"/>
      <c r="CQ244" s="544"/>
      <c r="CR244" s="544"/>
      <c r="CS244" s="544"/>
    </row>
    <row r="245" spans="1:98" s="142" customFormat="1" ht="12.75" x14ac:dyDescent="0.2">
      <c r="A245" s="735">
        <v>238</v>
      </c>
      <c r="B245" s="732" t="s">
        <v>372</v>
      </c>
      <c r="C245" s="738" t="s">
        <v>373</v>
      </c>
      <c r="D245" s="905">
        <v>234860.821137349</v>
      </c>
      <c r="E245" s="905">
        <v>159409434</v>
      </c>
      <c r="F245" s="905">
        <v>6106</v>
      </c>
      <c r="G245" s="166">
        <v>79414944</v>
      </c>
      <c r="H245" s="166">
        <v>-5615437</v>
      </c>
      <c r="I245" s="166">
        <v>1391678</v>
      </c>
      <c r="J245" s="166">
        <v>-4223760</v>
      </c>
      <c r="K245" s="166">
        <v>-4445746</v>
      </c>
      <c r="L245" s="166">
        <v>-133470</v>
      </c>
      <c r="M245" s="166">
        <v>-22881</v>
      </c>
      <c r="N245" s="166">
        <v>-19514</v>
      </c>
      <c r="O245" s="166">
        <v>0</v>
      </c>
      <c r="P245" s="166">
        <v>-1687008</v>
      </c>
      <c r="Q245" s="166">
        <v>-5580</v>
      </c>
      <c r="R245" s="166">
        <v>-214549</v>
      </c>
      <c r="S245" s="166">
        <v>0</v>
      </c>
      <c r="T245" s="166"/>
      <c r="U245" s="166">
        <v>-19111</v>
      </c>
      <c r="V245" s="166">
        <v>0</v>
      </c>
      <c r="W245" s="166">
        <v>0</v>
      </c>
      <c r="X245" s="166">
        <v>0</v>
      </c>
      <c r="Y245" s="166">
        <v>0</v>
      </c>
      <c r="Z245" s="166">
        <v>57250063</v>
      </c>
      <c r="AA245" s="166">
        <v>-3732000</v>
      </c>
      <c r="AB245" s="166"/>
      <c r="AC245" s="166">
        <v>-7227720</v>
      </c>
      <c r="AD245" s="166">
        <v>303</v>
      </c>
      <c r="AE245" s="166">
        <v>27</v>
      </c>
      <c r="AF245" s="166">
        <v>12</v>
      </c>
      <c r="AG245" s="166"/>
      <c r="AH245" s="166">
        <v>10</v>
      </c>
      <c r="AI245" s="166">
        <v>0</v>
      </c>
      <c r="AJ245" s="166">
        <v>349</v>
      </c>
      <c r="AK245" s="166">
        <v>9</v>
      </c>
      <c r="AL245" s="166">
        <v>21</v>
      </c>
      <c r="AM245" s="166">
        <v>11</v>
      </c>
      <c r="AN245" s="166">
        <v>0</v>
      </c>
      <c r="AO245" s="166">
        <v>0</v>
      </c>
      <c r="AP245" s="166">
        <v>0</v>
      </c>
      <c r="AQ245" s="166">
        <v>0</v>
      </c>
      <c r="AR245" s="166">
        <v>831</v>
      </c>
      <c r="AS245" s="166">
        <v>1358</v>
      </c>
      <c r="AT245" s="166">
        <v>2211</v>
      </c>
      <c r="AU245" s="166">
        <v>2015</v>
      </c>
      <c r="AV245" s="166">
        <v>196</v>
      </c>
      <c r="AW245" s="166">
        <v>2466</v>
      </c>
      <c r="AX245" s="166">
        <v>-1831</v>
      </c>
      <c r="AY245" s="166">
        <v>-910028</v>
      </c>
      <c r="AZ245" s="166">
        <v>0</v>
      </c>
      <c r="BA245" s="166">
        <v>0</v>
      </c>
      <c r="BB245" s="166">
        <v>-750904</v>
      </c>
      <c r="BC245" s="166">
        <v>-24245</v>
      </c>
      <c r="BD245" s="166">
        <v>0</v>
      </c>
      <c r="BE245" s="166">
        <v>4954443</v>
      </c>
      <c r="BF245" s="166"/>
      <c r="BG245" s="760">
        <v>23896450</v>
      </c>
      <c r="BH245" s="760">
        <v>0</v>
      </c>
      <c r="BI245" s="815">
        <v>3325725</v>
      </c>
      <c r="BJ245" s="1044" t="s">
        <v>2454</v>
      </c>
      <c r="BK245" s="1044" t="s">
        <v>2478</v>
      </c>
      <c r="BL245" s="1044" t="s">
        <v>2700</v>
      </c>
      <c r="BM245" s="650"/>
      <c r="BN245" s="746" t="s">
        <v>373</v>
      </c>
      <c r="BO245" s="142" t="b">
        <v>1</v>
      </c>
      <c r="BP245" s="544"/>
      <c r="BQ245" s="544"/>
      <c r="BR245" s="544"/>
      <c r="BS245" s="544"/>
      <c r="BT245" s="544"/>
      <c r="BU245" s="544"/>
      <c r="BV245" s="544"/>
      <c r="BW245" s="544"/>
      <c r="BX245" s="544"/>
      <c r="BY245" s="544"/>
      <c r="BZ245" s="544"/>
      <c r="CA245" s="544"/>
      <c r="CB245" s="544"/>
      <c r="CC245" s="544"/>
      <c r="CD245" s="544"/>
      <c r="CE245" s="544"/>
      <c r="CF245" s="544"/>
      <c r="CG245" s="544"/>
      <c r="CH245" s="544"/>
      <c r="CI245" s="544"/>
      <c r="CJ245" s="544"/>
      <c r="CK245" s="544"/>
      <c r="CL245" s="544"/>
      <c r="CM245" s="544"/>
      <c r="CN245" s="544"/>
      <c r="CO245" s="544"/>
      <c r="CP245" s="544"/>
      <c r="CQ245" s="544"/>
      <c r="CR245" s="544"/>
      <c r="CS245" s="544"/>
    </row>
    <row r="246" spans="1:98" s="142" customFormat="1" ht="12.75" x14ac:dyDescent="0.2">
      <c r="A246" s="735">
        <v>239</v>
      </c>
      <c r="B246" s="732" t="s">
        <v>374</v>
      </c>
      <c r="C246" s="738" t="s">
        <v>375</v>
      </c>
      <c r="D246" s="905">
        <v>163641.865948733</v>
      </c>
      <c r="E246" s="905">
        <v>102955176</v>
      </c>
      <c r="F246" s="905">
        <v>4336</v>
      </c>
      <c r="G246" s="166">
        <v>50168468</v>
      </c>
      <c r="H246" s="166">
        <v>-4081014</v>
      </c>
      <c r="I246" s="166">
        <v>1116462</v>
      </c>
      <c r="J246" s="166">
        <v>-2964552</v>
      </c>
      <c r="K246" s="166">
        <v>-3081563</v>
      </c>
      <c r="L246" s="166">
        <v>-38894</v>
      </c>
      <c r="M246" s="166">
        <v>-52618</v>
      </c>
      <c r="N246" s="166">
        <v>-11116</v>
      </c>
      <c r="O246" s="166">
        <v>0</v>
      </c>
      <c r="P246" s="166">
        <v>-963485</v>
      </c>
      <c r="Q246" s="166">
        <v>-107284</v>
      </c>
      <c r="R246" s="166">
        <v>-42874</v>
      </c>
      <c r="S246" s="166">
        <v>0</v>
      </c>
      <c r="T246" s="166"/>
      <c r="U246" s="166">
        <v>0</v>
      </c>
      <c r="V246" s="166">
        <v>0</v>
      </c>
      <c r="W246" s="166">
        <v>0</v>
      </c>
      <c r="X246" s="166">
        <v>0</v>
      </c>
      <c r="Y246" s="166">
        <v>-26309</v>
      </c>
      <c r="Z246" s="166">
        <v>34831520</v>
      </c>
      <c r="AA246" s="166">
        <v>-1200000</v>
      </c>
      <c r="AB246" s="166"/>
      <c r="AC246" s="166">
        <v>-2030966</v>
      </c>
      <c r="AD246" s="166">
        <v>319</v>
      </c>
      <c r="AE246" s="166">
        <v>13</v>
      </c>
      <c r="AF246" s="166">
        <v>21</v>
      </c>
      <c r="AG246" s="166"/>
      <c r="AH246" s="166">
        <v>9</v>
      </c>
      <c r="AI246" s="166">
        <v>0</v>
      </c>
      <c r="AJ246" s="166">
        <v>276</v>
      </c>
      <c r="AK246" s="166">
        <v>158</v>
      </c>
      <c r="AL246" s="166">
        <v>6</v>
      </c>
      <c r="AM246" s="166">
        <v>0</v>
      </c>
      <c r="AN246" s="166">
        <v>0</v>
      </c>
      <c r="AO246" s="166">
        <v>0</v>
      </c>
      <c r="AP246" s="166">
        <v>0</v>
      </c>
      <c r="AQ246" s="166">
        <v>0</v>
      </c>
      <c r="AR246" s="166">
        <v>373</v>
      </c>
      <c r="AS246" s="166">
        <v>1067</v>
      </c>
      <c r="AT246" s="166">
        <v>1834</v>
      </c>
      <c r="AU246" s="166">
        <v>1674</v>
      </c>
      <c r="AV246" s="166">
        <v>160</v>
      </c>
      <c r="AW246" s="166">
        <v>1396</v>
      </c>
      <c r="AX246" s="166">
        <v>-163242</v>
      </c>
      <c r="AY246" s="166">
        <v>-418524</v>
      </c>
      <c r="AZ246" s="166">
        <v>0</v>
      </c>
      <c r="BA246" s="166">
        <v>0</v>
      </c>
      <c r="BB246" s="166">
        <v>-339349</v>
      </c>
      <c r="BC246" s="166">
        <v>-42370</v>
      </c>
      <c r="BD246" s="166">
        <v>-947512</v>
      </c>
      <c r="BE246" s="166">
        <v>-84505</v>
      </c>
      <c r="BF246" s="166"/>
      <c r="BG246" s="760">
        <v>8984000</v>
      </c>
      <c r="BH246" s="760">
        <v>0</v>
      </c>
      <c r="BI246" s="815">
        <v>-1157489</v>
      </c>
      <c r="BJ246" s="1044" t="s">
        <v>2454</v>
      </c>
      <c r="BK246" s="1044" t="s">
        <v>2474</v>
      </c>
      <c r="BL246" s="1044" t="s">
        <v>2701</v>
      </c>
      <c r="BM246" s="650"/>
      <c r="BN246" s="746" t="s">
        <v>375</v>
      </c>
      <c r="BO246" s="142" t="b">
        <v>1</v>
      </c>
      <c r="BP246" s="544"/>
      <c r="BQ246" s="544"/>
      <c r="BR246" s="544"/>
      <c r="BS246" s="544"/>
      <c r="BT246" s="544"/>
      <c r="BU246" s="544"/>
      <c r="BV246" s="544"/>
      <c r="BW246" s="544"/>
      <c r="BX246" s="544"/>
      <c r="BY246" s="544"/>
      <c r="BZ246" s="544"/>
      <c r="CA246" s="544"/>
      <c r="CB246" s="544"/>
      <c r="CC246" s="544"/>
      <c r="CD246" s="544"/>
      <c r="CE246" s="544"/>
      <c r="CF246" s="544"/>
      <c r="CG246" s="544"/>
      <c r="CH246" s="544"/>
      <c r="CI246" s="544"/>
      <c r="CJ246" s="544"/>
      <c r="CK246" s="544"/>
      <c r="CL246" s="544"/>
      <c r="CM246" s="544"/>
      <c r="CN246" s="544"/>
      <c r="CO246" s="544"/>
      <c r="CP246" s="544"/>
      <c r="CQ246" s="544"/>
      <c r="CR246" s="544"/>
      <c r="CS246" s="544"/>
    </row>
    <row r="247" spans="1:98" s="142" customFormat="1" ht="12.75" hidden="1" x14ac:dyDescent="0.2">
      <c r="A247" s="735">
        <v>240</v>
      </c>
      <c r="B247" s="732" t="s">
        <v>376</v>
      </c>
      <c r="C247" s="738" t="s">
        <v>377</v>
      </c>
      <c r="D247" s="905">
        <v>322728.335245714</v>
      </c>
      <c r="E247" s="905">
        <v>229483440</v>
      </c>
      <c r="F247" s="905">
        <v>8517</v>
      </c>
      <c r="G247" s="166">
        <v>114835199</v>
      </c>
      <c r="H247" s="166">
        <v>-8599599</v>
      </c>
      <c r="I247" s="166">
        <v>2187097</v>
      </c>
      <c r="J247" s="166">
        <v>-6412502</v>
      </c>
      <c r="K247" s="166">
        <v>-8462664</v>
      </c>
      <c r="L247" s="166">
        <v>-39486</v>
      </c>
      <c r="M247" s="166">
        <v>-3532</v>
      </c>
      <c r="N247" s="166">
        <v>-17859</v>
      </c>
      <c r="O247" s="166">
        <v>-100000</v>
      </c>
      <c r="P247" s="166">
        <v>-2012929</v>
      </c>
      <c r="Q247" s="166">
        <v>-55170</v>
      </c>
      <c r="R247" s="166">
        <v>-66184</v>
      </c>
      <c r="S247" s="166">
        <v>-822</v>
      </c>
      <c r="T247" s="166"/>
      <c r="U247" s="166">
        <v>0</v>
      </c>
      <c r="V247" s="166">
        <v>0</v>
      </c>
      <c r="W247" s="166">
        <v>0</v>
      </c>
      <c r="X247" s="166">
        <v>0</v>
      </c>
      <c r="Y247" s="166">
        <v>-1766</v>
      </c>
      <c r="Z247" s="166">
        <v>86379446</v>
      </c>
      <c r="AA247" s="166">
        <v>-3270963</v>
      </c>
      <c r="AB247" s="166"/>
      <c r="AC247" s="166">
        <v>-6059888</v>
      </c>
      <c r="AD247" s="166">
        <v>352</v>
      </c>
      <c r="AE247" s="166">
        <v>5</v>
      </c>
      <c r="AF247" s="166">
        <v>2</v>
      </c>
      <c r="AG247" s="166"/>
      <c r="AH247" s="166">
        <v>9</v>
      </c>
      <c r="AI247" s="166">
        <v>0</v>
      </c>
      <c r="AJ247" s="166">
        <v>611</v>
      </c>
      <c r="AK247" s="166">
        <v>67</v>
      </c>
      <c r="AL247" s="166">
        <v>17</v>
      </c>
      <c r="AM247" s="166">
        <v>2</v>
      </c>
      <c r="AN247" s="166">
        <v>0</v>
      </c>
      <c r="AO247" s="166">
        <v>2</v>
      </c>
      <c r="AP247" s="166">
        <v>0</v>
      </c>
      <c r="AQ247" s="166">
        <v>0</v>
      </c>
      <c r="AR247" s="166">
        <v>986</v>
      </c>
      <c r="AS247" s="166">
        <v>2034</v>
      </c>
      <c r="AT247" s="166">
        <v>3566</v>
      </c>
      <c r="AU247" s="166">
        <v>3326</v>
      </c>
      <c r="AV247" s="166">
        <v>240</v>
      </c>
      <c r="AW247" s="166">
        <v>2933</v>
      </c>
      <c r="AX247" s="166">
        <v>-135828</v>
      </c>
      <c r="AY247" s="166">
        <v>-323367</v>
      </c>
      <c r="AZ247" s="166">
        <v>0</v>
      </c>
      <c r="BA247" s="166">
        <v>-38575</v>
      </c>
      <c r="BB247" s="166">
        <v>-1348454</v>
      </c>
      <c r="BC247" s="166">
        <v>-166705</v>
      </c>
      <c r="BD247" s="166">
        <v>-316762</v>
      </c>
      <c r="BE247" s="166">
        <v>7383485</v>
      </c>
      <c r="BF247" s="166"/>
      <c r="BG247" s="760">
        <v>23386950</v>
      </c>
      <c r="BH247" s="760">
        <v>54750</v>
      </c>
      <c r="BI247" s="815">
        <v>10203122</v>
      </c>
      <c r="BJ247" s="1044" t="s">
        <v>2468</v>
      </c>
      <c r="BK247" s="1044" t="s">
        <v>867</v>
      </c>
      <c r="BL247" s="1044" t="s">
        <v>2702</v>
      </c>
      <c r="BM247" s="650"/>
      <c r="BN247" s="746" t="s">
        <v>377</v>
      </c>
      <c r="BO247" s="142" t="b">
        <v>1</v>
      </c>
      <c r="BP247" s="544"/>
      <c r="BQ247" s="544"/>
      <c r="BR247" s="544"/>
      <c r="BS247" s="544"/>
      <c r="BT247" s="544"/>
      <c r="BU247" s="544"/>
      <c r="BV247" s="544"/>
      <c r="BW247" s="544"/>
      <c r="BX247" s="544"/>
      <c r="BY247" s="544"/>
      <c r="BZ247" s="544"/>
      <c r="CA247" s="544"/>
      <c r="CB247" s="544"/>
      <c r="CC247" s="544"/>
      <c r="CD247" s="544"/>
      <c r="CE247" s="544"/>
      <c r="CF247" s="544"/>
      <c r="CG247" s="544"/>
      <c r="CH247" s="544"/>
      <c r="CI247" s="544"/>
      <c r="CJ247" s="544"/>
      <c r="CK247" s="544"/>
      <c r="CL247" s="544"/>
      <c r="CM247" s="544"/>
      <c r="CN247" s="544"/>
      <c r="CO247" s="544"/>
      <c r="CP247" s="544"/>
      <c r="CQ247" s="544"/>
      <c r="CR247" s="544"/>
      <c r="CS247" s="544"/>
    </row>
    <row r="248" spans="1:98" s="142" customFormat="1" ht="12.75" x14ac:dyDescent="0.2">
      <c r="A248" s="735">
        <v>241</v>
      </c>
      <c r="B248" s="732" t="s">
        <v>378</v>
      </c>
      <c r="C248" s="738" t="s">
        <v>379</v>
      </c>
      <c r="D248" s="905">
        <v>128322.998674869</v>
      </c>
      <c r="E248" s="905">
        <v>94254898</v>
      </c>
      <c r="F248" s="905">
        <v>2963</v>
      </c>
      <c r="G248" s="166">
        <v>48185377</v>
      </c>
      <c r="H248" s="166">
        <v>-3029056</v>
      </c>
      <c r="I248" s="166">
        <v>926086</v>
      </c>
      <c r="J248" s="166">
        <v>-2102970</v>
      </c>
      <c r="K248" s="166">
        <v>-2000554</v>
      </c>
      <c r="L248" s="166">
        <v>-1708</v>
      </c>
      <c r="M248" s="166">
        <v>0</v>
      </c>
      <c r="N248" s="166">
        <v>-3244</v>
      </c>
      <c r="O248" s="166">
        <v>0</v>
      </c>
      <c r="P248" s="166">
        <v>-1600000</v>
      </c>
      <c r="Q248" s="166">
        <v>-113261</v>
      </c>
      <c r="R248" s="166">
        <v>-324674</v>
      </c>
      <c r="S248" s="166">
        <v>-1708</v>
      </c>
      <c r="T248" s="166"/>
      <c r="U248" s="166">
        <v>0</v>
      </c>
      <c r="V248" s="166">
        <v>0</v>
      </c>
      <c r="W248" s="166">
        <v>0</v>
      </c>
      <c r="X248" s="166">
        <v>0</v>
      </c>
      <c r="Y248" s="166">
        <v>0</v>
      </c>
      <c r="Z248" s="166">
        <v>33196266</v>
      </c>
      <c r="AA248" s="166">
        <v>-500000</v>
      </c>
      <c r="AB248" s="166"/>
      <c r="AC248" s="166">
        <v>-5143709</v>
      </c>
      <c r="AD248" s="166">
        <v>108</v>
      </c>
      <c r="AE248" s="166">
        <v>4</v>
      </c>
      <c r="AF248" s="166">
        <v>0</v>
      </c>
      <c r="AG248" s="166"/>
      <c r="AH248" s="166">
        <v>5</v>
      </c>
      <c r="AI248" s="166">
        <v>0</v>
      </c>
      <c r="AJ248" s="166">
        <v>315</v>
      </c>
      <c r="AK248" s="166">
        <v>65</v>
      </c>
      <c r="AL248" s="166">
        <v>11</v>
      </c>
      <c r="AM248" s="166">
        <v>0</v>
      </c>
      <c r="AN248" s="166">
        <v>0</v>
      </c>
      <c r="AO248" s="166">
        <v>4</v>
      </c>
      <c r="AP248" s="166">
        <v>0</v>
      </c>
      <c r="AQ248" s="166">
        <v>0</v>
      </c>
      <c r="AR248" s="166">
        <v>386</v>
      </c>
      <c r="AS248" s="166">
        <v>731</v>
      </c>
      <c r="AT248" s="166">
        <v>933</v>
      </c>
      <c r="AU248" s="166">
        <v>808</v>
      </c>
      <c r="AV248" s="166">
        <v>125</v>
      </c>
      <c r="AW248" s="166">
        <v>547</v>
      </c>
      <c r="AX248" s="166">
        <v>0</v>
      </c>
      <c r="AY248" s="166">
        <v>-53000</v>
      </c>
      <c r="AZ248" s="166">
        <v>0</v>
      </c>
      <c r="BA248" s="166">
        <v>0</v>
      </c>
      <c r="BB248" s="166">
        <v>-447000</v>
      </c>
      <c r="BC248" s="166">
        <v>-1100000</v>
      </c>
      <c r="BD248" s="166">
        <v>-30000</v>
      </c>
      <c r="BE248" s="166">
        <v>-204031</v>
      </c>
      <c r="BF248" s="166"/>
      <c r="BG248" s="760">
        <v>0</v>
      </c>
      <c r="BH248" s="760">
        <v>0</v>
      </c>
      <c r="BI248" s="815">
        <v>-3630948</v>
      </c>
      <c r="BJ248" s="1044" t="s">
        <v>2454</v>
      </c>
      <c r="BK248" s="1044" t="s">
        <v>2455</v>
      </c>
      <c r="BL248" s="1044" t="s">
        <v>2703</v>
      </c>
      <c r="BM248" s="650"/>
      <c r="BN248" s="746" t="s">
        <v>379</v>
      </c>
      <c r="BO248" s="142" t="b">
        <v>1</v>
      </c>
      <c r="BP248" s="544"/>
      <c r="BQ248" s="544"/>
      <c r="BR248" s="544"/>
      <c r="BS248" s="544"/>
      <c r="BT248" s="544"/>
      <c r="BU248" s="544"/>
      <c r="BV248" s="544"/>
      <c r="BW248" s="544"/>
      <c r="BX248" s="544"/>
      <c r="BY248" s="544"/>
      <c r="BZ248" s="544"/>
      <c r="CA248" s="544"/>
      <c r="CB248" s="544"/>
      <c r="CC248" s="544"/>
      <c r="CD248" s="544"/>
      <c r="CE248" s="544"/>
      <c r="CF248" s="544"/>
      <c r="CG248" s="544"/>
      <c r="CH248" s="544"/>
      <c r="CI248" s="544"/>
      <c r="CJ248" s="544"/>
      <c r="CK248" s="544"/>
      <c r="CL248" s="544"/>
      <c r="CM248" s="544"/>
      <c r="CN248" s="544"/>
      <c r="CO248" s="544"/>
      <c r="CP248" s="544"/>
      <c r="CQ248" s="544"/>
      <c r="CR248" s="544"/>
      <c r="CS248" s="544"/>
    </row>
    <row r="249" spans="1:98" s="142" customFormat="1" ht="12.75" hidden="1" x14ac:dyDescent="0.2">
      <c r="A249" s="735">
        <v>242</v>
      </c>
      <c r="B249" s="732" t="s">
        <v>380</v>
      </c>
      <c r="C249" s="738" t="s">
        <v>381</v>
      </c>
      <c r="D249" s="905">
        <v>187126.682920169</v>
      </c>
      <c r="E249" s="905">
        <v>171173241</v>
      </c>
      <c r="F249" s="905">
        <v>3979</v>
      </c>
      <c r="G249" s="166">
        <v>85580850</v>
      </c>
      <c r="H249" s="166">
        <v>-4665996</v>
      </c>
      <c r="I249" s="166">
        <v>1713872</v>
      </c>
      <c r="J249" s="166">
        <v>-2952124</v>
      </c>
      <c r="K249" s="166">
        <v>-8339579</v>
      </c>
      <c r="L249" s="166">
        <v>-34038</v>
      </c>
      <c r="M249" s="166">
        <v>0</v>
      </c>
      <c r="N249" s="166">
        <v>0</v>
      </c>
      <c r="O249" s="166">
        <v>-25000</v>
      </c>
      <c r="P249" s="166">
        <v>-402990</v>
      </c>
      <c r="Q249" s="166">
        <v>0</v>
      </c>
      <c r="R249" s="166">
        <v>-48771</v>
      </c>
      <c r="S249" s="166">
        <v>0</v>
      </c>
      <c r="T249" s="166"/>
      <c r="U249" s="166">
        <v>0</v>
      </c>
      <c r="V249" s="166">
        <v>0</v>
      </c>
      <c r="W249" s="166">
        <v>0</v>
      </c>
      <c r="X249" s="166">
        <v>0</v>
      </c>
      <c r="Y249" s="166">
        <v>0</v>
      </c>
      <c r="Z249" s="166">
        <v>60983693</v>
      </c>
      <c r="AA249" s="166">
        <v>-1108919</v>
      </c>
      <c r="AB249" s="166"/>
      <c r="AC249" s="166">
        <v>-5268071</v>
      </c>
      <c r="AD249" s="166">
        <v>212</v>
      </c>
      <c r="AE249" s="166">
        <v>3</v>
      </c>
      <c r="AF249" s="166">
        <v>0</v>
      </c>
      <c r="AG249" s="166"/>
      <c r="AH249" s="166">
        <v>0</v>
      </c>
      <c r="AI249" s="166">
        <v>0</v>
      </c>
      <c r="AJ249" s="166">
        <v>240</v>
      </c>
      <c r="AK249" s="166">
        <v>0</v>
      </c>
      <c r="AL249" s="166">
        <v>16</v>
      </c>
      <c r="AM249" s="166">
        <v>0</v>
      </c>
      <c r="AN249" s="166">
        <v>0</v>
      </c>
      <c r="AO249" s="166">
        <v>0</v>
      </c>
      <c r="AP249" s="166">
        <v>0</v>
      </c>
      <c r="AQ249" s="166">
        <v>0</v>
      </c>
      <c r="AR249" s="166">
        <v>648</v>
      </c>
      <c r="AS249" s="166">
        <v>943</v>
      </c>
      <c r="AT249" s="166">
        <v>1477</v>
      </c>
      <c r="AU249" s="166">
        <v>1323</v>
      </c>
      <c r="AV249" s="166">
        <v>154</v>
      </c>
      <c r="AW249" s="166">
        <v>1564</v>
      </c>
      <c r="AX249" s="166">
        <v>-61630</v>
      </c>
      <c r="AY249" s="166">
        <v>-9710</v>
      </c>
      <c r="AZ249" s="166">
        <v>0</v>
      </c>
      <c r="BA249" s="166">
        <v>-47890</v>
      </c>
      <c r="BB249" s="166">
        <v>-121176</v>
      </c>
      <c r="BC249" s="166">
        <v>-162584</v>
      </c>
      <c r="BD249" s="166">
        <v>-100000</v>
      </c>
      <c r="BE249" s="166">
        <v>-3812548</v>
      </c>
      <c r="BF249" s="166"/>
      <c r="BG249" s="760">
        <v>13066000</v>
      </c>
      <c r="BH249" s="760">
        <v>0</v>
      </c>
      <c r="BI249" s="815">
        <v>-1859236</v>
      </c>
      <c r="BJ249" s="1044" t="s">
        <v>2464</v>
      </c>
      <c r="BK249" s="1044" t="s">
        <v>2465</v>
      </c>
      <c r="BL249" s="1044" t="s">
        <v>2704</v>
      </c>
      <c r="BM249" s="650"/>
      <c r="BN249" s="746" t="s">
        <v>381</v>
      </c>
      <c r="BO249" s="142" t="b">
        <v>1</v>
      </c>
      <c r="BP249" s="544"/>
      <c r="BQ249" s="544"/>
      <c r="BR249" s="544"/>
      <c r="BS249" s="544"/>
      <c r="BT249" s="544"/>
      <c r="BU249" s="544"/>
      <c r="BV249" s="544"/>
      <c r="BW249" s="544"/>
      <c r="BX249" s="544"/>
      <c r="BY249" s="544"/>
      <c r="BZ249" s="544"/>
      <c r="CA249" s="544"/>
      <c r="CB249" s="544"/>
      <c r="CC249" s="544"/>
      <c r="CD249" s="544"/>
      <c r="CE249" s="544"/>
      <c r="CF249" s="544"/>
      <c r="CG249" s="544"/>
      <c r="CH249" s="544"/>
      <c r="CI249" s="544"/>
      <c r="CJ249" s="544"/>
      <c r="CK249" s="544"/>
      <c r="CL249" s="544"/>
      <c r="CM249" s="544"/>
      <c r="CN249" s="544"/>
      <c r="CO249" s="544"/>
      <c r="CP249" s="544"/>
      <c r="CQ249" s="544"/>
      <c r="CR249" s="544"/>
      <c r="CS249" s="544"/>
    </row>
    <row r="250" spans="1:98" s="142" customFormat="1" ht="12.75" x14ac:dyDescent="0.2">
      <c r="A250" s="735">
        <v>243</v>
      </c>
      <c r="B250" s="732" t="s">
        <v>382</v>
      </c>
      <c r="C250" s="738" t="s">
        <v>383</v>
      </c>
      <c r="D250" s="905">
        <v>192703.00815762501</v>
      </c>
      <c r="E250" s="905">
        <v>162905134</v>
      </c>
      <c r="F250" s="905">
        <v>4809</v>
      </c>
      <c r="G250" s="166">
        <v>82048568</v>
      </c>
      <c r="H250" s="166">
        <v>-5524154</v>
      </c>
      <c r="I250" s="166">
        <v>1601693</v>
      </c>
      <c r="J250" s="166">
        <v>-3922461</v>
      </c>
      <c r="K250" s="166">
        <v>-3928939</v>
      </c>
      <c r="L250" s="166">
        <v>-96424</v>
      </c>
      <c r="M250" s="166">
        <v>-31165</v>
      </c>
      <c r="N250" s="166">
        <v>-17354</v>
      </c>
      <c r="O250" s="166">
        <v>-50000</v>
      </c>
      <c r="P250" s="166">
        <v>-1291715</v>
      </c>
      <c r="Q250" s="166">
        <v>-223682</v>
      </c>
      <c r="R250" s="166">
        <v>-148875</v>
      </c>
      <c r="S250" s="166">
        <v>-24106</v>
      </c>
      <c r="T250" s="166"/>
      <c r="U250" s="166">
        <v>-16108</v>
      </c>
      <c r="V250" s="166">
        <v>0</v>
      </c>
      <c r="W250" s="166">
        <v>0</v>
      </c>
      <c r="X250" s="166">
        <v>0</v>
      </c>
      <c r="Y250" s="166">
        <v>-15392</v>
      </c>
      <c r="Z250" s="166">
        <v>58437315</v>
      </c>
      <c r="AA250" s="166">
        <v>-1928431</v>
      </c>
      <c r="AB250" s="166"/>
      <c r="AC250" s="166">
        <v>-4622454</v>
      </c>
      <c r="AD250" s="166">
        <v>227</v>
      </c>
      <c r="AE250" s="166">
        <v>20</v>
      </c>
      <c r="AF250" s="166">
        <v>10</v>
      </c>
      <c r="AG250" s="166"/>
      <c r="AH250" s="166">
        <v>8</v>
      </c>
      <c r="AI250" s="166">
        <v>0</v>
      </c>
      <c r="AJ250" s="166">
        <v>327</v>
      </c>
      <c r="AK250" s="166">
        <v>139</v>
      </c>
      <c r="AL250" s="166">
        <v>27</v>
      </c>
      <c r="AM250" s="166">
        <v>0</v>
      </c>
      <c r="AN250" s="166">
        <v>3</v>
      </c>
      <c r="AO250" s="166">
        <v>20</v>
      </c>
      <c r="AP250" s="166">
        <v>0</v>
      </c>
      <c r="AQ250" s="166">
        <v>0</v>
      </c>
      <c r="AR250" s="166">
        <v>502</v>
      </c>
      <c r="AS250" s="166">
        <v>1149</v>
      </c>
      <c r="AT250" s="166">
        <v>2120</v>
      </c>
      <c r="AU250" s="166">
        <v>1917</v>
      </c>
      <c r="AV250" s="166">
        <v>203</v>
      </c>
      <c r="AW250" s="166">
        <v>1563</v>
      </c>
      <c r="AX250" s="166">
        <v>-50814</v>
      </c>
      <c r="AY250" s="166">
        <v>-313169</v>
      </c>
      <c r="AZ250" s="166">
        <v>0</v>
      </c>
      <c r="BA250" s="166">
        <v>0</v>
      </c>
      <c r="BB250" s="166">
        <v>-920737</v>
      </c>
      <c r="BC250" s="166">
        <v>-6995</v>
      </c>
      <c r="BD250" s="166">
        <v>-930502</v>
      </c>
      <c r="BE250" s="166">
        <v>924268</v>
      </c>
      <c r="BF250" s="166"/>
      <c r="BG250" s="760">
        <v>16425000</v>
      </c>
      <c r="BH250" s="760">
        <v>0</v>
      </c>
      <c r="BI250" s="815">
        <v>727350</v>
      </c>
      <c r="BJ250" s="1044" t="s">
        <v>2454</v>
      </c>
      <c r="BK250" s="1044" t="s">
        <v>2455</v>
      </c>
      <c r="BL250" s="1044" t="s">
        <v>2705</v>
      </c>
      <c r="BM250" s="650"/>
      <c r="BN250" s="746" t="s">
        <v>383</v>
      </c>
      <c r="BO250" s="142" t="b">
        <v>1</v>
      </c>
      <c r="BP250" s="544"/>
      <c r="BQ250" s="544"/>
      <c r="BR250" s="544"/>
      <c r="BS250" s="544"/>
      <c r="BT250" s="544"/>
      <c r="BU250" s="544"/>
      <c r="BV250" s="544"/>
      <c r="BW250" s="544"/>
      <c r="BX250" s="544"/>
      <c r="BY250" s="544"/>
      <c r="BZ250" s="544"/>
      <c r="CA250" s="544"/>
      <c r="CB250" s="544"/>
      <c r="CC250" s="544"/>
      <c r="CD250" s="544"/>
      <c r="CE250" s="544"/>
      <c r="CF250" s="544"/>
      <c r="CG250" s="544"/>
      <c r="CH250" s="544"/>
      <c r="CI250" s="544"/>
      <c r="CJ250" s="544"/>
      <c r="CK250" s="544"/>
      <c r="CL250" s="544"/>
      <c r="CM250" s="544"/>
      <c r="CN250" s="544"/>
      <c r="CO250" s="544"/>
      <c r="CP250" s="544"/>
      <c r="CQ250" s="544"/>
      <c r="CR250" s="544"/>
      <c r="CS250" s="544"/>
    </row>
    <row r="251" spans="1:98" s="741" customFormat="1" ht="12.75" hidden="1" x14ac:dyDescent="0.2">
      <c r="A251" s="735">
        <v>244</v>
      </c>
      <c r="B251" s="732" t="s">
        <v>663</v>
      </c>
      <c r="C251" s="738" t="s">
        <v>385</v>
      </c>
      <c r="D251" s="905">
        <v>263152.31386441999</v>
      </c>
      <c r="E251" s="905">
        <v>286410366</v>
      </c>
      <c r="F251" s="905">
        <v>5865</v>
      </c>
      <c r="G251" s="166">
        <v>144662763</v>
      </c>
      <c r="H251" s="166">
        <v>-5145236</v>
      </c>
      <c r="I251" s="166">
        <v>3112301</v>
      </c>
      <c r="J251" s="166">
        <v>-2032935</v>
      </c>
      <c r="K251" s="166">
        <v>-8052589</v>
      </c>
      <c r="L251" s="166">
        <v>-96113</v>
      </c>
      <c r="M251" s="166">
        <v>-4353</v>
      </c>
      <c r="N251" s="166">
        <v>-13174</v>
      </c>
      <c r="O251" s="166">
        <v>-425748</v>
      </c>
      <c r="P251" s="166">
        <v>-2899092</v>
      </c>
      <c r="Q251" s="166">
        <v>-304571</v>
      </c>
      <c r="R251" s="166">
        <v>-51103</v>
      </c>
      <c r="S251" s="166">
        <v>-24028</v>
      </c>
      <c r="T251" s="166"/>
      <c r="U251" s="166">
        <v>0</v>
      </c>
      <c r="V251" s="166">
        <v>0</v>
      </c>
      <c r="W251" s="166">
        <v>0</v>
      </c>
      <c r="X251" s="166">
        <v>0</v>
      </c>
      <c r="Y251" s="166">
        <v>-2176</v>
      </c>
      <c r="Z251" s="166">
        <v>106754803</v>
      </c>
      <c r="AA251" s="166">
        <v>-3416154</v>
      </c>
      <c r="AB251" s="166"/>
      <c r="AC251" s="166">
        <v>-8979246</v>
      </c>
      <c r="AD251" s="166">
        <v>322</v>
      </c>
      <c r="AE251" s="166">
        <v>5</v>
      </c>
      <c r="AF251" s="166">
        <v>3</v>
      </c>
      <c r="AG251" s="166"/>
      <c r="AH251" s="166">
        <v>7</v>
      </c>
      <c r="AI251" s="166">
        <v>0</v>
      </c>
      <c r="AJ251" s="166">
        <v>700</v>
      </c>
      <c r="AK251" s="166">
        <v>154</v>
      </c>
      <c r="AL251" s="166">
        <v>18</v>
      </c>
      <c r="AM251" s="166">
        <v>0</v>
      </c>
      <c r="AN251" s="166">
        <v>0</v>
      </c>
      <c r="AO251" s="166">
        <v>5</v>
      </c>
      <c r="AP251" s="166">
        <v>0</v>
      </c>
      <c r="AQ251" s="166">
        <v>0</v>
      </c>
      <c r="AR251" s="166">
        <v>819</v>
      </c>
      <c r="AS251" s="166">
        <v>1855</v>
      </c>
      <c r="AT251" s="166">
        <v>1982</v>
      </c>
      <c r="AU251" s="166">
        <v>1786</v>
      </c>
      <c r="AV251" s="166">
        <v>196</v>
      </c>
      <c r="AW251" s="166">
        <v>2136</v>
      </c>
      <c r="AX251" s="166">
        <v>-407794</v>
      </c>
      <c r="AY251" s="166">
        <v>-761397</v>
      </c>
      <c r="AZ251" s="166">
        <v>0</v>
      </c>
      <c r="BA251" s="166">
        <v>-217802</v>
      </c>
      <c r="BB251" s="166">
        <v>-1512099</v>
      </c>
      <c r="BC251" s="166">
        <v>0</v>
      </c>
      <c r="BD251" s="166">
        <v>-733246</v>
      </c>
      <c r="BE251" s="166">
        <v>5347042</v>
      </c>
      <c r="BF251" s="166"/>
      <c r="BG251" s="760">
        <v>25084850</v>
      </c>
      <c r="BH251" s="760">
        <v>0</v>
      </c>
      <c r="BI251" s="815">
        <v>11300539</v>
      </c>
      <c r="BJ251" s="1044" t="s">
        <v>515</v>
      </c>
      <c r="BK251" s="1044" t="s">
        <v>2474</v>
      </c>
      <c r="BL251" s="1044" t="s">
        <v>2706</v>
      </c>
      <c r="BM251" s="650"/>
      <c r="BN251" s="746" t="s">
        <v>385</v>
      </c>
      <c r="BO251" s="142" t="b">
        <v>1</v>
      </c>
      <c r="BP251" s="544"/>
      <c r="BQ251" s="544"/>
      <c r="BR251" s="544"/>
      <c r="BS251" s="544"/>
      <c r="BT251" s="544"/>
      <c r="BU251" s="544"/>
      <c r="BV251" s="544"/>
      <c r="BW251" s="544"/>
      <c r="BX251" s="544"/>
      <c r="BY251" s="544"/>
      <c r="BZ251" s="544"/>
      <c r="CA251" s="544"/>
      <c r="CB251" s="544"/>
      <c r="CC251" s="544"/>
      <c r="CD251" s="544"/>
      <c r="CE251" s="544"/>
      <c r="CF251" s="544"/>
      <c r="CG251" s="544"/>
      <c r="CH251" s="544"/>
      <c r="CI251" s="544"/>
      <c r="CJ251" s="544"/>
      <c r="CK251" s="544"/>
      <c r="CL251" s="544"/>
      <c r="CM251" s="544"/>
      <c r="CN251" s="544"/>
      <c r="CO251" s="544"/>
      <c r="CP251" s="544"/>
      <c r="CQ251" s="544"/>
      <c r="CR251" s="544"/>
      <c r="CS251" s="544"/>
      <c r="CT251" s="142"/>
    </row>
    <row r="252" spans="1:98" s="142" customFormat="1" ht="12.75" hidden="1" x14ac:dyDescent="0.2">
      <c r="A252" s="735">
        <v>245</v>
      </c>
      <c r="B252" s="732" t="s">
        <v>386</v>
      </c>
      <c r="C252" s="738" t="s">
        <v>387</v>
      </c>
      <c r="D252" s="905">
        <v>287251.01551670401</v>
      </c>
      <c r="E252" s="905">
        <v>159443160</v>
      </c>
      <c r="F252" s="905">
        <v>7829</v>
      </c>
      <c r="G252" s="166">
        <v>79820253</v>
      </c>
      <c r="H252" s="166">
        <v>-9576416</v>
      </c>
      <c r="I252" s="166">
        <v>1331134</v>
      </c>
      <c r="J252" s="166">
        <v>-8245282</v>
      </c>
      <c r="K252" s="166">
        <v>-5530536</v>
      </c>
      <c r="L252" s="166">
        <v>-10070</v>
      </c>
      <c r="M252" s="166">
        <v>0</v>
      </c>
      <c r="N252" s="166">
        <v>-1727</v>
      </c>
      <c r="O252" s="166">
        <v>0</v>
      </c>
      <c r="P252" s="166">
        <v>-820495</v>
      </c>
      <c r="Q252" s="166">
        <v>-21867</v>
      </c>
      <c r="R252" s="166">
        <v>-26489</v>
      </c>
      <c r="S252" s="166">
        <v>-1259</v>
      </c>
      <c r="T252" s="166"/>
      <c r="U252" s="166">
        <v>0</v>
      </c>
      <c r="V252" s="166">
        <v>0</v>
      </c>
      <c r="W252" s="166">
        <v>0</v>
      </c>
      <c r="X252" s="166">
        <v>0</v>
      </c>
      <c r="Y252" s="166">
        <v>0</v>
      </c>
      <c r="Z252" s="166">
        <v>55322603</v>
      </c>
      <c r="AA252" s="166">
        <v>-2793709</v>
      </c>
      <c r="AB252" s="166"/>
      <c r="AC252" s="166">
        <v>-4066586</v>
      </c>
      <c r="AD252" s="166">
        <v>265</v>
      </c>
      <c r="AE252" s="166">
        <v>17</v>
      </c>
      <c r="AF252" s="166">
        <v>0</v>
      </c>
      <c r="AG252" s="166"/>
      <c r="AH252" s="166">
        <v>2</v>
      </c>
      <c r="AI252" s="166">
        <v>0</v>
      </c>
      <c r="AJ252" s="166">
        <v>781</v>
      </c>
      <c r="AK252" s="166">
        <v>30</v>
      </c>
      <c r="AL252" s="166">
        <v>6</v>
      </c>
      <c r="AM252" s="166">
        <v>0</v>
      </c>
      <c r="AN252" s="166">
        <v>0</v>
      </c>
      <c r="AO252" s="166">
        <v>6</v>
      </c>
      <c r="AP252" s="166">
        <v>0</v>
      </c>
      <c r="AQ252" s="166">
        <v>0</v>
      </c>
      <c r="AR252" s="166">
        <v>663</v>
      </c>
      <c r="AS252" s="166">
        <v>1524</v>
      </c>
      <c r="AT252" s="166">
        <v>4070</v>
      </c>
      <c r="AU252" s="166">
        <v>3921</v>
      </c>
      <c r="AV252" s="166">
        <v>149</v>
      </c>
      <c r="AW252" s="166">
        <v>2341</v>
      </c>
      <c r="AX252" s="166">
        <v>-36827</v>
      </c>
      <c r="AY252" s="166">
        <v>-109499</v>
      </c>
      <c r="AZ252" s="166">
        <v>0</v>
      </c>
      <c r="BA252" s="166">
        <v>-34706</v>
      </c>
      <c r="BB252" s="166">
        <v>-622694</v>
      </c>
      <c r="BC252" s="166">
        <v>-16769</v>
      </c>
      <c r="BD252" s="166">
        <v>-818412</v>
      </c>
      <c r="BE252" s="166">
        <v>6630490</v>
      </c>
      <c r="BF252" s="166"/>
      <c r="BG252" s="760">
        <v>20699065</v>
      </c>
      <c r="BH252" s="760">
        <v>0</v>
      </c>
      <c r="BI252" s="815">
        <v>8265479</v>
      </c>
      <c r="BJ252" s="1044" t="s">
        <v>2468</v>
      </c>
      <c r="BK252" s="1044" t="s">
        <v>2481</v>
      </c>
      <c r="BL252" s="1044" t="s">
        <v>2707</v>
      </c>
      <c r="BM252" s="650"/>
      <c r="BN252" s="746" t="s">
        <v>387</v>
      </c>
      <c r="BO252" s="142" t="b">
        <v>1</v>
      </c>
      <c r="BP252" s="544"/>
      <c r="BQ252" s="544"/>
      <c r="BR252" s="544"/>
      <c r="BS252" s="544"/>
      <c r="BT252" s="544"/>
      <c r="BU252" s="544"/>
      <c r="BV252" s="544"/>
      <c r="BW252" s="544"/>
      <c r="BX252" s="544"/>
      <c r="BY252" s="544"/>
      <c r="BZ252" s="544"/>
      <c r="CA252" s="544"/>
      <c r="CB252" s="544"/>
      <c r="CC252" s="544"/>
      <c r="CD252" s="544"/>
      <c r="CE252" s="544"/>
      <c r="CF252" s="544"/>
      <c r="CG252" s="544"/>
      <c r="CH252" s="544"/>
      <c r="CI252" s="544"/>
      <c r="CJ252" s="544"/>
      <c r="CK252" s="544"/>
      <c r="CL252" s="544"/>
      <c r="CM252" s="544"/>
      <c r="CN252" s="544"/>
      <c r="CO252" s="544"/>
      <c r="CP252" s="544"/>
      <c r="CQ252" s="544"/>
      <c r="CR252" s="544"/>
      <c r="CS252" s="544"/>
    </row>
    <row r="253" spans="1:98" s="142" customFormat="1" ht="12.75" x14ac:dyDescent="0.2">
      <c r="A253" s="735">
        <v>246</v>
      </c>
      <c r="B253" s="732" t="s">
        <v>388</v>
      </c>
      <c r="C253" s="738" t="s">
        <v>389</v>
      </c>
      <c r="D253" s="905">
        <v>87429.290148775399</v>
      </c>
      <c r="E253" s="905">
        <v>85333337</v>
      </c>
      <c r="F253" s="905">
        <v>2098</v>
      </c>
      <c r="G253" s="166">
        <v>42972810</v>
      </c>
      <c r="H253" s="166">
        <v>-2182127</v>
      </c>
      <c r="I253" s="166">
        <v>855186</v>
      </c>
      <c r="J253" s="166">
        <v>-1326941</v>
      </c>
      <c r="K253" s="166">
        <v>-1548752</v>
      </c>
      <c r="L253" s="166">
        <v>-59935</v>
      </c>
      <c r="M253" s="166">
        <v>0</v>
      </c>
      <c r="N253" s="166">
        <v>-1</v>
      </c>
      <c r="O253" s="166">
        <v>-42500</v>
      </c>
      <c r="P253" s="166">
        <v>-796567</v>
      </c>
      <c r="Q253" s="166">
        <v>-16217</v>
      </c>
      <c r="R253" s="166">
        <v>0</v>
      </c>
      <c r="S253" s="166">
        <v>-813</v>
      </c>
      <c r="T253" s="166"/>
      <c r="U253" s="166">
        <v>0</v>
      </c>
      <c r="V253" s="166">
        <v>0</v>
      </c>
      <c r="W253" s="166">
        <v>0</v>
      </c>
      <c r="X253" s="166">
        <v>0</v>
      </c>
      <c r="Y253" s="166">
        <v>0</v>
      </c>
      <c r="Z253" s="166">
        <v>34523908</v>
      </c>
      <c r="AA253" s="166">
        <v>-2140291</v>
      </c>
      <c r="AB253" s="166"/>
      <c r="AC253" s="166">
        <v>-2201498</v>
      </c>
      <c r="AD253" s="166">
        <v>79</v>
      </c>
      <c r="AE253" s="166">
        <v>4</v>
      </c>
      <c r="AF253" s="166">
        <v>0</v>
      </c>
      <c r="AG253" s="166"/>
      <c r="AH253" s="166">
        <v>1</v>
      </c>
      <c r="AI253" s="166">
        <v>0</v>
      </c>
      <c r="AJ253" s="166">
        <v>99</v>
      </c>
      <c r="AK253" s="166">
        <v>13</v>
      </c>
      <c r="AL253" s="166">
        <v>0</v>
      </c>
      <c r="AM253" s="166">
        <v>0</v>
      </c>
      <c r="AN253" s="166">
        <v>0</v>
      </c>
      <c r="AO253" s="166">
        <v>1</v>
      </c>
      <c r="AP253" s="166">
        <v>0</v>
      </c>
      <c r="AQ253" s="166">
        <v>0</v>
      </c>
      <c r="AR253" s="166">
        <v>219</v>
      </c>
      <c r="AS253" s="166">
        <v>532</v>
      </c>
      <c r="AT253" s="166">
        <v>812</v>
      </c>
      <c r="AU253" s="166">
        <v>760</v>
      </c>
      <c r="AV253" s="166">
        <v>52</v>
      </c>
      <c r="AW253" s="166">
        <v>774</v>
      </c>
      <c r="AX253" s="166">
        <v>-203242</v>
      </c>
      <c r="AY253" s="166">
        <v>-166569</v>
      </c>
      <c r="AZ253" s="166">
        <v>0</v>
      </c>
      <c r="BA253" s="166">
        <v>-2713</v>
      </c>
      <c r="BB253" s="166">
        <v>-164526</v>
      </c>
      <c r="BC253" s="166">
        <v>-259517</v>
      </c>
      <c r="BD253" s="166">
        <v>-392875</v>
      </c>
      <c r="BE253" s="166">
        <v>-650749</v>
      </c>
      <c r="BF253" s="166"/>
      <c r="BG253" s="760">
        <v>9934250</v>
      </c>
      <c r="BH253" s="760">
        <v>0</v>
      </c>
      <c r="BI253" s="815">
        <v>-2107232</v>
      </c>
      <c r="BJ253" s="1044" t="s">
        <v>2454</v>
      </c>
      <c r="BK253" s="1044" t="s">
        <v>2478</v>
      </c>
      <c r="BL253" s="1044" t="s">
        <v>2708</v>
      </c>
      <c r="BM253" s="650"/>
      <c r="BN253" s="746" t="s">
        <v>389</v>
      </c>
      <c r="BO253" s="142" t="b">
        <v>1</v>
      </c>
      <c r="BP253" s="544"/>
      <c r="BQ253" s="544"/>
      <c r="BR253" s="544"/>
      <c r="BS253" s="544"/>
      <c r="BT253" s="544"/>
      <c r="BU253" s="544"/>
      <c r="BV253" s="544"/>
      <c r="BW253" s="544"/>
      <c r="BX253" s="544"/>
      <c r="BY253" s="544"/>
      <c r="BZ253" s="544"/>
      <c r="CA253" s="544"/>
      <c r="CB253" s="544"/>
      <c r="CC253" s="544"/>
      <c r="CD253" s="544"/>
      <c r="CE253" s="544"/>
      <c r="CF253" s="544"/>
      <c r="CG253" s="544"/>
      <c r="CH253" s="544"/>
      <c r="CI253" s="544"/>
      <c r="CJ253" s="544"/>
      <c r="CK253" s="544"/>
      <c r="CL253" s="544"/>
      <c r="CM253" s="544"/>
      <c r="CN253" s="544"/>
      <c r="CO253" s="544"/>
      <c r="CP253" s="544"/>
      <c r="CQ253" s="544"/>
      <c r="CR253" s="544"/>
      <c r="CS253" s="544"/>
    </row>
    <row r="254" spans="1:98" s="142" customFormat="1" ht="12.75" x14ac:dyDescent="0.2">
      <c r="A254" s="735">
        <v>247</v>
      </c>
      <c r="B254" s="732" t="s">
        <v>390</v>
      </c>
      <c r="C254" s="738" t="s">
        <v>391</v>
      </c>
      <c r="D254" s="905">
        <v>117562.647788043</v>
      </c>
      <c r="E254" s="905">
        <v>64941194</v>
      </c>
      <c r="F254" s="905">
        <v>2908</v>
      </c>
      <c r="G254" s="166">
        <v>32517667</v>
      </c>
      <c r="H254" s="166">
        <v>-3219577</v>
      </c>
      <c r="I254" s="166">
        <v>494060</v>
      </c>
      <c r="J254" s="166">
        <v>-2725517</v>
      </c>
      <c r="K254" s="166">
        <v>-3544180</v>
      </c>
      <c r="L254" s="166">
        <v>-40833</v>
      </c>
      <c r="M254" s="166">
        <v>-36814</v>
      </c>
      <c r="N254" s="166">
        <v>-15287</v>
      </c>
      <c r="O254" s="166">
        <v>0</v>
      </c>
      <c r="P254" s="166">
        <v>-755158</v>
      </c>
      <c r="Q254" s="166">
        <v>-48154</v>
      </c>
      <c r="R254" s="166">
        <v>-12049</v>
      </c>
      <c r="S254" s="166">
        <v>0</v>
      </c>
      <c r="T254" s="166"/>
      <c r="U254" s="166">
        <v>0</v>
      </c>
      <c r="V254" s="166">
        <v>0</v>
      </c>
      <c r="W254" s="166">
        <v>0</v>
      </c>
      <c r="X254" s="166">
        <v>0</v>
      </c>
      <c r="Y254" s="166">
        <v>-18407</v>
      </c>
      <c r="Z254" s="166">
        <v>18666136</v>
      </c>
      <c r="AA254" s="166">
        <v>-1074242</v>
      </c>
      <c r="AB254" s="166"/>
      <c r="AC254" s="166">
        <v>-4434389</v>
      </c>
      <c r="AD254" s="166">
        <v>161</v>
      </c>
      <c r="AE254" s="166">
        <v>12</v>
      </c>
      <c r="AF254" s="166">
        <v>12</v>
      </c>
      <c r="AG254" s="166"/>
      <c r="AH254" s="166">
        <v>10</v>
      </c>
      <c r="AI254" s="166">
        <v>0</v>
      </c>
      <c r="AJ254" s="166">
        <v>155</v>
      </c>
      <c r="AK254" s="166">
        <v>40</v>
      </c>
      <c r="AL254" s="166">
        <v>7</v>
      </c>
      <c r="AM254" s="166">
        <v>0</v>
      </c>
      <c r="AN254" s="166">
        <v>0</v>
      </c>
      <c r="AO254" s="166">
        <v>0</v>
      </c>
      <c r="AP254" s="166">
        <v>0</v>
      </c>
      <c r="AQ254" s="166">
        <v>0</v>
      </c>
      <c r="AR254" s="166">
        <v>487</v>
      </c>
      <c r="AS254" s="166">
        <v>583</v>
      </c>
      <c r="AT254" s="166">
        <v>1151</v>
      </c>
      <c r="AU254" s="166">
        <v>1026</v>
      </c>
      <c r="AV254" s="166">
        <v>125</v>
      </c>
      <c r="AW254" s="166">
        <v>660</v>
      </c>
      <c r="AX254" s="166">
        <v>-224102</v>
      </c>
      <c r="AY254" s="166">
        <v>-121676</v>
      </c>
      <c r="AZ254" s="166">
        <v>0</v>
      </c>
      <c r="BA254" s="166">
        <v>-8773</v>
      </c>
      <c r="BB254" s="166">
        <v>-400607</v>
      </c>
      <c r="BC254" s="166">
        <v>0</v>
      </c>
      <c r="BD254" s="166">
        <v>0</v>
      </c>
      <c r="BE254" s="166">
        <v>3910560</v>
      </c>
      <c r="BF254" s="166"/>
      <c r="BG254" s="760">
        <v>11198350</v>
      </c>
      <c r="BH254" s="760">
        <v>0</v>
      </c>
      <c r="BI254" s="815">
        <v>-380053</v>
      </c>
      <c r="BJ254" s="1044" t="s">
        <v>2454</v>
      </c>
      <c r="BK254" s="1044" t="s">
        <v>2455</v>
      </c>
      <c r="BL254" s="1044" t="s">
        <v>2709</v>
      </c>
      <c r="BM254" s="650"/>
      <c r="BN254" s="746" t="s">
        <v>391</v>
      </c>
      <c r="BO254" s="142" t="b">
        <v>1</v>
      </c>
      <c r="BP254" s="544"/>
      <c r="BQ254" s="544"/>
      <c r="BR254" s="544"/>
      <c r="BS254" s="544"/>
      <c r="BT254" s="544"/>
      <c r="BU254" s="544"/>
      <c r="BV254" s="544"/>
      <c r="BW254" s="544"/>
      <c r="BX254" s="544"/>
      <c r="BY254" s="544"/>
      <c r="BZ254" s="544"/>
      <c r="CA254" s="544"/>
      <c r="CB254" s="544"/>
      <c r="CC254" s="544"/>
      <c r="CD254" s="544"/>
      <c r="CE254" s="544"/>
      <c r="CF254" s="544"/>
      <c r="CG254" s="544"/>
      <c r="CH254" s="544"/>
      <c r="CI254" s="544"/>
      <c r="CJ254" s="544"/>
      <c r="CK254" s="544"/>
      <c r="CL254" s="544"/>
      <c r="CM254" s="544"/>
      <c r="CN254" s="544"/>
      <c r="CO254" s="544"/>
      <c r="CP254" s="544"/>
      <c r="CQ254" s="544"/>
      <c r="CR254" s="544"/>
      <c r="CS254" s="544"/>
    </row>
    <row r="255" spans="1:98" s="142" customFormat="1" ht="12.75" x14ac:dyDescent="0.2">
      <c r="A255" s="735">
        <v>248</v>
      </c>
      <c r="B255" s="732" t="s">
        <v>392</v>
      </c>
      <c r="C255" s="738" t="s">
        <v>393</v>
      </c>
      <c r="D255" s="905">
        <v>198958.72331848001</v>
      </c>
      <c r="E255" s="905">
        <v>95727925</v>
      </c>
      <c r="F255" s="905">
        <v>5664</v>
      </c>
      <c r="G255" s="166">
        <v>48022286</v>
      </c>
      <c r="H255" s="166">
        <v>-6854717</v>
      </c>
      <c r="I255" s="166">
        <v>676105</v>
      </c>
      <c r="J255" s="166">
        <v>-6178612</v>
      </c>
      <c r="K255" s="166">
        <v>-3011077</v>
      </c>
      <c r="L255" s="166">
        <v>-72816</v>
      </c>
      <c r="M255" s="166">
        <v>-62316</v>
      </c>
      <c r="N255" s="166">
        <v>-51173</v>
      </c>
      <c r="O255" s="166">
        <v>0</v>
      </c>
      <c r="P255" s="166">
        <v>-669757</v>
      </c>
      <c r="Q255" s="166">
        <v>-86125</v>
      </c>
      <c r="R255" s="166">
        <v>-12971</v>
      </c>
      <c r="S255" s="166">
        <v>-6288</v>
      </c>
      <c r="T255" s="166"/>
      <c r="U255" s="166">
        <v>-2811</v>
      </c>
      <c r="V255" s="166">
        <v>0</v>
      </c>
      <c r="W255" s="166">
        <v>0</v>
      </c>
      <c r="X255" s="166">
        <v>0</v>
      </c>
      <c r="Y255" s="166">
        <v>-31158</v>
      </c>
      <c r="Z255" s="166">
        <v>29586097</v>
      </c>
      <c r="AA255" s="166">
        <v>-501000</v>
      </c>
      <c r="AB255" s="166"/>
      <c r="AC255" s="166">
        <v>-4826973</v>
      </c>
      <c r="AD255" s="166">
        <v>317</v>
      </c>
      <c r="AE255" s="166">
        <v>20</v>
      </c>
      <c r="AF255" s="166">
        <v>24</v>
      </c>
      <c r="AG255" s="166"/>
      <c r="AH255" s="166">
        <v>31</v>
      </c>
      <c r="AI255" s="166">
        <v>0</v>
      </c>
      <c r="AJ255" s="166">
        <v>257</v>
      </c>
      <c r="AK255" s="166">
        <v>131</v>
      </c>
      <c r="AL255" s="166">
        <v>12</v>
      </c>
      <c r="AM255" s="166">
        <v>0</v>
      </c>
      <c r="AN255" s="166">
        <v>1</v>
      </c>
      <c r="AO255" s="166">
        <v>16</v>
      </c>
      <c r="AP255" s="166">
        <v>0</v>
      </c>
      <c r="AQ255" s="166">
        <v>0</v>
      </c>
      <c r="AR255" s="166">
        <v>618</v>
      </c>
      <c r="AS255" s="166">
        <v>1045</v>
      </c>
      <c r="AT255" s="166">
        <v>2893</v>
      </c>
      <c r="AU255" s="166">
        <v>2743</v>
      </c>
      <c r="AV255" s="166">
        <v>150</v>
      </c>
      <c r="AW255" s="166">
        <v>1720</v>
      </c>
      <c r="AX255" s="166">
        <v>-33539</v>
      </c>
      <c r="AY255" s="166">
        <v>-284107</v>
      </c>
      <c r="AZ255" s="166">
        <v>0</v>
      </c>
      <c r="BA255" s="166">
        <v>-6303</v>
      </c>
      <c r="BB255" s="166">
        <v>-336746</v>
      </c>
      <c r="BC255" s="166">
        <v>-9062</v>
      </c>
      <c r="BD255" s="166">
        <v>0</v>
      </c>
      <c r="BE255" s="166">
        <v>-1972307</v>
      </c>
      <c r="BF255" s="166"/>
      <c r="BG255" s="760">
        <v>16763875</v>
      </c>
      <c r="BH255" s="760">
        <v>67750</v>
      </c>
      <c r="BI255" s="815">
        <v>-2387762</v>
      </c>
      <c r="BJ255" s="1044" t="s">
        <v>2454</v>
      </c>
      <c r="BK255" s="1044" t="s">
        <v>2474</v>
      </c>
      <c r="BL255" s="1044" t="s">
        <v>2710</v>
      </c>
      <c r="BM255" s="650"/>
      <c r="BN255" s="746" t="s">
        <v>393</v>
      </c>
      <c r="BO255" s="142" t="b">
        <v>1</v>
      </c>
      <c r="BP255" s="544"/>
      <c r="BQ255" s="544"/>
      <c r="BR255" s="544"/>
      <c r="BS255" s="544"/>
      <c r="BT255" s="544"/>
      <c r="BU255" s="544"/>
      <c r="BV255" s="544"/>
      <c r="BW255" s="544"/>
      <c r="BX255" s="544"/>
      <c r="BY255" s="544"/>
      <c r="BZ255" s="544"/>
      <c r="CA255" s="544"/>
      <c r="CB255" s="544"/>
      <c r="CC255" s="544"/>
      <c r="CD255" s="544"/>
      <c r="CE255" s="544"/>
      <c r="CF255" s="544"/>
      <c r="CG255" s="544"/>
      <c r="CH255" s="544"/>
      <c r="CI255" s="544"/>
      <c r="CJ255" s="544"/>
      <c r="CK255" s="544"/>
      <c r="CL255" s="544"/>
      <c r="CM255" s="544"/>
      <c r="CN255" s="544"/>
      <c r="CO255" s="544"/>
      <c r="CP255" s="544"/>
      <c r="CQ255" s="544"/>
      <c r="CR255" s="544"/>
      <c r="CS255" s="544"/>
    </row>
    <row r="256" spans="1:98" s="142" customFormat="1" ht="12.75" hidden="1" x14ac:dyDescent="0.2">
      <c r="A256" s="735">
        <v>249</v>
      </c>
      <c r="B256" s="732" t="s">
        <v>1000</v>
      </c>
      <c r="C256" s="738" t="s">
        <v>395</v>
      </c>
      <c r="D256" s="905">
        <v>216843.57630079199</v>
      </c>
      <c r="E256" s="905">
        <v>193107270</v>
      </c>
      <c r="F256" s="905">
        <v>5371</v>
      </c>
      <c r="G256" s="166">
        <v>96566241</v>
      </c>
      <c r="H256" s="166">
        <v>-5275197</v>
      </c>
      <c r="I256" s="166">
        <v>1884827</v>
      </c>
      <c r="J256" s="166">
        <v>-3390370</v>
      </c>
      <c r="K256" s="166">
        <v>-5921208</v>
      </c>
      <c r="L256" s="166">
        <v>-44462</v>
      </c>
      <c r="M256" s="166">
        <v>-3636</v>
      </c>
      <c r="N256" s="166">
        <v>-11790</v>
      </c>
      <c r="O256" s="166">
        <v>-92319</v>
      </c>
      <c r="P256" s="166">
        <v>-2429280</v>
      </c>
      <c r="Q256" s="166">
        <v>-326311</v>
      </c>
      <c r="R256" s="166">
        <v>-208193</v>
      </c>
      <c r="S256" s="166">
        <v>-10534</v>
      </c>
      <c r="T256" s="166"/>
      <c r="U256" s="166">
        <v>0</v>
      </c>
      <c r="V256" s="166">
        <v>-110000</v>
      </c>
      <c r="W256" s="166">
        <v>0</v>
      </c>
      <c r="X256" s="166">
        <v>0</v>
      </c>
      <c r="Y256" s="166">
        <v>-1818</v>
      </c>
      <c r="Z256" s="166">
        <v>73352035</v>
      </c>
      <c r="AA256" s="166">
        <v>-2347270</v>
      </c>
      <c r="AB256" s="166"/>
      <c r="AC256" s="166">
        <v>-4628598</v>
      </c>
      <c r="AD256" s="166">
        <v>239</v>
      </c>
      <c r="AE256" s="166">
        <v>10</v>
      </c>
      <c r="AF256" s="166">
        <v>2</v>
      </c>
      <c r="AG256" s="166"/>
      <c r="AH256" s="166">
        <v>11</v>
      </c>
      <c r="AI256" s="166">
        <v>0</v>
      </c>
      <c r="AJ256" s="166">
        <v>423</v>
      </c>
      <c r="AK256" s="166">
        <v>153</v>
      </c>
      <c r="AL256" s="166">
        <v>11</v>
      </c>
      <c r="AM256" s="166">
        <v>2</v>
      </c>
      <c r="AN256" s="166">
        <v>0</v>
      </c>
      <c r="AO256" s="166">
        <v>9</v>
      </c>
      <c r="AP256" s="166">
        <v>0</v>
      </c>
      <c r="AQ256" s="166">
        <v>0</v>
      </c>
      <c r="AR256" s="166">
        <v>393</v>
      </c>
      <c r="AS256" s="166">
        <v>1330</v>
      </c>
      <c r="AT256" s="166">
        <v>2150</v>
      </c>
      <c r="AU256" s="166">
        <v>1993</v>
      </c>
      <c r="AV256" s="166">
        <v>157</v>
      </c>
      <c r="AW256" s="166">
        <v>1902</v>
      </c>
      <c r="AX256" s="166">
        <v>-725044</v>
      </c>
      <c r="AY256" s="166">
        <v>-94020</v>
      </c>
      <c r="AZ256" s="166">
        <v>0</v>
      </c>
      <c r="BA256" s="166">
        <v>-23825</v>
      </c>
      <c r="BB256" s="166">
        <v>-1112736</v>
      </c>
      <c r="BC256" s="166">
        <v>-473655</v>
      </c>
      <c r="BD256" s="166">
        <v>-713210</v>
      </c>
      <c r="BE256" s="166">
        <v>-3644289</v>
      </c>
      <c r="BF256" s="166"/>
      <c r="BG256" s="760">
        <v>22310750</v>
      </c>
      <c r="BH256" s="760">
        <v>0</v>
      </c>
      <c r="BI256" s="815">
        <v>-7541319</v>
      </c>
      <c r="BJ256" s="1044" t="s">
        <v>515</v>
      </c>
      <c r="BK256" s="1044" t="s">
        <v>2478</v>
      </c>
      <c r="BL256" s="1044" t="s">
        <v>2711</v>
      </c>
      <c r="BM256" s="650"/>
      <c r="BN256" s="746" t="s">
        <v>395</v>
      </c>
      <c r="BO256" s="142" t="b">
        <v>1</v>
      </c>
      <c r="BP256" s="544"/>
      <c r="BQ256" s="544"/>
      <c r="BR256" s="544"/>
      <c r="BS256" s="544"/>
      <c r="BT256" s="544"/>
      <c r="BU256" s="544"/>
      <c r="BV256" s="544"/>
      <c r="BW256" s="544"/>
      <c r="BX256" s="544"/>
      <c r="BY256" s="544"/>
      <c r="BZ256" s="544"/>
      <c r="CA256" s="544"/>
      <c r="CB256" s="544"/>
      <c r="CC256" s="544"/>
      <c r="CD256" s="544"/>
      <c r="CE256" s="544"/>
      <c r="CF256" s="544"/>
      <c r="CG256" s="544"/>
      <c r="CH256" s="544"/>
      <c r="CI256" s="544"/>
      <c r="CJ256" s="544"/>
      <c r="CK256" s="544"/>
      <c r="CL256" s="544"/>
      <c r="CM256" s="544"/>
      <c r="CN256" s="544"/>
      <c r="CO256" s="544"/>
      <c r="CP256" s="544"/>
      <c r="CQ256" s="544"/>
      <c r="CR256" s="544"/>
      <c r="CS256" s="544"/>
    </row>
    <row r="257" spans="1:97" s="142" customFormat="1" ht="12.75" x14ac:dyDescent="0.2">
      <c r="A257" s="735">
        <v>250</v>
      </c>
      <c r="B257" s="732" t="s">
        <v>396</v>
      </c>
      <c r="C257" s="738" t="s">
        <v>397</v>
      </c>
      <c r="D257" s="905">
        <v>289681.43164202</v>
      </c>
      <c r="E257" s="905">
        <v>90431431</v>
      </c>
      <c r="F257" s="905">
        <v>8567</v>
      </c>
      <c r="G257" s="166">
        <v>45453227</v>
      </c>
      <c r="H257" s="166">
        <v>-6957660</v>
      </c>
      <c r="I257" s="166">
        <v>700618</v>
      </c>
      <c r="J257" s="166">
        <v>-6257042</v>
      </c>
      <c r="K257" s="166">
        <v>-2618088</v>
      </c>
      <c r="L257" s="166">
        <v>-183910</v>
      </c>
      <c r="M257" s="166">
        <v>-71098</v>
      </c>
      <c r="N257" s="166">
        <v>-75527</v>
      </c>
      <c r="O257" s="166">
        <v>0</v>
      </c>
      <c r="P257" s="166">
        <v>-768847</v>
      </c>
      <c r="Q257" s="166">
        <v>-26460</v>
      </c>
      <c r="R257" s="166">
        <v>0</v>
      </c>
      <c r="S257" s="166">
        <v>0</v>
      </c>
      <c r="T257" s="166"/>
      <c r="U257" s="166">
        <v>0</v>
      </c>
      <c r="V257" s="166">
        <v>0</v>
      </c>
      <c r="W257" s="166">
        <v>0</v>
      </c>
      <c r="X257" s="166">
        <v>0</v>
      </c>
      <c r="Y257" s="166">
        <v>-35549</v>
      </c>
      <c r="Z257" s="166">
        <v>27380095</v>
      </c>
      <c r="AA257" s="166">
        <v>-1280000</v>
      </c>
      <c r="AB257" s="166"/>
      <c r="AC257" s="166">
        <v>-3742611</v>
      </c>
      <c r="AD257" s="166">
        <v>245</v>
      </c>
      <c r="AE257" s="166">
        <v>35</v>
      </c>
      <c r="AF257" s="166">
        <v>23</v>
      </c>
      <c r="AG257" s="166"/>
      <c r="AH257" s="166">
        <v>30</v>
      </c>
      <c r="AI257" s="166">
        <v>0</v>
      </c>
      <c r="AJ257" s="166">
        <v>455</v>
      </c>
      <c r="AK257" s="166">
        <v>17</v>
      </c>
      <c r="AL257" s="166">
        <v>0</v>
      </c>
      <c r="AM257" s="166">
        <v>0</v>
      </c>
      <c r="AN257" s="166">
        <v>0</v>
      </c>
      <c r="AO257" s="166">
        <v>0</v>
      </c>
      <c r="AP257" s="166">
        <v>0</v>
      </c>
      <c r="AQ257" s="166">
        <v>0</v>
      </c>
      <c r="AR257" s="166">
        <v>592</v>
      </c>
      <c r="AS257" s="166">
        <v>1001</v>
      </c>
      <c r="AT257" s="166">
        <v>5839</v>
      </c>
      <c r="AU257" s="166">
        <v>5715</v>
      </c>
      <c r="AV257" s="166">
        <v>124</v>
      </c>
      <c r="AW257" s="166">
        <v>1744</v>
      </c>
      <c r="AX257" s="166">
        <v>-26034</v>
      </c>
      <c r="AY257" s="166">
        <v>-80579</v>
      </c>
      <c r="AZ257" s="166">
        <v>0</v>
      </c>
      <c r="BA257" s="166">
        <v>-24524</v>
      </c>
      <c r="BB257" s="166">
        <v>-637710</v>
      </c>
      <c r="BC257" s="166">
        <v>0</v>
      </c>
      <c r="BD257" s="166">
        <v>-262337</v>
      </c>
      <c r="BE257" s="166">
        <v>766683</v>
      </c>
      <c r="BF257" s="166"/>
      <c r="BG257" s="760">
        <v>2520175</v>
      </c>
      <c r="BH257" s="760">
        <v>0</v>
      </c>
      <c r="BI257" s="815">
        <v>2758548</v>
      </c>
      <c r="BJ257" s="1044" t="s">
        <v>2454</v>
      </c>
      <c r="BK257" s="1044" t="s">
        <v>2462</v>
      </c>
      <c r="BL257" s="1044" t="s">
        <v>2712</v>
      </c>
      <c r="BM257" s="650"/>
      <c r="BN257" s="746" t="s">
        <v>397</v>
      </c>
      <c r="BO257" s="142" t="b">
        <v>1</v>
      </c>
      <c r="BP257" s="544"/>
      <c r="BQ257" s="544"/>
      <c r="BR257" s="544"/>
      <c r="BS257" s="544"/>
      <c r="BT257" s="544"/>
      <c r="BU257" s="544"/>
      <c r="BV257" s="544"/>
      <c r="BW257" s="544"/>
      <c r="BX257" s="544"/>
      <c r="BY257" s="544"/>
      <c r="BZ257" s="544"/>
      <c r="CA257" s="544"/>
      <c r="CB257" s="544"/>
      <c r="CC257" s="544"/>
      <c r="CD257" s="544"/>
      <c r="CE257" s="544"/>
      <c r="CF257" s="544"/>
      <c r="CG257" s="544"/>
      <c r="CH257" s="544"/>
      <c r="CI257" s="544"/>
      <c r="CJ257" s="544"/>
      <c r="CK257" s="544"/>
      <c r="CL257" s="544"/>
      <c r="CM257" s="544"/>
      <c r="CN257" s="544"/>
      <c r="CO257" s="544"/>
      <c r="CP257" s="544"/>
      <c r="CQ257" s="544"/>
      <c r="CR257" s="544"/>
      <c r="CS257" s="544"/>
    </row>
    <row r="258" spans="1:97" s="142" customFormat="1" ht="12.75" x14ac:dyDescent="0.2">
      <c r="A258" s="735">
        <v>251</v>
      </c>
      <c r="B258" s="732" t="s">
        <v>398</v>
      </c>
      <c r="C258" s="738" t="s">
        <v>399</v>
      </c>
      <c r="D258" s="905">
        <v>197439.30528256801</v>
      </c>
      <c r="E258" s="905">
        <v>170429903</v>
      </c>
      <c r="F258" s="905">
        <v>4714</v>
      </c>
      <c r="G258" s="166">
        <v>83453982</v>
      </c>
      <c r="H258" s="166">
        <v>-4288966</v>
      </c>
      <c r="I258" s="166">
        <v>1600286</v>
      </c>
      <c r="J258" s="166">
        <v>-2688680</v>
      </c>
      <c r="K258" s="166">
        <v>-3548668</v>
      </c>
      <c r="L258" s="166">
        <v>-47222</v>
      </c>
      <c r="M258" s="166">
        <v>-22728</v>
      </c>
      <c r="N258" s="166">
        <v>0</v>
      </c>
      <c r="O258" s="166">
        <v>-91129</v>
      </c>
      <c r="P258" s="166">
        <v>-1796726</v>
      </c>
      <c r="Q258" s="166">
        <v>-208111</v>
      </c>
      <c r="R258" s="166">
        <v>-88463</v>
      </c>
      <c r="S258" s="166">
        <v>-11806</v>
      </c>
      <c r="T258" s="166"/>
      <c r="U258" s="166">
        <v>-32106</v>
      </c>
      <c r="V258" s="166">
        <v>0</v>
      </c>
      <c r="W258" s="166">
        <v>0</v>
      </c>
      <c r="X258" s="166">
        <v>0</v>
      </c>
      <c r="Y258" s="166">
        <v>-11364</v>
      </c>
      <c r="Z258" s="166">
        <v>60179262</v>
      </c>
      <c r="AA258" s="166">
        <v>-1985916</v>
      </c>
      <c r="AB258" s="166"/>
      <c r="AC258" s="166">
        <v>-7447315</v>
      </c>
      <c r="AD258" s="166">
        <v>254</v>
      </c>
      <c r="AE258" s="166">
        <v>6</v>
      </c>
      <c r="AF258" s="166">
        <v>11</v>
      </c>
      <c r="AG258" s="166"/>
      <c r="AH258" s="166">
        <v>0</v>
      </c>
      <c r="AI258" s="166">
        <v>0</v>
      </c>
      <c r="AJ258" s="166">
        <v>223</v>
      </c>
      <c r="AK258" s="166">
        <v>155</v>
      </c>
      <c r="AL258" s="166">
        <v>11</v>
      </c>
      <c r="AM258" s="166">
        <v>0</v>
      </c>
      <c r="AN258" s="166">
        <v>10</v>
      </c>
      <c r="AO258" s="166">
        <v>6</v>
      </c>
      <c r="AP258" s="166">
        <v>0</v>
      </c>
      <c r="AQ258" s="166">
        <v>0</v>
      </c>
      <c r="AR258" s="166">
        <v>525</v>
      </c>
      <c r="AS258" s="166">
        <v>1037</v>
      </c>
      <c r="AT258" s="166">
        <v>1793</v>
      </c>
      <c r="AU258" s="166">
        <v>1684</v>
      </c>
      <c r="AV258" s="166">
        <v>109</v>
      </c>
      <c r="AW258" s="166">
        <v>1810</v>
      </c>
      <c r="AX258" s="166">
        <v>-556985</v>
      </c>
      <c r="AY258" s="166">
        <v>-546283</v>
      </c>
      <c r="AZ258" s="166">
        <v>0</v>
      </c>
      <c r="BA258" s="166">
        <v>-73666</v>
      </c>
      <c r="BB258" s="166">
        <v>0</v>
      </c>
      <c r="BC258" s="166">
        <v>-619792</v>
      </c>
      <c r="BD258" s="166">
        <v>-17000</v>
      </c>
      <c r="BE258" s="166">
        <v>4710171</v>
      </c>
      <c r="BF258" s="166"/>
      <c r="BG258" s="760">
        <v>21920450</v>
      </c>
      <c r="BH258" s="760">
        <v>0</v>
      </c>
      <c r="BI258" s="815">
        <v>2542957</v>
      </c>
      <c r="BJ258" s="1044" t="s">
        <v>2454</v>
      </c>
      <c r="BK258" s="1044" t="s">
        <v>2455</v>
      </c>
      <c r="BL258" s="1044" t="s">
        <v>2713</v>
      </c>
      <c r="BM258" s="650"/>
      <c r="BN258" s="746" t="s">
        <v>399</v>
      </c>
      <c r="BO258" s="142" t="b">
        <v>1</v>
      </c>
      <c r="BP258" s="544"/>
      <c r="BQ258" s="544"/>
      <c r="BR258" s="544"/>
      <c r="BS258" s="544"/>
      <c r="BT258" s="544"/>
      <c r="BU258" s="544"/>
      <c r="BV258" s="544"/>
      <c r="BW258" s="544"/>
      <c r="BX258" s="544"/>
      <c r="BY258" s="544"/>
      <c r="BZ258" s="544"/>
      <c r="CA258" s="544"/>
      <c r="CB258" s="544"/>
      <c r="CC258" s="544"/>
      <c r="CD258" s="544"/>
      <c r="CE258" s="544"/>
      <c r="CF258" s="544"/>
      <c r="CG258" s="544"/>
      <c r="CH258" s="544"/>
      <c r="CI258" s="544"/>
      <c r="CJ258" s="544"/>
      <c r="CK258" s="544"/>
      <c r="CL258" s="544"/>
      <c r="CM258" s="544"/>
      <c r="CN258" s="544"/>
      <c r="CO258" s="544"/>
      <c r="CP258" s="544"/>
      <c r="CQ258" s="544"/>
      <c r="CR258" s="544"/>
      <c r="CS258" s="544"/>
    </row>
    <row r="259" spans="1:97" s="142" customFormat="1" ht="12.75" x14ac:dyDescent="0.2">
      <c r="A259" s="735">
        <v>252</v>
      </c>
      <c r="B259" s="732" t="s">
        <v>400</v>
      </c>
      <c r="C259" s="738" t="s">
        <v>401</v>
      </c>
      <c r="D259" s="905">
        <v>124798.787571967</v>
      </c>
      <c r="E259" s="905">
        <v>103172129</v>
      </c>
      <c r="F259" s="905">
        <v>3084</v>
      </c>
      <c r="G259" s="166">
        <v>51225449</v>
      </c>
      <c r="H259" s="166">
        <v>-2828901</v>
      </c>
      <c r="I259" s="166">
        <v>1039966</v>
      </c>
      <c r="J259" s="166">
        <v>-1788935</v>
      </c>
      <c r="K259" s="166">
        <v>-1574649</v>
      </c>
      <c r="L259" s="166">
        <v>-33751</v>
      </c>
      <c r="M259" s="166">
        <v>-8870</v>
      </c>
      <c r="N259" s="166">
        <v>-6605</v>
      </c>
      <c r="O259" s="166">
        <v>0</v>
      </c>
      <c r="P259" s="166">
        <v>-521565</v>
      </c>
      <c r="Q259" s="166">
        <v>-86325</v>
      </c>
      <c r="R259" s="166">
        <v>-3168</v>
      </c>
      <c r="S259" s="166">
        <v>-574</v>
      </c>
      <c r="T259" s="166"/>
      <c r="U259" s="166">
        <v>0</v>
      </c>
      <c r="V259" s="166">
        <v>0</v>
      </c>
      <c r="W259" s="166">
        <v>0</v>
      </c>
      <c r="X259" s="166">
        <v>0</v>
      </c>
      <c r="Y259" s="166">
        <v>-4435</v>
      </c>
      <c r="Z259" s="166">
        <v>40358028</v>
      </c>
      <c r="AA259" s="166">
        <v>-2463528</v>
      </c>
      <c r="AB259" s="166"/>
      <c r="AC259" s="166">
        <v>-2520136</v>
      </c>
      <c r="AD259" s="166">
        <v>154</v>
      </c>
      <c r="AE259" s="166">
        <v>14</v>
      </c>
      <c r="AF259" s="166">
        <v>4</v>
      </c>
      <c r="AG259" s="166"/>
      <c r="AH259" s="166">
        <v>3</v>
      </c>
      <c r="AI259" s="166">
        <v>0</v>
      </c>
      <c r="AJ259" s="166">
        <v>248</v>
      </c>
      <c r="AK259" s="166">
        <v>78</v>
      </c>
      <c r="AL259" s="166">
        <v>4</v>
      </c>
      <c r="AM259" s="166">
        <v>4</v>
      </c>
      <c r="AN259" s="166">
        <v>0</v>
      </c>
      <c r="AO259" s="166">
        <v>2</v>
      </c>
      <c r="AP259" s="166">
        <v>0</v>
      </c>
      <c r="AQ259" s="166">
        <v>0</v>
      </c>
      <c r="AR259" s="166">
        <v>256</v>
      </c>
      <c r="AS259" s="166">
        <v>753</v>
      </c>
      <c r="AT259" s="166">
        <v>1254</v>
      </c>
      <c r="AU259" s="166">
        <v>1134</v>
      </c>
      <c r="AV259" s="166">
        <v>120</v>
      </c>
      <c r="AW259" s="166">
        <v>1068</v>
      </c>
      <c r="AX259" s="166">
        <v>-151254</v>
      </c>
      <c r="AY259" s="166">
        <v>-88666</v>
      </c>
      <c r="AZ259" s="166">
        <v>0</v>
      </c>
      <c r="BA259" s="166">
        <v>-5216</v>
      </c>
      <c r="BB259" s="166">
        <v>-114744</v>
      </c>
      <c r="BC259" s="166">
        <v>-161685</v>
      </c>
      <c r="BD259" s="166">
        <v>-615000</v>
      </c>
      <c r="BE259" s="166">
        <v>943687</v>
      </c>
      <c r="BF259" s="166"/>
      <c r="BG259" s="760">
        <v>11717925</v>
      </c>
      <c r="BH259" s="760">
        <v>0</v>
      </c>
      <c r="BI259" s="815">
        <v>623075</v>
      </c>
      <c r="BJ259" s="1044" t="s">
        <v>2454</v>
      </c>
      <c r="BK259" s="1044" t="s">
        <v>2474</v>
      </c>
      <c r="BL259" s="1044" t="s">
        <v>2714</v>
      </c>
      <c r="BM259" s="650"/>
      <c r="BN259" s="746" t="s">
        <v>401</v>
      </c>
      <c r="BO259" s="142" t="b">
        <v>1</v>
      </c>
      <c r="BP259" s="544"/>
      <c r="BQ259" s="544"/>
      <c r="BR259" s="544"/>
      <c r="BS259" s="544"/>
      <c r="BT259" s="544"/>
      <c r="BU259" s="544"/>
      <c r="BV259" s="544"/>
      <c r="BW259" s="544"/>
      <c r="BX259" s="544"/>
      <c r="BY259" s="544"/>
      <c r="BZ259" s="544"/>
      <c r="CA259" s="544"/>
      <c r="CB259" s="544"/>
      <c r="CC259" s="544"/>
      <c r="CD259" s="544"/>
      <c r="CE259" s="544"/>
      <c r="CF259" s="544"/>
      <c r="CG259" s="544"/>
      <c r="CH259" s="544"/>
      <c r="CI259" s="544"/>
      <c r="CJ259" s="544"/>
      <c r="CK259" s="544"/>
      <c r="CL259" s="544"/>
      <c r="CM259" s="544"/>
      <c r="CN259" s="544"/>
      <c r="CO259" s="544"/>
      <c r="CP259" s="544"/>
      <c r="CQ259" s="544"/>
      <c r="CR259" s="544"/>
      <c r="CS259" s="544"/>
    </row>
    <row r="260" spans="1:97" s="142" customFormat="1" ht="12.75" x14ac:dyDescent="0.2">
      <c r="A260" s="735">
        <v>253</v>
      </c>
      <c r="B260" s="732" t="s">
        <v>402</v>
      </c>
      <c r="C260" s="738" t="s">
        <v>403</v>
      </c>
      <c r="D260" s="905">
        <v>202733.851638183</v>
      </c>
      <c r="E260" s="905">
        <v>107896098</v>
      </c>
      <c r="F260" s="905">
        <v>5633</v>
      </c>
      <c r="G260" s="166">
        <v>54845896</v>
      </c>
      <c r="H260" s="166">
        <v>-6680687</v>
      </c>
      <c r="I260" s="166">
        <v>914906</v>
      </c>
      <c r="J260" s="166">
        <v>-5765781</v>
      </c>
      <c r="K260" s="166">
        <v>-4380140</v>
      </c>
      <c r="L260" s="166">
        <v>-54350</v>
      </c>
      <c r="M260" s="166">
        <v>-9208</v>
      </c>
      <c r="N260" s="166">
        <v>-26092</v>
      </c>
      <c r="O260" s="166">
        <v>0</v>
      </c>
      <c r="P260" s="166">
        <v>-1285732</v>
      </c>
      <c r="Q260" s="166">
        <v>-224340</v>
      </c>
      <c r="R260" s="166">
        <v>-84667</v>
      </c>
      <c r="S260" s="166">
        <v>-3181</v>
      </c>
      <c r="T260" s="166"/>
      <c r="U260" s="166">
        <v>0</v>
      </c>
      <c r="V260" s="166">
        <v>0</v>
      </c>
      <c r="W260" s="166">
        <v>0</v>
      </c>
      <c r="X260" s="166">
        <v>0</v>
      </c>
      <c r="Y260" s="166">
        <v>-4604</v>
      </c>
      <c r="Z260" s="166">
        <v>34485651</v>
      </c>
      <c r="AA260" s="166">
        <v>-1600000</v>
      </c>
      <c r="AB260" s="166"/>
      <c r="AC260" s="166">
        <v>-3562500</v>
      </c>
      <c r="AD260" s="166">
        <v>236</v>
      </c>
      <c r="AE260" s="166">
        <v>14</v>
      </c>
      <c r="AF260" s="166">
        <v>2</v>
      </c>
      <c r="AG260" s="166"/>
      <c r="AH260" s="166">
        <v>14</v>
      </c>
      <c r="AI260" s="166">
        <v>0</v>
      </c>
      <c r="AJ260" s="166">
        <v>295</v>
      </c>
      <c r="AK260" s="166">
        <v>96</v>
      </c>
      <c r="AL260" s="166">
        <v>0</v>
      </c>
      <c r="AM260" s="166">
        <v>2</v>
      </c>
      <c r="AN260" s="166">
        <v>0</v>
      </c>
      <c r="AO260" s="166">
        <v>2</v>
      </c>
      <c r="AP260" s="166">
        <v>0</v>
      </c>
      <c r="AQ260" s="166">
        <v>0</v>
      </c>
      <c r="AR260" s="166">
        <v>632</v>
      </c>
      <c r="AS260" s="166">
        <v>1063</v>
      </c>
      <c r="AT260" s="166">
        <v>2902</v>
      </c>
      <c r="AU260" s="166">
        <v>2763</v>
      </c>
      <c r="AV260" s="166">
        <v>139</v>
      </c>
      <c r="AW260" s="166">
        <v>1663</v>
      </c>
      <c r="AX260" s="166">
        <v>-99660</v>
      </c>
      <c r="AY260" s="166">
        <v>-321693</v>
      </c>
      <c r="AZ260" s="166">
        <v>0</v>
      </c>
      <c r="BA260" s="166">
        <v>0</v>
      </c>
      <c r="BB260" s="166">
        <v>-813427</v>
      </c>
      <c r="BC260" s="166">
        <v>-50952</v>
      </c>
      <c r="BD260" s="166">
        <v>-691917</v>
      </c>
      <c r="BE260" s="166">
        <v>-331801</v>
      </c>
      <c r="BF260" s="166"/>
      <c r="BG260" s="760">
        <v>11569925</v>
      </c>
      <c r="BH260" s="760">
        <v>0</v>
      </c>
      <c r="BI260" s="815">
        <v>997544</v>
      </c>
      <c r="BJ260" s="1044" t="s">
        <v>2454</v>
      </c>
      <c r="BK260" s="1044" t="s">
        <v>2455</v>
      </c>
      <c r="BL260" s="1044" t="s">
        <v>2715</v>
      </c>
      <c r="BM260" s="650"/>
      <c r="BN260" s="746" t="s">
        <v>403</v>
      </c>
      <c r="BO260" s="142" t="b">
        <v>1</v>
      </c>
      <c r="BP260" s="544"/>
      <c r="BQ260" s="544"/>
      <c r="BR260" s="544"/>
      <c r="BS260" s="544"/>
      <c r="BT260" s="544"/>
      <c r="BU260" s="544"/>
      <c r="BV260" s="544"/>
      <c r="BW260" s="544"/>
      <c r="BX260" s="544"/>
      <c r="BY260" s="544"/>
      <c r="BZ260" s="544"/>
      <c r="CA260" s="544"/>
      <c r="CB260" s="544"/>
      <c r="CC260" s="544"/>
      <c r="CD260" s="544"/>
      <c r="CE260" s="544"/>
      <c r="CF260" s="544"/>
      <c r="CG260" s="544"/>
      <c r="CH260" s="544"/>
      <c r="CI260" s="544"/>
      <c r="CJ260" s="544"/>
      <c r="CK260" s="544"/>
      <c r="CL260" s="544"/>
      <c r="CM260" s="544"/>
      <c r="CN260" s="544"/>
      <c r="CO260" s="544"/>
      <c r="CP260" s="544"/>
      <c r="CQ260" s="544"/>
      <c r="CR260" s="544"/>
      <c r="CS260" s="544"/>
    </row>
    <row r="261" spans="1:97" s="142" customFormat="1" ht="12.75" x14ac:dyDescent="0.2">
      <c r="A261" s="735">
        <v>254</v>
      </c>
      <c r="B261" s="732" t="s">
        <v>404</v>
      </c>
      <c r="C261" s="738" t="s">
        <v>405</v>
      </c>
      <c r="D261" s="905">
        <v>104296.92679577001</v>
      </c>
      <c r="E261" s="905">
        <v>115802165</v>
      </c>
      <c r="F261" s="905">
        <v>2118</v>
      </c>
      <c r="G261" s="166">
        <v>58374649</v>
      </c>
      <c r="H261" s="166">
        <v>-1247406</v>
      </c>
      <c r="I261" s="166">
        <v>1216148</v>
      </c>
      <c r="J261" s="166">
        <v>-31258</v>
      </c>
      <c r="K261" s="166">
        <v>-3184555</v>
      </c>
      <c r="L261" s="166">
        <v>-42157</v>
      </c>
      <c r="M261" s="166">
        <v>0</v>
      </c>
      <c r="N261" s="166">
        <v>0</v>
      </c>
      <c r="O261" s="166">
        <v>0</v>
      </c>
      <c r="P261" s="166">
        <v>-349756</v>
      </c>
      <c r="Q261" s="166">
        <v>-2358</v>
      </c>
      <c r="R261" s="166">
        <v>-181760</v>
      </c>
      <c r="S261" s="166">
        <v>0</v>
      </c>
      <c r="T261" s="166"/>
      <c r="U261" s="166">
        <v>0</v>
      </c>
      <c r="V261" s="166">
        <v>0</v>
      </c>
      <c r="W261" s="166">
        <v>0</v>
      </c>
      <c r="X261" s="166">
        <v>0</v>
      </c>
      <c r="Y261" s="166">
        <v>0</v>
      </c>
      <c r="Z261" s="166">
        <v>33832246</v>
      </c>
      <c r="AA261" s="166">
        <v>-1214500</v>
      </c>
      <c r="AB261" s="166"/>
      <c r="AC261" s="166">
        <v>-3298048</v>
      </c>
      <c r="AD261" s="166">
        <v>126</v>
      </c>
      <c r="AE261" s="166">
        <v>7</v>
      </c>
      <c r="AF261" s="166">
        <v>0</v>
      </c>
      <c r="AG261" s="166"/>
      <c r="AH261" s="166">
        <v>0</v>
      </c>
      <c r="AI261" s="166">
        <v>1</v>
      </c>
      <c r="AJ261" s="166">
        <v>175</v>
      </c>
      <c r="AK261" s="166">
        <v>2</v>
      </c>
      <c r="AL261" s="166">
        <v>1</v>
      </c>
      <c r="AM261" s="166">
        <v>0</v>
      </c>
      <c r="AN261" s="166">
        <v>0</v>
      </c>
      <c r="AO261" s="166">
        <v>0</v>
      </c>
      <c r="AP261" s="166">
        <v>0</v>
      </c>
      <c r="AQ261" s="166">
        <v>0</v>
      </c>
      <c r="AR261" s="166">
        <v>418</v>
      </c>
      <c r="AS261" s="166">
        <v>502</v>
      </c>
      <c r="AT261" s="166">
        <v>642</v>
      </c>
      <c r="AU261" s="166">
        <v>563</v>
      </c>
      <c r="AV261" s="166">
        <v>79</v>
      </c>
      <c r="AW261" s="166">
        <v>1001</v>
      </c>
      <c r="AX261" s="166">
        <v>-17980</v>
      </c>
      <c r="AY261" s="166">
        <v>-18112</v>
      </c>
      <c r="AZ261" s="166">
        <v>0</v>
      </c>
      <c r="BA261" s="166">
        <v>0</v>
      </c>
      <c r="BB261" s="166">
        <v>-19195</v>
      </c>
      <c r="BC261" s="166">
        <v>-294469</v>
      </c>
      <c r="BD261" s="166">
        <v>-818159</v>
      </c>
      <c r="BE261" s="166">
        <v>628834</v>
      </c>
      <c r="BF261" s="166"/>
      <c r="BG261" s="760">
        <v>12082750</v>
      </c>
      <c r="BH261" s="760">
        <v>0</v>
      </c>
      <c r="BI261" s="815">
        <v>1981775</v>
      </c>
      <c r="BJ261" s="1044" t="s">
        <v>2454</v>
      </c>
      <c r="BK261" s="1044" t="s">
        <v>2462</v>
      </c>
      <c r="BL261" s="1044" t="s">
        <v>2716</v>
      </c>
      <c r="BM261" s="650"/>
      <c r="BN261" s="746" t="s">
        <v>405</v>
      </c>
      <c r="BO261" s="142" t="b">
        <v>1</v>
      </c>
      <c r="BP261" s="544"/>
      <c r="BQ261" s="544"/>
      <c r="BR261" s="544"/>
      <c r="BS261" s="544"/>
      <c r="BT261" s="544"/>
      <c r="BU261" s="544"/>
      <c r="BV261" s="544"/>
      <c r="BW261" s="544"/>
      <c r="BX261" s="544"/>
      <c r="BY261" s="544"/>
      <c r="BZ261" s="544"/>
      <c r="CA261" s="544"/>
      <c r="CB261" s="544"/>
      <c r="CC261" s="544"/>
      <c r="CD261" s="544"/>
      <c r="CE261" s="544"/>
      <c r="CF261" s="544"/>
      <c r="CG261" s="544"/>
      <c r="CH261" s="544"/>
      <c r="CI261" s="544"/>
      <c r="CJ261" s="544"/>
      <c r="CK261" s="544"/>
      <c r="CL261" s="544"/>
      <c r="CM261" s="544"/>
      <c r="CN261" s="544"/>
      <c r="CO261" s="544"/>
      <c r="CP261" s="544"/>
      <c r="CQ261" s="544"/>
      <c r="CR261" s="544"/>
      <c r="CS261" s="544"/>
    </row>
    <row r="262" spans="1:97" s="142" customFormat="1" ht="12.75" hidden="1" x14ac:dyDescent="0.2">
      <c r="A262" s="735">
        <v>255</v>
      </c>
      <c r="B262" s="732" t="s">
        <v>580</v>
      </c>
      <c r="C262" s="738" t="s">
        <v>407</v>
      </c>
      <c r="D262" s="905">
        <v>236516.16381953799</v>
      </c>
      <c r="E262" s="905">
        <v>324122106</v>
      </c>
      <c r="F262" s="905">
        <v>4381</v>
      </c>
      <c r="G262" s="166">
        <v>162338721</v>
      </c>
      <c r="H262" s="166">
        <v>-3731613</v>
      </c>
      <c r="I262" s="166">
        <v>3654529</v>
      </c>
      <c r="J262" s="166">
        <v>-77084</v>
      </c>
      <c r="K262" s="166">
        <v>-5269682</v>
      </c>
      <c r="L262" s="166">
        <v>-35706</v>
      </c>
      <c r="M262" s="166">
        <v>0</v>
      </c>
      <c r="N262" s="166">
        <v>0</v>
      </c>
      <c r="O262" s="166">
        <v>0</v>
      </c>
      <c r="P262" s="166">
        <v>-3058425</v>
      </c>
      <c r="Q262" s="166">
        <v>-54640</v>
      </c>
      <c r="R262" s="166">
        <v>-27079</v>
      </c>
      <c r="S262" s="166">
        <v>-798</v>
      </c>
      <c r="T262" s="166"/>
      <c r="U262" s="166">
        <v>0</v>
      </c>
      <c r="V262" s="166">
        <v>-2257646</v>
      </c>
      <c r="W262" s="166">
        <v>0</v>
      </c>
      <c r="X262" s="166">
        <v>0</v>
      </c>
      <c r="Y262" s="166">
        <v>0</v>
      </c>
      <c r="Z262" s="166">
        <v>131302098</v>
      </c>
      <c r="AA262" s="166">
        <v>-5367666</v>
      </c>
      <c r="AB262" s="166"/>
      <c r="AC262" s="166">
        <v>-6353580</v>
      </c>
      <c r="AD262" s="166">
        <v>181</v>
      </c>
      <c r="AE262" s="166">
        <v>8</v>
      </c>
      <c r="AF262" s="166">
        <v>0</v>
      </c>
      <c r="AG262" s="166"/>
      <c r="AH262" s="166">
        <v>0</v>
      </c>
      <c r="AI262" s="166">
        <v>0</v>
      </c>
      <c r="AJ262" s="166">
        <v>367</v>
      </c>
      <c r="AK262" s="166">
        <v>100</v>
      </c>
      <c r="AL262" s="166">
        <v>10</v>
      </c>
      <c r="AM262" s="166">
        <v>0</v>
      </c>
      <c r="AN262" s="166">
        <v>0</v>
      </c>
      <c r="AO262" s="166">
        <v>7</v>
      </c>
      <c r="AP262" s="166">
        <v>0</v>
      </c>
      <c r="AQ262" s="166">
        <v>0</v>
      </c>
      <c r="AR262" s="166">
        <v>565</v>
      </c>
      <c r="AS262" s="166">
        <v>1331</v>
      </c>
      <c r="AT262" s="166">
        <v>1451</v>
      </c>
      <c r="AU262" s="166">
        <v>1323</v>
      </c>
      <c r="AV262" s="166">
        <v>128</v>
      </c>
      <c r="AW262" s="166">
        <v>1598</v>
      </c>
      <c r="AX262" s="166">
        <v>0</v>
      </c>
      <c r="AY262" s="166">
        <v>-126588</v>
      </c>
      <c r="AZ262" s="166">
        <v>0</v>
      </c>
      <c r="BA262" s="166">
        <v>-1818</v>
      </c>
      <c r="BB262" s="166">
        <v>-2930019</v>
      </c>
      <c r="BC262" s="166">
        <v>0</v>
      </c>
      <c r="BD262" s="166">
        <v>-600000</v>
      </c>
      <c r="BE262" s="166">
        <v>9986966</v>
      </c>
      <c r="BF262" s="166"/>
      <c r="BG262" s="760">
        <v>18675650</v>
      </c>
      <c r="BH262" s="760">
        <v>0</v>
      </c>
      <c r="BI262" s="815">
        <v>23753524</v>
      </c>
      <c r="BJ262" s="1044" t="s">
        <v>515</v>
      </c>
      <c r="BK262" s="1044" t="s">
        <v>2462</v>
      </c>
      <c r="BL262" s="1044" t="s">
        <v>2717</v>
      </c>
      <c r="BM262" s="650"/>
      <c r="BN262" s="746" t="s">
        <v>407</v>
      </c>
      <c r="BO262" s="142" t="b">
        <v>1</v>
      </c>
      <c r="BP262" s="544"/>
      <c r="BQ262" s="544"/>
      <c r="BR262" s="544"/>
      <c r="BS262" s="544"/>
      <c r="BT262" s="544"/>
      <c r="BU262" s="544"/>
      <c r="BV262" s="544"/>
      <c r="BW262" s="544"/>
      <c r="BX262" s="544"/>
      <c r="BY262" s="544"/>
      <c r="BZ262" s="544"/>
      <c r="CA262" s="544"/>
      <c r="CB262" s="544"/>
      <c r="CC262" s="544"/>
      <c r="CD262" s="544"/>
      <c r="CE262" s="544"/>
      <c r="CF262" s="544"/>
      <c r="CG262" s="544"/>
      <c r="CH262" s="544"/>
      <c r="CI262" s="544"/>
      <c r="CJ262" s="544"/>
      <c r="CK262" s="544"/>
      <c r="CL262" s="544"/>
      <c r="CM262" s="544"/>
      <c r="CN262" s="544"/>
      <c r="CO262" s="544"/>
      <c r="CP262" s="544"/>
      <c r="CQ262" s="544"/>
      <c r="CR262" s="544"/>
      <c r="CS262" s="544"/>
    </row>
    <row r="263" spans="1:97" s="142" customFormat="1" ht="12.75" x14ac:dyDescent="0.2">
      <c r="A263" s="735">
        <v>256</v>
      </c>
      <c r="B263" s="732" t="s">
        <v>408</v>
      </c>
      <c r="C263" s="738" t="s">
        <v>409</v>
      </c>
      <c r="D263" s="905">
        <v>161510.47525775401</v>
      </c>
      <c r="E263" s="905">
        <v>170021964</v>
      </c>
      <c r="F263" s="905">
        <v>3728</v>
      </c>
      <c r="G263" s="166">
        <v>83723712</v>
      </c>
      <c r="H263" s="166">
        <v>-3289365</v>
      </c>
      <c r="I263" s="166">
        <v>1637227</v>
      </c>
      <c r="J263" s="166">
        <v>-1652138</v>
      </c>
      <c r="K263" s="166">
        <v>-5866652</v>
      </c>
      <c r="L263" s="166">
        <v>-72346</v>
      </c>
      <c r="M263" s="166">
        <v>-3482</v>
      </c>
      <c r="N263" s="166">
        <v>-13939</v>
      </c>
      <c r="O263" s="166">
        <v>-93286</v>
      </c>
      <c r="P263" s="166">
        <v>-2021088</v>
      </c>
      <c r="Q263" s="166">
        <v>-159321</v>
      </c>
      <c r="R263" s="166">
        <v>-58943</v>
      </c>
      <c r="S263" s="166">
        <v>-18051</v>
      </c>
      <c r="T263" s="166"/>
      <c r="U263" s="166">
        <v>-10822</v>
      </c>
      <c r="V263" s="166">
        <v>0</v>
      </c>
      <c r="W263" s="166">
        <v>0</v>
      </c>
      <c r="X263" s="166">
        <v>0</v>
      </c>
      <c r="Y263" s="166">
        <v>0</v>
      </c>
      <c r="Z263" s="166">
        <v>61562034</v>
      </c>
      <c r="AA263" s="166">
        <v>-3100000</v>
      </c>
      <c r="AB263" s="166"/>
      <c r="AC263" s="166">
        <v>-6156228</v>
      </c>
      <c r="AD263" s="166">
        <v>211</v>
      </c>
      <c r="AE263" s="166">
        <v>22</v>
      </c>
      <c r="AF263" s="166">
        <v>1</v>
      </c>
      <c r="AG263" s="166"/>
      <c r="AH263" s="166">
        <v>10</v>
      </c>
      <c r="AI263" s="166">
        <v>4</v>
      </c>
      <c r="AJ263" s="166">
        <v>481</v>
      </c>
      <c r="AK263" s="166">
        <v>45</v>
      </c>
      <c r="AL263" s="166">
        <v>5</v>
      </c>
      <c r="AM263" s="166">
        <v>1</v>
      </c>
      <c r="AN263" s="166">
        <v>2</v>
      </c>
      <c r="AO263" s="166">
        <v>20</v>
      </c>
      <c r="AP263" s="166">
        <v>0</v>
      </c>
      <c r="AQ263" s="166">
        <v>0</v>
      </c>
      <c r="AR263" s="166">
        <v>485</v>
      </c>
      <c r="AS263" s="166">
        <v>1178</v>
      </c>
      <c r="AT263" s="166">
        <v>1209</v>
      </c>
      <c r="AU263" s="166">
        <v>1110</v>
      </c>
      <c r="AV263" s="166">
        <v>99</v>
      </c>
      <c r="AW263" s="166">
        <v>1319</v>
      </c>
      <c r="AX263" s="166">
        <v>-172800</v>
      </c>
      <c r="AY263" s="166">
        <v>-324429</v>
      </c>
      <c r="AZ263" s="166">
        <v>0</v>
      </c>
      <c r="BA263" s="166">
        <v>0</v>
      </c>
      <c r="BB263" s="166">
        <v>-1523859</v>
      </c>
      <c r="BC263" s="166">
        <v>0</v>
      </c>
      <c r="BD263" s="166">
        <v>0</v>
      </c>
      <c r="BE263" s="166">
        <v>2998325</v>
      </c>
      <c r="BF263" s="166"/>
      <c r="BG263" s="760">
        <v>18636750</v>
      </c>
      <c r="BH263" s="760">
        <v>0</v>
      </c>
      <c r="BI263" s="815">
        <v>3308537</v>
      </c>
      <c r="BJ263" s="1044" t="s">
        <v>2454</v>
      </c>
      <c r="BK263" s="1044" t="s">
        <v>2455</v>
      </c>
      <c r="BL263" s="1044" t="s">
        <v>2718</v>
      </c>
      <c r="BM263" s="650"/>
      <c r="BN263" s="746" t="s">
        <v>409</v>
      </c>
      <c r="BO263" s="142" t="b">
        <v>1</v>
      </c>
      <c r="BP263" s="544"/>
      <c r="BQ263" s="544"/>
      <c r="BR263" s="544"/>
      <c r="BS263" s="544"/>
      <c r="BT263" s="544"/>
      <c r="BU263" s="544"/>
      <c r="BV263" s="544"/>
      <c r="BW263" s="544"/>
      <c r="BX263" s="544"/>
      <c r="BY263" s="544"/>
      <c r="BZ263" s="544"/>
      <c r="CA263" s="544"/>
      <c r="CB263" s="544"/>
      <c r="CC263" s="544"/>
      <c r="CD263" s="544"/>
      <c r="CE263" s="544"/>
      <c r="CF263" s="544"/>
      <c r="CG263" s="544"/>
      <c r="CH263" s="544"/>
      <c r="CI263" s="544"/>
      <c r="CJ263" s="544"/>
      <c r="CK263" s="544"/>
      <c r="CL263" s="544"/>
      <c r="CM263" s="544"/>
      <c r="CN263" s="544"/>
      <c r="CO263" s="544"/>
      <c r="CP263" s="544"/>
      <c r="CQ263" s="544"/>
      <c r="CR263" s="544"/>
      <c r="CS263" s="544"/>
    </row>
    <row r="264" spans="1:97" s="142" customFormat="1" ht="12.75" hidden="1" x14ac:dyDescent="0.2">
      <c r="A264" s="735">
        <v>257</v>
      </c>
      <c r="B264" s="732" t="s">
        <v>562</v>
      </c>
      <c r="C264" s="738" t="s">
        <v>411</v>
      </c>
      <c r="D264" s="905">
        <v>199473.79686767</v>
      </c>
      <c r="E264" s="905">
        <v>98815906</v>
      </c>
      <c r="F264" s="905">
        <v>5653</v>
      </c>
      <c r="G264" s="166">
        <v>49156637</v>
      </c>
      <c r="H264" s="166">
        <v>-6710370</v>
      </c>
      <c r="I264" s="166">
        <v>758404</v>
      </c>
      <c r="J264" s="166">
        <v>-5951966</v>
      </c>
      <c r="K264" s="166">
        <v>-4370942</v>
      </c>
      <c r="L264" s="166">
        <v>-111293</v>
      </c>
      <c r="M264" s="166">
        <v>0</v>
      </c>
      <c r="N264" s="166">
        <v>-24950</v>
      </c>
      <c r="O264" s="166">
        <v>0</v>
      </c>
      <c r="P264" s="166">
        <v>-767688</v>
      </c>
      <c r="Q264" s="166">
        <v>-35588</v>
      </c>
      <c r="R264" s="166">
        <v>-108498</v>
      </c>
      <c r="S264" s="166">
        <v>-517</v>
      </c>
      <c r="T264" s="166"/>
      <c r="U264" s="166">
        <v>0</v>
      </c>
      <c r="V264" s="166">
        <v>0</v>
      </c>
      <c r="W264" s="166">
        <v>0</v>
      </c>
      <c r="X264" s="166">
        <v>0</v>
      </c>
      <c r="Y264" s="166">
        <v>0</v>
      </c>
      <c r="Z264" s="166">
        <v>27243369</v>
      </c>
      <c r="AA264" s="166">
        <v>-1188134</v>
      </c>
      <c r="AB264" s="166"/>
      <c r="AC264" s="166">
        <v>-7532989</v>
      </c>
      <c r="AD264" s="166">
        <v>236</v>
      </c>
      <c r="AE264" s="166">
        <v>25</v>
      </c>
      <c r="AF264" s="166">
        <v>0</v>
      </c>
      <c r="AG264" s="166"/>
      <c r="AH264" s="166">
        <v>10</v>
      </c>
      <c r="AI264" s="166">
        <v>0</v>
      </c>
      <c r="AJ264" s="166">
        <v>286</v>
      </c>
      <c r="AK264" s="166">
        <v>33</v>
      </c>
      <c r="AL264" s="166">
        <v>3</v>
      </c>
      <c r="AM264" s="166">
        <v>0</v>
      </c>
      <c r="AN264" s="166">
        <v>0</v>
      </c>
      <c r="AO264" s="166">
        <v>2</v>
      </c>
      <c r="AP264" s="166">
        <v>0</v>
      </c>
      <c r="AQ264" s="166">
        <v>0</v>
      </c>
      <c r="AR264" s="166">
        <v>1115</v>
      </c>
      <c r="AS264" s="166">
        <v>1054</v>
      </c>
      <c r="AT264" s="166">
        <v>2842</v>
      </c>
      <c r="AU264" s="166">
        <v>2715</v>
      </c>
      <c r="AV264" s="166">
        <v>127</v>
      </c>
      <c r="AW264" s="166">
        <v>1787</v>
      </c>
      <c r="AX264" s="166">
        <v>-3990</v>
      </c>
      <c r="AY264" s="166">
        <v>-438383</v>
      </c>
      <c r="AZ264" s="166">
        <v>0</v>
      </c>
      <c r="BA264" s="166">
        <v>0</v>
      </c>
      <c r="BB264" s="166">
        <v>-280090</v>
      </c>
      <c r="BC264" s="166">
        <v>-45225</v>
      </c>
      <c r="BD264" s="166">
        <v>-331399</v>
      </c>
      <c r="BE264" s="166">
        <v>7250039</v>
      </c>
      <c r="BF264" s="166"/>
      <c r="BG264" s="760">
        <v>15386800</v>
      </c>
      <c r="BH264" s="760">
        <v>0</v>
      </c>
      <c r="BI264" s="815">
        <v>7133533</v>
      </c>
      <c r="BJ264" s="1044" t="s">
        <v>515</v>
      </c>
      <c r="BK264" s="1044" t="s">
        <v>2474</v>
      </c>
      <c r="BL264" s="1044" t="s">
        <v>2719</v>
      </c>
      <c r="BM264" s="650"/>
      <c r="BN264" s="746" t="s">
        <v>411</v>
      </c>
      <c r="BO264" s="142" t="b">
        <v>1</v>
      </c>
      <c r="BP264" s="544"/>
      <c r="BQ264" s="544"/>
      <c r="BR264" s="544"/>
      <c r="BS264" s="544"/>
      <c r="BT264" s="544"/>
      <c r="BU264" s="544"/>
      <c r="BV264" s="544"/>
      <c r="BW264" s="544"/>
      <c r="BX264" s="544"/>
      <c r="BY264" s="544"/>
      <c r="BZ264" s="544"/>
      <c r="CA264" s="544"/>
      <c r="CB264" s="544"/>
      <c r="CC264" s="544"/>
      <c r="CD264" s="544"/>
      <c r="CE264" s="544"/>
      <c r="CF264" s="544"/>
      <c r="CG264" s="544"/>
      <c r="CH264" s="544"/>
      <c r="CI264" s="544"/>
      <c r="CJ264" s="544"/>
      <c r="CK264" s="544"/>
      <c r="CL264" s="544"/>
      <c r="CM264" s="544"/>
      <c r="CN264" s="544"/>
      <c r="CO264" s="544"/>
      <c r="CP264" s="544"/>
      <c r="CQ264" s="544"/>
      <c r="CR264" s="544"/>
      <c r="CS264" s="544"/>
    </row>
    <row r="265" spans="1:97" s="142" customFormat="1" ht="12.75" x14ac:dyDescent="0.2">
      <c r="A265" s="735">
        <v>258</v>
      </c>
      <c r="B265" s="732" t="s">
        <v>412</v>
      </c>
      <c r="C265" s="738" t="s">
        <v>413</v>
      </c>
      <c r="D265" s="905">
        <v>139654.39939719799</v>
      </c>
      <c r="E265" s="905">
        <v>46245376</v>
      </c>
      <c r="F265" s="905">
        <v>4165</v>
      </c>
      <c r="G265" s="166">
        <v>22642285</v>
      </c>
      <c r="H265" s="166">
        <v>-5038882</v>
      </c>
      <c r="I265" s="166">
        <v>283939</v>
      </c>
      <c r="J265" s="166">
        <v>-4754943</v>
      </c>
      <c r="K265" s="166">
        <v>-1464923</v>
      </c>
      <c r="L265" s="166">
        <v>-16712</v>
      </c>
      <c r="M265" s="166">
        <v>-90655</v>
      </c>
      <c r="N265" s="166">
        <v>-17508</v>
      </c>
      <c r="O265" s="166">
        <v>0</v>
      </c>
      <c r="P265" s="166">
        <v>-337500</v>
      </c>
      <c r="Q265" s="166">
        <v>-48153</v>
      </c>
      <c r="R265" s="166">
        <v>-8000</v>
      </c>
      <c r="S265" s="166">
        <v>-2694</v>
      </c>
      <c r="T265" s="166"/>
      <c r="U265" s="166">
        <v>0</v>
      </c>
      <c r="V265" s="166">
        <v>0</v>
      </c>
      <c r="W265" s="166">
        <v>0</v>
      </c>
      <c r="X265" s="166">
        <v>0</v>
      </c>
      <c r="Y265" s="166">
        <v>-38508</v>
      </c>
      <c r="Z265" s="166">
        <v>11743095</v>
      </c>
      <c r="AA265" s="166">
        <v>-450047</v>
      </c>
      <c r="AB265" s="166"/>
      <c r="AC265" s="166">
        <v>-1808275</v>
      </c>
      <c r="AD265" s="166">
        <v>213</v>
      </c>
      <c r="AE265" s="166">
        <v>7</v>
      </c>
      <c r="AF265" s="166">
        <v>33</v>
      </c>
      <c r="AG265" s="166"/>
      <c r="AH265" s="166">
        <v>14</v>
      </c>
      <c r="AI265" s="166">
        <v>0</v>
      </c>
      <c r="AJ265" s="166">
        <v>131</v>
      </c>
      <c r="AK265" s="166">
        <v>75</v>
      </c>
      <c r="AL265" s="166">
        <v>2</v>
      </c>
      <c r="AM265" s="166">
        <v>0</v>
      </c>
      <c r="AN265" s="166">
        <v>0</v>
      </c>
      <c r="AO265" s="166">
        <v>7</v>
      </c>
      <c r="AP265" s="166">
        <v>0</v>
      </c>
      <c r="AQ265" s="166">
        <v>1</v>
      </c>
      <c r="AR265" s="166">
        <v>404</v>
      </c>
      <c r="AS265" s="166">
        <v>565</v>
      </c>
      <c r="AT265" s="166">
        <v>2565</v>
      </c>
      <c r="AU265" s="166">
        <v>2496</v>
      </c>
      <c r="AV265" s="166">
        <v>69</v>
      </c>
      <c r="AW265" s="166">
        <v>1010</v>
      </c>
      <c r="AX265" s="166">
        <v>-23117</v>
      </c>
      <c r="AY265" s="166">
        <v>-154398</v>
      </c>
      <c r="AZ265" s="166">
        <v>0</v>
      </c>
      <c r="BA265" s="166">
        <v>-2560</v>
      </c>
      <c r="BB265" s="166">
        <v>-155800</v>
      </c>
      <c r="BC265" s="166">
        <v>-1625</v>
      </c>
      <c r="BD265" s="166">
        <v>-450000</v>
      </c>
      <c r="BE265" s="166">
        <v>1329072</v>
      </c>
      <c r="BF265" s="166"/>
      <c r="BG265" s="760">
        <v>6937100</v>
      </c>
      <c r="BH265" s="760">
        <v>0</v>
      </c>
      <c r="BI265" s="815">
        <v>1206369</v>
      </c>
      <c r="BJ265" s="1044" t="s">
        <v>2454</v>
      </c>
      <c r="BK265" s="1044" t="s">
        <v>2474</v>
      </c>
      <c r="BL265" s="1044" t="s">
        <v>2720</v>
      </c>
      <c r="BM265" s="650"/>
      <c r="BN265" s="746" t="s">
        <v>413</v>
      </c>
      <c r="BO265" s="142" t="b">
        <v>1</v>
      </c>
      <c r="BP265" s="544"/>
      <c r="BQ265" s="544"/>
      <c r="BR265" s="544"/>
      <c r="BS265" s="544"/>
      <c r="BT265" s="544"/>
      <c r="BU265" s="544"/>
      <c r="BV265" s="544"/>
      <c r="BW265" s="544"/>
      <c r="BX265" s="544"/>
      <c r="BY265" s="544"/>
      <c r="BZ265" s="544"/>
      <c r="CA265" s="544"/>
      <c r="CB265" s="544"/>
      <c r="CC265" s="544"/>
      <c r="CD265" s="544"/>
      <c r="CE265" s="544"/>
      <c r="CF265" s="544"/>
      <c r="CG265" s="544"/>
      <c r="CH265" s="544"/>
      <c r="CI265" s="544"/>
      <c r="CJ265" s="544"/>
      <c r="CK265" s="544"/>
      <c r="CL265" s="544"/>
      <c r="CM265" s="544"/>
      <c r="CN265" s="544"/>
      <c r="CO265" s="544"/>
      <c r="CP265" s="544"/>
      <c r="CQ265" s="544"/>
      <c r="CR265" s="544"/>
      <c r="CS265" s="544"/>
    </row>
    <row r="266" spans="1:97" s="142" customFormat="1" ht="12.75" hidden="1" x14ac:dyDescent="0.2">
      <c r="A266" s="735">
        <v>259</v>
      </c>
      <c r="B266" s="732" t="s">
        <v>414</v>
      </c>
      <c r="C266" s="738" t="s">
        <v>415</v>
      </c>
      <c r="D266" s="905">
        <v>1020632.36169792</v>
      </c>
      <c r="E266" s="905">
        <v>1024491587</v>
      </c>
      <c r="F266" s="905">
        <v>18178</v>
      </c>
      <c r="G266" s="166">
        <v>501665063</v>
      </c>
      <c r="H266" s="166">
        <v>-11980729</v>
      </c>
      <c r="I266" s="166">
        <v>11119052</v>
      </c>
      <c r="J266" s="166">
        <v>-861677</v>
      </c>
      <c r="K266" s="166">
        <v>-23478093</v>
      </c>
      <c r="L266" s="166">
        <v>0</v>
      </c>
      <c r="M266" s="166">
        <v>0</v>
      </c>
      <c r="N266" s="166">
        <v>-3774</v>
      </c>
      <c r="O266" s="166">
        <v>0</v>
      </c>
      <c r="P266" s="166">
        <v>-16242363</v>
      </c>
      <c r="Q266" s="166">
        <v>-505822</v>
      </c>
      <c r="R266" s="166">
        <v>-126552</v>
      </c>
      <c r="S266" s="166">
        <v>0</v>
      </c>
      <c r="T266" s="166"/>
      <c r="U266" s="166">
        <v>0</v>
      </c>
      <c r="V266" s="166">
        <v>0</v>
      </c>
      <c r="W266" s="166">
        <v>0</v>
      </c>
      <c r="X266" s="166">
        <v>0</v>
      </c>
      <c r="Y266" s="166">
        <v>0</v>
      </c>
      <c r="Z266" s="166">
        <v>405248472</v>
      </c>
      <c r="AA266" s="166">
        <v>-12623000</v>
      </c>
      <c r="AB266" s="166"/>
      <c r="AC266" s="166">
        <v>-40872256</v>
      </c>
      <c r="AD266" s="166">
        <v>621</v>
      </c>
      <c r="AE266" s="166">
        <v>0</v>
      </c>
      <c r="AF266" s="166">
        <v>0</v>
      </c>
      <c r="AG266" s="166"/>
      <c r="AH266" s="166">
        <v>1</v>
      </c>
      <c r="AI266" s="166">
        <v>0</v>
      </c>
      <c r="AJ266" s="166">
        <v>1889</v>
      </c>
      <c r="AK266" s="166">
        <v>171</v>
      </c>
      <c r="AL266" s="166">
        <v>6</v>
      </c>
      <c r="AM266" s="166">
        <v>0</v>
      </c>
      <c r="AN266" s="166">
        <v>0</v>
      </c>
      <c r="AO266" s="166">
        <v>0</v>
      </c>
      <c r="AP266" s="166">
        <v>0</v>
      </c>
      <c r="AQ266" s="166">
        <v>0</v>
      </c>
      <c r="AR266" s="166">
        <v>2910</v>
      </c>
      <c r="AS266" s="166">
        <v>6120</v>
      </c>
      <c r="AT266" s="166">
        <v>4062</v>
      </c>
      <c r="AU266" s="166">
        <v>3636</v>
      </c>
      <c r="AV266" s="166">
        <v>426</v>
      </c>
      <c r="AW266" s="166">
        <v>8139</v>
      </c>
      <c r="AX266" s="166">
        <v>-592894</v>
      </c>
      <c r="AY266" s="166">
        <v>-1399767</v>
      </c>
      <c r="AZ266" s="166">
        <v>0</v>
      </c>
      <c r="BA266" s="166">
        <v>0</v>
      </c>
      <c r="BB266" s="166">
        <v>-13419791</v>
      </c>
      <c r="BC266" s="166">
        <v>-829911</v>
      </c>
      <c r="BD266" s="166">
        <v>-1322913</v>
      </c>
      <c r="BE266" s="166">
        <v>-56562248</v>
      </c>
      <c r="BF266" s="166"/>
      <c r="BG266" s="760">
        <v>54127525</v>
      </c>
      <c r="BH266" s="760">
        <v>0</v>
      </c>
      <c r="BI266" s="815">
        <v>-56900918</v>
      </c>
      <c r="BJ266" s="1044" t="s">
        <v>2506</v>
      </c>
      <c r="BK266" s="1044" t="s">
        <v>2465</v>
      </c>
      <c r="BL266" s="1044" t="s">
        <v>2721</v>
      </c>
      <c r="BM266" s="650"/>
      <c r="BN266" s="746" t="s">
        <v>415</v>
      </c>
      <c r="BO266" s="142" t="b">
        <v>1</v>
      </c>
      <c r="BP266" s="544"/>
      <c r="BQ266" s="544"/>
      <c r="BR266" s="544"/>
      <c r="BS266" s="544"/>
      <c r="BT266" s="544"/>
      <c r="BU266" s="544"/>
      <c r="BV266" s="544"/>
      <c r="BW266" s="544"/>
      <c r="BX266" s="544"/>
      <c r="BY266" s="544"/>
      <c r="BZ266" s="544"/>
      <c r="CA266" s="544"/>
      <c r="CB266" s="544"/>
      <c r="CC266" s="544"/>
      <c r="CD266" s="544"/>
      <c r="CE266" s="544"/>
      <c r="CF266" s="544"/>
      <c r="CG266" s="544"/>
      <c r="CH266" s="544"/>
      <c r="CI266" s="544"/>
      <c r="CJ266" s="544"/>
      <c r="CK266" s="544"/>
      <c r="CL266" s="544"/>
      <c r="CM266" s="544"/>
      <c r="CN266" s="544"/>
      <c r="CO266" s="544"/>
      <c r="CP266" s="544"/>
      <c r="CQ266" s="544"/>
      <c r="CR266" s="544"/>
      <c r="CS266" s="544"/>
    </row>
    <row r="267" spans="1:97" s="142" customFormat="1" ht="12.75" hidden="1" x14ac:dyDescent="0.2">
      <c r="A267" s="735">
        <v>260</v>
      </c>
      <c r="B267" s="732" t="s">
        <v>416</v>
      </c>
      <c r="C267" s="738" t="s">
        <v>417</v>
      </c>
      <c r="D267" s="905">
        <v>438660.90437311202</v>
      </c>
      <c r="E267" s="905">
        <v>361090740</v>
      </c>
      <c r="F267" s="905">
        <v>10893</v>
      </c>
      <c r="G267" s="166">
        <v>185585859</v>
      </c>
      <c r="H267" s="166">
        <v>-8067085</v>
      </c>
      <c r="I267" s="166">
        <v>3711969</v>
      </c>
      <c r="J267" s="166">
        <v>-4355116</v>
      </c>
      <c r="K267" s="166">
        <v>-5708437</v>
      </c>
      <c r="L267" s="166">
        <v>-144356</v>
      </c>
      <c r="M267" s="166">
        <v>-1372</v>
      </c>
      <c r="N267" s="166">
        <v>-6835</v>
      </c>
      <c r="O267" s="166">
        <v>0</v>
      </c>
      <c r="P267" s="166">
        <v>-3178234</v>
      </c>
      <c r="Q267" s="166">
        <v>-58144</v>
      </c>
      <c r="R267" s="166">
        <v>-1039302</v>
      </c>
      <c r="S267" s="166">
        <v>-28460</v>
      </c>
      <c r="T267" s="166"/>
      <c r="U267" s="166">
        <v>0</v>
      </c>
      <c r="V267" s="166">
        <v>0</v>
      </c>
      <c r="W267" s="166">
        <v>0</v>
      </c>
      <c r="X267" s="166">
        <v>0</v>
      </c>
      <c r="Y267" s="166">
        <v>0</v>
      </c>
      <c r="Z267" s="166">
        <v>141050434</v>
      </c>
      <c r="AA267" s="166">
        <v>-2783788</v>
      </c>
      <c r="AB267" s="166"/>
      <c r="AC267" s="166">
        <v>-13979083</v>
      </c>
      <c r="AD267" s="166">
        <v>264</v>
      </c>
      <c r="AE267" s="166">
        <v>10</v>
      </c>
      <c r="AF267" s="166">
        <v>1</v>
      </c>
      <c r="AG267" s="166"/>
      <c r="AH267" s="166">
        <v>4</v>
      </c>
      <c r="AI267" s="166">
        <v>0</v>
      </c>
      <c r="AJ267" s="166">
        <v>2475</v>
      </c>
      <c r="AK267" s="166">
        <v>38</v>
      </c>
      <c r="AL267" s="166">
        <v>58</v>
      </c>
      <c r="AM267" s="166">
        <v>1</v>
      </c>
      <c r="AN267" s="166">
        <v>0</v>
      </c>
      <c r="AO267" s="166">
        <v>8</v>
      </c>
      <c r="AP267" s="166">
        <v>0</v>
      </c>
      <c r="AQ267" s="166">
        <v>0</v>
      </c>
      <c r="AR267" s="166">
        <v>984</v>
      </c>
      <c r="AS267" s="166">
        <v>4450</v>
      </c>
      <c r="AT267" s="166">
        <v>2721</v>
      </c>
      <c r="AU267" s="166">
        <v>2418</v>
      </c>
      <c r="AV267" s="166">
        <v>303</v>
      </c>
      <c r="AW267" s="166">
        <v>3841</v>
      </c>
      <c r="AX267" s="166">
        <v>-268851</v>
      </c>
      <c r="AY267" s="166">
        <v>-264368</v>
      </c>
      <c r="AZ267" s="166">
        <v>0</v>
      </c>
      <c r="BA267" s="166">
        <v>0</v>
      </c>
      <c r="BB267" s="166">
        <v>-2319391</v>
      </c>
      <c r="BC267" s="166">
        <v>-325624</v>
      </c>
      <c r="BD267" s="166">
        <v>-1177851</v>
      </c>
      <c r="BE267" s="166">
        <v>20356219</v>
      </c>
      <c r="BF267" s="166"/>
      <c r="BG267" s="760">
        <v>39155250</v>
      </c>
      <c r="BH267" s="760">
        <v>0</v>
      </c>
      <c r="BI267" s="815">
        <v>20028953</v>
      </c>
      <c r="BJ267" s="1044" t="s">
        <v>2468</v>
      </c>
      <c r="BK267" s="1044" t="s">
        <v>2481</v>
      </c>
      <c r="BL267" s="1044" t="s">
        <v>2722</v>
      </c>
      <c r="BM267" s="650"/>
      <c r="BN267" s="746" t="s">
        <v>417</v>
      </c>
      <c r="BO267" s="142" t="b">
        <v>1</v>
      </c>
      <c r="BP267" s="544"/>
      <c r="BQ267" s="544"/>
      <c r="BR267" s="544"/>
      <c r="BS267" s="544"/>
      <c r="BT267" s="544"/>
      <c r="BU267" s="544"/>
      <c r="BV267" s="544"/>
      <c r="BW267" s="544"/>
      <c r="BX267" s="544"/>
      <c r="BY267" s="544"/>
      <c r="BZ267" s="544"/>
      <c r="CA267" s="544"/>
      <c r="CB267" s="544"/>
      <c r="CC267" s="544"/>
      <c r="CD267" s="544"/>
      <c r="CE267" s="544"/>
      <c r="CF267" s="544"/>
      <c r="CG267" s="544"/>
      <c r="CH267" s="544"/>
      <c r="CI267" s="544"/>
      <c r="CJ267" s="544"/>
      <c r="CK267" s="544"/>
      <c r="CL267" s="544"/>
      <c r="CM267" s="544"/>
      <c r="CN267" s="544"/>
      <c r="CO267" s="544"/>
      <c r="CP267" s="544"/>
      <c r="CQ267" s="544"/>
      <c r="CR267" s="544"/>
      <c r="CS267" s="544"/>
    </row>
    <row r="268" spans="1:97" s="142" customFormat="1" ht="12.75" x14ac:dyDescent="0.2">
      <c r="A268" s="735">
        <v>261</v>
      </c>
      <c r="B268" s="732" t="s">
        <v>418</v>
      </c>
      <c r="C268" s="738" t="s">
        <v>419</v>
      </c>
      <c r="D268" s="905">
        <v>164792.25606012499</v>
      </c>
      <c r="E268" s="905">
        <v>143678763</v>
      </c>
      <c r="F268" s="905">
        <v>4073</v>
      </c>
      <c r="G268" s="166">
        <v>73202960</v>
      </c>
      <c r="H268" s="166">
        <v>-3917124</v>
      </c>
      <c r="I268" s="166">
        <v>1362228</v>
      </c>
      <c r="J268" s="166">
        <v>-2554896</v>
      </c>
      <c r="K268" s="166">
        <v>-5626648</v>
      </c>
      <c r="L268" s="166">
        <v>-24975</v>
      </c>
      <c r="M268" s="166">
        <v>-14750</v>
      </c>
      <c r="N268" s="166">
        <v>-8160</v>
      </c>
      <c r="O268" s="166">
        <v>0</v>
      </c>
      <c r="P268" s="166">
        <v>-1106922</v>
      </c>
      <c r="Q268" s="166">
        <v>-67598</v>
      </c>
      <c r="R268" s="166">
        <v>-53833</v>
      </c>
      <c r="S268" s="166">
        <v>-1160</v>
      </c>
      <c r="T268" s="166"/>
      <c r="U268" s="166">
        <v>-7204</v>
      </c>
      <c r="V268" s="166">
        <v>0</v>
      </c>
      <c r="W268" s="166">
        <v>0</v>
      </c>
      <c r="X268" s="166">
        <v>0</v>
      </c>
      <c r="Y268" s="166">
        <v>0</v>
      </c>
      <c r="Z268" s="166">
        <v>51785564</v>
      </c>
      <c r="AA268" s="166">
        <v>-3000000</v>
      </c>
      <c r="AB268" s="166"/>
      <c r="AC268" s="166">
        <v>-7541421</v>
      </c>
      <c r="AD268" s="166">
        <v>212</v>
      </c>
      <c r="AE268" s="166">
        <v>5</v>
      </c>
      <c r="AF268" s="166">
        <v>4</v>
      </c>
      <c r="AG268" s="166"/>
      <c r="AH268" s="166">
        <v>0</v>
      </c>
      <c r="AI268" s="166">
        <v>0</v>
      </c>
      <c r="AJ268" s="166">
        <v>192</v>
      </c>
      <c r="AK268" s="166">
        <v>51</v>
      </c>
      <c r="AL268" s="166">
        <v>3</v>
      </c>
      <c r="AM268" s="166">
        <v>5</v>
      </c>
      <c r="AN268" s="166">
        <v>1</v>
      </c>
      <c r="AO268" s="166">
        <v>2</v>
      </c>
      <c r="AP268" s="166">
        <v>0</v>
      </c>
      <c r="AQ268" s="166">
        <v>0</v>
      </c>
      <c r="AR268" s="166">
        <v>687</v>
      </c>
      <c r="AS268" s="166">
        <v>993</v>
      </c>
      <c r="AT268" s="166">
        <v>1438</v>
      </c>
      <c r="AU268" s="166">
        <v>1301</v>
      </c>
      <c r="AV268" s="166">
        <v>137</v>
      </c>
      <c r="AW268" s="166">
        <v>1724</v>
      </c>
      <c r="AX268" s="166">
        <v>-129052</v>
      </c>
      <c r="AY268" s="166">
        <v>-587405</v>
      </c>
      <c r="AZ268" s="166">
        <v>0</v>
      </c>
      <c r="BA268" s="166">
        <v>-12532</v>
      </c>
      <c r="BB268" s="166">
        <v>-216610</v>
      </c>
      <c r="BC268" s="166">
        <v>-161323</v>
      </c>
      <c r="BD268" s="166">
        <v>-1672</v>
      </c>
      <c r="BE268" s="166">
        <v>-2257394</v>
      </c>
      <c r="BF268" s="166"/>
      <c r="BG268" s="760">
        <v>21503550</v>
      </c>
      <c r="BH268" s="760">
        <v>0</v>
      </c>
      <c r="BI268" s="815">
        <v>-2590349</v>
      </c>
      <c r="BJ268" s="1044" t="s">
        <v>2454</v>
      </c>
      <c r="BK268" s="1044" t="s">
        <v>2455</v>
      </c>
      <c r="BL268" s="1044" t="s">
        <v>2723</v>
      </c>
      <c r="BM268" s="650"/>
      <c r="BN268" s="746" t="s">
        <v>419</v>
      </c>
      <c r="BO268" s="142" t="b">
        <v>1</v>
      </c>
      <c r="BP268" s="544"/>
      <c r="BQ268" s="544"/>
      <c r="BR268" s="544"/>
      <c r="BS268" s="544"/>
      <c r="BT268" s="544"/>
      <c r="BU268" s="544"/>
      <c r="BV268" s="544"/>
      <c r="BW268" s="544"/>
      <c r="BX268" s="544"/>
      <c r="BY268" s="544"/>
      <c r="BZ268" s="544"/>
      <c r="CA268" s="544"/>
      <c r="CB268" s="544"/>
      <c r="CC268" s="544"/>
      <c r="CD268" s="544"/>
      <c r="CE268" s="544"/>
      <c r="CF268" s="544"/>
      <c r="CG268" s="544"/>
      <c r="CH268" s="544"/>
      <c r="CI268" s="544"/>
      <c r="CJ268" s="544"/>
      <c r="CK268" s="544"/>
      <c r="CL268" s="544"/>
      <c r="CM268" s="544"/>
      <c r="CN268" s="544"/>
      <c r="CO268" s="544"/>
      <c r="CP268" s="544"/>
      <c r="CQ268" s="544"/>
      <c r="CR268" s="544"/>
      <c r="CS268" s="544"/>
    </row>
    <row r="269" spans="1:97" s="142" customFormat="1" ht="12.75" x14ac:dyDescent="0.2">
      <c r="A269" s="735">
        <v>262</v>
      </c>
      <c r="B269" s="732" t="s">
        <v>420</v>
      </c>
      <c r="C269" s="738" t="s">
        <v>421</v>
      </c>
      <c r="D269" s="905">
        <v>144474.73686916099</v>
      </c>
      <c r="E269" s="905">
        <v>129064410</v>
      </c>
      <c r="F269" s="905">
        <v>3514</v>
      </c>
      <c r="G269" s="166">
        <v>64374925</v>
      </c>
      <c r="H269" s="166">
        <v>-3630440</v>
      </c>
      <c r="I269" s="166">
        <v>1274588</v>
      </c>
      <c r="J269" s="166">
        <v>-2355852</v>
      </c>
      <c r="K269" s="166">
        <v>-2405156</v>
      </c>
      <c r="L269" s="166">
        <v>-15399</v>
      </c>
      <c r="M269" s="166">
        <v>-42484</v>
      </c>
      <c r="N269" s="166">
        <v>-7161</v>
      </c>
      <c r="O269" s="166">
        <v>-100000</v>
      </c>
      <c r="P269" s="166">
        <v>-805711</v>
      </c>
      <c r="Q269" s="166">
        <v>-43848</v>
      </c>
      <c r="R269" s="166">
        <v>-132362</v>
      </c>
      <c r="S269" s="166">
        <v>-179</v>
      </c>
      <c r="T269" s="166"/>
      <c r="U269" s="166">
        <v>-58720</v>
      </c>
      <c r="V269" s="166">
        <v>-30000</v>
      </c>
      <c r="W269" s="166">
        <v>0</v>
      </c>
      <c r="X269" s="166">
        <v>0</v>
      </c>
      <c r="Y269" s="166">
        <v>-21242</v>
      </c>
      <c r="Z269" s="166">
        <v>52075654</v>
      </c>
      <c r="AA269" s="166">
        <v>-1790500</v>
      </c>
      <c r="AB269" s="166"/>
      <c r="AC269" s="166">
        <v>-3395210</v>
      </c>
      <c r="AD269" s="166">
        <v>171</v>
      </c>
      <c r="AE269" s="166">
        <v>4</v>
      </c>
      <c r="AF269" s="166">
        <v>19</v>
      </c>
      <c r="AG269" s="166"/>
      <c r="AH269" s="166">
        <v>3</v>
      </c>
      <c r="AI269" s="166">
        <v>0</v>
      </c>
      <c r="AJ269" s="166">
        <v>338</v>
      </c>
      <c r="AK269" s="166">
        <v>77</v>
      </c>
      <c r="AL269" s="166">
        <v>65</v>
      </c>
      <c r="AM269" s="166">
        <v>19</v>
      </c>
      <c r="AN269" s="166">
        <v>10</v>
      </c>
      <c r="AO269" s="166">
        <v>1</v>
      </c>
      <c r="AP269" s="166">
        <v>0</v>
      </c>
      <c r="AQ269" s="166">
        <v>5</v>
      </c>
      <c r="AR269" s="166">
        <v>366</v>
      </c>
      <c r="AS269" s="166">
        <v>943</v>
      </c>
      <c r="AT269" s="166">
        <v>1382</v>
      </c>
      <c r="AU269" s="166">
        <v>1234</v>
      </c>
      <c r="AV269" s="166">
        <v>148</v>
      </c>
      <c r="AW269" s="166">
        <v>1182</v>
      </c>
      <c r="AX269" s="166">
        <v>-3533</v>
      </c>
      <c r="AY269" s="166">
        <v>-410567</v>
      </c>
      <c r="AZ269" s="166">
        <v>0</v>
      </c>
      <c r="BA269" s="166">
        <v>0</v>
      </c>
      <c r="BB269" s="166">
        <v>-391611</v>
      </c>
      <c r="BC269" s="166">
        <v>0</v>
      </c>
      <c r="BD269" s="166">
        <v>0</v>
      </c>
      <c r="BE269" s="166">
        <v>-548799</v>
      </c>
      <c r="BF269" s="166"/>
      <c r="BG269" s="760">
        <v>14024100</v>
      </c>
      <c r="BH269" s="760">
        <v>0</v>
      </c>
      <c r="BI269" s="815">
        <v>215456</v>
      </c>
      <c r="BJ269" s="1044" t="s">
        <v>2454</v>
      </c>
      <c r="BK269" s="1044" t="s">
        <v>2462</v>
      </c>
      <c r="BL269" s="1044" t="s">
        <v>2724</v>
      </c>
      <c r="BM269" s="650"/>
      <c r="BN269" s="746" t="s">
        <v>421</v>
      </c>
      <c r="BO269" s="142" t="b">
        <v>1</v>
      </c>
      <c r="BP269" s="544"/>
      <c r="BQ269" s="544"/>
      <c r="BR269" s="544"/>
      <c r="BS269" s="544"/>
      <c r="BT269" s="544"/>
      <c r="BU269" s="544"/>
      <c r="BV269" s="544"/>
      <c r="BW269" s="544"/>
      <c r="BX269" s="544"/>
      <c r="BY269" s="544"/>
      <c r="BZ269" s="544"/>
      <c r="CA269" s="544"/>
      <c r="CB269" s="544"/>
      <c r="CC269" s="544"/>
      <c r="CD269" s="544"/>
      <c r="CE269" s="544"/>
      <c r="CF269" s="544"/>
      <c r="CG269" s="544"/>
      <c r="CH269" s="544"/>
      <c r="CI269" s="544"/>
      <c r="CJ269" s="544"/>
      <c r="CK269" s="544"/>
      <c r="CL269" s="544"/>
      <c r="CM269" s="544"/>
      <c r="CN269" s="544"/>
      <c r="CO269" s="544"/>
      <c r="CP269" s="544"/>
      <c r="CQ269" s="544"/>
      <c r="CR269" s="544"/>
      <c r="CS269" s="544"/>
    </row>
    <row r="270" spans="1:97" s="142" customFormat="1" ht="12.75" x14ac:dyDescent="0.2">
      <c r="A270" s="735">
        <v>263</v>
      </c>
      <c r="B270" s="732" t="s">
        <v>422</v>
      </c>
      <c r="C270" s="738" t="s">
        <v>423</v>
      </c>
      <c r="D270" s="905">
        <v>183838.67762250901</v>
      </c>
      <c r="E270" s="905">
        <v>192786089</v>
      </c>
      <c r="F270" s="905">
        <v>3985</v>
      </c>
      <c r="G270" s="166">
        <v>94899862</v>
      </c>
      <c r="H270" s="166">
        <v>-2381356</v>
      </c>
      <c r="I270" s="166">
        <v>2010417</v>
      </c>
      <c r="J270" s="166">
        <v>-370939</v>
      </c>
      <c r="K270" s="166">
        <v>-7333041</v>
      </c>
      <c r="L270" s="166">
        <v>-100183</v>
      </c>
      <c r="M270" s="166">
        <v>-43204</v>
      </c>
      <c r="N270" s="166">
        <v>-3028</v>
      </c>
      <c r="O270" s="166">
        <v>0</v>
      </c>
      <c r="P270" s="166">
        <v>-1754176</v>
      </c>
      <c r="Q270" s="166">
        <v>-177733</v>
      </c>
      <c r="R270" s="166">
        <v>-6445</v>
      </c>
      <c r="S270" s="166">
        <v>-6261</v>
      </c>
      <c r="T270" s="166"/>
      <c r="U270" s="166">
        <v>0</v>
      </c>
      <c r="V270" s="166">
        <v>-424510</v>
      </c>
      <c r="W270" s="166">
        <v>-424510</v>
      </c>
      <c r="X270" s="166">
        <v>0</v>
      </c>
      <c r="Y270" s="166">
        <v>-21602</v>
      </c>
      <c r="Z270" s="166">
        <v>73624504</v>
      </c>
      <c r="AA270" s="166">
        <v>-3090000</v>
      </c>
      <c r="AB270" s="166"/>
      <c r="AC270" s="166">
        <v>-2426978</v>
      </c>
      <c r="AD270" s="166">
        <v>281</v>
      </c>
      <c r="AE270" s="166">
        <v>30</v>
      </c>
      <c r="AF270" s="166">
        <v>18</v>
      </c>
      <c r="AG270" s="166"/>
      <c r="AH270" s="166">
        <v>3</v>
      </c>
      <c r="AI270" s="166">
        <v>0</v>
      </c>
      <c r="AJ270" s="166">
        <v>434</v>
      </c>
      <c r="AK270" s="166">
        <v>122</v>
      </c>
      <c r="AL270" s="166">
        <v>3</v>
      </c>
      <c r="AM270" s="166">
        <v>0</v>
      </c>
      <c r="AN270" s="166">
        <v>0</v>
      </c>
      <c r="AO270" s="166">
        <v>30</v>
      </c>
      <c r="AP270" s="166">
        <v>19</v>
      </c>
      <c r="AQ270" s="166">
        <v>0</v>
      </c>
      <c r="AR270" s="166">
        <v>290</v>
      </c>
      <c r="AS270" s="166">
        <v>1193</v>
      </c>
      <c r="AT270" s="166">
        <v>972</v>
      </c>
      <c r="AU270" s="166">
        <v>883</v>
      </c>
      <c r="AV270" s="166">
        <v>89</v>
      </c>
      <c r="AW270" s="166">
        <v>1813</v>
      </c>
      <c r="AX270" s="166">
        <v>-32570</v>
      </c>
      <c r="AY270" s="166">
        <v>-506134</v>
      </c>
      <c r="AZ270" s="166">
        <v>0</v>
      </c>
      <c r="BA270" s="166">
        <v>0</v>
      </c>
      <c r="BB270" s="166">
        <v>-88122</v>
      </c>
      <c r="BC270" s="166">
        <v>-1127350</v>
      </c>
      <c r="BD270" s="166">
        <v>-697208</v>
      </c>
      <c r="BE270" s="166">
        <v>2232227</v>
      </c>
      <c r="BF270" s="166"/>
      <c r="BG270" s="760">
        <v>17062750</v>
      </c>
      <c r="BH270" s="760">
        <v>639000</v>
      </c>
      <c r="BI270" s="815">
        <v>714338</v>
      </c>
      <c r="BJ270" s="1044" t="s">
        <v>2454</v>
      </c>
      <c r="BK270" s="1044" t="s">
        <v>2455</v>
      </c>
      <c r="BL270" s="1044" t="s">
        <v>2725</v>
      </c>
      <c r="BM270" s="650"/>
      <c r="BN270" s="746" t="s">
        <v>423</v>
      </c>
      <c r="BO270" s="142" t="b">
        <v>1</v>
      </c>
      <c r="BP270" s="544"/>
      <c r="BQ270" s="544"/>
      <c r="BR270" s="544"/>
      <c r="BS270" s="544"/>
      <c r="BT270" s="544"/>
      <c r="BU270" s="544"/>
      <c r="BV270" s="544"/>
      <c r="BW270" s="544"/>
      <c r="BX270" s="544"/>
      <c r="BY270" s="544"/>
      <c r="BZ270" s="544"/>
      <c r="CA270" s="544"/>
      <c r="CB270" s="544"/>
      <c r="CC270" s="544"/>
      <c r="CD270" s="544"/>
      <c r="CE270" s="544"/>
      <c r="CF270" s="544"/>
      <c r="CG270" s="544"/>
      <c r="CH270" s="544"/>
      <c r="CI270" s="544"/>
      <c r="CJ270" s="544"/>
      <c r="CK270" s="544"/>
      <c r="CL270" s="544"/>
      <c r="CM270" s="544"/>
      <c r="CN270" s="544"/>
      <c r="CO270" s="544"/>
      <c r="CP270" s="544"/>
      <c r="CQ270" s="544"/>
      <c r="CR270" s="544"/>
      <c r="CS270" s="544"/>
    </row>
    <row r="271" spans="1:97" s="142" customFormat="1" ht="12.75" hidden="1" x14ac:dyDescent="0.2">
      <c r="A271" s="735">
        <v>264</v>
      </c>
      <c r="B271" s="732" t="s">
        <v>424</v>
      </c>
      <c r="C271" s="738" t="s">
        <v>425</v>
      </c>
      <c r="D271" s="905">
        <v>463984.040104585</v>
      </c>
      <c r="E271" s="905">
        <v>365400862</v>
      </c>
      <c r="F271" s="905">
        <v>11841</v>
      </c>
      <c r="G271" s="166">
        <v>180343751</v>
      </c>
      <c r="H271" s="166">
        <v>-13239032</v>
      </c>
      <c r="I271" s="166">
        <v>3498359</v>
      </c>
      <c r="J271" s="166">
        <v>-9740673</v>
      </c>
      <c r="K271" s="166">
        <v>-8788474</v>
      </c>
      <c r="L271" s="166">
        <v>-21094</v>
      </c>
      <c r="M271" s="166">
        <v>-12982</v>
      </c>
      <c r="N271" s="166">
        <v>0</v>
      </c>
      <c r="O271" s="166">
        <v>0</v>
      </c>
      <c r="P271" s="166">
        <v>-5500000</v>
      </c>
      <c r="Q271" s="166">
        <v>-668406</v>
      </c>
      <c r="R271" s="166">
        <v>-405182</v>
      </c>
      <c r="S271" s="166">
        <v>0</v>
      </c>
      <c r="T271" s="166"/>
      <c r="U271" s="166">
        <v>0</v>
      </c>
      <c r="V271" s="166">
        <v>-218896</v>
      </c>
      <c r="W271" s="166">
        <v>-218896</v>
      </c>
      <c r="X271" s="166">
        <v>0</v>
      </c>
      <c r="Y271" s="166">
        <v>0</v>
      </c>
      <c r="Z271" s="166">
        <v>138590607</v>
      </c>
      <c r="AA271" s="166">
        <v>-1400000</v>
      </c>
      <c r="AB271" s="166"/>
      <c r="AC271" s="166">
        <v>-10378527</v>
      </c>
      <c r="AD271" s="166">
        <v>465</v>
      </c>
      <c r="AE271" s="166">
        <v>1</v>
      </c>
      <c r="AF271" s="166">
        <v>7</v>
      </c>
      <c r="AG271" s="166"/>
      <c r="AH271" s="166">
        <v>0</v>
      </c>
      <c r="AI271" s="166">
        <v>0</v>
      </c>
      <c r="AJ271" s="166">
        <v>1038</v>
      </c>
      <c r="AK271" s="166">
        <v>225</v>
      </c>
      <c r="AL271" s="166">
        <v>70</v>
      </c>
      <c r="AM271" s="166">
        <v>0</v>
      </c>
      <c r="AN271" s="166">
        <v>0</v>
      </c>
      <c r="AO271" s="166">
        <v>12</v>
      </c>
      <c r="AP271" s="166">
        <v>5</v>
      </c>
      <c r="AQ271" s="166">
        <v>0</v>
      </c>
      <c r="AR271" s="166">
        <v>1120</v>
      </c>
      <c r="AS271" s="166">
        <v>1077</v>
      </c>
      <c r="AT271" s="166">
        <v>5280</v>
      </c>
      <c r="AU271" s="166">
        <v>4997</v>
      </c>
      <c r="AV271" s="166">
        <v>283</v>
      </c>
      <c r="AW271" s="166">
        <v>5403</v>
      </c>
      <c r="AX271" s="166">
        <v>-495000</v>
      </c>
      <c r="AY271" s="166">
        <v>-495000</v>
      </c>
      <c r="AZ271" s="166">
        <v>0</v>
      </c>
      <c r="BA271" s="166">
        <v>-110000</v>
      </c>
      <c r="BB271" s="166">
        <v>-2365000</v>
      </c>
      <c r="BC271" s="166">
        <v>-2035000</v>
      </c>
      <c r="BD271" s="166">
        <v>0</v>
      </c>
      <c r="BE271" s="166">
        <v>10162175</v>
      </c>
      <c r="BF271" s="166"/>
      <c r="BG271" s="760">
        <v>46938450</v>
      </c>
      <c r="BH271" s="760">
        <v>33250</v>
      </c>
      <c r="BI271" s="815">
        <v>9840412</v>
      </c>
      <c r="BJ271" s="1044" t="s">
        <v>2468</v>
      </c>
      <c r="BK271" s="1044" t="s">
        <v>2469</v>
      </c>
      <c r="BL271" s="1044" t="s">
        <v>2726</v>
      </c>
      <c r="BM271" s="650"/>
      <c r="BN271" s="746" t="s">
        <v>425</v>
      </c>
      <c r="BO271" s="142" t="b">
        <v>1</v>
      </c>
      <c r="BP271" s="544"/>
      <c r="BQ271" s="544"/>
      <c r="BR271" s="544"/>
      <c r="BS271" s="544"/>
      <c r="BT271" s="544"/>
      <c r="BU271" s="544"/>
      <c r="BV271" s="544"/>
      <c r="BW271" s="544"/>
      <c r="BX271" s="544"/>
      <c r="BY271" s="544"/>
      <c r="BZ271" s="544"/>
      <c r="CA271" s="544"/>
      <c r="CB271" s="544"/>
      <c r="CC271" s="544"/>
      <c r="CD271" s="544"/>
      <c r="CE271" s="544"/>
      <c r="CF271" s="544"/>
      <c r="CG271" s="544"/>
      <c r="CH271" s="544"/>
      <c r="CI271" s="544"/>
      <c r="CJ271" s="544"/>
      <c r="CK271" s="544"/>
      <c r="CL271" s="544"/>
      <c r="CM271" s="544"/>
      <c r="CN271" s="544"/>
      <c r="CO271" s="544"/>
      <c r="CP271" s="544"/>
      <c r="CQ271" s="544"/>
      <c r="CR271" s="544"/>
      <c r="CS271" s="544"/>
    </row>
    <row r="272" spans="1:97" s="142" customFormat="1" ht="12.75" hidden="1" x14ac:dyDescent="0.2">
      <c r="A272" s="735">
        <v>265</v>
      </c>
      <c r="B272" s="732" t="s">
        <v>426</v>
      </c>
      <c r="C272" s="738" t="s">
        <v>427</v>
      </c>
      <c r="D272" s="905">
        <v>317566.67331916897</v>
      </c>
      <c r="E272" s="905">
        <v>202127806</v>
      </c>
      <c r="F272" s="905">
        <v>8457</v>
      </c>
      <c r="G272" s="166">
        <v>100407575</v>
      </c>
      <c r="H272" s="166">
        <v>-9364132</v>
      </c>
      <c r="I272" s="166">
        <v>1771181</v>
      </c>
      <c r="J272" s="166">
        <v>-7592951</v>
      </c>
      <c r="K272" s="166">
        <v>-6386813</v>
      </c>
      <c r="L272" s="166">
        <v>-55739</v>
      </c>
      <c r="M272" s="166">
        <v>0</v>
      </c>
      <c r="N272" s="166">
        <v>0</v>
      </c>
      <c r="O272" s="166">
        <v>0</v>
      </c>
      <c r="P272" s="166">
        <v>-1732295</v>
      </c>
      <c r="Q272" s="166">
        <v>-133678</v>
      </c>
      <c r="R272" s="166">
        <v>-40638</v>
      </c>
      <c r="S272" s="166">
        <v>-3669</v>
      </c>
      <c r="T272" s="166"/>
      <c r="U272" s="166">
        <v>0</v>
      </c>
      <c r="V272" s="166">
        <v>0</v>
      </c>
      <c r="W272" s="166">
        <v>0</v>
      </c>
      <c r="X272" s="166">
        <v>0</v>
      </c>
      <c r="Y272" s="166">
        <v>0</v>
      </c>
      <c r="Z272" s="166">
        <v>71459970</v>
      </c>
      <c r="AA272" s="166">
        <v>-2500000</v>
      </c>
      <c r="AB272" s="166"/>
      <c r="AC272" s="166">
        <v>-3485872</v>
      </c>
      <c r="AD272" s="166">
        <v>388</v>
      </c>
      <c r="AE272" s="166">
        <v>12</v>
      </c>
      <c r="AF272" s="166">
        <v>0</v>
      </c>
      <c r="AG272" s="166"/>
      <c r="AH272" s="166">
        <v>0</v>
      </c>
      <c r="AI272" s="166">
        <v>0</v>
      </c>
      <c r="AJ272" s="166">
        <v>807</v>
      </c>
      <c r="AK272" s="166">
        <v>159</v>
      </c>
      <c r="AL272" s="166">
        <v>12</v>
      </c>
      <c r="AM272" s="166">
        <v>0</v>
      </c>
      <c r="AN272" s="166">
        <v>0</v>
      </c>
      <c r="AO272" s="166">
        <v>9</v>
      </c>
      <c r="AP272" s="166">
        <v>1</v>
      </c>
      <c r="AQ272" s="166">
        <v>0</v>
      </c>
      <c r="AR272" s="166">
        <v>494</v>
      </c>
      <c r="AS272" s="166">
        <v>2143</v>
      </c>
      <c r="AT272" s="166">
        <v>3749</v>
      </c>
      <c r="AU272" s="166">
        <v>3567</v>
      </c>
      <c r="AV272" s="166">
        <v>182</v>
      </c>
      <c r="AW272" s="166">
        <v>2656</v>
      </c>
      <c r="AX272" s="166">
        <v>-218524</v>
      </c>
      <c r="AY272" s="166">
        <v>-363019</v>
      </c>
      <c r="AZ272" s="166">
        <v>0</v>
      </c>
      <c r="BA272" s="166">
        <v>-32369</v>
      </c>
      <c r="BB272" s="166">
        <v>-1118383</v>
      </c>
      <c r="BC272" s="166">
        <v>0</v>
      </c>
      <c r="BD272" s="166">
        <v>-821478</v>
      </c>
      <c r="BE272" s="166">
        <v>-4572369</v>
      </c>
      <c r="BF272" s="166"/>
      <c r="BG272" s="760">
        <v>25592750</v>
      </c>
      <c r="BH272" s="760">
        <v>78750</v>
      </c>
      <c r="BI272" s="815">
        <v>-6028929</v>
      </c>
      <c r="BJ272" s="1044" t="s">
        <v>2468</v>
      </c>
      <c r="BK272" s="1044" t="s">
        <v>2478</v>
      </c>
      <c r="BL272" s="1044" t="s">
        <v>2727</v>
      </c>
      <c r="BM272" s="650"/>
      <c r="BN272" s="746" t="s">
        <v>427</v>
      </c>
      <c r="BO272" s="142" t="b">
        <v>1</v>
      </c>
      <c r="BP272" s="544"/>
      <c r="BQ272" s="544"/>
      <c r="BR272" s="544"/>
      <c r="BS272" s="544"/>
      <c r="BT272" s="544"/>
      <c r="BU272" s="544"/>
      <c r="BV272" s="544"/>
      <c r="BW272" s="544"/>
      <c r="BX272" s="544"/>
      <c r="BY272" s="544"/>
      <c r="BZ272" s="544"/>
      <c r="CA272" s="544"/>
      <c r="CB272" s="544"/>
      <c r="CC272" s="544"/>
      <c r="CD272" s="544"/>
      <c r="CE272" s="544"/>
      <c r="CF272" s="544"/>
      <c r="CG272" s="544"/>
      <c r="CH272" s="544"/>
      <c r="CI272" s="544"/>
      <c r="CJ272" s="544"/>
      <c r="CK272" s="544"/>
      <c r="CL272" s="544"/>
      <c r="CM272" s="544"/>
      <c r="CN272" s="544"/>
      <c r="CO272" s="544"/>
      <c r="CP272" s="544"/>
      <c r="CQ272" s="544"/>
      <c r="CR272" s="544"/>
      <c r="CS272" s="544"/>
    </row>
    <row r="273" spans="1:98" s="142" customFormat="1" ht="12.75" hidden="1" x14ac:dyDescent="0.2">
      <c r="A273" s="735">
        <v>266</v>
      </c>
      <c r="B273" s="732" t="s">
        <v>428</v>
      </c>
      <c r="C273" s="738" t="s">
        <v>429</v>
      </c>
      <c r="D273" s="905">
        <v>277379.32429694</v>
      </c>
      <c r="E273" s="905">
        <v>191071545</v>
      </c>
      <c r="F273" s="905">
        <v>6733</v>
      </c>
      <c r="G273" s="166">
        <v>95643126</v>
      </c>
      <c r="H273" s="166">
        <v>-8113010</v>
      </c>
      <c r="I273" s="166">
        <v>1507596</v>
      </c>
      <c r="J273" s="166">
        <v>-6605414</v>
      </c>
      <c r="K273" s="166">
        <v>-8000000</v>
      </c>
      <c r="L273" s="166">
        <v>-46437</v>
      </c>
      <c r="M273" s="166">
        <v>0</v>
      </c>
      <c r="N273" s="166">
        <v>0</v>
      </c>
      <c r="O273" s="166">
        <v>-10000</v>
      </c>
      <c r="P273" s="166">
        <v>-2000000</v>
      </c>
      <c r="Q273" s="166">
        <v>-275148</v>
      </c>
      <c r="R273" s="166">
        <v>-227478</v>
      </c>
      <c r="S273" s="166">
        <v>-717</v>
      </c>
      <c r="T273" s="166"/>
      <c r="U273" s="166">
        <v>0</v>
      </c>
      <c r="V273" s="166">
        <v>0</v>
      </c>
      <c r="W273" s="166">
        <v>0</v>
      </c>
      <c r="X273" s="166">
        <v>0</v>
      </c>
      <c r="Y273" s="166">
        <v>0</v>
      </c>
      <c r="Z273" s="166">
        <v>58207430</v>
      </c>
      <c r="AA273" s="166">
        <v>-2826000</v>
      </c>
      <c r="AB273" s="166"/>
      <c r="AC273" s="166">
        <v>-11532228</v>
      </c>
      <c r="AD273" s="166">
        <v>250</v>
      </c>
      <c r="AE273" s="166">
        <v>7</v>
      </c>
      <c r="AF273" s="166">
        <v>0</v>
      </c>
      <c r="AG273" s="166"/>
      <c r="AH273" s="166">
        <v>0</v>
      </c>
      <c r="AI273" s="166">
        <v>0</v>
      </c>
      <c r="AJ273" s="166">
        <v>401</v>
      </c>
      <c r="AK273" s="166">
        <v>37</v>
      </c>
      <c r="AL273" s="166">
        <v>19</v>
      </c>
      <c r="AM273" s="166">
        <v>0</v>
      </c>
      <c r="AN273" s="166">
        <v>0</v>
      </c>
      <c r="AO273" s="166">
        <v>1</v>
      </c>
      <c r="AP273" s="166">
        <v>0</v>
      </c>
      <c r="AQ273" s="166">
        <v>0</v>
      </c>
      <c r="AR273" s="166">
        <v>1333</v>
      </c>
      <c r="AS273" s="166">
        <v>1218</v>
      </c>
      <c r="AT273" s="166">
        <v>2809</v>
      </c>
      <c r="AU273" s="166">
        <v>2386</v>
      </c>
      <c r="AV273" s="166">
        <v>423</v>
      </c>
      <c r="AW273" s="166">
        <v>2870</v>
      </c>
      <c r="AX273" s="166">
        <v>-773400</v>
      </c>
      <c r="AY273" s="166">
        <v>-320800</v>
      </c>
      <c r="AZ273" s="166">
        <v>0</v>
      </c>
      <c r="BA273" s="166">
        <v>-229000</v>
      </c>
      <c r="BB273" s="166">
        <v>-658600</v>
      </c>
      <c r="BC273" s="166">
        <v>-18200</v>
      </c>
      <c r="BD273" s="166">
        <v>-2132015</v>
      </c>
      <c r="BE273" s="166">
        <v>-195121</v>
      </c>
      <c r="BF273" s="166"/>
      <c r="BG273" s="760">
        <v>19409750</v>
      </c>
      <c r="BH273" s="760">
        <v>0</v>
      </c>
      <c r="BI273" s="815">
        <v>2754966</v>
      </c>
      <c r="BJ273" s="1044" t="s">
        <v>2464</v>
      </c>
      <c r="BK273" s="1044" t="s">
        <v>2465</v>
      </c>
      <c r="BL273" s="1044" t="s">
        <v>2728</v>
      </c>
      <c r="BM273" s="650"/>
      <c r="BN273" s="746" t="s">
        <v>429</v>
      </c>
      <c r="BO273" s="142" t="b">
        <v>1</v>
      </c>
      <c r="BP273" s="544"/>
      <c r="BQ273" s="544"/>
      <c r="BR273" s="544"/>
      <c r="BS273" s="544"/>
      <c r="BT273" s="544"/>
      <c r="BU273" s="544"/>
      <c r="BV273" s="544"/>
      <c r="BW273" s="544"/>
      <c r="BX273" s="544"/>
      <c r="BY273" s="544"/>
      <c r="BZ273" s="544"/>
      <c r="CA273" s="544"/>
      <c r="CB273" s="544"/>
      <c r="CC273" s="544"/>
      <c r="CD273" s="544"/>
      <c r="CE273" s="544"/>
      <c r="CF273" s="544"/>
      <c r="CG273" s="544"/>
      <c r="CH273" s="544"/>
      <c r="CI273" s="544"/>
      <c r="CJ273" s="544"/>
      <c r="CK273" s="544"/>
      <c r="CL273" s="544"/>
      <c r="CM273" s="544"/>
      <c r="CN273" s="544"/>
      <c r="CO273" s="544"/>
      <c r="CP273" s="544"/>
      <c r="CQ273" s="544"/>
      <c r="CR273" s="544"/>
      <c r="CS273" s="544"/>
    </row>
    <row r="274" spans="1:98" s="741" customFormat="1" ht="12.75" hidden="1" x14ac:dyDescent="0.2">
      <c r="A274" s="735">
        <v>267</v>
      </c>
      <c r="B274" s="732" t="s">
        <v>430</v>
      </c>
      <c r="C274" s="738" t="s">
        <v>431</v>
      </c>
      <c r="D274" s="905">
        <v>426738.04257569002</v>
      </c>
      <c r="E274" s="905">
        <v>338866893</v>
      </c>
      <c r="F274" s="905">
        <v>8409</v>
      </c>
      <c r="G274" s="166">
        <v>168075138</v>
      </c>
      <c r="H274" s="166">
        <v>-7609349</v>
      </c>
      <c r="I274" s="166">
        <v>3174224</v>
      </c>
      <c r="J274" s="166">
        <v>-4435125</v>
      </c>
      <c r="K274" s="166">
        <v>-14745360</v>
      </c>
      <c r="L274" s="166">
        <v>-26563</v>
      </c>
      <c r="M274" s="166">
        <v>0</v>
      </c>
      <c r="N274" s="166">
        <v>0</v>
      </c>
      <c r="O274" s="166">
        <v>0</v>
      </c>
      <c r="P274" s="166">
        <v>-3244541</v>
      </c>
      <c r="Q274" s="166">
        <v>-214554</v>
      </c>
      <c r="R274" s="166">
        <v>-1414055</v>
      </c>
      <c r="S274" s="166">
        <v>-845</v>
      </c>
      <c r="T274" s="166"/>
      <c r="U274" s="166">
        <v>0</v>
      </c>
      <c r="V274" s="166">
        <v>0</v>
      </c>
      <c r="W274" s="166">
        <v>0</v>
      </c>
      <c r="X274" s="166">
        <v>0</v>
      </c>
      <c r="Y274" s="166">
        <v>0</v>
      </c>
      <c r="Z274" s="166">
        <v>114101085</v>
      </c>
      <c r="AA274" s="166">
        <v>-3651200</v>
      </c>
      <c r="AB274" s="166"/>
      <c r="AC274" s="166">
        <v>-20886960</v>
      </c>
      <c r="AD274" s="166">
        <v>358</v>
      </c>
      <c r="AE274" s="166">
        <v>7</v>
      </c>
      <c r="AF274" s="166">
        <v>0</v>
      </c>
      <c r="AG274" s="166"/>
      <c r="AH274" s="166">
        <v>0</v>
      </c>
      <c r="AI274" s="166">
        <v>0</v>
      </c>
      <c r="AJ274" s="166">
        <v>1141</v>
      </c>
      <c r="AK274" s="166">
        <v>35</v>
      </c>
      <c r="AL274" s="166">
        <v>18</v>
      </c>
      <c r="AM274" s="166">
        <v>0</v>
      </c>
      <c r="AN274" s="166">
        <v>0</v>
      </c>
      <c r="AO274" s="166">
        <v>20</v>
      </c>
      <c r="AP274" s="166">
        <v>0</v>
      </c>
      <c r="AQ274" s="166">
        <v>0</v>
      </c>
      <c r="AR274" s="166">
        <v>2037</v>
      </c>
      <c r="AS274" s="166">
        <v>2345</v>
      </c>
      <c r="AT274" s="166">
        <v>2479</v>
      </c>
      <c r="AU274" s="166">
        <v>2190</v>
      </c>
      <c r="AV274" s="166">
        <v>289</v>
      </c>
      <c r="AW274" s="166">
        <v>3877</v>
      </c>
      <c r="AX274" s="166">
        <v>-152042</v>
      </c>
      <c r="AY274" s="166">
        <v>-557699</v>
      </c>
      <c r="AZ274" s="166">
        <v>0</v>
      </c>
      <c r="BA274" s="166">
        <v>0</v>
      </c>
      <c r="BB274" s="166">
        <v>-2534800</v>
      </c>
      <c r="BC274" s="166">
        <v>0</v>
      </c>
      <c r="BD274" s="166">
        <v>-945012</v>
      </c>
      <c r="BE274" s="166">
        <v>1960856</v>
      </c>
      <c r="BF274" s="166"/>
      <c r="BG274" s="760">
        <v>35833750</v>
      </c>
      <c r="BH274" s="760">
        <v>1331350</v>
      </c>
      <c r="BI274" s="815">
        <v>-5178890</v>
      </c>
      <c r="BJ274" s="1044" t="s">
        <v>2506</v>
      </c>
      <c r="BK274" s="1044" t="s">
        <v>2465</v>
      </c>
      <c r="BL274" s="1044" t="s">
        <v>2729</v>
      </c>
      <c r="BM274" s="650"/>
      <c r="BN274" s="746" t="s">
        <v>431</v>
      </c>
      <c r="BO274" s="142" t="b">
        <v>1</v>
      </c>
      <c r="BP274" s="544"/>
      <c r="BQ274" s="544"/>
      <c r="BR274" s="544"/>
      <c r="BS274" s="544"/>
      <c r="BT274" s="544"/>
      <c r="BU274" s="544"/>
      <c r="BV274" s="544"/>
      <c r="BW274" s="544"/>
      <c r="BX274" s="544"/>
      <c r="BY274" s="544"/>
      <c r="BZ274" s="544"/>
      <c r="CA274" s="544"/>
      <c r="CB274" s="544"/>
      <c r="CC274" s="544"/>
      <c r="CD274" s="544"/>
      <c r="CE274" s="544"/>
      <c r="CF274" s="544"/>
      <c r="CG274" s="544"/>
      <c r="CH274" s="544"/>
      <c r="CI274" s="544"/>
      <c r="CJ274" s="544"/>
      <c r="CK274" s="544"/>
      <c r="CL274" s="544"/>
      <c r="CM274" s="544"/>
      <c r="CN274" s="544"/>
      <c r="CO274" s="544"/>
      <c r="CP274" s="544"/>
      <c r="CQ274" s="544"/>
      <c r="CR274" s="544"/>
      <c r="CS274" s="544"/>
      <c r="CT274" s="142"/>
    </row>
    <row r="275" spans="1:98" s="142" customFormat="1" ht="12.75" hidden="1" x14ac:dyDescent="0.2">
      <c r="A275" s="735">
        <v>268</v>
      </c>
      <c r="B275" s="732" t="s">
        <v>544</v>
      </c>
      <c r="C275" s="738" t="s">
        <v>433</v>
      </c>
      <c r="D275" s="905">
        <v>289290.25809104199</v>
      </c>
      <c r="E275" s="905">
        <v>261010628</v>
      </c>
      <c r="F275" s="905">
        <v>7013</v>
      </c>
      <c r="G275" s="166">
        <v>129459376</v>
      </c>
      <c r="H275" s="166">
        <v>-6601604</v>
      </c>
      <c r="I275" s="166">
        <v>2557638</v>
      </c>
      <c r="J275" s="166">
        <v>-4043966</v>
      </c>
      <c r="K275" s="166">
        <v>-5816413</v>
      </c>
      <c r="L275" s="166">
        <v>0</v>
      </c>
      <c r="M275" s="166">
        <v>0</v>
      </c>
      <c r="N275" s="166">
        <v>-599</v>
      </c>
      <c r="O275" s="166">
        <v>0</v>
      </c>
      <c r="P275" s="166">
        <v>-1817493</v>
      </c>
      <c r="Q275" s="166">
        <v>-189337</v>
      </c>
      <c r="R275" s="166">
        <v>-1194452</v>
      </c>
      <c r="S275" s="166">
        <v>0</v>
      </c>
      <c r="T275" s="166"/>
      <c r="U275" s="166">
        <v>-4421</v>
      </c>
      <c r="V275" s="166">
        <v>-419036</v>
      </c>
      <c r="W275" s="166">
        <v>-419036</v>
      </c>
      <c r="X275" s="166">
        <v>0</v>
      </c>
      <c r="Y275" s="166">
        <v>0</v>
      </c>
      <c r="Z275" s="166">
        <v>101931630</v>
      </c>
      <c r="AA275" s="166">
        <v>-1300000</v>
      </c>
      <c r="AB275" s="166"/>
      <c r="AC275" s="166">
        <v>-8103889</v>
      </c>
      <c r="AD275" s="166">
        <v>296</v>
      </c>
      <c r="AE275" s="166">
        <v>8</v>
      </c>
      <c r="AF275" s="166">
        <v>0</v>
      </c>
      <c r="AG275" s="166"/>
      <c r="AH275" s="166">
        <v>0</v>
      </c>
      <c r="AI275" s="166">
        <v>0</v>
      </c>
      <c r="AJ275" s="166">
        <v>329</v>
      </c>
      <c r="AK275" s="166">
        <v>117</v>
      </c>
      <c r="AL275" s="166">
        <v>25</v>
      </c>
      <c r="AM275" s="166">
        <v>0</v>
      </c>
      <c r="AN275" s="166">
        <v>1</v>
      </c>
      <c r="AO275" s="166">
        <v>3</v>
      </c>
      <c r="AP275" s="166">
        <v>9</v>
      </c>
      <c r="AQ275" s="166">
        <v>0</v>
      </c>
      <c r="AR275" s="166">
        <v>819</v>
      </c>
      <c r="AS275" s="166">
        <v>1741</v>
      </c>
      <c r="AT275" s="166">
        <v>2406</v>
      </c>
      <c r="AU275" s="166">
        <v>2216</v>
      </c>
      <c r="AV275" s="166">
        <v>190</v>
      </c>
      <c r="AW275" s="166">
        <v>2828</v>
      </c>
      <c r="AX275" s="166">
        <v>-866033</v>
      </c>
      <c r="AY275" s="166">
        <v>-263122</v>
      </c>
      <c r="AZ275" s="166">
        <v>0</v>
      </c>
      <c r="BA275" s="166">
        <v>-2918</v>
      </c>
      <c r="BB275" s="166">
        <v>-674940</v>
      </c>
      <c r="BC275" s="166">
        <v>-10480</v>
      </c>
      <c r="BD275" s="166">
        <v>-6218</v>
      </c>
      <c r="BE275" s="166">
        <v>0</v>
      </c>
      <c r="BF275" s="166"/>
      <c r="BG275" s="760">
        <v>30718150</v>
      </c>
      <c r="BH275" s="760">
        <v>275500</v>
      </c>
      <c r="BI275" s="815">
        <v>7724588</v>
      </c>
      <c r="BJ275" s="1044" t="s">
        <v>515</v>
      </c>
      <c r="BK275" s="1044" t="s">
        <v>2481</v>
      </c>
      <c r="BL275" s="1044" t="s">
        <v>2730</v>
      </c>
      <c r="BM275" s="650"/>
      <c r="BN275" s="746" t="s">
        <v>433</v>
      </c>
      <c r="BO275" s="142" t="b">
        <v>1</v>
      </c>
      <c r="BP275" s="544"/>
      <c r="BQ275" s="544"/>
      <c r="BR275" s="544"/>
      <c r="BS275" s="544"/>
      <c r="BT275" s="544"/>
      <c r="BU275" s="544"/>
      <c r="BV275" s="544"/>
      <c r="BW275" s="544"/>
      <c r="BX275" s="544"/>
      <c r="BY275" s="544"/>
      <c r="BZ275" s="544"/>
      <c r="CA275" s="544"/>
      <c r="CB275" s="544"/>
      <c r="CC275" s="544"/>
      <c r="CD275" s="544"/>
      <c r="CE275" s="544"/>
      <c r="CF275" s="544"/>
      <c r="CG275" s="544"/>
      <c r="CH275" s="544"/>
      <c r="CI275" s="544"/>
      <c r="CJ275" s="544"/>
      <c r="CK275" s="544"/>
      <c r="CL275" s="544"/>
      <c r="CM275" s="544"/>
      <c r="CN275" s="544"/>
      <c r="CO275" s="544"/>
      <c r="CP275" s="544"/>
      <c r="CQ275" s="544"/>
      <c r="CR275" s="544"/>
      <c r="CS275" s="544"/>
    </row>
    <row r="276" spans="1:98" s="142" customFormat="1" ht="12.75" x14ac:dyDescent="0.2">
      <c r="A276" s="735">
        <v>269</v>
      </c>
      <c r="B276" s="732" t="s">
        <v>434</v>
      </c>
      <c r="C276" s="738" t="s">
        <v>435</v>
      </c>
      <c r="D276" s="905">
        <v>221067.041770985</v>
      </c>
      <c r="E276" s="905">
        <v>195132357</v>
      </c>
      <c r="F276" s="905">
        <v>5340</v>
      </c>
      <c r="G276" s="166">
        <v>97171918</v>
      </c>
      <c r="H276" s="166">
        <v>-4880992</v>
      </c>
      <c r="I276" s="166">
        <v>1896383</v>
      </c>
      <c r="J276" s="166">
        <v>-2984609</v>
      </c>
      <c r="K276" s="166">
        <v>-5610886</v>
      </c>
      <c r="L276" s="166">
        <v>-63556</v>
      </c>
      <c r="M276" s="166">
        <v>-19363</v>
      </c>
      <c r="N276" s="166">
        <v>-14400</v>
      </c>
      <c r="O276" s="166">
        <v>0</v>
      </c>
      <c r="P276" s="166">
        <v>-1603238</v>
      </c>
      <c r="Q276" s="166">
        <v>-10258</v>
      </c>
      <c r="R276" s="166">
        <v>-99788</v>
      </c>
      <c r="S276" s="166">
        <v>0</v>
      </c>
      <c r="T276" s="166"/>
      <c r="U276" s="166">
        <v>0</v>
      </c>
      <c r="V276" s="166">
        <v>0</v>
      </c>
      <c r="W276" s="166">
        <v>0</v>
      </c>
      <c r="X276" s="166">
        <v>0</v>
      </c>
      <c r="Y276" s="166">
        <v>-11843</v>
      </c>
      <c r="Z276" s="166">
        <v>74373870</v>
      </c>
      <c r="AA276" s="166">
        <v>-3495572</v>
      </c>
      <c r="AB276" s="166"/>
      <c r="AC276" s="166">
        <v>-7257299</v>
      </c>
      <c r="AD276" s="166">
        <v>276</v>
      </c>
      <c r="AE276" s="166">
        <v>12</v>
      </c>
      <c r="AF276" s="166">
        <v>1</v>
      </c>
      <c r="AG276" s="166"/>
      <c r="AH276" s="166">
        <v>7</v>
      </c>
      <c r="AI276" s="166">
        <v>0</v>
      </c>
      <c r="AJ276" s="166">
        <v>311</v>
      </c>
      <c r="AK276" s="166">
        <v>32</v>
      </c>
      <c r="AL276" s="166">
        <v>16</v>
      </c>
      <c r="AM276" s="166">
        <v>7</v>
      </c>
      <c r="AN276" s="166">
        <v>0</v>
      </c>
      <c r="AO276" s="166">
        <v>0</v>
      </c>
      <c r="AP276" s="166">
        <v>0</v>
      </c>
      <c r="AQ276" s="166">
        <v>0</v>
      </c>
      <c r="AR276" s="166">
        <v>893</v>
      </c>
      <c r="AS276" s="166">
        <v>1360</v>
      </c>
      <c r="AT276" s="166">
        <v>1722</v>
      </c>
      <c r="AU276" s="166">
        <v>1573</v>
      </c>
      <c r="AV276" s="166">
        <v>149</v>
      </c>
      <c r="AW276" s="166">
        <v>2169</v>
      </c>
      <c r="AX276" s="166">
        <v>-67658</v>
      </c>
      <c r="AY276" s="166">
        <v>-909226</v>
      </c>
      <c r="AZ276" s="166">
        <v>0</v>
      </c>
      <c r="BA276" s="166">
        <v>0</v>
      </c>
      <c r="BB276" s="166">
        <v>-578043</v>
      </c>
      <c r="BC276" s="166">
        <v>-48311</v>
      </c>
      <c r="BD276" s="166">
        <v>0</v>
      </c>
      <c r="BE276" s="166">
        <v>8538098</v>
      </c>
      <c r="BF276" s="166"/>
      <c r="BG276" s="760">
        <v>24068167</v>
      </c>
      <c r="BH276" s="760">
        <v>0</v>
      </c>
      <c r="BI276" s="815">
        <v>-3376648</v>
      </c>
      <c r="BJ276" s="1044" t="s">
        <v>2454</v>
      </c>
      <c r="BK276" s="1044" t="s">
        <v>2478</v>
      </c>
      <c r="BL276" s="1044" t="s">
        <v>2731</v>
      </c>
      <c r="BM276" s="650"/>
      <c r="BN276" s="746" t="s">
        <v>435</v>
      </c>
      <c r="BO276" s="142" t="b">
        <v>1</v>
      </c>
      <c r="BP276" s="544"/>
      <c r="BQ276" s="544"/>
      <c r="BR276" s="544"/>
      <c r="BS276" s="544"/>
      <c r="BT276" s="544"/>
      <c r="BU276" s="544"/>
      <c r="BV276" s="544"/>
      <c r="BW276" s="544"/>
      <c r="BX276" s="544"/>
      <c r="BY276" s="544"/>
      <c r="BZ276" s="544"/>
      <c r="CA276" s="544"/>
      <c r="CB276" s="544"/>
      <c r="CC276" s="544"/>
      <c r="CD276" s="544"/>
      <c r="CE276" s="544"/>
      <c r="CF276" s="544"/>
      <c r="CG276" s="544"/>
      <c r="CH276" s="544"/>
      <c r="CI276" s="544"/>
      <c r="CJ276" s="544"/>
      <c r="CK276" s="544"/>
      <c r="CL276" s="544"/>
      <c r="CM276" s="544"/>
      <c r="CN276" s="544"/>
      <c r="CO276" s="544"/>
      <c r="CP276" s="544"/>
      <c r="CQ276" s="544"/>
      <c r="CR276" s="544"/>
      <c r="CS276" s="544"/>
    </row>
    <row r="277" spans="1:98" s="142" customFormat="1" ht="12.75" x14ac:dyDescent="0.2">
      <c r="A277" s="735">
        <v>270</v>
      </c>
      <c r="B277" s="732" t="s">
        <v>436</v>
      </c>
      <c r="C277" s="738" t="s">
        <v>437</v>
      </c>
      <c r="D277" s="905">
        <v>142541.354556462</v>
      </c>
      <c r="E277" s="905">
        <v>156123414</v>
      </c>
      <c r="F277" s="905">
        <v>2914</v>
      </c>
      <c r="G277" s="166">
        <v>78543709</v>
      </c>
      <c r="H277" s="166">
        <v>-2127411</v>
      </c>
      <c r="I277" s="166">
        <v>1659406</v>
      </c>
      <c r="J277" s="166">
        <v>-468005</v>
      </c>
      <c r="K277" s="166">
        <v>-4184835</v>
      </c>
      <c r="L277" s="166">
        <v>0</v>
      </c>
      <c r="M277" s="166">
        <v>-84401</v>
      </c>
      <c r="N277" s="166">
        <v>0</v>
      </c>
      <c r="O277" s="166">
        <v>0</v>
      </c>
      <c r="P277" s="166">
        <v>-500096</v>
      </c>
      <c r="Q277" s="166">
        <v>-150131</v>
      </c>
      <c r="R277" s="166">
        <v>-22336</v>
      </c>
      <c r="S277" s="166">
        <v>0</v>
      </c>
      <c r="T277" s="166"/>
      <c r="U277" s="166">
        <v>0</v>
      </c>
      <c r="V277" s="166">
        <v>0</v>
      </c>
      <c r="W277" s="166">
        <v>0</v>
      </c>
      <c r="X277" s="166">
        <v>0</v>
      </c>
      <c r="Y277" s="166">
        <v>0</v>
      </c>
      <c r="Z277" s="166">
        <v>54549977</v>
      </c>
      <c r="AA277" s="166">
        <v>-1091000</v>
      </c>
      <c r="AB277" s="166"/>
      <c r="AC277" s="166">
        <v>-6851571</v>
      </c>
      <c r="AD277" s="166">
        <v>120</v>
      </c>
      <c r="AE277" s="166">
        <v>8</v>
      </c>
      <c r="AF277" s="166">
        <v>0</v>
      </c>
      <c r="AG277" s="166"/>
      <c r="AH277" s="166">
        <v>0</v>
      </c>
      <c r="AI277" s="166">
        <v>2</v>
      </c>
      <c r="AJ277" s="166">
        <v>214</v>
      </c>
      <c r="AK277" s="166">
        <v>11</v>
      </c>
      <c r="AL277" s="166">
        <v>2</v>
      </c>
      <c r="AM277" s="166">
        <v>0</v>
      </c>
      <c r="AN277" s="166">
        <v>0</v>
      </c>
      <c r="AO277" s="166">
        <v>0</v>
      </c>
      <c r="AP277" s="166">
        <v>0</v>
      </c>
      <c r="AQ277" s="166">
        <v>0</v>
      </c>
      <c r="AR277" s="166">
        <v>612</v>
      </c>
      <c r="AS277" s="166">
        <v>863</v>
      </c>
      <c r="AT277" s="166">
        <v>903</v>
      </c>
      <c r="AU277" s="166">
        <v>813</v>
      </c>
      <c r="AV277" s="166">
        <v>90</v>
      </c>
      <c r="AW277" s="166">
        <v>1206</v>
      </c>
      <c r="AX277" s="166">
        <v>-137258</v>
      </c>
      <c r="AY277" s="166">
        <v>-81133</v>
      </c>
      <c r="AZ277" s="166">
        <v>0</v>
      </c>
      <c r="BA277" s="166">
        <v>-53146</v>
      </c>
      <c r="BB277" s="166">
        <v>-272874</v>
      </c>
      <c r="BC277" s="166">
        <v>-121065</v>
      </c>
      <c r="BD277" s="166">
        <v>-899212</v>
      </c>
      <c r="BE277" s="166">
        <v>-10120039</v>
      </c>
      <c r="BF277" s="166"/>
      <c r="BG277" s="760">
        <v>16830500</v>
      </c>
      <c r="BH277" s="760">
        <v>0</v>
      </c>
      <c r="BI277" s="815">
        <v>-7382781</v>
      </c>
      <c r="BJ277" s="1044" t="s">
        <v>2454</v>
      </c>
      <c r="BK277" s="1044" t="s">
        <v>2462</v>
      </c>
      <c r="BL277" s="1044" t="s">
        <v>2732</v>
      </c>
      <c r="BM277" s="650"/>
      <c r="BN277" s="746" t="s">
        <v>437</v>
      </c>
      <c r="BO277" s="142" t="b">
        <v>1</v>
      </c>
      <c r="BP277" s="544"/>
      <c r="BQ277" s="544"/>
      <c r="BR277" s="544"/>
      <c r="BS277" s="544"/>
      <c r="BT277" s="544"/>
      <c r="BU277" s="544"/>
      <c r="BV277" s="544"/>
      <c r="BW277" s="544"/>
      <c r="BX277" s="544"/>
      <c r="BY277" s="544"/>
      <c r="BZ277" s="544"/>
      <c r="CA277" s="544"/>
      <c r="CB277" s="544"/>
      <c r="CC277" s="544"/>
      <c r="CD277" s="544"/>
      <c r="CE277" s="544"/>
      <c r="CF277" s="544"/>
      <c r="CG277" s="544"/>
      <c r="CH277" s="544"/>
      <c r="CI277" s="544"/>
      <c r="CJ277" s="544"/>
      <c r="CK277" s="544"/>
      <c r="CL277" s="544"/>
      <c r="CM277" s="544"/>
      <c r="CN277" s="544"/>
      <c r="CO277" s="544"/>
      <c r="CP277" s="544"/>
      <c r="CQ277" s="544"/>
      <c r="CR277" s="544"/>
      <c r="CS277" s="544"/>
    </row>
    <row r="278" spans="1:98" s="142" customFormat="1" ht="12.75" x14ac:dyDescent="0.2">
      <c r="A278" s="735">
        <v>271</v>
      </c>
      <c r="B278" s="732" t="s">
        <v>438</v>
      </c>
      <c r="C278" s="738" t="s">
        <v>439</v>
      </c>
      <c r="D278" s="905">
        <v>167141.76061231899</v>
      </c>
      <c r="E278" s="905">
        <v>109745414</v>
      </c>
      <c r="F278" s="905">
        <v>3977</v>
      </c>
      <c r="G278" s="166">
        <v>55262604</v>
      </c>
      <c r="H278" s="166">
        <v>-3926333</v>
      </c>
      <c r="I278" s="166">
        <v>933631</v>
      </c>
      <c r="J278" s="166">
        <v>-2992702</v>
      </c>
      <c r="K278" s="166">
        <v>-6663039</v>
      </c>
      <c r="L278" s="166">
        <v>-46377</v>
      </c>
      <c r="M278" s="166">
        <v>-3251</v>
      </c>
      <c r="N278" s="166">
        <v>-10189</v>
      </c>
      <c r="O278" s="166">
        <v>0</v>
      </c>
      <c r="P278" s="166">
        <v>-1476507</v>
      </c>
      <c r="Q278" s="166">
        <v>-74384</v>
      </c>
      <c r="R278" s="166">
        <v>-535362</v>
      </c>
      <c r="S278" s="166">
        <v>0</v>
      </c>
      <c r="T278" s="166"/>
      <c r="U278" s="166">
        <v>-7901</v>
      </c>
      <c r="V278" s="166">
        <v>0</v>
      </c>
      <c r="W278" s="166">
        <v>0</v>
      </c>
      <c r="X278" s="166">
        <v>0</v>
      </c>
      <c r="Y278" s="166">
        <v>0</v>
      </c>
      <c r="Z278" s="166">
        <v>32560090</v>
      </c>
      <c r="AA278" s="166">
        <v>-1404000</v>
      </c>
      <c r="AB278" s="166"/>
      <c r="AC278" s="166">
        <v>-6822197</v>
      </c>
      <c r="AD278" s="166">
        <v>268</v>
      </c>
      <c r="AE278" s="166">
        <v>26</v>
      </c>
      <c r="AF278" s="166">
        <v>2</v>
      </c>
      <c r="AG278" s="166"/>
      <c r="AH278" s="166">
        <v>6</v>
      </c>
      <c r="AI278" s="166">
        <v>0</v>
      </c>
      <c r="AJ278" s="166">
        <v>226</v>
      </c>
      <c r="AK278" s="166">
        <v>53</v>
      </c>
      <c r="AL278" s="166">
        <v>11</v>
      </c>
      <c r="AM278" s="166">
        <v>2</v>
      </c>
      <c r="AN278" s="166">
        <v>2</v>
      </c>
      <c r="AO278" s="166">
        <v>0</v>
      </c>
      <c r="AP278" s="166">
        <v>0</v>
      </c>
      <c r="AQ278" s="166">
        <v>0</v>
      </c>
      <c r="AR278" s="166">
        <v>769</v>
      </c>
      <c r="AS278" s="166">
        <v>1024</v>
      </c>
      <c r="AT278" s="166">
        <v>1321</v>
      </c>
      <c r="AU278" s="166">
        <v>1154</v>
      </c>
      <c r="AV278" s="166">
        <v>167</v>
      </c>
      <c r="AW278" s="166">
        <v>1663</v>
      </c>
      <c r="AX278" s="166">
        <v>-181209</v>
      </c>
      <c r="AY278" s="166">
        <v>-798677</v>
      </c>
      <c r="AZ278" s="166">
        <v>0</v>
      </c>
      <c r="BA278" s="166">
        <v>0</v>
      </c>
      <c r="BB278" s="166">
        <v>-410197</v>
      </c>
      <c r="BC278" s="166">
        <v>-86424</v>
      </c>
      <c r="BD278" s="166">
        <v>-1140758</v>
      </c>
      <c r="BE278" s="166">
        <v>1253031</v>
      </c>
      <c r="BF278" s="166"/>
      <c r="BG278" s="760">
        <v>20690800</v>
      </c>
      <c r="BH278" s="760">
        <v>0</v>
      </c>
      <c r="BI278" s="815">
        <v>583291</v>
      </c>
      <c r="BJ278" s="1044" t="s">
        <v>2454</v>
      </c>
      <c r="BK278" s="1044" t="s">
        <v>2455</v>
      </c>
      <c r="BL278" s="1044" t="s">
        <v>2733</v>
      </c>
      <c r="BM278" s="650"/>
      <c r="BN278" s="746" t="s">
        <v>439</v>
      </c>
      <c r="BO278" s="142" t="b">
        <v>1</v>
      </c>
      <c r="BP278" s="544"/>
      <c r="BQ278" s="544"/>
      <c r="BR278" s="544"/>
      <c r="BS278" s="544"/>
      <c r="BT278" s="544"/>
      <c r="BU278" s="544"/>
      <c r="BV278" s="544"/>
      <c r="BW278" s="544"/>
      <c r="BX278" s="544"/>
      <c r="BY278" s="544"/>
      <c r="BZ278" s="544"/>
      <c r="CA278" s="544"/>
      <c r="CB278" s="544"/>
      <c r="CC278" s="544"/>
      <c r="CD278" s="544"/>
      <c r="CE278" s="544"/>
      <c r="CF278" s="544"/>
      <c r="CG278" s="544"/>
      <c r="CH278" s="544"/>
      <c r="CI278" s="544"/>
      <c r="CJ278" s="544"/>
      <c r="CK278" s="544"/>
      <c r="CL278" s="544"/>
      <c r="CM278" s="544"/>
      <c r="CN278" s="544"/>
      <c r="CO278" s="544"/>
      <c r="CP278" s="544"/>
      <c r="CQ278" s="544"/>
      <c r="CR278" s="544"/>
      <c r="CS278" s="544"/>
    </row>
    <row r="279" spans="1:98" s="142" customFormat="1" ht="12.75" x14ac:dyDescent="0.2">
      <c r="A279" s="735">
        <v>272</v>
      </c>
      <c r="B279" s="732" t="s">
        <v>440</v>
      </c>
      <c r="C279" s="738" t="s">
        <v>441</v>
      </c>
      <c r="D279" s="905">
        <v>235093.888029511</v>
      </c>
      <c r="E279" s="905">
        <v>109671207</v>
      </c>
      <c r="F279" s="905">
        <v>6655</v>
      </c>
      <c r="G279" s="166">
        <v>54714904</v>
      </c>
      <c r="H279" s="166">
        <v>-8546324</v>
      </c>
      <c r="I279" s="166">
        <v>716198</v>
      </c>
      <c r="J279" s="166">
        <v>-7830126</v>
      </c>
      <c r="K279" s="166">
        <v>-3510589</v>
      </c>
      <c r="L279" s="166">
        <v>-100552</v>
      </c>
      <c r="M279" s="166">
        <v>-64804</v>
      </c>
      <c r="N279" s="166">
        <v>-9612</v>
      </c>
      <c r="O279" s="166">
        <v>-10000</v>
      </c>
      <c r="P279" s="166">
        <v>-381798</v>
      </c>
      <c r="Q279" s="166">
        <v>-112413</v>
      </c>
      <c r="R279" s="166">
        <v>-7947</v>
      </c>
      <c r="S279" s="166">
        <v>0</v>
      </c>
      <c r="T279" s="166"/>
      <c r="U279" s="166">
        <v>-5000</v>
      </c>
      <c r="V279" s="166">
        <v>0</v>
      </c>
      <c r="W279" s="166">
        <v>0</v>
      </c>
      <c r="X279" s="166">
        <v>0</v>
      </c>
      <c r="Y279" s="166">
        <v>-32402</v>
      </c>
      <c r="Z279" s="166">
        <v>32319498</v>
      </c>
      <c r="AA279" s="166">
        <v>-1200000</v>
      </c>
      <c r="AB279" s="166"/>
      <c r="AC279" s="166">
        <v>-5248165</v>
      </c>
      <c r="AD279" s="166">
        <v>311</v>
      </c>
      <c r="AE279" s="166">
        <v>42</v>
      </c>
      <c r="AF279" s="166">
        <v>15</v>
      </c>
      <c r="AG279" s="166"/>
      <c r="AH279" s="166">
        <v>0</v>
      </c>
      <c r="AI279" s="166">
        <v>0</v>
      </c>
      <c r="AJ279" s="166">
        <v>183</v>
      </c>
      <c r="AK279" s="166">
        <v>29</v>
      </c>
      <c r="AL279" s="166">
        <v>2</v>
      </c>
      <c r="AM279" s="166">
        <v>0</v>
      </c>
      <c r="AN279" s="166">
        <v>0</v>
      </c>
      <c r="AO279" s="166">
        <v>0</v>
      </c>
      <c r="AP279" s="166">
        <v>0</v>
      </c>
      <c r="AQ279" s="166">
        <v>0</v>
      </c>
      <c r="AR279" s="166">
        <v>669</v>
      </c>
      <c r="AS279" s="166">
        <v>974</v>
      </c>
      <c r="AT279" s="166">
        <v>3596</v>
      </c>
      <c r="AU279" s="166">
        <v>3335</v>
      </c>
      <c r="AV279" s="166">
        <v>261</v>
      </c>
      <c r="AW279" s="166">
        <v>2105</v>
      </c>
      <c r="AX279" s="166">
        <v>-9113</v>
      </c>
      <c r="AY279" s="166">
        <v>-116445</v>
      </c>
      <c r="AZ279" s="166">
        <v>0</v>
      </c>
      <c r="BA279" s="166">
        <v>-1587</v>
      </c>
      <c r="BB279" s="166">
        <v>-249501</v>
      </c>
      <c r="BC279" s="166">
        <v>-5152</v>
      </c>
      <c r="BD279" s="166">
        <v>-960246</v>
      </c>
      <c r="BE279" s="166">
        <v>-2665689</v>
      </c>
      <c r="BF279" s="166"/>
      <c r="BG279" s="760">
        <v>19636250</v>
      </c>
      <c r="BH279" s="760">
        <v>0</v>
      </c>
      <c r="BI279" s="815">
        <v>-1237121</v>
      </c>
      <c r="BJ279" s="1044" t="s">
        <v>2454</v>
      </c>
      <c r="BK279" s="1044" t="s">
        <v>2455</v>
      </c>
      <c r="BL279" s="1044" t="s">
        <v>2734</v>
      </c>
      <c r="BM279" s="650"/>
      <c r="BN279" s="746" t="s">
        <v>441</v>
      </c>
      <c r="BO279" s="142" t="b">
        <v>1</v>
      </c>
      <c r="BP279" s="544"/>
      <c r="BQ279" s="544"/>
      <c r="BR279" s="544"/>
      <c r="BS279" s="544"/>
      <c r="BT279" s="544"/>
      <c r="BU279" s="544"/>
      <c r="BV279" s="544"/>
      <c r="BW279" s="544"/>
      <c r="BX279" s="544"/>
      <c r="BY279" s="544"/>
      <c r="BZ279" s="544"/>
      <c r="CA279" s="544"/>
      <c r="CB279" s="544"/>
      <c r="CC279" s="544"/>
      <c r="CD279" s="544"/>
      <c r="CE279" s="544"/>
      <c r="CF279" s="544"/>
      <c r="CG279" s="544"/>
      <c r="CH279" s="544"/>
      <c r="CI279" s="544"/>
      <c r="CJ279" s="544"/>
      <c r="CK279" s="544"/>
      <c r="CL279" s="544"/>
      <c r="CM279" s="544"/>
      <c r="CN279" s="544"/>
      <c r="CO279" s="544"/>
      <c r="CP279" s="544"/>
      <c r="CQ279" s="544"/>
      <c r="CR279" s="544"/>
      <c r="CS279" s="544"/>
    </row>
    <row r="280" spans="1:98" s="142" customFormat="1" ht="12.75" x14ac:dyDescent="0.2">
      <c r="A280" s="735">
        <v>273</v>
      </c>
      <c r="B280" s="732" t="s">
        <v>442</v>
      </c>
      <c r="C280" s="738" t="s">
        <v>443</v>
      </c>
      <c r="D280" s="905">
        <v>155489.40500397899</v>
      </c>
      <c r="E280" s="905">
        <v>193180705</v>
      </c>
      <c r="F280" s="905">
        <v>2972</v>
      </c>
      <c r="G280" s="166">
        <v>95616126</v>
      </c>
      <c r="H280" s="166">
        <v>-1891822</v>
      </c>
      <c r="I280" s="166">
        <v>2117373</v>
      </c>
      <c r="J280" s="166">
        <v>225551</v>
      </c>
      <c r="K280" s="166">
        <v>-7646664</v>
      </c>
      <c r="L280" s="166">
        <v>-63263</v>
      </c>
      <c r="M280" s="166">
        <v>0</v>
      </c>
      <c r="N280" s="166">
        <v>-1902</v>
      </c>
      <c r="O280" s="166">
        <v>-150000</v>
      </c>
      <c r="P280" s="166">
        <v>-531324</v>
      </c>
      <c r="Q280" s="166">
        <v>-232384</v>
      </c>
      <c r="R280" s="166">
        <v>-41470</v>
      </c>
      <c r="S280" s="166">
        <v>-9800</v>
      </c>
      <c r="T280" s="166"/>
      <c r="U280" s="166">
        <v>0</v>
      </c>
      <c r="V280" s="166">
        <v>0</v>
      </c>
      <c r="W280" s="166">
        <v>0</v>
      </c>
      <c r="X280" s="166">
        <v>0</v>
      </c>
      <c r="Y280" s="166">
        <v>0</v>
      </c>
      <c r="Z280" s="166">
        <v>67507583</v>
      </c>
      <c r="AA280" s="166">
        <v>-3551000</v>
      </c>
      <c r="AB280" s="166"/>
      <c r="AC280" s="166">
        <v>-4262918</v>
      </c>
      <c r="AD280" s="166">
        <v>182</v>
      </c>
      <c r="AE280" s="166">
        <v>11</v>
      </c>
      <c r="AF280" s="166">
        <v>0</v>
      </c>
      <c r="AG280" s="166"/>
      <c r="AH280" s="166">
        <v>1</v>
      </c>
      <c r="AI280" s="166">
        <v>0</v>
      </c>
      <c r="AJ280" s="166">
        <v>109</v>
      </c>
      <c r="AK280" s="166">
        <v>75</v>
      </c>
      <c r="AL280" s="166">
        <v>8</v>
      </c>
      <c r="AM280" s="166">
        <v>0</v>
      </c>
      <c r="AN280" s="166">
        <v>0</v>
      </c>
      <c r="AO280" s="166">
        <v>11</v>
      </c>
      <c r="AP280" s="166">
        <v>0</v>
      </c>
      <c r="AQ280" s="166">
        <v>0</v>
      </c>
      <c r="AR280" s="166">
        <v>429</v>
      </c>
      <c r="AS280" s="166">
        <v>926</v>
      </c>
      <c r="AT280" s="166">
        <v>708</v>
      </c>
      <c r="AU280" s="166">
        <v>602</v>
      </c>
      <c r="AV280" s="166">
        <v>106</v>
      </c>
      <c r="AW280" s="166">
        <v>1352</v>
      </c>
      <c r="AX280" s="166">
        <v>-67544</v>
      </c>
      <c r="AY280" s="166">
        <v>-186289</v>
      </c>
      <c r="AZ280" s="166">
        <v>0</v>
      </c>
      <c r="BA280" s="166">
        <v>0</v>
      </c>
      <c r="BB280" s="166">
        <v>-277491</v>
      </c>
      <c r="BC280" s="166">
        <v>0</v>
      </c>
      <c r="BD280" s="166">
        <v>-730659</v>
      </c>
      <c r="BE280" s="166">
        <v>-4505179</v>
      </c>
      <c r="BF280" s="166"/>
      <c r="BG280" s="760">
        <v>15936450</v>
      </c>
      <c r="BH280" s="760">
        <v>0</v>
      </c>
      <c r="BI280" s="815">
        <v>-7528514</v>
      </c>
      <c r="BJ280" s="1044" t="s">
        <v>2454</v>
      </c>
      <c r="BK280" s="1044" t="s">
        <v>2462</v>
      </c>
      <c r="BL280" s="1044" t="s">
        <v>2735</v>
      </c>
      <c r="BM280" s="650"/>
      <c r="BN280" s="746" t="s">
        <v>443</v>
      </c>
      <c r="BO280" s="142" t="b">
        <v>1</v>
      </c>
      <c r="BP280" s="544"/>
      <c r="BQ280" s="544"/>
      <c r="BR280" s="544"/>
      <c r="BS280" s="544"/>
      <c r="BT280" s="544"/>
      <c r="BU280" s="544"/>
      <c r="BV280" s="544"/>
      <c r="BW280" s="544"/>
      <c r="BX280" s="544"/>
      <c r="BY280" s="544"/>
      <c r="BZ280" s="544"/>
      <c r="CA280" s="544"/>
      <c r="CB280" s="544"/>
      <c r="CC280" s="544"/>
      <c r="CD280" s="544"/>
      <c r="CE280" s="544"/>
      <c r="CF280" s="544"/>
      <c r="CG280" s="544"/>
      <c r="CH280" s="544"/>
      <c r="CI280" s="544"/>
      <c r="CJ280" s="544"/>
      <c r="CK280" s="544"/>
      <c r="CL280" s="544"/>
      <c r="CM280" s="544"/>
      <c r="CN280" s="544"/>
      <c r="CO280" s="544"/>
      <c r="CP280" s="544"/>
      <c r="CQ280" s="544"/>
      <c r="CR280" s="544"/>
      <c r="CS280" s="544"/>
    </row>
    <row r="281" spans="1:98" s="142" customFormat="1" ht="12.75" hidden="1" x14ac:dyDescent="0.2">
      <c r="A281" s="735">
        <v>274</v>
      </c>
      <c r="B281" s="732" t="s">
        <v>527</v>
      </c>
      <c r="C281" s="738" t="s">
        <v>445</v>
      </c>
      <c r="D281" s="905">
        <v>268030.50695281499</v>
      </c>
      <c r="E281" s="905">
        <v>241989058</v>
      </c>
      <c r="F281" s="905">
        <v>5953</v>
      </c>
      <c r="G281" s="166">
        <v>120990329</v>
      </c>
      <c r="H281" s="166">
        <v>-6201498</v>
      </c>
      <c r="I281" s="166">
        <v>1947881</v>
      </c>
      <c r="J281" s="166">
        <v>-4253617</v>
      </c>
      <c r="K281" s="166">
        <v>-4766819</v>
      </c>
      <c r="L281" s="166">
        <v>-86283</v>
      </c>
      <c r="M281" s="166">
        <v>-2417</v>
      </c>
      <c r="N281" s="166">
        <v>-17357</v>
      </c>
      <c r="O281" s="166">
        <v>-259328</v>
      </c>
      <c r="P281" s="166">
        <v>-2479238</v>
      </c>
      <c r="Q281" s="166">
        <v>-88398</v>
      </c>
      <c r="R281" s="166">
        <v>0</v>
      </c>
      <c r="S281" s="166">
        <v>-6096</v>
      </c>
      <c r="T281" s="166"/>
      <c r="U281" s="166">
        <v>-1319</v>
      </c>
      <c r="V281" s="166">
        <v>0</v>
      </c>
      <c r="W281" s="166">
        <v>0</v>
      </c>
      <c r="X281" s="166">
        <v>0</v>
      </c>
      <c r="Y281" s="166">
        <v>0</v>
      </c>
      <c r="Z281" s="166">
        <v>96832443</v>
      </c>
      <c r="AA281" s="166">
        <v>-3200000</v>
      </c>
      <c r="AB281" s="166"/>
      <c r="AC281" s="166">
        <v>-8277726</v>
      </c>
      <c r="AD281" s="166">
        <v>266</v>
      </c>
      <c r="AE281" s="166">
        <v>19</v>
      </c>
      <c r="AF281" s="166">
        <v>1</v>
      </c>
      <c r="AG281" s="166"/>
      <c r="AH281" s="166">
        <v>7</v>
      </c>
      <c r="AI281" s="166">
        <v>0</v>
      </c>
      <c r="AJ281" s="166">
        <v>352</v>
      </c>
      <c r="AK281" s="166">
        <v>38</v>
      </c>
      <c r="AL281" s="166">
        <v>0</v>
      </c>
      <c r="AM281" s="166">
        <v>2</v>
      </c>
      <c r="AN281" s="166">
        <v>0</v>
      </c>
      <c r="AO281" s="166">
        <v>0</v>
      </c>
      <c r="AP281" s="166">
        <v>0</v>
      </c>
      <c r="AQ281" s="166">
        <v>0</v>
      </c>
      <c r="AR281" s="166">
        <v>865</v>
      </c>
      <c r="AS281" s="166">
        <v>1294</v>
      </c>
      <c r="AT281" s="166">
        <v>1971</v>
      </c>
      <c r="AU281" s="166">
        <v>1805</v>
      </c>
      <c r="AV281" s="166">
        <v>166</v>
      </c>
      <c r="AW281" s="166">
        <v>2677</v>
      </c>
      <c r="AX281" s="166">
        <v>-631223</v>
      </c>
      <c r="AY281" s="166">
        <v>-879106</v>
      </c>
      <c r="AZ281" s="166">
        <v>0</v>
      </c>
      <c r="BA281" s="166">
        <v>-27669</v>
      </c>
      <c r="BB281" s="166">
        <v>-941240</v>
      </c>
      <c r="BC281" s="166">
        <v>0</v>
      </c>
      <c r="BD281" s="166">
        <v>0</v>
      </c>
      <c r="BE281" s="166">
        <v>15373291</v>
      </c>
      <c r="BF281" s="166"/>
      <c r="BG281" s="760">
        <v>29136100</v>
      </c>
      <c r="BH281" s="760">
        <v>0</v>
      </c>
      <c r="BI281" s="815">
        <v>13421585</v>
      </c>
      <c r="BJ281" s="1044" t="s">
        <v>515</v>
      </c>
      <c r="BK281" s="1044" t="s">
        <v>2455</v>
      </c>
      <c r="BL281" s="1044" t="s">
        <v>2736</v>
      </c>
      <c r="BM281" s="650"/>
      <c r="BN281" s="746" t="s">
        <v>445</v>
      </c>
      <c r="BO281" s="142" t="b">
        <v>1</v>
      </c>
      <c r="BP281" s="544"/>
      <c r="BQ281" s="544"/>
      <c r="BR281" s="544"/>
      <c r="BS281" s="544"/>
      <c r="BT281" s="544"/>
      <c r="BU281" s="544"/>
      <c r="BV281" s="544"/>
      <c r="BW281" s="544"/>
      <c r="BX281" s="544"/>
      <c r="BY281" s="544"/>
      <c r="BZ281" s="544"/>
      <c r="CA281" s="544"/>
      <c r="CB281" s="544"/>
      <c r="CC281" s="544"/>
      <c r="CD281" s="544"/>
      <c r="CE281" s="544"/>
      <c r="CF281" s="544"/>
      <c r="CG281" s="544"/>
      <c r="CH281" s="544"/>
      <c r="CI281" s="544"/>
      <c r="CJ281" s="544"/>
      <c r="CK281" s="544"/>
      <c r="CL281" s="544"/>
      <c r="CM281" s="544"/>
      <c r="CN281" s="544"/>
      <c r="CO281" s="544"/>
      <c r="CP281" s="544"/>
      <c r="CQ281" s="544"/>
      <c r="CR281" s="544"/>
      <c r="CS281" s="544"/>
    </row>
    <row r="282" spans="1:98" s="142" customFormat="1" ht="12.75" x14ac:dyDescent="0.2">
      <c r="A282" s="735">
        <v>275</v>
      </c>
      <c r="B282" s="732" t="s">
        <v>446</v>
      </c>
      <c r="C282" s="738" t="s">
        <v>447</v>
      </c>
      <c r="D282" s="905">
        <v>84520.356046659101</v>
      </c>
      <c r="E282" s="905">
        <v>35259587</v>
      </c>
      <c r="F282" s="905">
        <v>2455</v>
      </c>
      <c r="G282" s="166">
        <v>17760577</v>
      </c>
      <c r="H282" s="166">
        <v>-2916773</v>
      </c>
      <c r="I282" s="166">
        <v>236295</v>
      </c>
      <c r="J282" s="166">
        <v>-2680478</v>
      </c>
      <c r="K282" s="166">
        <v>-1550544</v>
      </c>
      <c r="L282" s="166">
        <v>-78191</v>
      </c>
      <c r="M282" s="166">
        <v>-64328</v>
      </c>
      <c r="N282" s="166">
        <v>-26161</v>
      </c>
      <c r="O282" s="166">
        <v>-30000</v>
      </c>
      <c r="P282" s="166">
        <v>-448055</v>
      </c>
      <c r="Q282" s="166">
        <v>-55500</v>
      </c>
      <c r="R282" s="166">
        <v>-19300</v>
      </c>
      <c r="S282" s="166">
        <v>-5950</v>
      </c>
      <c r="T282" s="166"/>
      <c r="U282" s="166">
        <v>0</v>
      </c>
      <c r="V282" s="166">
        <v>0</v>
      </c>
      <c r="W282" s="166">
        <v>0</v>
      </c>
      <c r="X282" s="166">
        <v>0</v>
      </c>
      <c r="Y282" s="166">
        <v>-32164</v>
      </c>
      <c r="Z282" s="166">
        <v>9436314</v>
      </c>
      <c r="AA282" s="166">
        <v>-373031</v>
      </c>
      <c r="AB282" s="166"/>
      <c r="AC282" s="166">
        <v>-2020877</v>
      </c>
      <c r="AD282" s="166">
        <v>190</v>
      </c>
      <c r="AE282" s="166">
        <v>28</v>
      </c>
      <c r="AF282" s="166">
        <v>26</v>
      </c>
      <c r="AG282" s="166"/>
      <c r="AH282" s="166">
        <v>22</v>
      </c>
      <c r="AI282" s="166">
        <v>0</v>
      </c>
      <c r="AJ282" s="166">
        <v>109</v>
      </c>
      <c r="AK282" s="166">
        <v>70</v>
      </c>
      <c r="AL282" s="166">
        <v>7</v>
      </c>
      <c r="AM282" s="166">
        <v>0</v>
      </c>
      <c r="AN282" s="166">
        <v>0</v>
      </c>
      <c r="AO282" s="166">
        <v>6</v>
      </c>
      <c r="AP282" s="166">
        <v>0</v>
      </c>
      <c r="AQ282" s="166">
        <v>1</v>
      </c>
      <c r="AR282" s="166">
        <v>540</v>
      </c>
      <c r="AS282" s="166">
        <v>490</v>
      </c>
      <c r="AT282" s="166">
        <v>1196</v>
      </c>
      <c r="AU282" s="166">
        <v>1145</v>
      </c>
      <c r="AV282" s="166">
        <v>51</v>
      </c>
      <c r="AW282" s="166">
        <v>772</v>
      </c>
      <c r="AX282" s="166">
        <v>-86451</v>
      </c>
      <c r="AY282" s="166">
        <v>-170587</v>
      </c>
      <c r="AZ282" s="166">
        <v>0</v>
      </c>
      <c r="BA282" s="166">
        <v>0</v>
      </c>
      <c r="BB282" s="166">
        <v>-120894</v>
      </c>
      <c r="BC282" s="166">
        <v>-70123</v>
      </c>
      <c r="BD282" s="166">
        <v>-166361</v>
      </c>
      <c r="BE282" s="166">
        <v>1818864</v>
      </c>
      <c r="BF282" s="166"/>
      <c r="BG282" s="760">
        <v>6228950</v>
      </c>
      <c r="BH282" s="760">
        <v>0</v>
      </c>
      <c r="BI282" s="815">
        <v>940793</v>
      </c>
      <c r="BJ282" s="1044" t="s">
        <v>2454</v>
      </c>
      <c r="BK282" s="1044" t="s">
        <v>2474</v>
      </c>
      <c r="BL282" s="1044" t="s">
        <v>2737</v>
      </c>
      <c r="BM282" s="650"/>
      <c r="BN282" s="746" t="s">
        <v>447</v>
      </c>
      <c r="BO282" s="142" t="b">
        <v>1</v>
      </c>
      <c r="BP282" s="544"/>
      <c r="BQ282" s="544"/>
      <c r="BR282" s="544"/>
      <c r="BS282" s="544"/>
      <c r="BT282" s="544"/>
      <c r="BU282" s="544"/>
      <c r="BV282" s="544"/>
      <c r="BW282" s="544"/>
      <c r="BX282" s="544"/>
      <c r="BY282" s="544"/>
      <c r="BZ282" s="544"/>
      <c r="CA282" s="544"/>
      <c r="CB282" s="544"/>
      <c r="CC282" s="544"/>
      <c r="CD282" s="544"/>
      <c r="CE282" s="544"/>
      <c r="CF282" s="544"/>
      <c r="CG282" s="544"/>
      <c r="CH282" s="544"/>
      <c r="CI282" s="544"/>
      <c r="CJ282" s="544"/>
      <c r="CK282" s="544"/>
      <c r="CL282" s="544"/>
      <c r="CM282" s="544"/>
      <c r="CN282" s="544"/>
      <c r="CO282" s="544"/>
      <c r="CP282" s="544"/>
      <c r="CQ282" s="544"/>
      <c r="CR282" s="544"/>
      <c r="CS282" s="544"/>
    </row>
    <row r="283" spans="1:98" s="142" customFormat="1" ht="12.75" x14ac:dyDescent="0.2">
      <c r="A283" s="735">
        <v>276</v>
      </c>
      <c r="B283" s="732" t="s">
        <v>448</v>
      </c>
      <c r="C283" s="738" t="s">
        <v>449</v>
      </c>
      <c r="D283" s="905">
        <v>129872.72556729701</v>
      </c>
      <c r="E283" s="905">
        <v>92284969</v>
      </c>
      <c r="F283" s="905">
        <v>3428</v>
      </c>
      <c r="G283" s="166">
        <v>46121662</v>
      </c>
      <c r="H283" s="166">
        <v>-3945861</v>
      </c>
      <c r="I283" s="166">
        <v>808414</v>
      </c>
      <c r="J283" s="166">
        <v>-3137447</v>
      </c>
      <c r="K283" s="166">
        <v>-3525188</v>
      </c>
      <c r="L283" s="166">
        <v>0</v>
      </c>
      <c r="M283" s="166">
        <v>-3206</v>
      </c>
      <c r="N283" s="166">
        <v>-6250</v>
      </c>
      <c r="O283" s="166">
        <v>0</v>
      </c>
      <c r="P283" s="166">
        <v>-200074</v>
      </c>
      <c r="Q283" s="166">
        <v>-9613</v>
      </c>
      <c r="R283" s="166">
        <v>-38375</v>
      </c>
      <c r="S283" s="166">
        <v>0</v>
      </c>
      <c r="T283" s="166"/>
      <c r="U283" s="166">
        <v>0</v>
      </c>
      <c r="V283" s="166">
        <v>0</v>
      </c>
      <c r="W283" s="166">
        <v>0</v>
      </c>
      <c r="X283" s="166">
        <v>0</v>
      </c>
      <c r="Y283" s="166">
        <v>-1603</v>
      </c>
      <c r="Z283" s="166">
        <v>32607489</v>
      </c>
      <c r="AA283" s="166">
        <v>-978225</v>
      </c>
      <c r="AB283" s="166"/>
      <c r="AC283" s="166">
        <v>-3454815</v>
      </c>
      <c r="AD283" s="166">
        <v>156</v>
      </c>
      <c r="AE283" s="166">
        <v>0</v>
      </c>
      <c r="AF283" s="166">
        <v>2</v>
      </c>
      <c r="AG283" s="166"/>
      <c r="AH283" s="166">
        <v>6</v>
      </c>
      <c r="AI283" s="166">
        <v>0</v>
      </c>
      <c r="AJ283" s="166">
        <v>121</v>
      </c>
      <c r="AK283" s="166">
        <v>7</v>
      </c>
      <c r="AL283" s="166">
        <v>19</v>
      </c>
      <c r="AM283" s="166">
        <v>0</v>
      </c>
      <c r="AN283" s="166">
        <v>0</v>
      </c>
      <c r="AO283" s="166">
        <v>0</v>
      </c>
      <c r="AP283" s="166">
        <v>0</v>
      </c>
      <c r="AQ283" s="166">
        <v>0</v>
      </c>
      <c r="AR283" s="166">
        <v>415</v>
      </c>
      <c r="AS283" s="166">
        <v>1052</v>
      </c>
      <c r="AT283" s="166">
        <v>1563</v>
      </c>
      <c r="AU283" s="166">
        <v>1442</v>
      </c>
      <c r="AV283" s="166">
        <v>121</v>
      </c>
      <c r="AW283" s="166">
        <v>839</v>
      </c>
      <c r="AX283" s="166">
        <v>0</v>
      </c>
      <c r="AY283" s="166">
        <v>-57429</v>
      </c>
      <c r="AZ283" s="166">
        <v>0</v>
      </c>
      <c r="BA283" s="166">
        <v>0</v>
      </c>
      <c r="BB283" s="166">
        <v>-142645</v>
      </c>
      <c r="BC283" s="166">
        <v>0</v>
      </c>
      <c r="BD283" s="166">
        <v>-20000</v>
      </c>
      <c r="BE283" s="166">
        <v>-2031585</v>
      </c>
      <c r="BF283" s="166"/>
      <c r="BG283" s="760">
        <v>12725350</v>
      </c>
      <c r="BH283" s="760">
        <v>0</v>
      </c>
      <c r="BI283" s="815">
        <v>-3048831</v>
      </c>
      <c r="BJ283" s="1044" t="s">
        <v>2454</v>
      </c>
      <c r="BK283" s="1044" t="s">
        <v>2481</v>
      </c>
      <c r="BL283" s="1044" t="s">
        <v>2738</v>
      </c>
      <c r="BM283" s="650"/>
      <c r="BN283" s="746" t="s">
        <v>449</v>
      </c>
      <c r="BO283" s="142" t="b">
        <v>1</v>
      </c>
      <c r="BP283" s="544"/>
      <c r="BQ283" s="544"/>
      <c r="BR283" s="544"/>
      <c r="BS283" s="544"/>
      <c r="BT283" s="544"/>
      <c r="BU283" s="544"/>
      <c r="BV283" s="544"/>
      <c r="BW283" s="544"/>
      <c r="BX283" s="544"/>
      <c r="BY283" s="544"/>
      <c r="BZ283" s="544"/>
      <c r="CA283" s="544"/>
      <c r="CB283" s="544"/>
      <c r="CC283" s="544"/>
      <c r="CD283" s="544"/>
      <c r="CE283" s="544"/>
      <c r="CF283" s="544"/>
      <c r="CG283" s="544"/>
      <c r="CH283" s="544"/>
      <c r="CI283" s="544"/>
      <c r="CJ283" s="544"/>
      <c r="CK283" s="544"/>
      <c r="CL283" s="544"/>
      <c r="CM283" s="544"/>
      <c r="CN283" s="544"/>
      <c r="CO283" s="544"/>
      <c r="CP283" s="544"/>
      <c r="CQ283" s="544"/>
      <c r="CR283" s="544"/>
      <c r="CS283" s="544"/>
    </row>
    <row r="284" spans="1:98" s="741" customFormat="1" ht="12.75" x14ac:dyDescent="0.2">
      <c r="A284" s="735">
        <v>277</v>
      </c>
      <c r="B284" s="732" t="s">
        <v>450</v>
      </c>
      <c r="C284" s="738" t="s">
        <v>451</v>
      </c>
      <c r="D284" s="905">
        <v>107859.98059713301</v>
      </c>
      <c r="E284" s="905">
        <v>53509966</v>
      </c>
      <c r="F284" s="905">
        <v>3056</v>
      </c>
      <c r="G284" s="166">
        <v>26971108</v>
      </c>
      <c r="H284" s="166">
        <v>-2986225</v>
      </c>
      <c r="I284" s="166">
        <v>435643</v>
      </c>
      <c r="J284" s="166">
        <v>-2550582</v>
      </c>
      <c r="K284" s="166">
        <v>-2060417</v>
      </c>
      <c r="L284" s="166">
        <v>-31809</v>
      </c>
      <c r="M284" s="166">
        <v>-58644</v>
      </c>
      <c r="N284" s="166">
        <v>-10534</v>
      </c>
      <c r="O284" s="166">
        <v>-20000</v>
      </c>
      <c r="P284" s="166">
        <v>-1290000</v>
      </c>
      <c r="Q284" s="166">
        <v>-78548</v>
      </c>
      <c r="R284" s="166">
        <v>0</v>
      </c>
      <c r="S284" s="166">
        <v>-1238</v>
      </c>
      <c r="T284" s="166"/>
      <c r="U284" s="166">
        <v>0</v>
      </c>
      <c r="V284" s="166">
        <v>0</v>
      </c>
      <c r="W284" s="166">
        <v>0</v>
      </c>
      <c r="X284" s="166">
        <v>0</v>
      </c>
      <c r="Y284" s="166">
        <v>-29322</v>
      </c>
      <c r="Z284" s="166">
        <v>17472836</v>
      </c>
      <c r="AA284" s="166">
        <v>-593000</v>
      </c>
      <c r="AB284" s="166"/>
      <c r="AC284" s="166">
        <v>-1486748</v>
      </c>
      <c r="AD284" s="166">
        <v>178</v>
      </c>
      <c r="AE284" s="166">
        <v>10</v>
      </c>
      <c r="AF284" s="166">
        <v>28</v>
      </c>
      <c r="AG284" s="166"/>
      <c r="AH284" s="166">
        <v>5</v>
      </c>
      <c r="AI284" s="166">
        <v>0</v>
      </c>
      <c r="AJ284" s="166">
        <v>235</v>
      </c>
      <c r="AK284" s="166">
        <v>111</v>
      </c>
      <c r="AL284" s="166">
        <v>0</v>
      </c>
      <c r="AM284" s="166">
        <v>0</v>
      </c>
      <c r="AN284" s="166">
        <v>0</v>
      </c>
      <c r="AO284" s="166">
        <v>7</v>
      </c>
      <c r="AP284" s="166">
        <v>0</v>
      </c>
      <c r="AQ284" s="166">
        <v>0</v>
      </c>
      <c r="AR284" s="166">
        <v>175</v>
      </c>
      <c r="AS284" s="166">
        <v>731</v>
      </c>
      <c r="AT284" s="166">
        <v>1384</v>
      </c>
      <c r="AU284" s="166">
        <v>1320</v>
      </c>
      <c r="AV284" s="166">
        <v>64</v>
      </c>
      <c r="AW284" s="166">
        <v>909</v>
      </c>
      <c r="AX284" s="166">
        <v>-57799</v>
      </c>
      <c r="AY284" s="166">
        <v>-278846</v>
      </c>
      <c r="AZ284" s="166">
        <v>0</v>
      </c>
      <c r="BA284" s="166">
        <v>-325144</v>
      </c>
      <c r="BB284" s="166">
        <v>-628211</v>
      </c>
      <c r="BC284" s="166">
        <v>0</v>
      </c>
      <c r="BD284" s="166">
        <v>-173004</v>
      </c>
      <c r="BE284" s="166">
        <v>-1672435</v>
      </c>
      <c r="BF284" s="166"/>
      <c r="BG284" s="760">
        <v>8189500</v>
      </c>
      <c r="BH284" s="760">
        <v>0</v>
      </c>
      <c r="BI284" s="815">
        <v>-1424621</v>
      </c>
      <c r="BJ284" s="1044" t="s">
        <v>2454</v>
      </c>
      <c r="BK284" s="1044" t="s">
        <v>2457</v>
      </c>
      <c r="BL284" s="1044" t="s">
        <v>2739</v>
      </c>
      <c r="BM284" s="650"/>
      <c r="BN284" s="746" t="s">
        <v>451</v>
      </c>
      <c r="BO284" s="142" t="b">
        <v>1</v>
      </c>
      <c r="BP284" s="544"/>
      <c r="BQ284" s="544"/>
      <c r="BR284" s="544"/>
      <c r="BS284" s="544"/>
      <c r="BT284" s="544"/>
      <c r="BU284" s="544"/>
      <c r="BV284" s="544"/>
      <c r="BW284" s="544"/>
      <c r="BX284" s="544"/>
      <c r="BY284" s="544"/>
      <c r="BZ284" s="544"/>
      <c r="CA284" s="544"/>
      <c r="CB284" s="544"/>
      <c r="CC284" s="544"/>
      <c r="CD284" s="544"/>
      <c r="CE284" s="544"/>
      <c r="CF284" s="544"/>
      <c r="CG284" s="544"/>
      <c r="CH284" s="544"/>
      <c r="CI284" s="544"/>
      <c r="CJ284" s="544"/>
      <c r="CK284" s="544"/>
      <c r="CL284" s="544"/>
      <c r="CM284" s="544"/>
      <c r="CN284" s="544"/>
      <c r="CO284" s="544"/>
      <c r="CP284" s="544"/>
      <c r="CQ284" s="544"/>
      <c r="CR284" s="544"/>
      <c r="CS284" s="544"/>
      <c r="CT284" s="142"/>
    </row>
    <row r="285" spans="1:98" s="741" customFormat="1" ht="12.75" hidden="1" x14ac:dyDescent="0.2">
      <c r="A285" s="735">
        <v>278</v>
      </c>
      <c r="B285" s="732" t="s">
        <v>1337</v>
      </c>
      <c r="C285" s="738" t="s">
        <v>1380</v>
      </c>
      <c r="D285" s="905">
        <v>523148.62657415302</v>
      </c>
      <c r="E285" s="905">
        <v>526664844</v>
      </c>
      <c r="F285" s="905">
        <v>12185</v>
      </c>
      <c r="G285" s="166">
        <v>259225066</v>
      </c>
      <c r="H285" s="166">
        <v>-11828808</v>
      </c>
      <c r="I285" s="166">
        <v>5325549</v>
      </c>
      <c r="J285" s="166">
        <v>-6503259</v>
      </c>
      <c r="K285" s="166">
        <v>-15585062</v>
      </c>
      <c r="L285" s="166">
        <v>-57805</v>
      </c>
      <c r="M285" s="166">
        <v>-141801</v>
      </c>
      <c r="N285" s="166">
        <v>-3666</v>
      </c>
      <c r="O285" s="166">
        <v>-650000</v>
      </c>
      <c r="P285" s="166">
        <v>-1358316</v>
      </c>
      <c r="Q285" s="166">
        <v>-421622</v>
      </c>
      <c r="R285" s="166">
        <v>-220241</v>
      </c>
      <c r="S285" s="166">
        <v>-7905</v>
      </c>
      <c r="T285" s="166"/>
      <c r="U285" s="166">
        <v>-1926</v>
      </c>
      <c r="V285" s="166">
        <v>0</v>
      </c>
      <c r="W285" s="166">
        <v>0</v>
      </c>
      <c r="X285" s="166">
        <v>0</v>
      </c>
      <c r="Y285" s="166">
        <v>-123307</v>
      </c>
      <c r="Z285" s="166">
        <v>201829620</v>
      </c>
      <c r="AA285" s="166">
        <v>-15103109</v>
      </c>
      <c r="AB285" s="166"/>
      <c r="AC285" s="166">
        <v>-12863388</v>
      </c>
      <c r="AD285" s="166">
        <v>647</v>
      </c>
      <c r="AE285" s="166">
        <v>12</v>
      </c>
      <c r="AF285" s="166">
        <v>33</v>
      </c>
      <c r="AG285" s="166"/>
      <c r="AH285" s="166">
        <v>8</v>
      </c>
      <c r="AI285" s="166">
        <v>4</v>
      </c>
      <c r="AJ285" s="166">
        <v>939</v>
      </c>
      <c r="AK285" s="166">
        <v>258</v>
      </c>
      <c r="AL285" s="166">
        <v>37</v>
      </c>
      <c r="AM285" s="166">
        <v>5</v>
      </c>
      <c r="AN285" s="166">
        <v>2</v>
      </c>
      <c r="AO285" s="166">
        <v>8</v>
      </c>
      <c r="AP285" s="166">
        <v>7</v>
      </c>
      <c r="AQ285" s="166">
        <v>0</v>
      </c>
      <c r="AR285" s="166">
        <v>1542</v>
      </c>
      <c r="AS285" s="166">
        <v>2576</v>
      </c>
      <c r="AT285" s="166">
        <v>4808</v>
      </c>
      <c r="AU285" s="166">
        <v>4549</v>
      </c>
      <c r="AV285" s="166">
        <v>259</v>
      </c>
      <c r="AW285" s="166">
        <v>4937</v>
      </c>
      <c r="AX285" s="166">
        <v>-60733</v>
      </c>
      <c r="AY285" s="166">
        <v>-578110</v>
      </c>
      <c r="AZ285" s="166">
        <v>0</v>
      </c>
      <c r="BA285" s="166">
        <v>-6400</v>
      </c>
      <c r="BB285" s="166">
        <v>-693066</v>
      </c>
      <c r="BC285" s="166">
        <v>-20007</v>
      </c>
      <c r="BD285" s="166">
        <v>-1423755</v>
      </c>
      <c r="BE285" s="166">
        <v>25231747</v>
      </c>
      <c r="BF285" s="166"/>
      <c r="BG285" s="760">
        <v>48517375</v>
      </c>
      <c r="BH285" s="760">
        <v>1621500</v>
      </c>
      <c r="BI285" s="815">
        <v>27971725</v>
      </c>
      <c r="BJ285" s="1044" t="s">
        <v>515</v>
      </c>
      <c r="BK285" s="1044" t="s">
        <v>2457</v>
      </c>
      <c r="BL285" s="1044" t="s">
        <v>2740</v>
      </c>
      <c r="BM285" s="650"/>
      <c r="BN285" s="746"/>
      <c r="BO285" s="142"/>
      <c r="BP285" s="544"/>
      <c r="BQ285" s="544"/>
      <c r="BR285" s="544"/>
      <c r="BS285" s="544"/>
      <c r="BT285" s="544"/>
      <c r="BU285" s="544"/>
      <c r="BV285" s="544"/>
      <c r="BW285" s="544"/>
      <c r="BX285" s="544"/>
      <c r="BY285" s="544"/>
      <c r="BZ285" s="544"/>
      <c r="CA285" s="544"/>
      <c r="CB285" s="544"/>
      <c r="CC285" s="544"/>
      <c r="CD285" s="544"/>
      <c r="CE285" s="544"/>
      <c r="CF285" s="544"/>
      <c r="CG285" s="544"/>
      <c r="CH285" s="544"/>
      <c r="CI285" s="544"/>
      <c r="CJ285" s="544"/>
      <c r="CK285" s="544"/>
      <c r="CL285" s="544"/>
      <c r="CM285" s="544"/>
      <c r="CN285" s="544"/>
      <c r="CO285" s="544"/>
      <c r="CP285" s="544"/>
      <c r="CQ285" s="544"/>
      <c r="CR285" s="544"/>
      <c r="CS285" s="544"/>
      <c r="CT285" s="142"/>
    </row>
    <row r="286" spans="1:98" s="142" customFormat="1" ht="12.75" x14ac:dyDescent="0.2">
      <c r="A286" s="735">
        <v>279</v>
      </c>
      <c r="B286" s="732" t="s">
        <v>452</v>
      </c>
      <c r="C286" s="738" t="s">
        <v>453</v>
      </c>
      <c r="D286" s="905">
        <v>174020.946269785</v>
      </c>
      <c r="E286" s="905">
        <v>119096919</v>
      </c>
      <c r="F286" s="905">
        <v>4345</v>
      </c>
      <c r="G286" s="166">
        <v>58082369</v>
      </c>
      <c r="H286" s="166">
        <v>-3970604</v>
      </c>
      <c r="I286" s="166">
        <v>974079</v>
      </c>
      <c r="J286" s="166">
        <v>-2996525</v>
      </c>
      <c r="K286" s="166">
        <v>-3708143</v>
      </c>
      <c r="L286" s="166">
        <v>-80782</v>
      </c>
      <c r="M286" s="166">
        <v>-44568</v>
      </c>
      <c r="N286" s="166">
        <v>-12124</v>
      </c>
      <c r="O286" s="166">
        <v>0</v>
      </c>
      <c r="P286" s="166">
        <v>-696380</v>
      </c>
      <c r="Q286" s="166">
        <v>-123942</v>
      </c>
      <c r="R286" s="166">
        <v>0</v>
      </c>
      <c r="S286" s="166">
        <v>-6563</v>
      </c>
      <c r="T286" s="166"/>
      <c r="U286" s="166">
        <v>0</v>
      </c>
      <c r="V286" s="166">
        <v>0</v>
      </c>
      <c r="W286" s="166">
        <v>0</v>
      </c>
      <c r="X286" s="166">
        <v>0</v>
      </c>
      <c r="Y286" s="166">
        <v>-22284</v>
      </c>
      <c r="Z286" s="166">
        <v>39643723</v>
      </c>
      <c r="AA286" s="166">
        <v>-1858636</v>
      </c>
      <c r="AB286" s="166"/>
      <c r="AC286" s="166">
        <v>-5974397</v>
      </c>
      <c r="AD286" s="166">
        <v>268</v>
      </c>
      <c r="AE286" s="166">
        <v>20</v>
      </c>
      <c r="AF286" s="166">
        <v>11</v>
      </c>
      <c r="AG286" s="166"/>
      <c r="AH286" s="166">
        <v>10</v>
      </c>
      <c r="AI286" s="166">
        <v>0</v>
      </c>
      <c r="AJ286" s="166">
        <v>137</v>
      </c>
      <c r="AK286" s="166">
        <v>33</v>
      </c>
      <c r="AL286" s="166">
        <v>0</v>
      </c>
      <c r="AM286" s="166">
        <v>0</v>
      </c>
      <c r="AN286" s="166">
        <v>0</v>
      </c>
      <c r="AO286" s="166">
        <v>2</v>
      </c>
      <c r="AP286" s="166">
        <v>0</v>
      </c>
      <c r="AQ286" s="166">
        <v>0</v>
      </c>
      <c r="AR286" s="166">
        <v>743</v>
      </c>
      <c r="AS286" s="166">
        <v>957</v>
      </c>
      <c r="AT286" s="166">
        <v>1573</v>
      </c>
      <c r="AU286" s="166">
        <v>1412</v>
      </c>
      <c r="AV286" s="166">
        <v>161</v>
      </c>
      <c r="AW286" s="166">
        <v>1781</v>
      </c>
      <c r="AX286" s="166">
        <v>-34989</v>
      </c>
      <c r="AY286" s="166">
        <v>-257777</v>
      </c>
      <c r="AZ286" s="166">
        <v>0</v>
      </c>
      <c r="BA286" s="166">
        <v>0</v>
      </c>
      <c r="BB286" s="166">
        <v>-382528</v>
      </c>
      <c r="BC286" s="166">
        <v>-21086</v>
      </c>
      <c r="BD286" s="166">
        <v>-730326</v>
      </c>
      <c r="BE286" s="166">
        <v>-2478742</v>
      </c>
      <c r="BF286" s="166"/>
      <c r="BG286" s="760">
        <v>19476141</v>
      </c>
      <c r="BH286" s="760">
        <v>0</v>
      </c>
      <c r="BI286" s="815">
        <v>-3182552</v>
      </c>
      <c r="BJ286" s="1044" t="s">
        <v>2454</v>
      </c>
      <c r="BK286" s="1044" t="s">
        <v>2455</v>
      </c>
      <c r="BL286" s="1044" t="s">
        <v>2741</v>
      </c>
      <c r="BM286" s="650"/>
      <c r="BN286" s="746" t="s">
        <v>453</v>
      </c>
      <c r="BO286" s="142" t="b">
        <v>1</v>
      </c>
      <c r="BP286" s="544"/>
      <c r="BQ286" s="544"/>
      <c r="BR286" s="544"/>
      <c r="BS286" s="544"/>
      <c r="BT286" s="544"/>
      <c r="BU286" s="544"/>
      <c r="BV286" s="544"/>
      <c r="BW286" s="544"/>
      <c r="BX286" s="544"/>
      <c r="BY286" s="544"/>
      <c r="BZ286" s="544"/>
      <c r="CA286" s="544"/>
      <c r="CB286" s="544"/>
      <c r="CC286" s="544"/>
      <c r="CD286" s="544"/>
      <c r="CE286" s="544"/>
      <c r="CF286" s="544"/>
      <c r="CG286" s="544"/>
      <c r="CH286" s="544"/>
      <c r="CI286" s="544"/>
      <c r="CJ286" s="544"/>
      <c r="CK286" s="544"/>
      <c r="CL286" s="544"/>
      <c r="CM286" s="544"/>
      <c r="CN286" s="544"/>
      <c r="CO286" s="544"/>
      <c r="CP286" s="544"/>
      <c r="CQ286" s="544"/>
      <c r="CR286" s="544"/>
      <c r="CS286" s="544"/>
    </row>
    <row r="287" spans="1:98" s="142" customFormat="1" ht="12.75" x14ac:dyDescent="0.2">
      <c r="A287" s="735">
        <v>280</v>
      </c>
      <c r="B287" s="739" t="s">
        <v>1225</v>
      </c>
      <c r="C287" s="740" t="s">
        <v>1226</v>
      </c>
      <c r="D287" s="905">
        <v>253518.05962373901</v>
      </c>
      <c r="E287" s="905">
        <v>205260847</v>
      </c>
      <c r="F287" s="905">
        <v>6420</v>
      </c>
      <c r="G287" s="166">
        <v>101436130</v>
      </c>
      <c r="H287" s="166">
        <v>-5500238</v>
      </c>
      <c r="I287" s="166">
        <v>1858165</v>
      </c>
      <c r="J287" s="166">
        <v>-3642073</v>
      </c>
      <c r="K287" s="166">
        <v>-5771609</v>
      </c>
      <c r="L287" s="166">
        <v>-41396</v>
      </c>
      <c r="M287" s="166">
        <v>-68070</v>
      </c>
      <c r="N287" s="166">
        <v>-28083</v>
      </c>
      <c r="O287" s="166">
        <v>-55872</v>
      </c>
      <c r="P287" s="166">
        <v>-1891193</v>
      </c>
      <c r="Q287" s="166">
        <v>-74533</v>
      </c>
      <c r="R287" s="166">
        <v>-23247</v>
      </c>
      <c r="S287" s="166">
        <v>-5041</v>
      </c>
      <c r="T287" s="166"/>
      <c r="U287" s="166">
        <v>0</v>
      </c>
      <c r="V287" s="166">
        <v>-84753</v>
      </c>
      <c r="W287" s="166">
        <v>-84753</v>
      </c>
      <c r="X287" s="166">
        <v>0</v>
      </c>
      <c r="Y287" s="166">
        <v>-35482</v>
      </c>
      <c r="Z287" s="166">
        <v>74230570</v>
      </c>
      <c r="AA287" s="166">
        <v>-3566848</v>
      </c>
      <c r="AB287" s="166"/>
      <c r="AC287" s="166">
        <v>-9195413</v>
      </c>
      <c r="AD287" s="166">
        <v>392</v>
      </c>
      <c r="AE287" s="166">
        <v>12</v>
      </c>
      <c r="AF287" s="166">
        <v>31</v>
      </c>
      <c r="AG287" s="166"/>
      <c r="AH287" s="166">
        <v>8</v>
      </c>
      <c r="AI287" s="166">
        <v>10</v>
      </c>
      <c r="AJ287" s="166">
        <v>357</v>
      </c>
      <c r="AK287" s="166">
        <v>98</v>
      </c>
      <c r="AL287" s="166">
        <v>10</v>
      </c>
      <c r="AM287" s="166">
        <v>0</v>
      </c>
      <c r="AN287" s="166">
        <v>1</v>
      </c>
      <c r="AO287" s="166">
        <v>11</v>
      </c>
      <c r="AP287" s="166">
        <v>7</v>
      </c>
      <c r="AQ287" s="166">
        <v>0</v>
      </c>
      <c r="AR287" s="166">
        <v>943</v>
      </c>
      <c r="AS287" s="166">
        <v>1560</v>
      </c>
      <c r="AT287" s="166">
        <v>2250</v>
      </c>
      <c r="AU287" s="166">
        <v>2032</v>
      </c>
      <c r="AV287" s="166">
        <v>218</v>
      </c>
      <c r="AW287" s="166">
        <v>2580</v>
      </c>
      <c r="AX287" s="166">
        <v>-192515</v>
      </c>
      <c r="AY287" s="166">
        <v>-745630</v>
      </c>
      <c r="AZ287" s="166">
        <v>0</v>
      </c>
      <c r="BA287" s="166">
        <v>-6094</v>
      </c>
      <c r="BB287" s="166">
        <v>-855150</v>
      </c>
      <c r="BC287" s="166">
        <v>-91804</v>
      </c>
      <c r="BD287" s="166">
        <v>-995911</v>
      </c>
      <c r="BE287" s="166">
        <v>1567176</v>
      </c>
      <c r="BF287" s="166"/>
      <c r="BG287" s="760">
        <v>30082450</v>
      </c>
      <c r="BH287" s="760">
        <v>0</v>
      </c>
      <c r="BI287" s="815">
        <v>6379949</v>
      </c>
      <c r="BJ287" s="1044" t="s">
        <v>2454</v>
      </c>
      <c r="BK287" s="1044" t="s">
        <v>2462</v>
      </c>
      <c r="BL287" s="1044" t="s">
        <v>2742</v>
      </c>
      <c r="BM287" s="650"/>
      <c r="BN287" s="746" t="s">
        <v>1226</v>
      </c>
      <c r="BO287" s="142" t="b">
        <v>1</v>
      </c>
      <c r="BP287" s="544"/>
      <c r="BQ287" s="544"/>
      <c r="BR287" s="544"/>
      <c r="BS287" s="544"/>
      <c r="BT287" s="544"/>
      <c r="BU287" s="544"/>
      <c r="BV287" s="544"/>
      <c r="BW287" s="544"/>
      <c r="BX287" s="544"/>
      <c r="BY287" s="544"/>
      <c r="BZ287" s="544"/>
      <c r="CA287" s="544"/>
      <c r="CB287" s="544"/>
      <c r="CC287" s="544"/>
      <c r="CD287" s="544"/>
      <c r="CE287" s="544"/>
      <c r="CF287" s="544"/>
      <c r="CG287" s="544"/>
      <c r="CH287" s="544"/>
      <c r="CI287" s="544"/>
      <c r="CJ287" s="544"/>
      <c r="CK287" s="544"/>
      <c r="CL287" s="544"/>
      <c r="CM287" s="544"/>
      <c r="CN287" s="544"/>
      <c r="CO287" s="544"/>
      <c r="CP287" s="544"/>
      <c r="CQ287" s="544"/>
      <c r="CR287" s="544"/>
      <c r="CS287" s="544"/>
      <c r="CT287" s="544"/>
    </row>
    <row r="288" spans="1:98" s="142" customFormat="1" ht="12.75" hidden="1" x14ac:dyDescent="0.2">
      <c r="A288" s="735">
        <v>281</v>
      </c>
      <c r="B288" s="732" t="s">
        <v>454</v>
      </c>
      <c r="C288" s="738" t="s">
        <v>455</v>
      </c>
      <c r="D288" s="905">
        <v>2954125.6186737102</v>
      </c>
      <c r="E288" s="905">
        <v>4700222002</v>
      </c>
      <c r="F288" s="905">
        <v>36938</v>
      </c>
      <c r="G288" s="166">
        <v>2355574621</v>
      </c>
      <c r="H288" s="166">
        <v>-6416755</v>
      </c>
      <c r="I288" s="166">
        <v>57458374</v>
      </c>
      <c r="J288" s="166">
        <v>51041619</v>
      </c>
      <c r="K288" s="166">
        <v>-88667884</v>
      </c>
      <c r="L288" s="166">
        <v>-21914</v>
      </c>
      <c r="M288" s="166">
        <v>0</v>
      </c>
      <c r="N288" s="166">
        <v>-126772</v>
      </c>
      <c r="O288" s="166">
        <v>-4500000</v>
      </c>
      <c r="P288" s="166">
        <v>-178605292</v>
      </c>
      <c r="Q288" s="166">
        <v>-271900</v>
      </c>
      <c r="R288" s="166">
        <v>-4815</v>
      </c>
      <c r="S288" s="166">
        <v>-1370</v>
      </c>
      <c r="T288" s="166"/>
      <c r="U288" s="166">
        <v>0</v>
      </c>
      <c r="V288" s="166">
        <v>-1200</v>
      </c>
      <c r="W288" s="166">
        <v>0</v>
      </c>
      <c r="X288" s="166">
        <v>0</v>
      </c>
      <c r="Y288" s="166">
        <v>0</v>
      </c>
      <c r="Z288" s="166">
        <v>1962026166</v>
      </c>
      <c r="AA288" s="166">
        <v>-67210514</v>
      </c>
      <c r="AB288" s="166"/>
      <c r="AC288" s="166">
        <v>-137130124</v>
      </c>
      <c r="AD288" s="166">
        <v>1070</v>
      </c>
      <c r="AE288" s="166">
        <v>1</v>
      </c>
      <c r="AF288" s="166">
        <v>0</v>
      </c>
      <c r="AG288" s="166"/>
      <c r="AH288" s="166">
        <v>31</v>
      </c>
      <c r="AI288" s="166">
        <v>3</v>
      </c>
      <c r="AJ288" s="166">
        <v>8025</v>
      </c>
      <c r="AK288" s="166">
        <v>59</v>
      </c>
      <c r="AL288" s="166">
        <v>2</v>
      </c>
      <c r="AM288" s="166">
        <v>0</v>
      </c>
      <c r="AN288" s="166">
        <v>0</v>
      </c>
      <c r="AO288" s="166">
        <v>1</v>
      </c>
      <c r="AP288" s="166">
        <v>0</v>
      </c>
      <c r="AQ288" s="166">
        <v>1</v>
      </c>
      <c r="AR288" s="166">
        <v>4387</v>
      </c>
      <c r="AS288" s="166">
        <v>19642</v>
      </c>
      <c r="AT288" s="166">
        <v>2083</v>
      </c>
      <c r="AU288" s="166">
        <v>1703</v>
      </c>
      <c r="AV288" s="166">
        <v>380</v>
      </c>
      <c r="AW288" s="166">
        <v>15983</v>
      </c>
      <c r="AX288" s="166">
        <v>-196118</v>
      </c>
      <c r="AY288" s="166">
        <v>-137977297</v>
      </c>
      <c r="AZ288" s="166">
        <v>0</v>
      </c>
      <c r="BA288" s="166">
        <v>-903625</v>
      </c>
      <c r="BB288" s="166">
        <v>-293381</v>
      </c>
      <c r="BC288" s="166">
        <v>-39234871</v>
      </c>
      <c r="BD288" s="166">
        <v>-1172266</v>
      </c>
      <c r="BE288" s="166">
        <v>-30281491</v>
      </c>
      <c r="BF288" s="166"/>
      <c r="BG288" s="760">
        <v>160446750</v>
      </c>
      <c r="BH288" s="760">
        <v>0</v>
      </c>
      <c r="BI288" s="815">
        <v>-74826152</v>
      </c>
      <c r="BJ288" s="1044" t="s">
        <v>2506</v>
      </c>
      <c r="BK288" s="1044" t="s">
        <v>2465</v>
      </c>
      <c r="BL288" s="1044" t="s">
        <v>2743</v>
      </c>
      <c r="BM288" s="650"/>
      <c r="BN288" s="746" t="s">
        <v>455</v>
      </c>
      <c r="BO288" s="142" t="b">
        <v>1</v>
      </c>
      <c r="BP288" s="544"/>
      <c r="BQ288" s="544"/>
      <c r="BR288" s="544"/>
      <c r="BS288" s="544"/>
      <c r="BT288" s="544"/>
      <c r="BU288" s="544"/>
      <c r="BV288" s="544"/>
      <c r="BW288" s="544"/>
      <c r="BX288" s="544"/>
      <c r="BY288" s="544"/>
      <c r="BZ288" s="544"/>
      <c r="CA288" s="544"/>
      <c r="CB288" s="544"/>
      <c r="CC288" s="544"/>
      <c r="CD288" s="544"/>
      <c r="CE288" s="544"/>
      <c r="CF288" s="544"/>
      <c r="CG288" s="544"/>
      <c r="CH288" s="544"/>
      <c r="CI288" s="544"/>
      <c r="CJ288" s="544"/>
      <c r="CK288" s="544"/>
      <c r="CL288" s="544"/>
      <c r="CM288" s="544"/>
      <c r="CN288" s="544"/>
      <c r="CO288" s="544"/>
      <c r="CP288" s="544"/>
      <c r="CQ288" s="544"/>
      <c r="CR288" s="544"/>
      <c r="CS288" s="544"/>
    </row>
    <row r="289" spans="1:98" s="142" customFormat="1" ht="12.75" hidden="1" x14ac:dyDescent="0.2">
      <c r="A289" s="735">
        <v>282</v>
      </c>
      <c r="B289" s="994" t="s">
        <v>2441</v>
      </c>
      <c r="C289" s="995" t="s">
        <v>2432</v>
      </c>
      <c r="D289" s="905">
        <v>537334.348325136</v>
      </c>
      <c r="E289" s="905">
        <v>249676450</v>
      </c>
      <c r="F289" s="905">
        <v>15377</v>
      </c>
      <c r="G289" s="166">
        <v>125388853</v>
      </c>
      <c r="H289" s="166">
        <v>-16172256</v>
      </c>
      <c r="I289" s="166">
        <v>1962498</v>
      </c>
      <c r="J289" s="166">
        <v>-14209758</v>
      </c>
      <c r="K289" s="166">
        <v>-6740973</v>
      </c>
      <c r="L289" s="166">
        <v>-338633</v>
      </c>
      <c r="M289" s="166">
        <v>-126310</v>
      </c>
      <c r="N289" s="166">
        <v>-52600</v>
      </c>
      <c r="O289" s="166">
        <v>-126930</v>
      </c>
      <c r="P289" s="166">
        <v>-2163891</v>
      </c>
      <c r="Q289" s="166">
        <v>-203686</v>
      </c>
      <c r="R289" s="166">
        <v>-54553</v>
      </c>
      <c r="S289" s="166">
        <v>-35902</v>
      </c>
      <c r="T289" s="166"/>
      <c r="U289" s="166">
        <v>-6112</v>
      </c>
      <c r="V289" s="166">
        <v>0</v>
      </c>
      <c r="W289" s="166">
        <v>0</v>
      </c>
      <c r="X289" s="166">
        <v>0</v>
      </c>
      <c r="Y289" s="166">
        <v>-63155</v>
      </c>
      <c r="Z289" s="166">
        <v>76172798</v>
      </c>
      <c r="AA289" s="166">
        <v>-1752646</v>
      </c>
      <c r="AB289" s="166"/>
      <c r="AC289" s="166">
        <v>-14873252</v>
      </c>
      <c r="AD289" s="166">
        <v>791</v>
      </c>
      <c r="AE289" s="166">
        <v>64</v>
      </c>
      <c r="AF289" s="166">
        <v>57</v>
      </c>
      <c r="AG289" s="166"/>
      <c r="AH289" s="166">
        <v>39</v>
      </c>
      <c r="AI289" s="166">
        <v>1</v>
      </c>
      <c r="AJ289" s="166">
        <v>693</v>
      </c>
      <c r="AK289" s="166">
        <v>325</v>
      </c>
      <c r="AL289" s="166">
        <v>18</v>
      </c>
      <c r="AM289" s="166">
        <v>0</v>
      </c>
      <c r="AN289" s="166">
        <v>4</v>
      </c>
      <c r="AO289" s="166">
        <v>50</v>
      </c>
      <c r="AP289" s="166">
        <v>0</v>
      </c>
      <c r="AQ289" s="166">
        <v>0</v>
      </c>
      <c r="AR289" s="166">
        <v>2105</v>
      </c>
      <c r="AS289" s="166">
        <v>2565</v>
      </c>
      <c r="AT289" s="166">
        <v>7920</v>
      </c>
      <c r="AU289" s="166">
        <v>7628</v>
      </c>
      <c r="AV289" s="166">
        <v>292</v>
      </c>
      <c r="AW289" s="166">
        <v>4869</v>
      </c>
      <c r="AX289" s="166">
        <v>-13059</v>
      </c>
      <c r="AY289" s="166">
        <v>-684401</v>
      </c>
      <c r="AZ289" s="166">
        <v>0</v>
      </c>
      <c r="BA289" s="166">
        <v>-6569</v>
      </c>
      <c r="BB289" s="166">
        <v>-669916</v>
      </c>
      <c r="BC289" s="166">
        <v>-789946</v>
      </c>
      <c r="BD289" s="166">
        <v>-888439</v>
      </c>
      <c r="BE289" s="166">
        <v>-4093707</v>
      </c>
      <c r="BF289" s="166"/>
      <c r="BG289" s="760">
        <v>38287325</v>
      </c>
      <c r="BH289" s="760">
        <v>0</v>
      </c>
      <c r="BI289" s="815">
        <v>-6047797</v>
      </c>
      <c r="BJ289" s="1044" t="s">
        <v>515</v>
      </c>
      <c r="BK289" s="1044" t="s">
        <v>2481</v>
      </c>
      <c r="BL289" s="1044" t="s">
        <v>2759</v>
      </c>
      <c r="BM289" s="650"/>
      <c r="BN289" s="746"/>
      <c r="BP289" s="544"/>
      <c r="BQ289" s="544"/>
      <c r="BR289" s="544"/>
      <c r="BS289" s="544"/>
      <c r="BT289" s="544"/>
      <c r="BU289" s="544"/>
      <c r="BV289" s="544"/>
      <c r="BW289" s="544"/>
      <c r="BX289" s="544"/>
      <c r="BY289" s="544"/>
      <c r="BZ289" s="544"/>
      <c r="CA289" s="544"/>
      <c r="CB289" s="544"/>
      <c r="CC289" s="544"/>
      <c r="CD289" s="544"/>
      <c r="CE289" s="544"/>
      <c r="CF289" s="544"/>
      <c r="CG289" s="544"/>
      <c r="CH289" s="544"/>
      <c r="CI289" s="544"/>
      <c r="CJ289" s="544"/>
      <c r="CK289" s="544"/>
      <c r="CL289" s="544"/>
      <c r="CM289" s="544"/>
      <c r="CN289" s="544"/>
      <c r="CO289" s="544"/>
      <c r="CP289" s="544"/>
      <c r="CQ289" s="544"/>
      <c r="CR289" s="544"/>
      <c r="CS289" s="544"/>
      <c r="CT289" s="544"/>
    </row>
    <row r="290" spans="1:98" s="142" customFormat="1" ht="12.75" hidden="1" x14ac:dyDescent="0.2">
      <c r="A290" s="735">
        <v>283</v>
      </c>
      <c r="B290" s="732" t="s">
        <v>456</v>
      </c>
      <c r="C290" s="738" t="s">
        <v>457</v>
      </c>
      <c r="D290" s="905">
        <v>367208.03229440202</v>
      </c>
      <c r="E290" s="905">
        <v>223216321</v>
      </c>
      <c r="F290" s="905">
        <v>9833</v>
      </c>
      <c r="G290" s="166">
        <v>111554042</v>
      </c>
      <c r="H290" s="166">
        <v>-11701076</v>
      </c>
      <c r="I290" s="166">
        <v>1943797</v>
      </c>
      <c r="J290" s="166">
        <v>-9757279</v>
      </c>
      <c r="K290" s="166">
        <v>-6133556</v>
      </c>
      <c r="L290" s="166">
        <v>-169820</v>
      </c>
      <c r="M290" s="166">
        <v>0</v>
      </c>
      <c r="N290" s="166">
        <v>-21913</v>
      </c>
      <c r="O290" s="166">
        <v>0</v>
      </c>
      <c r="P290" s="166">
        <v>-1691500</v>
      </c>
      <c r="Q290" s="166">
        <v>-548512</v>
      </c>
      <c r="R290" s="166">
        <v>-251922</v>
      </c>
      <c r="S290" s="166">
        <v>-7688</v>
      </c>
      <c r="T290" s="166"/>
      <c r="U290" s="166">
        <v>0</v>
      </c>
      <c r="V290" s="166">
        <v>0</v>
      </c>
      <c r="W290" s="166">
        <v>0</v>
      </c>
      <c r="X290" s="166">
        <v>0</v>
      </c>
      <c r="Y290" s="166">
        <v>0</v>
      </c>
      <c r="Z290" s="166">
        <v>78604574</v>
      </c>
      <c r="AA290" s="166">
        <v>-1300000</v>
      </c>
      <c r="AB290" s="166"/>
      <c r="AC290" s="166">
        <v>-7895435</v>
      </c>
      <c r="AD290" s="166">
        <v>329</v>
      </c>
      <c r="AE290" s="166">
        <v>11</v>
      </c>
      <c r="AF290" s="166">
        <v>0</v>
      </c>
      <c r="AG290" s="166"/>
      <c r="AH290" s="166">
        <v>11</v>
      </c>
      <c r="AI290" s="166">
        <v>0</v>
      </c>
      <c r="AJ290" s="166">
        <v>1206</v>
      </c>
      <c r="AK290" s="166">
        <v>329</v>
      </c>
      <c r="AL290" s="166">
        <v>9</v>
      </c>
      <c r="AM290" s="166">
        <v>0</v>
      </c>
      <c r="AN290" s="166">
        <v>0</v>
      </c>
      <c r="AO290" s="166">
        <v>11</v>
      </c>
      <c r="AP290" s="166">
        <v>0</v>
      </c>
      <c r="AQ290" s="166">
        <v>0</v>
      </c>
      <c r="AR290" s="166">
        <v>1063</v>
      </c>
      <c r="AS290" s="166">
        <v>5441</v>
      </c>
      <c r="AT290" s="166">
        <v>4467</v>
      </c>
      <c r="AU290" s="166">
        <v>4208</v>
      </c>
      <c r="AV290" s="166">
        <v>259</v>
      </c>
      <c r="AW290" s="166">
        <v>5441</v>
      </c>
      <c r="AX290" s="166">
        <v>-349697</v>
      </c>
      <c r="AY290" s="166">
        <v>-649268</v>
      </c>
      <c r="AZ290" s="166">
        <v>0</v>
      </c>
      <c r="BA290" s="166">
        <v>-2329</v>
      </c>
      <c r="BB290" s="166">
        <v>-690206</v>
      </c>
      <c r="BC290" s="166">
        <v>0</v>
      </c>
      <c r="BD290" s="166">
        <v>-1235140</v>
      </c>
      <c r="BE290" s="166">
        <v>-6275316</v>
      </c>
      <c r="BF290" s="166"/>
      <c r="BG290" s="760">
        <v>30397200</v>
      </c>
      <c r="BH290" s="760">
        <v>0</v>
      </c>
      <c r="BI290" s="815">
        <v>-12349204</v>
      </c>
      <c r="BJ290" s="1044" t="s">
        <v>2468</v>
      </c>
      <c r="BK290" s="1044" t="s">
        <v>2481</v>
      </c>
      <c r="BL290" s="1044" t="s">
        <v>2744</v>
      </c>
      <c r="BM290" s="650"/>
      <c r="BN290" s="746" t="s">
        <v>457</v>
      </c>
      <c r="BO290" s="142" t="b">
        <v>1</v>
      </c>
      <c r="BP290" s="544"/>
      <c r="BQ290" s="544"/>
      <c r="BR290" s="544"/>
      <c r="BS290" s="544"/>
      <c r="BT290" s="544"/>
      <c r="BU290" s="544"/>
      <c r="BV290" s="544"/>
      <c r="BW290" s="544"/>
      <c r="BX290" s="544"/>
      <c r="BY290" s="544"/>
      <c r="BZ290" s="544"/>
      <c r="CA290" s="544"/>
      <c r="CB290" s="544"/>
      <c r="CC290" s="544"/>
      <c r="CD290" s="544"/>
      <c r="CE290" s="544"/>
      <c r="CF290" s="544"/>
      <c r="CG290" s="544"/>
      <c r="CH290" s="544"/>
      <c r="CI290" s="544"/>
      <c r="CJ290" s="544"/>
      <c r="CK290" s="544"/>
      <c r="CL290" s="544"/>
      <c r="CM290" s="544"/>
      <c r="CN290" s="544"/>
      <c r="CO290" s="544"/>
      <c r="CP290" s="544"/>
      <c r="CQ290" s="544"/>
      <c r="CR290" s="544"/>
      <c r="CS290" s="544"/>
    </row>
    <row r="291" spans="1:98" s="142" customFormat="1" ht="12.75" hidden="1" x14ac:dyDescent="0.2">
      <c r="A291" s="735">
        <v>284</v>
      </c>
      <c r="B291" s="732" t="s">
        <v>458</v>
      </c>
      <c r="C291" s="738" t="s">
        <v>459</v>
      </c>
      <c r="D291" s="905">
        <v>643769.31695813301</v>
      </c>
      <c r="E291" s="905">
        <v>451768809</v>
      </c>
      <c r="F291" s="905">
        <v>16597</v>
      </c>
      <c r="G291" s="166">
        <v>221847709</v>
      </c>
      <c r="H291" s="166">
        <v>-17486582</v>
      </c>
      <c r="I291" s="166">
        <v>3977013</v>
      </c>
      <c r="J291" s="166">
        <v>-13509569</v>
      </c>
      <c r="K291" s="166">
        <v>-12649875</v>
      </c>
      <c r="L291" s="166">
        <v>-105279</v>
      </c>
      <c r="M291" s="166">
        <v>-259540</v>
      </c>
      <c r="N291" s="166">
        <v>-78286</v>
      </c>
      <c r="O291" s="166">
        <v>-100000</v>
      </c>
      <c r="P291" s="166">
        <v>-3775863</v>
      </c>
      <c r="Q291" s="166">
        <v>-294719</v>
      </c>
      <c r="R291" s="166">
        <v>-43169</v>
      </c>
      <c r="S291" s="166">
        <v>-2412</v>
      </c>
      <c r="T291" s="166"/>
      <c r="U291" s="166">
        <v>0</v>
      </c>
      <c r="V291" s="166">
        <v>-30100</v>
      </c>
      <c r="W291" s="166">
        <v>0</v>
      </c>
      <c r="X291" s="166">
        <v>0</v>
      </c>
      <c r="Y291" s="166">
        <v>-126840</v>
      </c>
      <c r="Z291" s="166">
        <v>162967803</v>
      </c>
      <c r="AA291" s="166">
        <v>-7333600</v>
      </c>
      <c r="AB291" s="166"/>
      <c r="AC291" s="166">
        <v>-12896587</v>
      </c>
      <c r="AD291" s="166">
        <v>1023</v>
      </c>
      <c r="AE291" s="166">
        <v>35</v>
      </c>
      <c r="AF291" s="166">
        <v>102</v>
      </c>
      <c r="AG291" s="166"/>
      <c r="AH291" s="166">
        <v>38</v>
      </c>
      <c r="AI291" s="166">
        <v>2</v>
      </c>
      <c r="AJ291" s="166">
        <v>1324</v>
      </c>
      <c r="AK291" s="166">
        <v>388</v>
      </c>
      <c r="AL291" s="166">
        <v>7</v>
      </c>
      <c r="AM291" s="166">
        <v>0</v>
      </c>
      <c r="AN291" s="166">
        <v>0</v>
      </c>
      <c r="AO291" s="166">
        <v>9</v>
      </c>
      <c r="AP291" s="166">
        <v>0</v>
      </c>
      <c r="AQ291" s="166">
        <v>0</v>
      </c>
      <c r="AR291" s="166">
        <v>1544</v>
      </c>
      <c r="AS291" s="166">
        <v>3888</v>
      </c>
      <c r="AT291" s="166">
        <v>7460</v>
      </c>
      <c r="AU291" s="166">
        <v>6986</v>
      </c>
      <c r="AV291" s="166">
        <v>474</v>
      </c>
      <c r="AW291" s="166">
        <v>5070</v>
      </c>
      <c r="AX291" s="166">
        <v>-276312</v>
      </c>
      <c r="AY291" s="166">
        <v>-2182027</v>
      </c>
      <c r="AZ291" s="166">
        <v>0</v>
      </c>
      <c r="BA291" s="166">
        <v>-119471</v>
      </c>
      <c r="BB291" s="166">
        <v>0</v>
      </c>
      <c r="BC291" s="166">
        <v>-1198053</v>
      </c>
      <c r="BD291" s="166">
        <v>-1553565</v>
      </c>
      <c r="BE291" s="166">
        <v>5797103</v>
      </c>
      <c r="BF291" s="166"/>
      <c r="BG291" s="760">
        <v>52849025</v>
      </c>
      <c r="BH291" s="760">
        <v>0</v>
      </c>
      <c r="BI291" s="815">
        <v>6766034</v>
      </c>
      <c r="BJ291" s="1044" t="s">
        <v>515</v>
      </c>
      <c r="BK291" s="1044" t="s">
        <v>2474</v>
      </c>
      <c r="BL291" s="1044" t="s">
        <v>2745</v>
      </c>
      <c r="BM291" s="650"/>
      <c r="BN291" s="746" t="s">
        <v>459</v>
      </c>
      <c r="BO291" s="142" t="b">
        <v>1</v>
      </c>
      <c r="BP291" s="544"/>
      <c r="BQ291" s="544"/>
      <c r="BR291" s="544"/>
      <c r="BS291" s="544"/>
      <c r="BT291" s="544"/>
      <c r="BU291" s="544"/>
      <c r="BV291" s="544"/>
      <c r="BW291" s="544"/>
      <c r="BX291" s="544"/>
      <c r="BY291" s="544"/>
      <c r="BZ291" s="544"/>
      <c r="CA291" s="544"/>
      <c r="CB291" s="544"/>
      <c r="CC291" s="544"/>
      <c r="CD291" s="544"/>
      <c r="CE291" s="544"/>
      <c r="CF291" s="544"/>
      <c r="CG291" s="544"/>
      <c r="CH291" s="544"/>
      <c r="CI291" s="544"/>
      <c r="CJ291" s="544"/>
      <c r="CK291" s="544"/>
      <c r="CL291" s="544"/>
      <c r="CM291" s="544"/>
      <c r="CN291" s="544"/>
      <c r="CO291" s="544"/>
      <c r="CP291" s="544"/>
      <c r="CQ291" s="544"/>
      <c r="CR291" s="544"/>
      <c r="CS291" s="544"/>
    </row>
    <row r="292" spans="1:98" s="142" customFormat="1" ht="12.75" x14ac:dyDescent="0.2">
      <c r="A292" s="735">
        <v>285</v>
      </c>
      <c r="B292" s="732" t="s">
        <v>460</v>
      </c>
      <c r="C292" s="738" t="s">
        <v>461</v>
      </c>
      <c r="D292" s="905">
        <v>209335.95354827199</v>
      </c>
      <c r="E292" s="905">
        <v>168640553</v>
      </c>
      <c r="F292" s="905">
        <v>5107</v>
      </c>
      <c r="G292" s="166">
        <v>84575308</v>
      </c>
      <c r="H292" s="166">
        <v>-4392869</v>
      </c>
      <c r="I292" s="166">
        <v>1574319</v>
      </c>
      <c r="J292" s="166">
        <v>-2818550</v>
      </c>
      <c r="K292" s="166">
        <v>-5086679</v>
      </c>
      <c r="L292" s="166">
        <v>-47036</v>
      </c>
      <c r="M292" s="166">
        <v>-15738</v>
      </c>
      <c r="N292" s="166">
        <v>-24270</v>
      </c>
      <c r="O292" s="166">
        <v>-10000</v>
      </c>
      <c r="P292" s="166">
        <v>-2462808</v>
      </c>
      <c r="Q292" s="166">
        <v>-56136</v>
      </c>
      <c r="R292" s="166">
        <v>-613217</v>
      </c>
      <c r="S292" s="166">
        <v>-4233</v>
      </c>
      <c r="T292" s="166"/>
      <c r="U292" s="166">
        <v>0</v>
      </c>
      <c r="V292" s="166">
        <v>0</v>
      </c>
      <c r="W292" s="166">
        <v>0</v>
      </c>
      <c r="X292" s="166">
        <v>0</v>
      </c>
      <c r="Y292" s="166">
        <v>-6287</v>
      </c>
      <c r="Z292" s="166">
        <v>61904432</v>
      </c>
      <c r="AA292" s="166">
        <v>-2309500</v>
      </c>
      <c r="AB292" s="166"/>
      <c r="AC292" s="166">
        <v>-5746081</v>
      </c>
      <c r="AD292" s="166">
        <v>209</v>
      </c>
      <c r="AE292" s="166">
        <v>21</v>
      </c>
      <c r="AF292" s="166">
        <v>6</v>
      </c>
      <c r="AG292" s="166"/>
      <c r="AH292" s="166">
        <v>10</v>
      </c>
      <c r="AI292" s="166">
        <v>0</v>
      </c>
      <c r="AJ292" s="166">
        <v>545</v>
      </c>
      <c r="AK292" s="166">
        <v>86</v>
      </c>
      <c r="AL292" s="166">
        <v>3</v>
      </c>
      <c r="AM292" s="166">
        <v>0</v>
      </c>
      <c r="AN292" s="166">
        <v>0</v>
      </c>
      <c r="AO292" s="166">
        <v>7</v>
      </c>
      <c r="AP292" s="166">
        <v>0</v>
      </c>
      <c r="AQ292" s="166">
        <v>0</v>
      </c>
      <c r="AR292" s="166">
        <v>642</v>
      </c>
      <c r="AS292" s="166">
        <v>1308</v>
      </c>
      <c r="AT292" s="166">
        <v>1792</v>
      </c>
      <c r="AU292" s="166">
        <v>1568</v>
      </c>
      <c r="AV292" s="166">
        <v>224</v>
      </c>
      <c r="AW292" s="166">
        <v>2053</v>
      </c>
      <c r="AX292" s="166">
        <v>-494185</v>
      </c>
      <c r="AY292" s="166">
        <v>-668470</v>
      </c>
      <c r="AZ292" s="166">
        <v>0</v>
      </c>
      <c r="BA292" s="166">
        <v>0</v>
      </c>
      <c r="BB292" s="166">
        <v>-637747</v>
      </c>
      <c r="BC292" s="166">
        <v>-662406</v>
      </c>
      <c r="BD292" s="166">
        <v>-935106</v>
      </c>
      <c r="BE292" s="166">
        <v>-1145959</v>
      </c>
      <c r="BF292" s="166"/>
      <c r="BG292" s="760">
        <v>22255300</v>
      </c>
      <c r="BH292" s="760">
        <v>0</v>
      </c>
      <c r="BI292" s="815">
        <v>-1887488</v>
      </c>
      <c r="BJ292" s="1044" t="s">
        <v>2454</v>
      </c>
      <c r="BK292" s="1044" t="s">
        <v>2455</v>
      </c>
      <c r="BL292" s="1044" t="s">
        <v>2746</v>
      </c>
      <c r="BM292" s="650"/>
      <c r="BN292" s="746" t="s">
        <v>461</v>
      </c>
      <c r="BO292" s="142" t="b">
        <v>1</v>
      </c>
      <c r="BP292" s="544"/>
      <c r="BQ292" s="544"/>
      <c r="BR292" s="544"/>
      <c r="BS292" s="544"/>
      <c r="BT292" s="544"/>
      <c r="BU292" s="544"/>
      <c r="BV292" s="544"/>
      <c r="BW292" s="544"/>
      <c r="BX292" s="544"/>
      <c r="BY292" s="544"/>
      <c r="BZ292" s="544"/>
      <c r="CA292" s="544"/>
      <c r="CB292" s="544"/>
      <c r="CC292" s="544"/>
      <c r="CD292" s="544"/>
      <c r="CE292" s="544"/>
      <c r="CF292" s="544"/>
      <c r="CG292" s="544"/>
      <c r="CH292" s="544"/>
      <c r="CI292" s="544"/>
      <c r="CJ292" s="544"/>
      <c r="CK292" s="544"/>
      <c r="CL292" s="544"/>
      <c r="CM292" s="544"/>
      <c r="CN292" s="544"/>
      <c r="CO292" s="544"/>
      <c r="CP292" s="544"/>
      <c r="CQ292" s="544"/>
      <c r="CR292" s="544"/>
      <c r="CS292" s="544"/>
    </row>
    <row r="293" spans="1:98" s="142" customFormat="1" ht="12.75" hidden="1" x14ac:dyDescent="0.2">
      <c r="A293" s="735">
        <v>286</v>
      </c>
      <c r="B293" s="732" t="s">
        <v>989</v>
      </c>
      <c r="C293" s="738" t="s">
        <v>463</v>
      </c>
      <c r="D293" s="905">
        <v>225285.507580634</v>
      </c>
      <c r="E293" s="905">
        <v>210836745</v>
      </c>
      <c r="F293" s="905">
        <v>4792</v>
      </c>
      <c r="G293" s="166">
        <v>102578113</v>
      </c>
      <c r="H293" s="166">
        <v>-3578734</v>
      </c>
      <c r="I293" s="166">
        <v>2056545</v>
      </c>
      <c r="J293" s="166">
        <v>-1522189</v>
      </c>
      <c r="K293" s="166">
        <v>-8026516</v>
      </c>
      <c r="L293" s="166">
        <v>0</v>
      </c>
      <c r="M293" s="166">
        <v>-9288</v>
      </c>
      <c r="N293" s="166">
        <v>-32471</v>
      </c>
      <c r="O293" s="166">
        <v>0</v>
      </c>
      <c r="P293" s="166">
        <v>-2195873</v>
      </c>
      <c r="Q293" s="166">
        <v>-591777</v>
      </c>
      <c r="R293" s="166">
        <v>-145384</v>
      </c>
      <c r="S293" s="166">
        <v>0</v>
      </c>
      <c r="T293" s="166"/>
      <c r="U293" s="166">
        <v>-7834</v>
      </c>
      <c r="V293" s="166">
        <v>-58165</v>
      </c>
      <c r="W293" s="166">
        <v>0</v>
      </c>
      <c r="X293" s="166">
        <v>0</v>
      </c>
      <c r="Y293" s="166">
        <v>-9288</v>
      </c>
      <c r="Z293" s="166">
        <v>74793750</v>
      </c>
      <c r="AA293" s="166">
        <v>-827400</v>
      </c>
      <c r="AB293" s="166"/>
      <c r="AC293" s="166">
        <v>-9831217</v>
      </c>
      <c r="AD293" s="166">
        <v>283</v>
      </c>
      <c r="AE293" s="166">
        <v>0</v>
      </c>
      <c r="AF293" s="166">
        <v>0</v>
      </c>
      <c r="AG293" s="166"/>
      <c r="AH293" s="166">
        <v>15</v>
      </c>
      <c r="AI293" s="166">
        <v>0</v>
      </c>
      <c r="AJ293" s="166">
        <v>230</v>
      </c>
      <c r="AK293" s="166">
        <v>127</v>
      </c>
      <c r="AL293" s="166">
        <v>35</v>
      </c>
      <c r="AM293" s="166">
        <v>3</v>
      </c>
      <c r="AN293" s="166">
        <v>0</v>
      </c>
      <c r="AO293" s="166">
        <v>0</v>
      </c>
      <c r="AP293" s="166">
        <v>0</v>
      </c>
      <c r="AQ293" s="166">
        <v>2</v>
      </c>
      <c r="AR293" s="166">
        <v>995</v>
      </c>
      <c r="AS293" s="166">
        <v>1576</v>
      </c>
      <c r="AT293" s="166">
        <v>1121</v>
      </c>
      <c r="AU293" s="166">
        <v>991</v>
      </c>
      <c r="AV293" s="166">
        <v>130</v>
      </c>
      <c r="AW293" s="166">
        <v>2120</v>
      </c>
      <c r="AX293" s="166">
        <v>-44356</v>
      </c>
      <c r="AY293" s="166">
        <v>-1171786</v>
      </c>
      <c r="AZ293" s="166">
        <v>0</v>
      </c>
      <c r="BA293" s="166">
        <v>-249882</v>
      </c>
      <c r="BB293" s="166">
        <v>-671993</v>
      </c>
      <c r="BC293" s="166">
        <v>-57856</v>
      </c>
      <c r="BD293" s="166">
        <v>-490298</v>
      </c>
      <c r="BE293" s="166">
        <v>-13832832</v>
      </c>
      <c r="BF293" s="166"/>
      <c r="BG293" s="760">
        <v>28458600</v>
      </c>
      <c r="BH293" s="760">
        <v>0</v>
      </c>
      <c r="BI293" s="815">
        <v>-13909897</v>
      </c>
      <c r="BJ293" s="1044" t="s">
        <v>515</v>
      </c>
      <c r="BK293" s="1044" t="s">
        <v>2455</v>
      </c>
      <c r="BL293" s="1044" t="s">
        <v>2747</v>
      </c>
      <c r="BM293" s="650"/>
      <c r="BN293" s="746" t="s">
        <v>463</v>
      </c>
      <c r="BO293" s="142" t="b">
        <v>1</v>
      </c>
      <c r="BP293" s="544"/>
      <c r="BQ293" s="544"/>
      <c r="BR293" s="544"/>
      <c r="BS293" s="544"/>
      <c r="BT293" s="544"/>
      <c r="BU293" s="544"/>
      <c r="BV293" s="544"/>
      <c r="BW293" s="544"/>
      <c r="BX293" s="544"/>
      <c r="BY293" s="544"/>
      <c r="BZ293" s="544"/>
      <c r="CA293" s="544"/>
      <c r="CB293" s="544"/>
      <c r="CC293" s="544"/>
      <c r="CD293" s="544"/>
      <c r="CE293" s="544"/>
      <c r="CF293" s="544"/>
      <c r="CG293" s="544"/>
      <c r="CH293" s="544"/>
      <c r="CI293" s="544"/>
      <c r="CJ293" s="544"/>
      <c r="CK293" s="544"/>
      <c r="CL293" s="544"/>
      <c r="CM293" s="544"/>
      <c r="CN293" s="544"/>
      <c r="CO293" s="544"/>
      <c r="CP293" s="544"/>
      <c r="CQ293" s="544"/>
      <c r="CR293" s="544"/>
      <c r="CS293" s="544"/>
    </row>
    <row r="294" spans="1:98" s="142" customFormat="1" ht="12.75" hidden="1" x14ac:dyDescent="0.2">
      <c r="A294" s="735">
        <v>287</v>
      </c>
      <c r="B294" s="732" t="s">
        <v>464</v>
      </c>
      <c r="C294" s="738" t="s">
        <v>465</v>
      </c>
      <c r="D294" s="905">
        <v>316540.53815981402</v>
      </c>
      <c r="E294" s="905">
        <v>193030449</v>
      </c>
      <c r="F294" s="905">
        <v>8566</v>
      </c>
      <c r="G294" s="166">
        <v>96180114</v>
      </c>
      <c r="H294" s="166">
        <v>-10149090</v>
      </c>
      <c r="I294" s="166">
        <v>1693634</v>
      </c>
      <c r="J294" s="166">
        <v>-8455456</v>
      </c>
      <c r="K294" s="166">
        <v>-6545582</v>
      </c>
      <c r="L294" s="166">
        <v>-28440</v>
      </c>
      <c r="M294" s="166">
        <v>0</v>
      </c>
      <c r="N294" s="166">
        <v>-13014</v>
      </c>
      <c r="O294" s="166">
        <v>-70000</v>
      </c>
      <c r="P294" s="166">
        <v>-3025087</v>
      </c>
      <c r="Q294" s="166">
        <v>-686523</v>
      </c>
      <c r="R294" s="166">
        <v>-143509</v>
      </c>
      <c r="S294" s="166">
        <v>-7110</v>
      </c>
      <c r="T294" s="166"/>
      <c r="U294" s="166">
        <v>0</v>
      </c>
      <c r="V294" s="166">
        <v>0</v>
      </c>
      <c r="W294" s="166">
        <v>0</v>
      </c>
      <c r="X294" s="166">
        <v>0</v>
      </c>
      <c r="Y294" s="166">
        <v>0</v>
      </c>
      <c r="Z294" s="166">
        <v>66562016</v>
      </c>
      <c r="AA294" s="166">
        <v>-2000000</v>
      </c>
      <c r="AB294" s="166"/>
      <c r="AC294" s="166">
        <v>-5263216</v>
      </c>
      <c r="AD294" s="166">
        <v>419</v>
      </c>
      <c r="AE294" s="166">
        <v>7</v>
      </c>
      <c r="AF294" s="166">
        <v>0</v>
      </c>
      <c r="AG294" s="166"/>
      <c r="AH294" s="166">
        <v>9</v>
      </c>
      <c r="AI294" s="166">
        <v>0</v>
      </c>
      <c r="AJ294" s="166">
        <v>545</v>
      </c>
      <c r="AK294" s="166">
        <v>316</v>
      </c>
      <c r="AL294" s="166">
        <v>14</v>
      </c>
      <c r="AM294" s="166">
        <v>0</v>
      </c>
      <c r="AN294" s="166">
        <v>0</v>
      </c>
      <c r="AO294" s="166">
        <v>7</v>
      </c>
      <c r="AP294" s="166">
        <v>0</v>
      </c>
      <c r="AQ294" s="166">
        <v>0</v>
      </c>
      <c r="AR294" s="166">
        <v>802</v>
      </c>
      <c r="AS294" s="166">
        <v>2024</v>
      </c>
      <c r="AT294" s="166">
        <v>4020</v>
      </c>
      <c r="AU294" s="166">
        <v>3822</v>
      </c>
      <c r="AV294" s="166">
        <v>198</v>
      </c>
      <c r="AW294" s="166">
        <v>2489</v>
      </c>
      <c r="AX294" s="166">
        <v>-25363</v>
      </c>
      <c r="AY294" s="166">
        <v>-353340</v>
      </c>
      <c r="AZ294" s="166">
        <v>0</v>
      </c>
      <c r="BA294" s="166">
        <v>-50870</v>
      </c>
      <c r="BB294" s="166">
        <v>-2577812</v>
      </c>
      <c r="BC294" s="166">
        <v>-17702</v>
      </c>
      <c r="BD294" s="166">
        <v>-661056</v>
      </c>
      <c r="BE294" s="166">
        <v>-6627379</v>
      </c>
      <c r="BF294" s="166"/>
      <c r="BG294" s="760">
        <v>26663600</v>
      </c>
      <c r="BH294" s="760">
        <v>107500</v>
      </c>
      <c r="BI294" s="815">
        <v>-6985313</v>
      </c>
      <c r="BJ294" s="1044" t="s">
        <v>2468</v>
      </c>
      <c r="BK294" s="1044" t="s">
        <v>2481</v>
      </c>
      <c r="BL294" s="1044" t="s">
        <v>2748</v>
      </c>
      <c r="BM294" s="650"/>
      <c r="BN294" s="746" t="s">
        <v>465</v>
      </c>
      <c r="BO294" s="142" t="b">
        <v>1</v>
      </c>
      <c r="BP294" s="544"/>
      <c r="BQ294" s="544"/>
      <c r="BR294" s="544"/>
      <c r="BS294" s="544"/>
      <c r="BT294" s="544"/>
      <c r="BU294" s="544"/>
      <c r="BV294" s="544"/>
      <c r="BW294" s="544"/>
      <c r="BX294" s="544"/>
      <c r="BY294" s="544"/>
      <c r="BZ294" s="544"/>
      <c r="CA294" s="544"/>
      <c r="CB294" s="544"/>
      <c r="CC294" s="544"/>
      <c r="CD294" s="544"/>
      <c r="CE294" s="544"/>
      <c r="CF294" s="544"/>
      <c r="CG294" s="544"/>
      <c r="CH294" s="544"/>
      <c r="CI294" s="544"/>
      <c r="CJ294" s="544"/>
      <c r="CK294" s="544"/>
      <c r="CL294" s="544"/>
      <c r="CM294" s="544"/>
      <c r="CN294" s="544"/>
      <c r="CO294" s="544"/>
      <c r="CP294" s="544"/>
      <c r="CQ294" s="544"/>
      <c r="CR294" s="544"/>
      <c r="CS294" s="544"/>
    </row>
    <row r="295" spans="1:98" s="142" customFormat="1" ht="12.75" x14ac:dyDescent="0.2">
      <c r="A295" s="735">
        <v>288</v>
      </c>
      <c r="B295" s="732" t="s">
        <v>466</v>
      </c>
      <c r="C295" s="738" t="s">
        <v>467</v>
      </c>
      <c r="D295" s="905">
        <v>133372.52646415599</v>
      </c>
      <c r="E295" s="905">
        <v>130013339</v>
      </c>
      <c r="F295" s="905">
        <v>2790</v>
      </c>
      <c r="G295" s="166">
        <v>64656838</v>
      </c>
      <c r="H295" s="166">
        <v>-2024752</v>
      </c>
      <c r="I295" s="166">
        <v>1346236</v>
      </c>
      <c r="J295" s="166">
        <v>-678516</v>
      </c>
      <c r="K295" s="166">
        <v>-4390038</v>
      </c>
      <c r="L295" s="166">
        <v>0</v>
      </c>
      <c r="M295" s="166">
        <v>-2158</v>
      </c>
      <c r="N295" s="166">
        <v>-5377</v>
      </c>
      <c r="O295" s="166">
        <v>0</v>
      </c>
      <c r="P295" s="166">
        <v>-998878</v>
      </c>
      <c r="Q295" s="166">
        <v>-497496</v>
      </c>
      <c r="R295" s="166">
        <v>-77001</v>
      </c>
      <c r="S295" s="166">
        <v>0</v>
      </c>
      <c r="T295" s="166"/>
      <c r="U295" s="166">
        <v>0</v>
      </c>
      <c r="V295" s="166">
        <v>-100000</v>
      </c>
      <c r="W295" s="166">
        <v>0</v>
      </c>
      <c r="X295" s="166">
        <v>0</v>
      </c>
      <c r="Y295" s="166">
        <v>-1079</v>
      </c>
      <c r="Z295" s="166">
        <v>49011454</v>
      </c>
      <c r="AA295" s="166">
        <v>-2069019</v>
      </c>
      <c r="AB295" s="166"/>
      <c r="AC295" s="166">
        <v>-4911066</v>
      </c>
      <c r="AD295" s="166">
        <v>166</v>
      </c>
      <c r="AE295" s="166">
        <v>0</v>
      </c>
      <c r="AF295" s="166">
        <v>1</v>
      </c>
      <c r="AG295" s="166"/>
      <c r="AH295" s="166">
        <v>6</v>
      </c>
      <c r="AI295" s="166">
        <v>0</v>
      </c>
      <c r="AJ295" s="166">
        <v>111</v>
      </c>
      <c r="AK295" s="166">
        <v>105</v>
      </c>
      <c r="AL295" s="166">
        <v>11</v>
      </c>
      <c r="AM295" s="166">
        <v>1</v>
      </c>
      <c r="AN295" s="166">
        <v>0</v>
      </c>
      <c r="AO295" s="166">
        <v>0</v>
      </c>
      <c r="AP295" s="166">
        <v>0</v>
      </c>
      <c r="AQ295" s="166">
        <v>0</v>
      </c>
      <c r="AR295" s="166">
        <v>405</v>
      </c>
      <c r="AS295" s="166">
        <v>924</v>
      </c>
      <c r="AT295" s="166">
        <v>665</v>
      </c>
      <c r="AU295" s="166">
        <v>541</v>
      </c>
      <c r="AV295" s="166">
        <v>124</v>
      </c>
      <c r="AW295" s="166">
        <v>1137</v>
      </c>
      <c r="AX295" s="166">
        <v>0</v>
      </c>
      <c r="AY295" s="166">
        <v>0</v>
      </c>
      <c r="AZ295" s="166">
        <v>0</v>
      </c>
      <c r="BA295" s="166">
        <v>0</v>
      </c>
      <c r="BB295" s="166">
        <v>0</v>
      </c>
      <c r="BC295" s="166">
        <v>-998878</v>
      </c>
      <c r="BD295" s="166">
        <v>-496847</v>
      </c>
      <c r="BE295" s="166">
        <v>-4946033</v>
      </c>
      <c r="BF295" s="166"/>
      <c r="BG295" s="760">
        <v>16190700</v>
      </c>
      <c r="BH295" s="760">
        <v>0</v>
      </c>
      <c r="BI295" s="815">
        <v>-4301734</v>
      </c>
      <c r="BJ295" s="1044" t="s">
        <v>2454</v>
      </c>
      <c r="BK295" s="1044" t="s">
        <v>2455</v>
      </c>
      <c r="BL295" s="1044" t="s">
        <v>2749</v>
      </c>
      <c r="BM295" s="650"/>
      <c r="BN295" s="746" t="s">
        <v>467</v>
      </c>
      <c r="BO295" s="142" t="b">
        <v>1</v>
      </c>
      <c r="BP295" s="544"/>
      <c r="BQ295" s="544"/>
      <c r="BR295" s="544"/>
      <c r="BS295" s="544"/>
      <c r="BT295" s="544"/>
      <c r="BU295" s="544"/>
      <c r="BV295" s="544"/>
      <c r="BW295" s="544"/>
      <c r="BX295" s="544"/>
      <c r="BY295" s="544"/>
      <c r="BZ295" s="544"/>
      <c r="CA295" s="544"/>
      <c r="CB295" s="544"/>
      <c r="CC295" s="544"/>
      <c r="CD295" s="544"/>
      <c r="CE295" s="544"/>
      <c r="CF295" s="544"/>
      <c r="CG295" s="544"/>
      <c r="CH295" s="544"/>
      <c r="CI295" s="544"/>
      <c r="CJ295" s="544"/>
      <c r="CK295" s="544"/>
      <c r="CL295" s="544"/>
      <c r="CM295" s="544"/>
      <c r="CN295" s="544"/>
      <c r="CO295" s="544"/>
      <c r="CP295" s="544"/>
      <c r="CQ295" s="544"/>
      <c r="CR295" s="544"/>
      <c r="CS295" s="544"/>
    </row>
    <row r="296" spans="1:98" s="142" customFormat="1" ht="12.75" hidden="1" x14ac:dyDescent="0.2">
      <c r="A296" s="735">
        <v>289</v>
      </c>
      <c r="B296" s="732" t="s">
        <v>531</v>
      </c>
      <c r="C296" s="738" t="s">
        <v>469</v>
      </c>
      <c r="D296" s="905">
        <v>204981.255004537</v>
      </c>
      <c r="E296" s="905">
        <v>201297159</v>
      </c>
      <c r="F296" s="905">
        <v>4406</v>
      </c>
      <c r="G296" s="166">
        <v>100185171</v>
      </c>
      <c r="H296" s="166">
        <v>-3427649</v>
      </c>
      <c r="I296" s="166">
        <v>2045360</v>
      </c>
      <c r="J296" s="166">
        <v>-1382289</v>
      </c>
      <c r="K296" s="166">
        <v>-8329964</v>
      </c>
      <c r="L296" s="166">
        <v>-60100</v>
      </c>
      <c r="M296" s="166">
        <v>-2810</v>
      </c>
      <c r="N296" s="166">
        <v>-12376</v>
      </c>
      <c r="O296" s="166">
        <v>-200000</v>
      </c>
      <c r="P296" s="166">
        <v>-3000000</v>
      </c>
      <c r="Q296" s="166">
        <v>-5736</v>
      </c>
      <c r="R296" s="166">
        <v>-48870</v>
      </c>
      <c r="S296" s="166">
        <v>-466</v>
      </c>
      <c r="T296" s="166"/>
      <c r="U296" s="166">
        <v>0</v>
      </c>
      <c r="V296" s="166">
        <v>-50000</v>
      </c>
      <c r="W296" s="166">
        <v>0</v>
      </c>
      <c r="X296" s="166">
        <v>0</v>
      </c>
      <c r="Y296" s="166">
        <v>-1405</v>
      </c>
      <c r="Z296" s="166">
        <v>75207804</v>
      </c>
      <c r="AA296" s="166">
        <v>-3070000</v>
      </c>
      <c r="AB296" s="166"/>
      <c r="AC296" s="166">
        <v>-5134284</v>
      </c>
      <c r="AD296" s="166">
        <v>211</v>
      </c>
      <c r="AE296" s="166">
        <v>8</v>
      </c>
      <c r="AF296" s="166">
        <v>1</v>
      </c>
      <c r="AG296" s="166"/>
      <c r="AH296" s="166">
        <v>5</v>
      </c>
      <c r="AI296" s="166">
        <v>0</v>
      </c>
      <c r="AJ296" s="166">
        <v>239</v>
      </c>
      <c r="AK296" s="166">
        <v>12</v>
      </c>
      <c r="AL296" s="166">
        <v>19</v>
      </c>
      <c r="AM296" s="166">
        <v>0</v>
      </c>
      <c r="AN296" s="166">
        <v>0</v>
      </c>
      <c r="AO296" s="166">
        <v>1</v>
      </c>
      <c r="AP296" s="166">
        <v>0</v>
      </c>
      <c r="AQ296" s="166">
        <v>1</v>
      </c>
      <c r="AR296" s="166">
        <v>534</v>
      </c>
      <c r="AS296" s="166">
        <v>1165</v>
      </c>
      <c r="AT296" s="166">
        <v>1235</v>
      </c>
      <c r="AU296" s="166">
        <v>1122</v>
      </c>
      <c r="AV296" s="166">
        <v>113</v>
      </c>
      <c r="AW296" s="166">
        <v>1958</v>
      </c>
      <c r="AX296" s="166">
        <v>-47941</v>
      </c>
      <c r="AY296" s="166">
        <v>-308342</v>
      </c>
      <c r="AZ296" s="166">
        <v>0</v>
      </c>
      <c r="BA296" s="166">
        <v>-470913</v>
      </c>
      <c r="BB296" s="166">
        <v>-1109799</v>
      </c>
      <c r="BC296" s="166">
        <v>-1063005</v>
      </c>
      <c r="BD296" s="166">
        <v>-300000</v>
      </c>
      <c r="BE296" s="166">
        <v>5891854</v>
      </c>
      <c r="BF296" s="166"/>
      <c r="BG296" s="760">
        <v>21183250</v>
      </c>
      <c r="BH296" s="760">
        <v>0</v>
      </c>
      <c r="BI296" s="815">
        <v>-3336048</v>
      </c>
      <c r="BJ296" s="1044" t="s">
        <v>515</v>
      </c>
      <c r="BK296" s="1044" t="s">
        <v>2455</v>
      </c>
      <c r="BL296" s="1044" t="s">
        <v>2750</v>
      </c>
      <c r="BM296" s="650"/>
      <c r="BN296" s="746" t="s">
        <v>469</v>
      </c>
      <c r="BO296" s="142" t="b">
        <v>1</v>
      </c>
      <c r="BP296" s="544"/>
      <c r="BQ296" s="544"/>
      <c r="BR296" s="544"/>
      <c r="BS296" s="544"/>
      <c r="BT296" s="544"/>
      <c r="BU296" s="544"/>
      <c r="BV296" s="544"/>
      <c r="BW296" s="544"/>
      <c r="BX296" s="544"/>
      <c r="BY296" s="544"/>
      <c r="BZ296" s="544"/>
      <c r="CA296" s="544"/>
      <c r="CB296" s="544"/>
      <c r="CC296" s="544"/>
      <c r="CD296" s="544"/>
      <c r="CE296" s="544"/>
      <c r="CF296" s="544"/>
      <c r="CG296" s="544"/>
      <c r="CH296" s="544"/>
      <c r="CI296" s="544"/>
      <c r="CJ296" s="544"/>
      <c r="CK296" s="544"/>
      <c r="CL296" s="544"/>
      <c r="CM296" s="544"/>
      <c r="CN296" s="544"/>
      <c r="CO296" s="544"/>
      <c r="CP296" s="544"/>
      <c r="CQ296" s="544"/>
      <c r="CR296" s="544"/>
      <c r="CS296" s="544"/>
    </row>
    <row r="297" spans="1:98" s="142" customFormat="1" ht="12.75" hidden="1" x14ac:dyDescent="0.2">
      <c r="A297" s="735">
        <v>290</v>
      </c>
      <c r="B297" s="732" t="s">
        <v>470</v>
      </c>
      <c r="C297" s="738" t="s">
        <v>471</v>
      </c>
      <c r="D297" s="905">
        <v>336492.52719800803</v>
      </c>
      <c r="E297" s="905">
        <v>219486900</v>
      </c>
      <c r="F297" s="905">
        <v>8913</v>
      </c>
      <c r="G297" s="166">
        <v>109065734</v>
      </c>
      <c r="H297" s="166">
        <v>-9492244</v>
      </c>
      <c r="I297" s="166">
        <v>1919389</v>
      </c>
      <c r="J297" s="166">
        <v>-7572855</v>
      </c>
      <c r="K297" s="166">
        <v>-7635691</v>
      </c>
      <c r="L297" s="166">
        <v>-12130</v>
      </c>
      <c r="M297" s="166">
        <v>0</v>
      </c>
      <c r="N297" s="166">
        <v>-13988</v>
      </c>
      <c r="O297" s="166">
        <v>0</v>
      </c>
      <c r="P297" s="166">
        <v>-2732582</v>
      </c>
      <c r="Q297" s="166">
        <v>-232104</v>
      </c>
      <c r="R297" s="166">
        <v>-430472</v>
      </c>
      <c r="S297" s="166">
        <v>-1623</v>
      </c>
      <c r="T297" s="166"/>
      <c r="U297" s="166">
        <v>0</v>
      </c>
      <c r="V297" s="166">
        <v>0</v>
      </c>
      <c r="W297" s="166">
        <v>0</v>
      </c>
      <c r="X297" s="166">
        <v>0</v>
      </c>
      <c r="Y297" s="166">
        <v>0</v>
      </c>
      <c r="Z297" s="166">
        <v>75514095</v>
      </c>
      <c r="AA297" s="166">
        <v>-3478000</v>
      </c>
      <c r="AB297" s="166"/>
      <c r="AC297" s="166">
        <v>-4696179</v>
      </c>
      <c r="AD297" s="166">
        <v>294</v>
      </c>
      <c r="AE297" s="166">
        <v>3</v>
      </c>
      <c r="AF297" s="166">
        <v>0</v>
      </c>
      <c r="AG297" s="166"/>
      <c r="AH297" s="166">
        <v>7</v>
      </c>
      <c r="AI297" s="166">
        <v>0</v>
      </c>
      <c r="AJ297" s="166">
        <v>1113</v>
      </c>
      <c r="AK297" s="166">
        <v>111</v>
      </c>
      <c r="AL297" s="166">
        <v>41</v>
      </c>
      <c r="AM297" s="166">
        <v>0</v>
      </c>
      <c r="AN297" s="166">
        <v>0</v>
      </c>
      <c r="AO297" s="166">
        <v>3</v>
      </c>
      <c r="AP297" s="166">
        <v>0</v>
      </c>
      <c r="AQ297" s="166">
        <v>0</v>
      </c>
      <c r="AR297" s="166">
        <v>648</v>
      </c>
      <c r="AS297" s="166">
        <v>2462</v>
      </c>
      <c r="AT297" s="166">
        <v>3910</v>
      </c>
      <c r="AU297" s="166">
        <v>3697</v>
      </c>
      <c r="AV297" s="166">
        <v>213</v>
      </c>
      <c r="AW297" s="166">
        <v>2546</v>
      </c>
      <c r="AX297" s="166">
        <v>-507035</v>
      </c>
      <c r="AY297" s="166">
        <v>-638035</v>
      </c>
      <c r="AZ297" s="166">
        <v>0</v>
      </c>
      <c r="BA297" s="166">
        <v>-43521</v>
      </c>
      <c r="BB297" s="166">
        <v>-764883</v>
      </c>
      <c r="BC297" s="166">
        <v>-779108</v>
      </c>
      <c r="BD297" s="166">
        <v>-1427395</v>
      </c>
      <c r="BE297" s="166">
        <v>1563721</v>
      </c>
      <c r="BF297" s="166"/>
      <c r="BG297" s="760">
        <v>27158750</v>
      </c>
      <c r="BH297" s="760">
        <v>0</v>
      </c>
      <c r="BI297" s="815">
        <v>5442539</v>
      </c>
      <c r="BJ297" s="1044" t="s">
        <v>2468</v>
      </c>
      <c r="BK297" s="1044" t="s">
        <v>2478</v>
      </c>
      <c r="BL297" s="1044" t="s">
        <v>2751</v>
      </c>
      <c r="BM297" s="650"/>
      <c r="BN297" s="746" t="s">
        <v>471</v>
      </c>
      <c r="BO297" s="142" t="b">
        <v>1</v>
      </c>
      <c r="BP297" s="544"/>
      <c r="BQ297" s="544"/>
      <c r="BR297" s="544"/>
      <c r="BS297" s="544"/>
      <c r="BT297" s="544"/>
      <c r="BU297" s="544"/>
      <c r="BV297" s="544"/>
      <c r="BW297" s="544"/>
      <c r="BX297" s="544"/>
      <c r="BY297" s="544"/>
      <c r="BZ297" s="544"/>
      <c r="CA297" s="544"/>
      <c r="CB297" s="544"/>
      <c r="CC297" s="544"/>
      <c r="CD297" s="544"/>
      <c r="CE297" s="544"/>
      <c r="CF297" s="544"/>
      <c r="CG297" s="544"/>
      <c r="CH297" s="544"/>
      <c r="CI297" s="544"/>
      <c r="CJ297" s="544"/>
      <c r="CK297" s="544"/>
      <c r="CL297" s="544"/>
      <c r="CM297" s="544"/>
      <c r="CN297" s="544"/>
      <c r="CO297" s="544"/>
      <c r="CP297" s="544"/>
      <c r="CQ297" s="544"/>
      <c r="CR297" s="544"/>
      <c r="CS297" s="544"/>
    </row>
    <row r="298" spans="1:98" s="142" customFormat="1" ht="12.75" x14ac:dyDescent="0.2">
      <c r="A298" s="735">
        <v>291</v>
      </c>
      <c r="B298" s="732" t="s">
        <v>472</v>
      </c>
      <c r="C298" s="738" t="s">
        <v>473</v>
      </c>
      <c r="D298" s="905">
        <v>126441.827117297</v>
      </c>
      <c r="E298" s="905">
        <v>108931154</v>
      </c>
      <c r="F298" s="905">
        <v>3165</v>
      </c>
      <c r="G298" s="166">
        <v>54470333</v>
      </c>
      <c r="H298" s="166">
        <v>-3254945</v>
      </c>
      <c r="I298" s="166">
        <v>1053882</v>
      </c>
      <c r="J298" s="166">
        <v>-2201063</v>
      </c>
      <c r="K298" s="166">
        <v>-4816952</v>
      </c>
      <c r="L298" s="166">
        <v>-38352</v>
      </c>
      <c r="M298" s="166">
        <v>0</v>
      </c>
      <c r="N298" s="166">
        <v>-14874</v>
      </c>
      <c r="O298" s="166">
        <v>0</v>
      </c>
      <c r="P298" s="166">
        <v>-1220077</v>
      </c>
      <c r="Q298" s="166">
        <v>-201322</v>
      </c>
      <c r="R298" s="166">
        <v>-51565</v>
      </c>
      <c r="S298" s="166">
        <v>-9588</v>
      </c>
      <c r="T298" s="166"/>
      <c r="U298" s="166">
        <v>0</v>
      </c>
      <c r="V298" s="166">
        <v>0</v>
      </c>
      <c r="W298" s="166">
        <v>0</v>
      </c>
      <c r="X298" s="166">
        <v>0</v>
      </c>
      <c r="Y298" s="166">
        <v>0</v>
      </c>
      <c r="Z298" s="166">
        <v>38247578</v>
      </c>
      <c r="AA298" s="166">
        <v>-1262170</v>
      </c>
      <c r="AB298" s="166"/>
      <c r="AC298" s="166">
        <v>-4726455</v>
      </c>
      <c r="AD298" s="166">
        <v>201</v>
      </c>
      <c r="AE298" s="166">
        <v>6</v>
      </c>
      <c r="AF298" s="166">
        <v>0</v>
      </c>
      <c r="AG298" s="166"/>
      <c r="AH298" s="166">
        <v>4</v>
      </c>
      <c r="AI298" s="166">
        <v>0</v>
      </c>
      <c r="AJ298" s="166">
        <v>259</v>
      </c>
      <c r="AK298" s="166">
        <v>101</v>
      </c>
      <c r="AL298" s="166">
        <v>5</v>
      </c>
      <c r="AM298" s="166">
        <v>0</v>
      </c>
      <c r="AN298" s="166">
        <v>0</v>
      </c>
      <c r="AO298" s="166">
        <v>6</v>
      </c>
      <c r="AP298" s="166">
        <v>0</v>
      </c>
      <c r="AQ298" s="166">
        <v>0</v>
      </c>
      <c r="AR298" s="166">
        <v>644</v>
      </c>
      <c r="AS298" s="166">
        <v>915</v>
      </c>
      <c r="AT298" s="166">
        <v>1128</v>
      </c>
      <c r="AU298" s="166">
        <v>1025</v>
      </c>
      <c r="AV298" s="166">
        <v>103</v>
      </c>
      <c r="AW298" s="166">
        <v>1062</v>
      </c>
      <c r="AX298" s="166">
        <v>-168227</v>
      </c>
      <c r="AY298" s="166">
        <v>-630390</v>
      </c>
      <c r="AZ298" s="166">
        <v>0</v>
      </c>
      <c r="BA298" s="166">
        <v>0</v>
      </c>
      <c r="BB298" s="166">
        <v>-363252</v>
      </c>
      <c r="BC298" s="166">
        <v>-58208</v>
      </c>
      <c r="BD298" s="166">
        <v>-45820</v>
      </c>
      <c r="BE298" s="166">
        <v>2617220</v>
      </c>
      <c r="BF298" s="166"/>
      <c r="BG298" s="760">
        <v>13929150</v>
      </c>
      <c r="BH298" s="760">
        <v>0</v>
      </c>
      <c r="BI298" s="815">
        <v>2986504</v>
      </c>
      <c r="BJ298" s="1044" t="s">
        <v>2454</v>
      </c>
      <c r="BK298" s="1044" t="s">
        <v>2478</v>
      </c>
      <c r="BL298" s="1044" t="s">
        <v>2752</v>
      </c>
      <c r="BM298" s="650"/>
      <c r="BN298" s="746" t="s">
        <v>473</v>
      </c>
      <c r="BO298" s="142" t="b">
        <v>1</v>
      </c>
      <c r="BP298" s="544"/>
      <c r="BQ298" s="544"/>
      <c r="BR298" s="544"/>
      <c r="BS298" s="544"/>
      <c r="BT298" s="544"/>
      <c r="BU298" s="544"/>
      <c r="BV298" s="544"/>
      <c r="BW298" s="544"/>
      <c r="BX298" s="544"/>
      <c r="BY298" s="544"/>
      <c r="BZ298" s="544"/>
      <c r="CA298" s="544"/>
      <c r="CB298" s="544"/>
      <c r="CC298" s="544"/>
      <c r="CD298" s="544"/>
      <c r="CE298" s="544"/>
      <c r="CF298" s="544"/>
      <c r="CG298" s="544"/>
      <c r="CH298" s="544"/>
      <c r="CI298" s="544"/>
      <c r="CJ298" s="544"/>
      <c r="CK298" s="544"/>
      <c r="CL298" s="544"/>
      <c r="CM298" s="544"/>
      <c r="CN298" s="544"/>
      <c r="CO298" s="544"/>
      <c r="CP298" s="544"/>
      <c r="CQ298" s="544"/>
      <c r="CR298" s="544"/>
      <c r="CS298" s="544"/>
    </row>
    <row r="299" spans="1:98" s="142" customFormat="1" ht="12.75" x14ac:dyDescent="0.2">
      <c r="A299" s="735">
        <v>292</v>
      </c>
      <c r="B299" s="732" t="s">
        <v>474</v>
      </c>
      <c r="C299" s="738" t="s">
        <v>475</v>
      </c>
      <c r="D299" s="905">
        <v>122647.636130595</v>
      </c>
      <c r="E299" s="905">
        <v>79215158</v>
      </c>
      <c r="F299" s="905">
        <v>3309</v>
      </c>
      <c r="G299" s="166">
        <v>39345555</v>
      </c>
      <c r="H299" s="166">
        <v>-3615721</v>
      </c>
      <c r="I299" s="166">
        <v>680014</v>
      </c>
      <c r="J299" s="166">
        <v>-2935707</v>
      </c>
      <c r="K299" s="166">
        <v>-3316150</v>
      </c>
      <c r="L299" s="166">
        <v>-42653</v>
      </c>
      <c r="M299" s="166">
        <v>0</v>
      </c>
      <c r="N299" s="166">
        <v>0</v>
      </c>
      <c r="O299" s="166">
        <v>0</v>
      </c>
      <c r="P299" s="166">
        <v>-444340</v>
      </c>
      <c r="Q299" s="166">
        <v>-222879</v>
      </c>
      <c r="R299" s="166">
        <v>-1362</v>
      </c>
      <c r="S299" s="166">
        <v>-563</v>
      </c>
      <c r="T299" s="166"/>
      <c r="U299" s="166">
        <v>0</v>
      </c>
      <c r="V299" s="166">
        <v>0</v>
      </c>
      <c r="W299" s="166">
        <v>0</v>
      </c>
      <c r="X299" s="166">
        <v>0</v>
      </c>
      <c r="Y299" s="166">
        <v>0</v>
      </c>
      <c r="Z299" s="166">
        <v>26711137</v>
      </c>
      <c r="AA299" s="166">
        <v>-510000</v>
      </c>
      <c r="AB299" s="166"/>
      <c r="AC299" s="166">
        <v>-2982394</v>
      </c>
      <c r="AD299" s="166">
        <v>157</v>
      </c>
      <c r="AE299" s="166">
        <v>5</v>
      </c>
      <c r="AF299" s="166">
        <v>0</v>
      </c>
      <c r="AG299" s="166"/>
      <c r="AH299" s="166">
        <v>0</v>
      </c>
      <c r="AI299" s="166">
        <v>0</v>
      </c>
      <c r="AJ299" s="166">
        <v>93</v>
      </c>
      <c r="AK299" s="166">
        <v>78</v>
      </c>
      <c r="AL299" s="166">
        <v>1</v>
      </c>
      <c r="AM299" s="166">
        <v>0</v>
      </c>
      <c r="AN299" s="166">
        <v>0</v>
      </c>
      <c r="AO299" s="166">
        <v>1</v>
      </c>
      <c r="AP299" s="166">
        <v>0</v>
      </c>
      <c r="AQ299" s="166">
        <v>0</v>
      </c>
      <c r="AR299" s="166">
        <v>409</v>
      </c>
      <c r="AS299" s="166">
        <v>605</v>
      </c>
      <c r="AT299" s="166">
        <v>1590</v>
      </c>
      <c r="AU299" s="166">
        <v>1513</v>
      </c>
      <c r="AV299" s="166">
        <v>77</v>
      </c>
      <c r="AW299" s="166">
        <v>1117</v>
      </c>
      <c r="AX299" s="166">
        <v>0</v>
      </c>
      <c r="AY299" s="166">
        <v>-178394</v>
      </c>
      <c r="AZ299" s="166">
        <v>0</v>
      </c>
      <c r="BA299" s="166">
        <v>-130560</v>
      </c>
      <c r="BB299" s="166">
        <v>-135386</v>
      </c>
      <c r="BC299" s="166">
        <v>0</v>
      </c>
      <c r="BD299" s="166">
        <v>-333844</v>
      </c>
      <c r="BE299" s="166">
        <v>-6977888</v>
      </c>
      <c r="BF299" s="166"/>
      <c r="BG299" s="760">
        <v>11667100</v>
      </c>
      <c r="BH299" s="760">
        <v>0</v>
      </c>
      <c r="BI299" s="815">
        <v>-8206202</v>
      </c>
      <c r="BJ299" s="1044" t="s">
        <v>2454</v>
      </c>
      <c r="BK299" s="1044" t="s">
        <v>2455</v>
      </c>
      <c r="BL299" s="1044" t="s">
        <v>2753</v>
      </c>
      <c r="BM299" s="650"/>
      <c r="BN299" s="746" t="s">
        <v>475</v>
      </c>
      <c r="BO299" s="142" t="b">
        <v>1</v>
      </c>
      <c r="BP299" s="544"/>
      <c r="BQ299" s="544"/>
      <c r="BR299" s="544"/>
      <c r="BS299" s="544"/>
      <c r="BT299" s="544"/>
      <c r="BU299" s="544"/>
      <c r="BV299" s="544"/>
      <c r="BW299" s="544"/>
      <c r="BX299" s="544"/>
      <c r="BY299" s="544"/>
      <c r="BZ299" s="544"/>
      <c r="CA299" s="544"/>
      <c r="CB299" s="544"/>
      <c r="CC299" s="544"/>
      <c r="CD299" s="544"/>
      <c r="CE299" s="544"/>
      <c r="CF299" s="544"/>
      <c r="CG299" s="544"/>
      <c r="CH299" s="544"/>
      <c r="CI299" s="544"/>
      <c r="CJ299" s="544"/>
      <c r="CK299" s="544"/>
      <c r="CL299" s="544"/>
      <c r="CM299" s="544"/>
      <c r="CN299" s="544"/>
      <c r="CO299" s="544"/>
      <c r="CP299" s="544"/>
      <c r="CQ299" s="544"/>
      <c r="CR299" s="544"/>
      <c r="CS299" s="544"/>
    </row>
    <row r="300" spans="1:98" s="142" customFormat="1" ht="12.75" x14ac:dyDescent="0.2">
      <c r="A300" s="735">
        <v>293</v>
      </c>
      <c r="B300" s="732" t="s">
        <v>476</v>
      </c>
      <c r="C300" s="738" t="s">
        <v>477</v>
      </c>
      <c r="D300" s="905">
        <v>195481.00843915399</v>
      </c>
      <c r="E300" s="905">
        <v>135666183</v>
      </c>
      <c r="F300" s="905">
        <v>5189</v>
      </c>
      <c r="G300" s="166">
        <v>67025764</v>
      </c>
      <c r="H300" s="166">
        <v>-5398953</v>
      </c>
      <c r="I300" s="166">
        <v>1205298</v>
      </c>
      <c r="J300" s="166">
        <v>-4193655</v>
      </c>
      <c r="K300" s="166">
        <v>-2740401</v>
      </c>
      <c r="L300" s="166">
        <v>-79333</v>
      </c>
      <c r="M300" s="166">
        <v>-80907</v>
      </c>
      <c r="N300" s="166">
        <v>-21621</v>
      </c>
      <c r="O300" s="166">
        <v>0</v>
      </c>
      <c r="P300" s="166">
        <v>-1013455</v>
      </c>
      <c r="Q300" s="166">
        <v>-205944</v>
      </c>
      <c r="R300" s="166">
        <v>-52229</v>
      </c>
      <c r="S300" s="166">
        <v>-16566</v>
      </c>
      <c r="T300" s="166"/>
      <c r="U300" s="166">
        <v>0</v>
      </c>
      <c r="V300" s="166">
        <v>0</v>
      </c>
      <c r="W300" s="166">
        <v>0</v>
      </c>
      <c r="X300" s="166">
        <v>0</v>
      </c>
      <c r="Y300" s="166">
        <v>0</v>
      </c>
      <c r="Z300" s="166">
        <v>48737292</v>
      </c>
      <c r="AA300" s="166">
        <v>-1656000</v>
      </c>
      <c r="AB300" s="166"/>
      <c r="AC300" s="166">
        <v>-4399338</v>
      </c>
      <c r="AD300" s="166">
        <v>257</v>
      </c>
      <c r="AE300" s="166">
        <v>25</v>
      </c>
      <c r="AF300" s="166">
        <v>23</v>
      </c>
      <c r="AG300" s="166"/>
      <c r="AH300" s="166">
        <v>11</v>
      </c>
      <c r="AI300" s="166">
        <v>0</v>
      </c>
      <c r="AJ300" s="166">
        <v>257</v>
      </c>
      <c r="AK300" s="166">
        <v>154</v>
      </c>
      <c r="AL300" s="166">
        <v>6</v>
      </c>
      <c r="AM300" s="166">
        <v>4</v>
      </c>
      <c r="AN300" s="166">
        <v>0</v>
      </c>
      <c r="AO300" s="166">
        <v>23</v>
      </c>
      <c r="AP300" s="166">
        <v>0</v>
      </c>
      <c r="AQ300" s="166">
        <v>0</v>
      </c>
      <c r="AR300" s="166">
        <v>737</v>
      </c>
      <c r="AS300" s="166">
        <v>1172</v>
      </c>
      <c r="AT300" s="166">
        <v>2287</v>
      </c>
      <c r="AU300" s="166">
        <v>2136</v>
      </c>
      <c r="AV300" s="166">
        <v>151</v>
      </c>
      <c r="AW300" s="166">
        <v>1604</v>
      </c>
      <c r="AX300" s="166">
        <v>-213864</v>
      </c>
      <c r="AY300" s="166">
        <v>-396356</v>
      </c>
      <c r="AZ300" s="166">
        <v>0</v>
      </c>
      <c r="BA300" s="166">
        <v>0</v>
      </c>
      <c r="BB300" s="166">
        <v>-359546</v>
      </c>
      <c r="BC300" s="166">
        <v>-43689</v>
      </c>
      <c r="BD300" s="166">
        <v>-200823</v>
      </c>
      <c r="BE300" s="166">
        <v>5296625</v>
      </c>
      <c r="BF300" s="166"/>
      <c r="BG300" s="760">
        <v>15913775</v>
      </c>
      <c r="BH300" s="760">
        <v>0</v>
      </c>
      <c r="BI300" s="815">
        <v>6680505</v>
      </c>
      <c r="BJ300" s="1044" t="s">
        <v>2454</v>
      </c>
      <c r="BK300" s="1044" t="s">
        <v>2478</v>
      </c>
      <c r="BL300" s="1044" t="s">
        <v>2754</v>
      </c>
      <c r="BM300" s="650"/>
      <c r="BN300" s="746" t="s">
        <v>477</v>
      </c>
      <c r="BO300" s="142" t="b">
        <v>1</v>
      </c>
      <c r="BP300" s="544"/>
      <c r="BQ300" s="544"/>
      <c r="BR300" s="544"/>
      <c r="BS300" s="544"/>
      <c r="BT300" s="544"/>
      <c r="BU300" s="544"/>
      <c r="BV300" s="544"/>
      <c r="BW300" s="544"/>
      <c r="BX300" s="544"/>
      <c r="BY300" s="544"/>
      <c r="BZ300" s="544"/>
      <c r="CA300" s="544"/>
      <c r="CB300" s="544"/>
      <c r="CC300" s="544"/>
      <c r="CD300" s="544"/>
      <c r="CE300" s="544"/>
      <c r="CF300" s="544"/>
      <c r="CG300" s="544"/>
      <c r="CH300" s="544"/>
      <c r="CI300" s="544"/>
      <c r="CJ300" s="544"/>
      <c r="CK300" s="544"/>
      <c r="CL300" s="544"/>
      <c r="CM300" s="544"/>
      <c r="CN300" s="544"/>
      <c r="CO300" s="544"/>
      <c r="CP300" s="544"/>
      <c r="CQ300" s="544"/>
      <c r="CR300" s="544"/>
      <c r="CS300" s="544"/>
    </row>
    <row r="301" spans="1:98" s="544" customFormat="1" ht="12.75" x14ac:dyDescent="0.2">
      <c r="A301" s="735">
        <v>294</v>
      </c>
      <c r="B301" s="732" t="s">
        <v>478</v>
      </c>
      <c r="C301" s="738" t="s">
        <v>479</v>
      </c>
      <c r="D301" s="905">
        <v>149985.28712360101</v>
      </c>
      <c r="E301" s="905">
        <v>78120186</v>
      </c>
      <c r="F301" s="905">
        <v>4216</v>
      </c>
      <c r="G301" s="166">
        <v>38965550</v>
      </c>
      <c r="H301" s="166">
        <v>-5288887</v>
      </c>
      <c r="I301" s="166">
        <v>596729</v>
      </c>
      <c r="J301" s="166">
        <v>-4692158</v>
      </c>
      <c r="K301" s="166">
        <v>-2342137</v>
      </c>
      <c r="L301" s="166">
        <v>-32741</v>
      </c>
      <c r="M301" s="166">
        <v>-205</v>
      </c>
      <c r="N301" s="166">
        <v>-33857</v>
      </c>
      <c r="O301" s="166">
        <v>0</v>
      </c>
      <c r="P301" s="166">
        <v>-404633</v>
      </c>
      <c r="Q301" s="166">
        <v>-3289</v>
      </c>
      <c r="R301" s="166">
        <v>-67796</v>
      </c>
      <c r="S301" s="166">
        <v>0</v>
      </c>
      <c r="T301" s="166"/>
      <c r="U301" s="166">
        <v>0</v>
      </c>
      <c r="V301" s="166">
        <v>0</v>
      </c>
      <c r="W301" s="166">
        <v>0</v>
      </c>
      <c r="X301" s="166">
        <v>0</v>
      </c>
      <c r="Y301" s="166">
        <v>0</v>
      </c>
      <c r="Z301" s="166">
        <v>24422805</v>
      </c>
      <c r="AA301" s="166">
        <v>-775000</v>
      </c>
      <c r="AB301" s="166"/>
      <c r="AC301" s="166">
        <v>-4534897</v>
      </c>
      <c r="AD301" s="166">
        <v>153</v>
      </c>
      <c r="AE301" s="166">
        <v>8</v>
      </c>
      <c r="AF301" s="166">
        <v>1</v>
      </c>
      <c r="AG301" s="166"/>
      <c r="AH301" s="166">
        <v>16</v>
      </c>
      <c r="AI301" s="166">
        <v>0</v>
      </c>
      <c r="AJ301" s="166">
        <v>363</v>
      </c>
      <c r="AK301" s="166">
        <v>2</v>
      </c>
      <c r="AL301" s="166">
        <v>32</v>
      </c>
      <c r="AM301" s="166">
        <v>0</v>
      </c>
      <c r="AN301" s="166">
        <v>0</v>
      </c>
      <c r="AO301" s="166">
        <v>0</v>
      </c>
      <c r="AP301" s="166">
        <v>0</v>
      </c>
      <c r="AQ301" s="166">
        <v>0</v>
      </c>
      <c r="AR301" s="166">
        <v>618</v>
      </c>
      <c r="AS301" s="166">
        <v>671</v>
      </c>
      <c r="AT301" s="166">
        <v>2248</v>
      </c>
      <c r="AU301" s="166">
        <v>2158</v>
      </c>
      <c r="AV301" s="166">
        <v>90</v>
      </c>
      <c r="AW301" s="166">
        <v>1380</v>
      </c>
      <c r="AX301" s="166">
        <v>-1704</v>
      </c>
      <c r="AY301" s="166">
        <v>-9839</v>
      </c>
      <c r="AZ301" s="166">
        <v>0</v>
      </c>
      <c r="BA301" s="166">
        <v>-59392</v>
      </c>
      <c r="BB301" s="166">
        <v>-333698</v>
      </c>
      <c r="BC301" s="166">
        <v>0</v>
      </c>
      <c r="BD301" s="166">
        <v>0</v>
      </c>
      <c r="BE301" s="166">
        <v>-3835048</v>
      </c>
      <c r="BF301" s="166"/>
      <c r="BG301" s="760">
        <v>11630325</v>
      </c>
      <c r="BH301" s="760">
        <v>147000</v>
      </c>
      <c r="BI301" s="815">
        <v>-3773018</v>
      </c>
      <c r="BJ301" s="1044" t="s">
        <v>2454</v>
      </c>
      <c r="BK301" s="1044" t="s">
        <v>2481</v>
      </c>
      <c r="BL301" s="1044" t="s">
        <v>2755</v>
      </c>
      <c r="BM301" s="650"/>
      <c r="BN301" s="746" t="s">
        <v>479</v>
      </c>
      <c r="BO301" s="142" t="b">
        <v>1</v>
      </c>
      <c r="CT301" s="142"/>
    </row>
    <row r="302" spans="1:98" s="544" customFormat="1" ht="12.75" x14ac:dyDescent="0.2">
      <c r="A302" s="735">
        <v>295</v>
      </c>
      <c r="B302" s="732" t="s">
        <v>480</v>
      </c>
      <c r="C302" s="738" t="s">
        <v>481</v>
      </c>
      <c r="D302" s="905">
        <v>131813.138675789</v>
      </c>
      <c r="E302" s="905">
        <v>81292771</v>
      </c>
      <c r="F302" s="905">
        <v>3591</v>
      </c>
      <c r="G302" s="166">
        <v>40057664</v>
      </c>
      <c r="H302" s="166">
        <v>-3557010</v>
      </c>
      <c r="I302" s="166">
        <v>714846</v>
      </c>
      <c r="J302" s="166">
        <v>-2842164</v>
      </c>
      <c r="K302" s="166">
        <v>-2514187</v>
      </c>
      <c r="L302" s="166">
        <v>-51923</v>
      </c>
      <c r="M302" s="166">
        <v>-14096</v>
      </c>
      <c r="N302" s="166">
        <v>-8833</v>
      </c>
      <c r="O302" s="166">
        <v>0</v>
      </c>
      <c r="P302" s="166">
        <v>-1262034</v>
      </c>
      <c r="Q302" s="166">
        <v>-100364</v>
      </c>
      <c r="R302" s="166">
        <v>-127348</v>
      </c>
      <c r="S302" s="166">
        <v>0</v>
      </c>
      <c r="T302" s="166"/>
      <c r="U302" s="166">
        <v>0</v>
      </c>
      <c r="V302" s="166">
        <v>0</v>
      </c>
      <c r="W302" s="166">
        <v>0</v>
      </c>
      <c r="X302" s="166">
        <v>0</v>
      </c>
      <c r="Y302" s="166">
        <v>-7048</v>
      </c>
      <c r="Z302" s="166">
        <v>24600562</v>
      </c>
      <c r="AA302" s="166">
        <v>-953173</v>
      </c>
      <c r="AB302" s="166"/>
      <c r="AC302" s="166">
        <v>-4402223</v>
      </c>
      <c r="AD302" s="166">
        <v>206</v>
      </c>
      <c r="AE302" s="166">
        <v>14</v>
      </c>
      <c r="AF302" s="166">
        <v>5</v>
      </c>
      <c r="AG302" s="166"/>
      <c r="AH302" s="166">
        <v>8</v>
      </c>
      <c r="AI302" s="166">
        <v>0</v>
      </c>
      <c r="AJ302" s="166">
        <v>376</v>
      </c>
      <c r="AK302" s="166">
        <v>66</v>
      </c>
      <c r="AL302" s="166">
        <v>21</v>
      </c>
      <c r="AM302" s="166">
        <v>0</v>
      </c>
      <c r="AN302" s="166">
        <v>0</v>
      </c>
      <c r="AO302" s="166">
        <v>0</v>
      </c>
      <c r="AP302" s="166">
        <v>0</v>
      </c>
      <c r="AQ302" s="166">
        <v>0</v>
      </c>
      <c r="AR302" s="166">
        <v>455</v>
      </c>
      <c r="AS302" s="166">
        <v>1013</v>
      </c>
      <c r="AT302" s="166">
        <v>1432</v>
      </c>
      <c r="AU302" s="166">
        <v>1325</v>
      </c>
      <c r="AV302" s="166">
        <v>107</v>
      </c>
      <c r="AW302" s="166">
        <v>1128</v>
      </c>
      <c r="AX302" s="166">
        <v>-355242</v>
      </c>
      <c r="AY302" s="166">
        <v>-371386</v>
      </c>
      <c r="AZ302" s="166">
        <v>-104960</v>
      </c>
      <c r="BA302" s="166">
        <v>0</v>
      </c>
      <c r="BB302" s="166">
        <v>-337676</v>
      </c>
      <c r="BC302" s="166">
        <v>-92770</v>
      </c>
      <c r="BD302" s="166">
        <v>-776837</v>
      </c>
      <c r="BE302" s="166">
        <v>2619080</v>
      </c>
      <c r="BF302" s="166"/>
      <c r="BG302" s="760">
        <v>11690650</v>
      </c>
      <c r="BH302" s="760">
        <v>0</v>
      </c>
      <c r="BI302" s="815">
        <v>4530757</v>
      </c>
      <c r="BJ302" s="1044" t="s">
        <v>2454</v>
      </c>
      <c r="BK302" s="1044" t="s">
        <v>2478</v>
      </c>
      <c r="BL302" s="1044" t="s">
        <v>2756</v>
      </c>
      <c r="BM302" s="650"/>
      <c r="BN302" s="746" t="s">
        <v>481</v>
      </c>
      <c r="BO302" s="142" t="b">
        <v>1</v>
      </c>
      <c r="CT302" s="142"/>
    </row>
    <row r="303" spans="1:98" s="544" customFormat="1" ht="13.5" hidden="1" thickBot="1" x14ac:dyDescent="0.25">
      <c r="A303" s="735">
        <v>296</v>
      </c>
      <c r="B303" s="733" t="s">
        <v>630</v>
      </c>
      <c r="C303" s="742" t="s">
        <v>483</v>
      </c>
      <c r="D303" s="905">
        <v>287419.32827835297</v>
      </c>
      <c r="E303" s="905">
        <v>242687271</v>
      </c>
      <c r="F303" s="905">
        <v>7239</v>
      </c>
      <c r="G303" s="166">
        <v>122261153</v>
      </c>
      <c r="H303" s="166">
        <v>-6348090</v>
      </c>
      <c r="I303" s="166">
        <v>2332427</v>
      </c>
      <c r="J303" s="166">
        <v>-4015663</v>
      </c>
      <c r="K303" s="166">
        <v>-12942620</v>
      </c>
      <c r="L303" s="166">
        <v>-101486</v>
      </c>
      <c r="M303" s="166">
        <v>-2406</v>
      </c>
      <c r="N303" s="166">
        <v>-30193</v>
      </c>
      <c r="O303" s="166">
        <v>-25000</v>
      </c>
      <c r="P303" s="166">
        <v>-3324781</v>
      </c>
      <c r="Q303" s="166">
        <v>-41134</v>
      </c>
      <c r="R303" s="166">
        <v>-4000</v>
      </c>
      <c r="S303" s="166">
        <v>-8330</v>
      </c>
      <c r="T303" s="166"/>
      <c r="U303" s="166">
        <v>-10347</v>
      </c>
      <c r="V303" s="166">
        <v>0</v>
      </c>
      <c r="W303" s="166">
        <v>0</v>
      </c>
      <c r="X303" s="166">
        <v>0</v>
      </c>
      <c r="Y303" s="166">
        <v>-1203</v>
      </c>
      <c r="Z303" s="166">
        <v>85889461</v>
      </c>
      <c r="AA303" s="166">
        <v>-950000</v>
      </c>
      <c r="AB303" s="166"/>
      <c r="AC303" s="166">
        <v>-11957911</v>
      </c>
      <c r="AD303" s="166">
        <v>429</v>
      </c>
      <c r="AE303" s="166">
        <v>18</v>
      </c>
      <c r="AF303" s="166">
        <v>1</v>
      </c>
      <c r="AG303" s="166"/>
      <c r="AH303" s="166">
        <v>10</v>
      </c>
      <c r="AI303" s="166">
        <v>0</v>
      </c>
      <c r="AJ303" s="166">
        <v>410</v>
      </c>
      <c r="AK303" s="166">
        <v>47</v>
      </c>
      <c r="AL303" s="166">
        <v>1</v>
      </c>
      <c r="AM303" s="166">
        <v>0</v>
      </c>
      <c r="AN303" s="166">
        <v>8</v>
      </c>
      <c r="AO303" s="166">
        <v>12</v>
      </c>
      <c r="AP303" s="166">
        <v>0</v>
      </c>
      <c r="AQ303" s="166">
        <v>0</v>
      </c>
      <c r="AR303" s="166">
        <v>1683</v>
      </c>
      <c r="AS303" s="166">
        <v>1668</v>
      </c>
      <c r="AT303" s="166">
        <v>2461</v>
      </c>
      <c r="AU303" s="166">
        <v>2289</v>
      </c>
      <c r="AV303" s="166">
        <v>172</v>
      </c>
      <c r="AW303" s="166">
        <v>3132</v>
      </c>
      <c r="AX303" s="166">
        <v>-150000</v>
      </c>
      <c r="AY303" s="166">
        <v>-1403831</v>
      </c>
      <c r="AZ303" s="166">
        <v>0</v>
      </c>
      <c r="BA303" s="166">
        <v>-63376</v>
      </c>
      <c r="BB303" s="166">
        <v>-1707574</v>
      </c>
      <c r="BC303" s="166">
        <v>0</v>
      </c>
      <c r="BD303" s="166">
        <v>-55000</v>
      </c>
      <c r="BE303" s="166">
        <v>1180828</v>
      </c>
      <c r="BF303" s="166"/>
      <c r="BG303" s="760">
        <v>28568180</v>
      </c>
      <c r="BH303" s="760">
        <v>168000</v>
      </c>
      <c r="BI303" s="815">
        <v>-7851312</v>
      </c>
      <c r="BJ303" s="1044" t="s">
        <v>515</v>
      </c>
      <c r="BK303" s="1044" t="s">
        <v>2469</v>
      </c>
      <c r="BL303" s="1044" t="s">
        <v>2757</v>
      </c>
      <c r="BM303" s="650"/>
      <c r="BN303" s="746" t="s">
        <v>483</v>
      </c>
      <c r="BO303" s="142" t="b">
        <v>1</v>
      </c>
      <c r="CT303" s="142"/>
    </row>
    <row r="304" spans="1:98" s="142" customFormat="1" ht="13.5" hidden="1" thickBot="1" x14ac:dyDescent="0.25">
      <c r="A304" s="743">
        <v>310</v>
      </c>
      <c r="B304" s="744" t="s">
        <v>484</v>
      </c>
      <c r="C304" s="745" t="s">
        <v>485</v>
      </c>
      <c r="D304" s="734" t="e">
        <v>#N/A</v>
      </c>
      <c r="E304" s="734" t="e">
        <v>#N/A</v>
      </c>
      <c r="F304" s="734" t="e">
        <v>#N/A</v>
      </c>
      <c r="G304" s="734" t="e">
        <v>#N/A</v>
      </c>
      <c r="H304" s="734" t="e">
        <v>#N/A</v>
      </c>
      <c r="I304" s="734" t="e">
        <v>#N/A</v>
      </c>
      <c r="J304" s="734" t="e">
        <v>#N/A</v>
      </c>
      <c r="K304" s="734" t="e">
        <v>#N/A</v>
      </c>
      <c r="L304" s="734" t="e">
        <v>#N/A</v>
      </c>
      <c r="M304" s="734" t="e">
        <v>#N/A</v>
      </c>
      <c r="N304" s="734" t="e">
        <v>#N/A</v>
      </c>
      <c r="O304" s="734" t="e">
        <v>#N/A</v>
      </c>
      <c r="P304" s="734" t="e">
        <v>#N/A</v>
      </c>
      <c r="Q304" s="734" t="e">
        <v>#N/A</v>
      </c>
      <c r="R304" s="734" t="e">
        <v>#N/A</v>
      </c>
      <c r="S304" s="734" t="e">
        <v>#N/A</v>
      </c>
      <c r="T304" s="734"/>
      <c r="U304" s="734" t="e">
        <v>#N/A</v>
      </c>
      <c r="V304" s="734" t="e">
        <v>#N/A</v>
      </c>
      <c r="W304" s="734" t="e">
        <v>#N/A</v>
      </c>
      <c r="X304" s="734" t="e">
        <v>#N/A</v>
      </c>
      <c r="Y304" s="734" t="e">
        <v>#N/A</v>
      </c>
      <c r="Z304" s="734" t="e">
        <v>#N/A</v>
      </c>
      <c r="AA304" s="734" t="e">
        <v>#N/A</v>
      </c>
      <c r="AB304" s="734"/>
      <c r="AC304" s="734" t="e">
        <v>#N/A</v>
      </c>
      <c r="AD304" s="734" t="e">
        <v>#N/A</v>
      </c>
      <c r="AE304" s="734" t="e">
        <v>#N/A</v>
      </c>
      <c r="AF304" s="734" t="e">
        <v>#N/A</v>
      </c>
      <c r="AG304" s="734" t="e">
        <v>#N/A</v>
      </c>
      <c r="AH304" s="734" t="e">
        <v>#N/A</v>
      </c>
      <c r="AI304" s="734" t="e">
        <v>#N/A</v>
      </c>
      <c r="AJ304" s="734" t="e">
        <v>#N/A</v>
      </c>
      <c r="AK304" s="734" t="e">
        <v>#N/A</v>
      </c>
      <c r="AL304" s="734" t="e">
        <v>#N/A</v>
      </c>
      <c r="AM304" s="734" t="e">
        <v>#N/A</v>
      </c>
      <c r="AN304" s="734" t="e">
        <v>#N/A</v>
      </c>
      <c r="AO304" s="734" t="e">
        <v>#N/A</v>
      </c>
      <c r="AP304" s="734" t="e">
        <v>#N/A</v>
      </c>
      <c r="AQ304" s="734" t="e">
        <v>#N/A</v>
      </c>
      <c r="AR304" s="734" t="e">
        <v>#N/A</v>
      </c>
      <c r="AS304" s="734" t="e">
        <v>#N/A</v>
      </c>
      <c r="AT304" s="734" t="e">
        <v>#N/A</v>
      </c>
      <c r="AU304" s="734" t="e">
        <v>#N/A</v>
      </c>
      <c r="AV304" s="734" t="e">
        <v>#N/A</v>
      </c>
      <c r="AW304" s="803" t="e">
        <v>#N/A</v>
      </c>
      <c r="AX304" s="1124"/>
      <c r="AY304" s="1124"/>
      <c r="AZ304" s="1124"/>
      <c r="BA304" s="1124"/>
      <c r="BB304" s="1124"/>
      <c r="BC304" s="1124"/>
      <c r="BD304" s="804" t="e">
        <v>#N/A</v>
      </c>
      <c r="BE304" s="734" t="e">
        <v>#N/A</v>
      </c>
      <c r="BF304" s="734" t="e">
        <v>#N/A</v>
      </c>
      <c r="BG304" s="761" t="e">
        <v>#N/A</v>
      </c>
      <c r="BH304" s="761" t="e">
        <v>#N/A</v>
      </c>
      <c r="BI304" s="734" t="e">
        <v>#N/A</v>
      </c>
      <c r="BJ304" s="1045"/>
      <c r="BK304" s="1045"/>
      <c r="BL304" s="1045"/>
      <c r="BM304" s="650"/>
      <c r="BN304" s="544"/>
      <c r="BO304" s="544"/>
      <c r="BP304" s="544"/>
      <c r="BQ304" s="544"/>
      <c r="BR304" s="544"/>
      <c r="BS304" s="544"/>
      <c r="BT304" s="544"/>
      <c r="BU304" s="544"/>
      <c r="BV304" s="544"/>
      <c r="BW304" s="544"/>
      <c r="BX304" s="544"/>
      <c r="BY304" s="544"/>
      <c r="BZ304" s="544"/>
      <c r="CA304" s="544"/>
      <c r="CB304" s="544"/>
      <c r="CC304" s="544"/>
      <c r="CD304" s="544"/>
      <c r="CE304" s="544"/>
      <c r="CF304" s="544"/>
      <c r="CG304" s="544"/>
      <c r="CH304" s="544"/>
      <c r="CI304" s="544"/>
      <c r="CJ304" s="544"/>
      <c r="CK304" s="544"/>
      <c r="CL304" s="544"/>
      <c r="CM304" s="544"/>
      <c r="CN304" s="544"/>
      <c r="CO304" s="544"/>
      <c r="CP304" s="544"/>
      <c r="CQ304" s="544"/>
      <c r="CR304" s="544"/>
      <c r="CS304" s="544"/>
    </row>
    <row r="305" spans="1:64" s="273" customFormat="1" x14ac:dyDescent="0.2">
      <c r="A305" s="242"/>
      <c r="B305" s="242"/>
      <c r="C305" s="242"/>
      <c r="D305" s="242"/>
      <c r="E305" s="635"/>
      <c r="F305" s="635"/>
      <c r="G305" s="635"/>
      <c r="H305" s="635"/>
      <c r="I305" s="635"/>
      <c r="J305" s="635"/>
      <c r="K305" s="635"/>
      <c r="L305" s="635"/>
      <c r="M305" s="635"/>
      <c r="N305" s="635"/>
      <c r="O305" s="635"/>
      <c r="P305" s="635"/>
      <c r="Q305" s="635"/>
      <c r="R305" s="635"/>
      <c r="S305" s="635"/>
      <c r="T305" s="635"/>
      <c r="U305" s="635"/>
      <c r="V305" s="635"/>
      <c r="W305" s="635"/>
      <c r="X305" s="635"/>
      <c r="Y305" s="166"/>
      <c r="Z305" s="166"/>
      <c r="AA305" s="166"/>
      <c r="AB305" s="166"/>
      <c r="AC305" s="166"/>
      <c r="AD305" s="166"/>
      <c r="AE305" s="166"/>
      <c r="AF305" s="166"/>
      <c r="AG305" s="166"/>
      <c r="AH305" s="166"/>
      <c r="AI305" s="635"/>
      <c r="AJ305" s="635"/>
      <c r="AK305" s="635"/>
      <c r="AL305" s="635"/>
      <c r="AM305" s="635"/>
      <c r="AN305" s="635"/>
      <c r="AO305" s="635"/>
      <c r="AP305" s="635"/>
      <c r="AQ305" s="635"/>
      <c r="AR305" s="635"/>
      <c r="AS305" s="635"/>
      <c r="AT305" s="635"/>
      <c r="AU305" s="635"/>
      <c r="AV305" s="635"/>
      <c r="AW305" s="635"/>
      <c r="AX305" s="635"/>
      <c r="AY305" s="635"/>
      <c r="AZ305" s="635"/>
      <c r="BA305" s="635"/>
      <c r="BB305" s="635"/>
      <c r="BC305" s="635"/>
      <c r="BD305" s="635"/>
      <c r="BE305" s="635"/>
      <c r="BF305" s="635"/>
      <c r="BG305" s="635"/>
      <c r="BH305" s="635"/>
      <c r="BJ305"/>
      <c r="BK305"/>
      <c r="BL305"/>
    </row>
    <row r="306" spans="1:64" x14ac:dyDescent="0.2">
      <c r="D306" s="1058"/>
      <c r="E306" s="1058">
        <v>67876609000</v>
      </c>
      <c r="F306" s="1058">
        <v>2015000</v>
      </c>
    </row>
  </sheetData>
  <sheetProtection sheet="1" objects="1" scenarios="1"/>
  <autoFilter ref="A7:CT304" xr:uid="{00000000-0001-0000-0C00-000000000000}">
    <filterColumn colId="61">
      <filters>
        <filter val="SD"/>
      </filters>
    </filterColumn>
  </autoFilter>
  <mergeCells count="5">
    <mergeCell ref="BJ1:BL1"/>
    <mergeCell ref="G1:AA1"/>
    <mergeCell ref="D1:F1"/>
    <mergeCell ref="AD1:AW1"/>
    <mergeCell ref="BD1:BF1"/>
  </mergeCells>
  <phoneticPr fontId="7" type="noConversion"/>
  <conditionalFormatting sqref="BO8:BO303">
    <cfRule type="cellIs" dxfId="11" priority="1" operator="equal">
      <formula>FALSE</formula>
    </cfRule>
  </conditionalFormatting>
  <dataValidations count="2">
    <dataValidation type="custom" allowBlank="1" showInputMessage="1" showErrorMessage="1" sqref="BN7 D1:D1048576 BN301:XFD1048576 AE2:BL2 BG1:BI1 BM3:BM1048576 AD1:AD2 B286:C299 BO288:BO303 BO286:XFD287 BP288:XFD299 A1:A1048576 BY2:BY177 BZ1:XFD177 BP1:BX177 BO3:BO177 B1:C177 B179:C284 BO179:XFD284 G1:G3 Z3:BL3 BN285:XFD285 B301:C305 BN178:XFD178 H2:Y3 Z2:AC2 E2:F1048576 G4:BL1048576" xr:uid="{00000000-0002-0000-0C00-000000000000}">
      <formula1>$BY$1="UNLOCK"</formula1>
    </dataValidation>
    <dataValidation type="custom" allowBlank="1" showInputMessage="1" showErrorMessage="1" errorTitle="DO NOT AMEND" sqref="B285:C285 B178:C178" xr:uid="{D4AEA2B5-EDE4-4061-883D-8675F5995BAA}">
      <formula1>"cb1=""unlock"""</formula1>
    </dataValidation>
  </dataValidations>
  <pageMargins left="0.39370078740157483" right="0.39370078740157483" top="0.39370078740157483" bottom="0.39370078740157483" header="0.51181102362204722" footer="0.51181102362204722"/>
  <pageSetup paperSize="8" scale="62" fitToHeight="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autoPageBreaks="0" fitToPage="1"/>
  </sheetPr>
  <dimension ref="A1:CL1506"/>
  <sheetViews>
    <sheetView workbookViewId="0">
      <pane xSplit="2" ySplit="4" topLeftCell="BR5" activePane="bottomRight" state="frozen"/>
      <selection activeCell="A186" sqref="A186"/>
      <selection pane="topRight" activeCell="A186" sqref="A186"/>
      <selection pane="bottomLeft" activeCell="A186" sqref="A186"/>
      <selection pane="bottomRight" activeCell="CJ10" sqref="CJ10"/>
    </sheetView>
  </sheetViews>
  <sheetFormatPr defaultColWidth="9.140625" defaultRowHeight="12.75" x14ac:dyDescent="0.2"/>
  <cols>
    <col min="1" max="1" width="7.5703125" style="316" customWidth="1"/>
    <col min="2" max="2" width="28.42578125" style="316" bestFit="1" customWidth="1"/>
    <col min="3" max="3" width="16" style="316" bestFit="1" customWidth="1"/>
    <col min="4" max="4" width="12.42578125" style="316" bestFit="1" customWidth="1"/>
    <col min="5" max="5" width="24" style="316" bestFit="1" customWidth="1"/>
    <col min="6" max="6" width="17" style="316" customWidth="1"/>
    <col min="7" max="7" width="12.42578125" style="316" bestFit="1" customWidth="1"/>
    <col min="8" max="8" width="40.42578125" style="316" customWidth="1"/>
    <col min="9" max="9" width="19" style="316" customWidth="1"/>
    <col min="10" max="10" width="16.28515625" style="316" customWidth="1"/>
    <col min="11" max="11" width="16" style="316" bestFit="1" customWidth="1"/>
    <col min="12" max="12" width="12.42578125" style="316" bestFit="1" customWidth="1"/>
    <col min="13" max="13" width="24" style="316" bestFit="1" customWidth="1"/>
    <col min="14" max="14" width="17" style="316" customWidth="1"/>
    <col min="15" max="15" width="12.42578125" style="316" bestFit="1" customWidth="1"/>
    <col min="16" max="16" width="40.42578125" style="316" customWidth="1"/>
    <col min="17" max="17" width="19" style="316" customWidth="1"/>
    <col min="18" max="18" width="16.28515625" style="316" customWidth="1"/>
    <col min="19" max="19" width="16" style="316" bestFit="1" customWidth="1"/>
    <col min="20" max="20" width="12.42578125" style="316" bestFit="1" customWidth="1"/>
    <col min="21" max="21" width="24" style="316" bestFit="1" customWidth="1"/>
    <col min="22" max="22" width="17" style="316" customWidth="1"/>
    <col min="23" max="23" width="12.42578125" style="316" bestFit="1" customWidth="1"/>
    <col min="24" max="24" width="40.42578125" style="316" customWidth="1"/>
    <col min="25" max="25" width="19" style="316" customWidth="1"/>
    <col min="26" max="26" width="16.28515625" style="316" customWidth="1"/>
    <col min="27" max="27" width="16" style="316" bestFit="1" customWidth="1"/>
    <col min="28" max="28" width="12.42578125" style="316" bestFit="1" customWidth="1"/>
    <col min="29" max="29" width="24" style="316" bestFit="1" customWidth="1"/>
    <col min="30" max="30" width="17" style="316" customWidth="1"/>
    <col min="31" max="31" width="12.42578125" style="316" bestFit="1" customWidth="1"/>
    <col min="32" max="32" width="40.42578125" style="316" customWidth="1"/>
    <col min="33" max="33" width="19" style="316" customWidth="1"/>
    <col min="34" max="34" width="16.28515625" style="316" customWidth="1"/>
    <col min="35" max="35" width="16" style="316" bestFit="1" customWidth="1"/>
    <col min="36" max="36" width="12.42578125" style="316" bestFit="1" customWidth="1"/>
    <col min="37" max="37" width="24" style="316" bestFit="1" customWidth="1"/>
    <col min="38" max="38" width="17" style="316" customWidth="1"/>
    <col min="39" max="39" width="12.42578125" style="316" bestFit="1" customWidth="1"/>
    <col min="40" max="40" width="40.42578125" style="316" customWidth="1"/>
    <col min="41" max="41" width="19" style="316" customWidth="1"/>
    <col min="42" max="42" width="16.28515625" style="316" customWidth="1"/>
    <col min="43" max="43" width="13.42578125" style="316" customWidth="1"/>
    <col min="44" max="44" width="10.7109375" style="316" customWidth="1"/>
    <col min="45" max="45" width="16.85546875" style="316" customWidth="1"/>
    <col min="46" max="46" width="11.140625" style="316" customWidth="1"/>
    <col min="47" max="47" width="14.85546875" style="316" customWidth="1"/>
    <col min="48" max="48" width="14" style="316" customWidth="1"/>
    <col min="49" max="49" width="10.140625" style="316" customWidth="1"/>
    <col min="50" max="50" width="12.140625" style="316" customWidth="1"/>
    <col min="51" max="51" width="13.42578125" style="316" customWidth="1"/>
    <col min="52" max="52" width="10.7109375" style="316" customWidth="1"/>
    <col min="53" max="53" width="16.85546875" style="316" customWidth="1"/>
    <col min="54" max="54" width="11.140625" style="316" customWidth="1"/>
    <col min="55" max="55" width="14.85546875" style="316" customWidth="1"/>
    <col min="56" max="56" width="14" style="316" customWidth="1"/>
    <col min="57" max="57" width="10.140625" style="316" customWidth="1"/>
    <col min="58" max="58" width="12.140625" style="316" customWidth="1"/>
    <col min="59" max="59" width="5.7109375" style="316" customWidth="1"/>
    <col min="60" max="60" width="10.5703125" style="467" customWidth="1"/>
    <col min="61" max="61" width="8.7109375" style="316" customWidth="1"/>
    <col min="62" max="62" width="23.28515625" style="316" customWidth="1"/>
    <col min="63" max="63" width="11.28515625" style="467" customWidth="1"/>
    <col min="64" max="64" width="6.85546875" style="316" customWidth="1"/>
    <col min="65" max="65" width="33" style="316" customWidth="1"/>
    <col min="66" max="66" width="11.140625" style="467" customWidth="1"/>
    <col min="67" max="67" width="7.7109375" style="467" customWidth="1"/>
    <col min="68" max="68" width="13" style="467" customWidth="1"/>
    <col min="69" max="69" width="8.28515625" style="467" customWidth="1"/>
    <col min="70" max="70" width="25.28515625" style="467" customWidth="1"/>
    <col min="71" max="71" width="12.42578125" style="467" customWidth="1"/>
    <col min="72" max="72" width="8" style="467" customWidth="1"/>
    <col min="73" max="73" width="33.140625" style="467" customWidth="1"/>
    <col min="74" max="74" width="10.5703125" style="467" customWidth="1"/>
    <col min="75" max="75" width="9.140625" style="469" customWidth="1"/>
    <col min="76" max="76" width="7.42578125" style="446" customWidth="1"/>
    <col min="77" max="77" width="5.85546875" style="446" customWidth="1"/>
    <col min="78" max="78" width="7.140625" style="446" customWidth="1"/>
    <col min="79" max="79" width="12.85546875" style="467" customWidth="1"/>
    <col min="80" max="80" width="16.7109375" style="457" customWidth="1"/>
    <col min="81" max="16384" width="9.140625" style="457"/>
  </cols>
  <sheetData>
    <row r="1" spans="1:87" ht="15" x14ac:dyDescent="0.2">
      <c r="A1" s="1128" t="s">
        <v>930</v>
      </c>
      <c r="B1" s="1129"/>
      <c r="C1" s="1129"/>
      <c r="D1" s="1129"/>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29"/>
      <c r="AF1" s="1129"/>
      <c r="AG1" s="1129"/>
      <c r="AH1" s="1129"/>
      <c r="AI1" s="1129"/>
      <c r="AJ1" s="1129"/>
      <c r="AK1" s="1129"/>
      <c r="AL1" s="1129"/>
      <c r="AM1" s="1129"/>
      <c r="AN1" s="1129"/>
      <c r="AO1" s="1129"/>
      <c r="AP1" s="1129"/>
      <c r="AQ1" s="1129"/>
      <c r="AR1" s="1129"/>
      <c r="AS1" s="1129"/>
      <c r="AT1" s="1129"/>
      <c r="AU1" s="1129"/>
      <c r="AV1" s="1129"/>
      <c r="AW1" s="1129"/>
      <c r="AX1" s="1129"/>
      <c r="AY1" s="1129"/>
      <c r="AZ1" s="1129"/>
      <c r="BA1" s="1129"/>
      <c r="BB1" s="1129"/>
      <c r="BC1" s="1129"/>
      <c r="BD1" s="1129"/>
      <c r="BE1" s="1129"/>
      <c r="BF1" s="1129"/>
      <c r="BG1" s="1129"/>
      <c r="BH1" s="1129"/>
      <c r="BI1" s="1129"/>
      <c r="BJ1" s="1129"/>
      <c r="BK1" s="1129"/>
      <c r="BL1" s="1129"/>
      <c r="BM1" s="1129"/>
      <c r="BN1" s="1129"/>
      <c r="BO1" s="1129"/>
      <c r="BP1" s="484"/>
      <c r="BQ1" s="484"/>
      <c r="BR1" s="484"/>
      <c r="BS1" s="484"/>
      <c r="BT1" s="484"/>
      <c r="BU1" s="484"/>
      <c r="BV1" s="484"/>
      <c r="BW1" s="485"/>
      <c r="BX1" s="443"/>
      <c r="BY1" s="443"/>
      <c r="BZ1" s="443"/>
      <c r="CA1" s="456"/>
    </row>
    <row r="2" spans="1:87" ht="15" x14ac:dyDescent="0.2">
      <c r="A2" s="458"/>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60"/>
      <c r="BI2" s="459"/>
      <c r="BJ2" s="459"/>
      <c r="BK2" s="460"/>
      <c r="BL2" s="459"/>
      <c r="BM2" s="459"/>
      <c r="BN2" s="460"/>
      <c r="BO2" s="460"/>
      <c r="BP2" s="486"/>
      <c r="BQ2" s="486"/>
      <c r="BR2" s="486"/>
      <c r="BS2" s="486"/>
      <c r="BT2" s="486"/>
      <c r="BU2" s="486"/>
      <c r="BV2" s="486"/>
      <c r="BW2" s="487"/>
      <c r="BX2" s="444"/>
      <c r="BY2" s="444"/>
      <c r="BZ2" s="444"/>
      <c r="CA2" s="461"/>
    </row>
    <row r="3" spans="1:87" s="239" customFormat="1" ht="15.75" thickBot="1" x14ac:dyDescent="0.25">
      <c r="A3" s="429">
        <v>1</v>
      </c>
      <c r="B3" s="430">
        <v>2</v>
      </c>
      <c r="C3" s="430">
        <v>3</v>
      </c>
      <c r="D3" s="430">
        <v>4</v>
      </c>
      <c r="E3" s="430">
        <v>5</v>
      </c>
      <c r="F3" s="430">
        <v>6</v>
      </c>
      <c r="G3" s="430">
        <v>7</v>
      </c>
      <c r="H3" s="430">
        <v>8</v>
      </c>
      <c r="I3" s="430">
        <v>9</v>
      </c>
      <c r="J3" s="430">
        <v>10</v>
      </c>
      <c r="K3" s="430">
        <v>11</v>
      </c>
      <c r="L3" s="430">
        <v>12</v>
      </c>
      <c r="M3" s="430">
        <v>13</v>
      </c>
      <c r="N3" s="430">
        <v>14</v>
      </c>
      <c r="O3" s="430">
        <v>15</v>
      </c>
      <c r="P3" s="430">
        <v>16</v>
      </c>
      <c r="Q3" s="430">
        <v>17</v>
      </c>
      <c r="R3" s="430">
        <v>18</v>
      </c>
      <c r="S3" s="430">
        <v>19</v>
      </c>
      <c r="T3" s="430">
        <v>20</v>
      </c>
      <c r="U3" s="430">
        <v>21</v>
      </c>
      <c r="V3" s="430">
        <v>22</v>
      </c>
      <c r="W3" s="430">
        <v>23</v>
      </c>
      <c r="X3" s="430">
        <v>24</v>
      </c>
      <c r="Y3" s="430">
        <v>25</v>
      </c>
      <c r="Z3" s="430">
        <v>26</v>
      </c>
      <c r="AA3" s="430">
        <v>27</v>
      </c>
      <c r="AB3" s="430">
        <v>28</v>
      </c>
      <c r="AC3" s="430">
        <v>29</v>
      </c>
      <c r="AD3" s="430">
        <v>30</v>
      </c>
      <c r="AE3" s="430">
        <v>31</v>
      </c>
      <c r="AF3" s="430">
        <v>32</v>
      </c>
      <c r="AG3" s="430">
        <v>33</v>
      </c>
      <c r="AH3" s="430">
        <v>34</v>
      </c>
      <c r="AI3" s="430">
        <v>35</v>
      </c>
      <c r="AJ3" s="430">
        <v>36</v>
      </c>
      <c r="AK3" s="430">
        <v>37</v>
      </c>
      <c r="AL3" s="430">
        <v>38</v>
      </c>
      <c r="AM3" s="430">
        <v>39</v>
      </c>
      <c r="AN3" s="430">
        <v>40</v>
      </c>
      <c r="AO3" s="430">
        <v>41</v>
      </c>
      <c r="AP3" s="430">
        <v>42</v>
      </c>
      <c r="AQ3" s="430">
        <v>43</v>
      </c>
      <c r="AR3" s="430">
        <v>44</v>
      </c>
      <c r="AS3" s="430">
        <v>45</v>
      </c>
      <c r="AT3" s="430">
        <v>46</v>
      </c>
      <c r="AU3" s="430">
        <v>47</v>
      </c>
      <c r="AV3" s="430">
        <v>48</v>
      </c>
      <c r="AW3" s="430">
        <v>49</v>
      </c>
      <c r="AX3" s="430">
        <v>50</v>
      </c>
      <c r="AY3" s="430">
        <v>51</v>
      </c>
      <c r="AZ3" s="430">
        <v>52</v>
      </c>
      <c r="BA3" s="430">
        <v>53</v>
      </c>
      <c r="BB3" s="430">
        <v>54</v>
      </c>
      <c r="BC3" s="430">
        <v>55</v>
      </c>
      <c r="BD3" s="430">
        <v>56</v>
      </c>
      <c r="BE3" s="430">
        <v>57</v>
      </c>
      <c r="BF3" s="430">
        <v>58</v>
      </c>
      <c r="BG3" s="430">
        <v>59</v>
      </c>
      <c r="BH3" s="430">
        <v>60</v>
      </c>
      <c r="BI3" s="430">
        <v>61</v>
      </c>
      <c r="BJ3" s="430">
        <v>62</v>
      </c>
      <c r="BK3" s="430">
        <v>63</v>
      </c>
      <c r="BL3" s="430">
        <v>64</v>
      </c>
      <c r="BM3" s="430">
        <v>65</v>
      </c>
      <c r="BN3" s="430">
        <v>66</v>
      </c>
      <c r="BO3" s="430">
        <v>67</v>
      </c>
      <c r="BP3" s="430">
        <v>68</v>
      </c>
      <c r="BQ3" s="430">
        <v>69</v>
      </c>
      <c r="BR3" s="430">
        <v>70</v>
      </c>
      <c r="BS3" s="430">
        <v>71</v>
      </c>
      <c r="BT3" s="430">
        <v>72</v>
      </c>
      <c r="BU3" s="430">
        <v>73</v>
      </c>
      <c r="BV3" s="430">
        <v>74</v>
      </c>
      <c r="BW3" s="430">
        <v>75</v>
      </c>
      <c r="BX3" s="430">
        <v>76</v>
      </c>
      <c r="BY3" s="430">
        <v>77</v>
      </c>
      <c r="BZ3" s="430"/>
      <c r="CA3" s="430">
        <v>78</v>
      </c>
      <c r="CB3" s="430">
        <v>79</v>
      </c>
      <c r="CC3" s="430">
        <v>80</v>
      </c>
      <c r="CD3" s="430">
        <v>81</v>
      </c>
      <c r="CE3" s="430">
        <v>82</v>
      </c>
      <c r="CF3" s="430">
        <v>83</v>
      </c>
      <c r="CG3" s="430">
        <v>84</v>
      </c>
      <c r="CH3" s="430">
        <v>85</v>
      </c>
      <c r="CI3" s="430">
        <v>86</v>
      </c>
    </row>
    <row r="4" spans="1:87" s="428" customFormat="1" ht="63.75" x14ac:dyDescent="0.2">
      <c r="A4" s="426" t="s">
        <v>691</v>
      </c>
      <c r="B4" s="427" t="s">
        <v>510</v>
      </c>
      <c r="C4" s="1162" t="s">
        <v>2812</v>
      </c>
      <c r="D4" s="427" t="s">
        <v>691</v>
      </c>
      <c r="E4" s="427" t="s">
        <v>511</v>
      </c>
      <c r="F4" s="439" t="s">
        <v>2924</v>
      </c>
      <c r="G4" s="427" t="s">
        <v>691</v>
      </c>
      <c r="H4" s="427" t="s">
        <v>512</v>
      </c>
      <c r="I4" s="439" t="s">
        <v>2925</v>
      </c>
      <c r="J4" s="726" t="s">
        <v>2926</v>
      </c>
      <c r="K4" s="439" t="s">
        <v>2380</v>
      </c>
      <c r="L4" s="427" t="s">
        <v>691</v>
      </c>
      <c r="M4" s="427" t="s">
        <v>511</v>
      </c>
      <c r="N4" s="439" t="s">
        <v>2398</v>
      </c>
      <c r="O4" s="427" t="s">
        <v>691</v>
      </c>
      <c r="P4" s="427" t="s">
        <v>512</v>
      </c>
      <c r="Q4" s="439" t="s">
        <v>2399</v>
      </c>
      <c r="R4" s="726" t="s">
        <v>2400</v>
      </c>
      <c r="S4" s="439" t="s">
        <v>2296</v>
      </c>
      <c r="T4" s="427" t="s">
        <v>691</v>
      </c>
      <c r="U4" s="427" t="s">
        <v>511</v>
      </c>
      <c r="V4" s="439" t="s">
        <v>2300</v>
      </c>
      <c r="W4" s="427" t="s">
        <v>691</v>
      </c>
      <c r="X4" s="1163" t="s">
        <v>512</v>
      </c>
      <c r="Y4" s="439" t="s">
        <v>2301</v>
      </c>
      <c r="Z4" s="726" t="s">
        <v>2302</v>
      </c>
      <c r="AA4" s="439" t="s">
        <v>1334</v>
      </c>
      <c r="AB4" s="427" t="s">
        <v>691</v>
      </c>
      <c r="AC4" s="427" t="s">
        <v>511</v>
      </c>
      <c r="AD4" s="439" t="s">
        <v>1338</v>
      </c>
      <c r="AE4" s="427" t="s">
        <v>691</v>
      </c>
      <c r="AF4" s="1163" t="s">
        <v>512</v>
      </c>
      <c r="AG4" s="439" t="s">
        <v>1339</v>
      </c>
      <c r="AH4" s="726" t="s">
        <v>1340</v>
      </c>
      <c r="AI4" s="439" t="s">
        <v>1204</v>
      </c>
      <c r="AJ4" s="427" t="s">
        <v>691</v>
      </c>
      <c r="AK4" s="427" t="s">
        <v>511</v>
      </c>
      <c r="AL4" s="439" t="s">
        <v>1249</v>
      </c>
      <c r="AM4" s="427" t="s">
        <v>691</v>
      </c>
      <c r="AN4" s="427" t="s">
        <v>512</v>
      </c>
      <c r="AO4" s="439" t="s">
        <v>1250</v>
      </c>
      <c r="AP4" s="726" t="s">
        <v>1251</v>
      </c>
      <c r="AQ4" s="439" t="s">
        <v>1202</v>
      </c>
      <c r="AR4" s="427" t="s">
        <v>691</v>
      </c>
      <c r="AS4" s="427" t="s">
        <v>511</v>
      </c>
      <c r="AT4" s="439" t="s">
        <v>1206</v>
      </c>
      <c r="AU4" s="427" t="s">
        <v>691</v>
      </c>
      <c r="AV4" s="427" t="s">
        <v>512</v>
      </c>
      <c r="AW4" s="439" t="s">
        <v>1207</v>
      </c>
      <c r="AX4" s="439" t="s">
        <v>1208</v>
      </c>
      <c r="AY4" s="659" t="s">
        <v>1192</v>
      </c>
      <c r="AZ4" s="427" t="s">
        <v>691</v>
      </c>
      <c r="BA4" s="427" t="s">
        <v>511</v>
      </c>
      <c r="BB4" s="439" t="s">
        <v>1193</v>
      </c>
      <c r="BC4" s="427" t="s">
        <v>691</v>
      </c>
      <c r="BD4" s="427" t="s">
        <v>512</v>
      </c>
      <c r="BE4" s="439" t="s">
        <v>1194</v>
      </c>
      <c r="BF4" s="726" t="s">
        <v>1191</v>
      </c>
      <c r="BG4" s="439"/>
      <c r="BH4" s="439" t="s">
        <v>958</v>
      </c>
      <c r="BI4" s="427" t="s">
        <v>691</v>
      </c>
      <c r="BJ4" s="427" t="s">
        <v>511</v>
      </c>
      <c r="BK4" s="439" t="s">
        <v>959</v>
      </c>
      <c r="BL4" s="427" t="s">
        <v>691</v>
      </c>
      <c r="BM4" s="427" t="s">
        <v>512</v>
      </c>
      <c r="BN4" s="439" t="s">
        <v>960</v>
      </c>
      <c r="BO4" s="726" t="s">
        <v>964</v>
      </c>
      <c r="BP4" s="439" t="s">
        <v>961</v>
      </c>
      <c r="BQ4" s="427" t="s">
        <v>691</v>
      </c>
      <c r="BR4" s="427" t="s">
        <v>511</v>
      </c>
      <c r="BS4" s="439" t="s">
        <v>962</v>
      </c>
      <c r="BT4" s="427" t="s">
        <v>691</v>
      </c>
      <c r="BU4" s="427" t="s">
        <v>512</v>
      </c>
      <c r="BV4" s="439" t="s">
        <v>963</v>
      </c>
      <c r="BW4" s="439" t="s">
        <v>965</v>
      </c>
      <c r="BX4" s="431" t="s">
        <v>931</v>
      </c>
      <c r="BY4" s="431" t="s">
        <v>2378</v>
      </c>
      <c r="BZ4" s="431" t="s">
        <v>3330</v>
      </c>
      <c r="CA4" s="432" t="s">
        <v>921</v>
      </c>
      <c r="CB4" s="1054" t="s">
        <v>1200</v>
      </c>
      <c r="CC4" s="669" t="s">
        <v>1230</v>
      </c>
      <c r="CD4" s="670" t="s">
        <v>1231</v>
      </c>
      <c r="CE4" s="670" t="s">
        <v>511</v>
      </c>
      <c r="CF4" s="670" t="s">
        <v>1232</v>
      </c>
      <c r="CG4" s="670" t="s">
        <v>1233</v>
      </c>
      <c r="CH4" s="670" t="s">
        <v>1210</v>
      </c>
      <c r="CI4" s="670" t="s">
        <v>1234</v>
      </c>
    </row>
    <row r="5" spans="1:87" s="93" customFormat="1" ht="15" x14ac:dyDescent="0.2">
      <c r="A5" s="421"/>
      <c r="B5" s="422"/>
      <c r="C5" s="422"/>
      <c r="D5" s="422"/>
      <c r="E5" s="422"/>
      <c r="F5" s="422"/>
      <c r="G5" s="422"/>
      <c r="H5" s="422"/>
      <c r="I5" s="422"/>
      <c r="J5" s="727"/>
      <c r="K5" s="422"/>
      <c r="L5" s="422"/>
      <c r="M5" s="422"/>
      <c r="N5" s="422"/>
      <c r="O5" s="422"/>
      <c r="P5" s="422"/>
      <c r="Q5" s="422"/>
      <c r="R5" s="727"/>
      <c r="S5" s="422"/>
      <c r="T5" s="422"/>
      <c r="U5" s="422"/>
      <c r="V5" s="422"/>
      <c r="W5" s="422"/>
      <c r="X5" s="422"/>
      <c r="Y5" s="422"/>
      <c r="Z5" s="727"/>
      <c r="AA5" s="422"/>
      <c r="AB5" s="422"/>
      <c r="AC5" s="422"/>
      <c r="AD5" s="422"/>
      <c r="AE5" s="422"/>
      <c r="AF5" s="422"/>
      <c r="AG5" s="422"/>
      <c r="AH5" s="727"/>
      <c r="AI5" s="422"/>
      <c r="AJ5" s="422"/>
      <c r="AK5" s="422"/>
      <c r="AL5" s="422"/>
      <c r="AM5" s="422"/>
      <c r="AN5" s="422"/>
      <c r="AO5" s="422"/>
      <c r="AP5" s="727"/>
      <c r="AQ5" s="422"/>
      <c r="AR5" s="422"/>
      <c r="AS5" s="422"/>
      <c r="AT5" s="422"/>
      <c r="AU5" s="422"/>
      <c r="AV5" s="422"/>
      <c r="AW5" s="422"/>
      <c r="AX5" s="422"/>
      <c r="AY5" s="660"/>
      <c r="AZ5" s="422"/>
      <c r="BA5" s="422"/>
      <c r="BB5" s="422"/>
      <c r="BC5" s="422"/>
      <c r="BD5" s="422"/>
      <c r="BE5" s="422"/>
      <c r="BF5" s="727"/>
      <c r="BG5" s="422"/>
      <c r="BH5" s="440"/>
      <c r="BI5" s="422"/>
      <c r="BJ5" s="422"/>
      <c r="BK5" s="440"/>
      <c r="BL5" s="422"/>
      <c r="BM5" s="422"/>
      <c r="BN5" s="440"/>
      <c r="BO5" s="730"/>
      <c r="BP5" s="440"/>
      <c r="BQ5" s="440"/>
      <c r="BR5" s="440"/>
      <c r="BS5" s="440"/>
      <c r="BT5" s="440"/>
      <c r="BU5" s="440"/>
      <c r="BV5" s="440"/>
      <c r="BW5" s="423"/>
      <c r="BX5" s="445"/>
      <c r="BY5" s="445"/>
      <c r="BZ5" s="445"/>
      <c r="CA5" s="433"/>
      <c r="CB5" s="722"/>
      <c r="CC5" s="667"/>
    </row>
    <row r="6" spans="1:87" ht="15" x14ac:dyDescent="0.2">
      <c r="A6" s="462" t="s">
        <v>732</v>
      </c>
      <c r="B6" s="316" t="s">
        <v>731</v>
      </c>
      <c r="C6" s="731">
        <v>0.4</v>
      </c>
      <c r="D6" s="316" t="s">
        <v>661</v>
      </c>
      <c r="E6" s="316" t="s">
        <v>662</v>
      </c>
      <c r="F6" s="731">
        <v>0.1</v>
      </c>
      <c r="G6" s="316" t="s">
        <v>514</v>
      </c>
      <c r="H6" s="316" t="s">
        <v>552</v>
      </c>
      <c r="I6" s="731">
        <v>0</v>
      </c>
      <c r="J6" s="728">
        <f t="shared" ref="J6" si="0">+C6+F6+I6</f>
        <v>0.5</v>
      </c>
      <c r="K6" s="731">
        <v>0.4</v>
      </c>
      <c r="L6" s="316" t="s">
        <v>661</v>
      </c>
      <c r="M6" s="316" t="s">
        <v>662</v>
      </c>
      <c r="N6" s="731">
        <v>0.1</v>
      </c>
      <c r="O6" s="316" t="s">
        <v>514</v>
      </c>
      <c r="P6" s="316" t="s">
        <v>552</v>
      </c>
      <c r="Q6" s="731">
        <v>0</v>
      </c>
      <c r="R6" s="728">
        <f t="shared" ref="R6:R67" si="1">+K6+N6+Q6</f>
        <v>0.5</v>
      </c>
      <c r="S6" s="731">
        <v>0.4</v>
      </c>
      <c r="T6" s="316" t="s">
        <v>661</v>
      </c>
      <c r="U6" s="316" t="s">
        <v>662</v>
      </c>
      <c r="V6" s="731">
        <v>0.1</v>
      </c>
      <c r="W6" s="316" t="s">
        <v>514</v>
      </c>
      <c r="X6" s="316" t="s">
        <v>552</v>
      </c>
      <c r="Y6" s="731">
        <v>0</v>
      </c>
      <c r="Z6" s="728">
        <f t="shared" ref="Z6:Z23" si="2">+S6+V6+Y6</f>
        <v>0.5</v>
      </c>
      <c r="AA6" s="731">
        <v>0.4</v>
      </c>
      <c r="AB6" s="316" t="s">
        <v>661</v>
      </c>
      <c r="AC6" s="316" t="s">
        <v>662</v>
      </c>
      <c r="AD6" s="731">
        <v>0.1</v>
      </c>
      <c r="AE6" s="316" t="s">
        <v>514</v>
      </c>
      <c r="AF6" s="316" t="s">
        <v>552</v>
      </c>
      <c r="AG6" s="731">
        <v>0</v>
      </c>
      <c r="AH6" s="728">
        <f t="shared" ref="AH6:AH20" si="3">+AA6+AD6+AG6</f>
        <v>0.5</v>
      </c>
      <c r="AI6" s="731">
        <v>0.4</v>
      </c>
      <c r="AJ6" s="316" t="s">
        <v>661</v>
      </c>
      <c r="AK6" s="316" t="s">
        <v>662</v>
      </c>
      <c r="AL6" s="731">
        <v>0.1</v>
      </c>
      <c r="AM6" s="316" t="s">
        <v>514</v>
      </c>
      <c r="AN6" s="316" t="s">
        <v>552</v>
      </c>
      <c r="AO6" s="731">
        <v>0</v>
      </c>
      <c r="AP6" s="728">
        <f t="shared" ref="AP6:AP20" si="4">+AI6+AL6+AO6</f>
        <v>0.5</v>
      </c>
      <c r="AQ6" s="718">
        <v>0.2</v>
      </c>
      <c r="AR6" s="316" t="s">
        <v>661</v>
      </c>
      <c r="AS6" s="316" t="s">
        <v>662</v>
      </c>
      <c r="AT6" s="718">
        <v>0.55000000000000004</v>
      </c>
      <c r="AU6" s="316" t="s">
        <v>514</v>
      </c>
      <c r="AV6" s="316" t="s">
        <v>552</v>
      </c>
      <c r="AW6" s="718">
        <v>0</v>
      </c>
      <c r="AX6" s="463">
        <f t="shared" ref="AX6:AX16" si="5">+AQ6+AT6+AW6</f>
        <v>0.75</v>
      </c>
      <c r="AY6" s="661">
        <v>0.4</v>
      </c>
      <c r="AZ6" s="316" t="s">
        <v>661</v>
      </c>
      <c r="BA6" s="316" t="s">
        <v>662</v>
      </c>
      <c r="BB6" s="463">
        <v>0.1</v>
      </c>
      <c r="BC6" s="316" t="s">
        <v>514</v>
      </c>
      <c r="BD6" s="316" t="s">
        <v>552</v>
      </c>
      <c r="BE6" s="463">
        <v>0</v>
      </c>
      <c r="BF6" s="728">
        <f t="shared" ref="BF6:BF16" si="6">+AY6+BB6+BE6</f>
        <v>0.5</v>
      </c>
      <c r="BG6" s="463"/>
      <c r="BH6" s="463">
        <v>0.4</v>
      </c>
      <c r="BI6" s="316" t="s">
        <v>661</v>
      </c>
      <c r="BJ6" s="316" t="s">
        <v>662</v>
      </c>
      <c r="BK6" s="463">
        <v>0.1</v>
      </c>
      <c r="BL6" s="316" t="s">
        <v>514</v>
      </c>
      <c r="BM6" s="316" t="s">
        <v>552</v>
      </c>
      <c r="BN6" s="463">
        <v>0</v>
      </c>
      <c r="BO6" s="728">
        <f t="shared" ref="BO6:BO20" si="7">+BH6+BK6+BN6</f>
        <v>0.5</v>
      </c>
      <c r="BP6" s="463">
        <v>0.4</v>
      </c>
      <c r="BQ6" s="316" t="s">
        <v>661</v>
      </c>
      <c r="BR6" s="316" t="s">
        <v>662</v>
      </c>
      <c r="BS6" s="463">
        <v>0.1</v>
      </c>
      <c r="BT6" s="316" t="s">
        <v>514</v>
      </c>
      <c r="BU6" s="316" t="s">
        <v>552</v>
      </c>
      <c r="BV6" s="463">
        <v>0</v>
      </c>
      <c r="BW6" s="463">
        <f t="shared" ref="BW6:BW20" si="8">+BP6+BS6+BV6</f>
        <v>0.5</v>
      </c>
      <c r="BX6" s="444"/>
      <c r="BY6" s="444"/>
      <c r="BZ6" s="444"/>
      <c r="CA6" s="434"/>
      <c r="CB6" s="723">
        <v>0.68600000000000005</v>
      </c>
      <c r="CC6" s="668" t="s">
        <v>950</v>
      </c>
      <c r="CD6" s="316" t="s">
        <v>661</v>
      </c>
      <c r="CE6" s="316" t="s">
        <v>662</v>
      </c>
      <c r="CF6" s="718">
        <v>0.6</v>
      </c>
      <c r="CG6" s="316" t="s">
        <v>514</v>
      </c>
      <c r="CH6" s="316" t="s">
        <v>552</v>
      </c>
      <c r="CI6" s="718">
        <v>0</v>
      </c>
    </row>
    <row r="7" spans="1:87" ht="15" x14ac:dyDescent="0.2">
      <c r="A7" s="462" t="s">
        <v>734</v>
      </c>
      <c r="B7" s="316" t="s">
        <v>733</v>
      </c>
      <c r="C7" s="718">
        <v>0.4</v>
      </c>
      <c r="D7" s="316" t="s">
        <v>556</v>
      </c>
      <c r="E7" s="316" t="s">
        <v>557</v>
      </c>
      <c r="F7" s="718">
        <v>0.09</v>
      </c>
      <c r="G7" s="316" t="s">
        <v>554</v>
      </c>
      <c r="H7" s="316" t="s">
        <v>555</v>
      </c>
      <c r="I7" s="718">
        <v>0.01</v>
      </c>
      <c r="J7" s="728">
        <f t="shared" ref="J7:J38" si="9">+C7+F7+I7</f>
        <v>0.5</v>
      </c>
      <c r="K7" s="718">
        <v>0.4</v>
      </c>
      <c r="L7" s="316" t="s">
        <v>556</v>
      </c>
      <c r="M7" s="316" t="s">
        <v>557</v>
      </c>
      <c r="N7" s="718">
        <v>0.09</v>
      </c>
      <c r="O7" s="316" t="s">
        <v>554</v>
      </c>
      <c r="P7" s="316" t="s">
        <v>555</v>
      </c>
      <c r="Q7" s="718">
        <v>0.01</v>
      </c>
      <c r="R7" s="728">
        <f t="shared" si="1"/>
        <v>0.5</v>
      </c>
      <c r="S7" s="718">
        <v>0.4</v>
      </c>
      <c r="T7" s="316" t="s">
        <v>556</v>
      </c>
      <c r="U7" s="316" t="s">
        <v>557</v>
      </c>
      <c r="V7" s="718">
        <v>0.09</v>
      </c>
      <c r="W7" s="316" t="s">
        <v>554</v>
      </c>
      <c r="X7" s="316" t="s">
        <v>555</v>
      </c>
      <c r="Y7" s="718">
        <v>0.01</v>
      </c>
      <c r="Z7" s="728">
        <f t="shared" si="2"/>
        <v>0.5</v>
      </c>
      <c r="AA7" s="718">
        <v>0.4</v>
      </c>
      <c r="AB7" s="316" t="s">
        <v>556</v>
      </c>
      <c r="AC7" s="316" t="s">
        <v>557</v>
      </c>
      <c r="AD7" s="718">
        <v>0.09</v>
      </c>
      <c r="AE7" s="316" t="s">
        <v>554</v>
      </c>
      <c r="AF7" s="316" t="s">
        <v>555</v>
      </c>
      <c r="AG7" s="718">
        <v>0.01</v>
      </c>
      <c r="AH7" s="728">
        <f t="shared" si="3"/>
        <v>0.5</v>
      </c>
      <c r="AI7" s="718">
        <v>0.4</v>
      </c>
      <c r="AJ7" s="316" t="s">
        <v>556</v>
      </c>
      <c r="AK7" s="316" t="s">
        <v>557</v>
      </c>
      <c r="AL7" s="718">
        <v>0.09</v>
      </c>
      <c r="AM7" s="316" t="s">
        <v>554</v>
      </c>
      <c r="AN7" s="316" t="s">
        <v>555</v>
      </c>
      <c r="AO7" s="718">
        <v>0.01</v>
      </c>
      <c r="AP7" s="728">
        <f t="shared" si="4"/>
        <v>0.5</v>
      </c>
      <c r="AQ7" s="718">
        <v>0.4</v>
      </c>
      <c r="AR7" s="316" t="s">
        <v>556</v>
      </c>
      <c r="AS7" s="316" t="s">
        <v>557</v>
      </c>
      <c r="AT7" s="718">
        <v>0.09</v>
      </c>
      <c r="AU7" s="316" t="s">
        <v>554</v>
      </c>
      <c r="AV7" s="316" t="s">
        <v>555</v>
      </c>
      <c r="AW7" s="718">
        <v>0.01</v>
      </c>
      <c r="AX7" s="463">
        <f t="shared" si="5"/>
        <v>0.5</v>
      </c>
      <c r="AY7" s="661">
        <v>0.5</v>
      </c>
      <c r="AZ7" s="316" t="s">
        <v>556</v>
      </c>
      <c r="BA7" s="316" t="s">
        <v>557</v>
      </c>
      <c r="BB7" s="463">
        <v>0.49</v>
      </c>
      <c r="BC7" s="316" t="s">
        <v>554</v>
      </c>
      <c r="BD7" s="316" t="s">
        <v>555</v>
      </c>
      <c r="BE7" s="463">
        <v>0.01</v>
      </c>
      <c r="BF7" s="728">
        <f t="shared" si="6"/>
        <v>1</v>
      </c>
      <c r="BG7" s="463"/>
      <c r="BH7" s="463">
        <v>0.4</v>
      </c>
      <c r="BI7" s="316" t="s">
        <v>556</v>
      </c>
      <c r="BJ7" s="316" t="s">
        <v>557</v>
      </c>
      <c r="BK7" s="463">
        <v>0.09</v>
      </c>
      <c r="BL7" s="316" t="s">
        <v>554</v>
      </c>
      <c r="BM7" s="316" t="s">
        <v>555</v>
      </c>
      <c r="BN7" s="463">
        <v>0.01</v>
      </c>
      <c r="BO7" s="728">
        <f t="shared" si="7"/>
        <v>0.5</v>
      </c>
      <c r="BP7" s="463">
        <v>0.4</v>
      </c>
      <c r="BQ7" s="316" t="s">
        <v>556</v>
      </c>
      <c r="BR7" s="316" t="s">
        <v>557</v>
      </c>
      <c r="BS7" s="463">
        <v>0.09</v>
      </c>
      <c r="BT7" s="316" t="s">
        <v>554</v>
      </c>
      <c r="BU7" s="316" t="s">
        <v>555</v>
      </c>
      <c r="BV7" s="463">
        <v>0.01</v>
      </c>
      <c r="BW7" s="463">
        <f t="shared" si="8"/>
        <v>0.5</v>
      </c>
      <c r="BX7" s="444"/>
      <c r="BY7" s="444"/>
      <c r="BZ7" s="444"/>
      <c r="CA7" s="434"/>
      <c r="CB7" s="723">
        <v>0.67500000000000004</v>
      </c>
      <c r="CC7" s="668" t="s">
        <v>950</v>
      </c>
      <c r="CD7" s="316" t="s">
        <v>556</v>
      </c>
      <c r="CE7" s="316" t="s">
        <v>557</v>
      </c>
      <c r="CF7" s="718">
        <v>0.59</v>
      </c>
      <c r="CG7" s="316" t="s">
        <v>554</v>
      </c>
      <c r="CH7" s="316" t="s">
        <v>555</v>
      </c>
      <c r="CI7" s="718">
        <v>0.01</v>
      </c>
    </row>
    <row r="8" spans="1:87" ht="15" x14ac:dyDescent="0.2">
      <c r="A8" s="462" t="s">
        <v>736</v>
      </c>
      <c r="B8" s="316" t="s">
        <v>735</v>
      </c>
      <c r="C8" s="718">
        <v>0.4</v>
      </c>
      <c r="D8" s="316" t="s">
        <v>661</v>
      </c>
      <c r="E8" s="316" t="s">
        <v>662</v>
      </c>
      <c r="F8" s="718">
        <v>0.1</v>
      </c>
      <c r="G8" s="316" t="s">
        <v>514</v>
      </c>
      <c r="H8" s="316" t="s">
        <v>552</v>
      </c>
      <c r="I8" s="718">
        <v>0</v>
      </c>
      <c r="J8" s="728">
        <f t="shared" si="9"/>
        <v>0.5</v>
      </c>
      <c r="K8" s="718">
        <v>0.4</v>
      </c>
      <c r="L8" s="316" t="s">
        <v>661</v>
      </c>
      <c r="M8" s="316" t="s">
        <v>662</v>
      </c>
      <c r="N8" s="718">
        <v>0.1</v>
      </c>
      <c r="O8" s="316" t="s">
        <v>514</v>
      </c>
      <c r="P8" s="316" t="s">
        <v>552</v>
      </c>
      <c r="Q8" s="718">
        <v>0</v>
      </c>
      <c r="R8" s="728">
        <f t="shared" si="1"/>
        <v>0.5</v>
      </c>
      <c r="S8" s="718">
        <v>0.4</v>
      </c>
      <c r="T8" s="316" t="s">
        <v>661</v>
      </c>
      <c r="U8" s="316" t="s">
        <v>662</v>
      </c>
      <c r="V8" s="718">
        <v>0.1</v>
      </c>
      <c r="W8" s="316" t="s">
        <v>514</v>
      </c>
      <c r="X8" s="316" t="s">
        <v>552</v>
      </c>
      <c r="Y8" s="718">
        <v>0</v>
      </c>
      <c r="Z8" s="728">
        <f t="shared" si="2"/>
        <v>0.5</v>
      </c>
      <c r="AA8" s="718">
        <v>0.4</v>
      </c>
      <c r="AB8" s="316" t="s">
        <v>661</v>
      </c>
      <c r="AC8" s="316" t="s">
        <v>662</v>
      </c>
      <c r="AD8" s="718">
        <v>0.1</v>
      </c>
      <c r="AE8" s="316" t="s">
        <v>514</v>
      </c>
      <c r="AF8" s="316" t="s">
        <v>552</v>
      </c>
      <c r="AG8" s="718">
        <v>0</v>
      </c>
      <c r="AH8" s="728">
        <f t="shared" si="3"/>
        <v>0.5</v>
      </c>
      <c r="AI8" s="718">
        <v>0.4</v>
      </c>
      <c r="AJ8" s="316" t="s">
        <v>661</v>
      </c>
      <c r="AK8" s="316" t="s">
        <v>662</v>
      </c>
      <c r="AL8" s="718">
        <v>0.1</v>
      </c>
      <c r="AM8" s="316" t="s">
        <v>514</v>
      </c>
      <c r="AN8" s="316" t="s">
        <v>552</v>
      </c>
      <c r="AO8" s="718">
        <v>0</v>
      </c>
      <c r="AP8" s="728">
        <f t="shared" si="4"/>
        <v>0.5</v>
      </c>
      <c r="AQ8" s="718">
        <v>0.2</v>
      </c>
      <c r="AR8" s="316" t="s">
        <v>661</v>
      </c>
      <c r="AS8" s="316" t="s">
        <v>662</v>
      </c>
      <c r="AT8" s="718">
        <v>0.55000000000000004</v>
      </c>
      <c r="AU8" s="316" t="s">
        <v>514</v>
      </c>
      <c r="AV8" s="316" t="s">
        <v>552</v>
      </c>
      <c r="AW8" s="718">
        <v>0</v>
      </c>
      <c r="AX8" s="463">
        <f t="shared" si="5"/>
        <v>0.75</v>
      </c>
      <c r="AY8" s="661">
        <v>0.4</v>
      </c>
      <c r="AZ8" s="316" t="s">
        <v>661</v>
      </c>
      <c r="BA8" s="316" t="s">
        <v>662</v>
      </c>
      <c r="BB8" s="463">
        <v>0.1</v>
      </c>
      <c r="BC8" s="316" t="s">
        <v>514</v>
      </c>
      <c r="BD8" s="316" t="s">
        <v>552</v>
      </c>
      <c r="BE8" s="463">
        <v>0</v>
      </c>
      <c r="BF8" s="728">
        <f t="shared" si="6"/>
        <v>0.5</v>
      </c>
      <c r="BG8" s="463"/>
      <c r="BH8" s="463">
        <v>0.4</v>
      </c>
      <c r="BI8" s="316" t="s">
        <v>661</v>
      </c>
      <c r="BJ8" s="316" t="s">
        <v>662</v>
      </c>
      <c r="BK8" s="463">
        <v>0.1</v>
      </c>
      <c r="BL8" s="316" t="s">
        <v>514</v>
      </c>
      <c r="BM8" s="316" t="s">
        <v>552</v>
      </c>
      <c r="BN8" s="463">
        <v>0</v>
      </c>
      <c r="BO8" s="728">
        <f t="shared" si="7"/>
        <v>0.5</v>
      </c>
      <c r="BP8" s="463">
        <v>0.4</v>
      </c>
      <c r="BQ8" s="316" t="s">
        <v>661</v>
      </c>
      <c r="BR8" s="316" t="s">
        <v>662</v>
      </c>
      <c r="BS8" s="463">
        <v>0.1</v>
      </c>
      <c r="BT8" s="316" t="s">
        <v>514</v>
      </c>
      <c r="BU8" s="316" t="s">
        <v>552</v>
      </c>
      <c r="BV8" s="463">
        <v>0</v>
      </c>
      <c r="BW8" s="463">
        <f t="shared" si="8"/>
        <v>0.5</v>
      </c>
      <c r="BX8" s="444"/>
      <c r="BY8" s="444"/>
      <c r="BZ8" s="444"/>
      <c r="CA8" s="434"/>
      <c r="CB8" s="723">
        <v>0.68100000000000005</v>
      </c>
      <c r="CC8" s="668" t="s">
        <v>950</v>
      </c>
      <c r="CD8" s="316" t="s">
        <v>661</v>
      </c>
      <c r="CE8" s="316" t="s">
        <v>662</v>
      </c>
      <c r="CF8" s="718">
        <v>0.6</v>
      </c>
      <c r="CG8" s="316" t="s">
        <v>514</v>
      </c>
      <c r="CH8" s="316" t="s">
        <v>552</v>
      </c>
      <c r="CI8" s="718">
        <v>0</v>
      </c>
    </row>
    <row r="9" spans="1:87" x14ac:dyDescent="0.2">
      <c r="A9" s="462" t="s">
        <v>738</v>
      </c>
      <c r="B9" s="316" t="s">
        <v>737</v>
      </c>
      <c r="C9" s="718">
        <v>0.4</v>
      </c>
      <c r="D9" s="316" t="s">
        <v>639</v>
      </c>
      <c r="E9" s="316" t="s">
        <v>640</v>
      </c>
      <c r="F9" s="718">
        <v>0.09</v>
      </c>
      <c r="G9" s="316" t="s">
        <v>637</v>
      </c>
      <c r="H9" s="316" t="s">
        <v>638</v>
      </c>
      <c r="I9" s="718">
        <v>0.01</v>
      </c>
      <c r="J9" s="728">
        <f t="shared" si="9"/>
        <v>0.5</v>
      </c>
      <c r="K9" s="718">
        <v>0.4</v>
      </c>
      <c r="L9" s="316" t="s">
        <v>639</v>
      </c>
      <c r="M9" s="316" t="s">
        <v>640</v>
      </c>
      <c r="N9" s="718">
        <v>0.09</v>
      </c>
      <c r="O9" s="316" t="s">
        <v>637</v>
      </c>
      <c r="P9" s="316" t="s">
        <v>638</v>
      </c>
      <c r="Q9" s="718">
        <v>0.01</v>
      </c>
      <c r="R9" s="728">
        <f t="shared" si="1"/>
        <v>0.5</v>
      </c>
      <c r="S9" s="718">
        <v>0.4</v>
      </c>
      <c r="T9" s="316" t="s">
        <v>639</v>
      </c>
      <c r="U9" s="316" t="s">
        <v>640</v>
      </c>
      <c r="V9" s="718">
        <v>0.09</v>
      </c>
      <c r="W9" s="316" t="s">
        <v>637</v>
      </c>
      <c r="X9" s="316" t="s">
        <v>638</v>
      </c>
      <c r="Y9" s="718">
        <v>0.01</v>
      </c>
      <c r="Z9" s="728">
        <f t="shared" si="2"/>
        <v>0.5</v>
      </c>
      <c r="AA9" s="718">
        <v>0.4</v>
      </c>
      <c r="AB9" s="316" t="s">
        <v>639</v>
      </c>
      <c r="AC9" s="316" t="s">
        <v>640</v>
      </c>
      <c r="AD9" s="718">
        <v>0.09</v>
      </c>
      <c r="AE9" s="316" t="s">
        <v>637</v>
      </c>
      <c r="AF9" s="316" t="s">
        <v>638</v>
      </c>
      <c r="AG9" s="718">
        <v>0.01</v>
      </c>
      <c r="AH9" s="728">
        <f t="shared" si="3"/>
        <v>0.5</v>
      </c>
      <c r="AI9" s="718">
        <v>0.4</v>
      </c>
      <c r="AJ9" s="316" t="s">
        <v>639</v>
      </c>
      <c r="AK9" s="316" t="s">
        <v>640</v>
      </c>
      <c r="AL9" s="718">
        <v>0.09</v>
      </c>
      <c r="AM9" s="316" t="s">
        <v>637</v>
      </c>
      <c r="AN9" s="316" t="s">
        <v>638</v>
      </c>
      <c r="AO9" s="718">
        <v>0.01</v>
      </c>
      <c r="AP9" s="728">
        <f t="shared" si="4"/>
        <v>0.5</v>
      </c>
      <c r="AQ9" s="718">
        <v>0.4</v>
      </c>
      <c r="AR9" s="316" t="s">
        <v>639</v>
      </c>
      <c r="AS9" s="316" t="s">
        <v>640</v>
      </c>
      <c r="AT9" s="718">
        <v>0.09</v>
      </c>
      <c r="AU9" s="316" t="s">
        <v>637</v>
      </c>
      <c r="AV9" s="316" t="s">
        <v>638</v>
      </c>
      <c r="AW9" s="718">
        <v>0.01</v>
      </c>
      <c r="AX9" s="463">
        <f t="shared" si="5"/>
        <v>0.5</v>
      </c>
      <c r="AY9" s="661">
        <v>0.4</v>
      </c>
      <c r="AZ9" s="316" t="s">
        <v>639</v>
      </c>
      <c r="BA9" s="316" t="s">
        <v>640</v>
      </c>
      <c r="BB9" s="463">
        <v>0.09</v>
      </c>
      <c r="BC9" s="316" t="s">
        <v>637</v>
      </c>
      <c r="BD9" s="316" t="s">
        <v>638</v>
      </c>
      <c r="BE9" s="463">
        <v>0.01</v>
      </c>
      <c r="BF9" s="728">
        <f t="shared" si="6"/>
        <v>0.5</v>
      </c>
      <c r="BG9" s="463"/>
      <c r="BH9" s="463">
        <v>0.4</v>
      </c>
      <c r="BI9" s="316" t="s">
        <v>639</v>
      </c>
      <c r="BJ9" s="316" t="s">
        <v>640</v>
      </c>
      <c r="BK9" s="463">
        <v>0.09</v>
      </c>
      <c r="BL9" s="316" t="s">
        <v>637</v>
      </c>
      <c r="BM9" s="316" t="s">
        <v>638</v>
      </c>
      <c r="BN9" s="463">
        <v>0.01</v>
      </c>
      <c r="BO9" s="728">
        <f t="shared" si="7"/>
        <v>0.5</v>
      </c>
      <c r="BP9" s="463">
        <v>0.4</v>
      </c>
      <c r="BQ9" s="316" t="s">
        <v>639</v>
      </c>
      <c r="BR9" s="316" t="s">
        <v>640</v>
      </c>
      <c r="BS9" s="463">
        <v>0.09</v>
      </c>
      <c r="BT9" s="316" t="s">
        <v>637</v>
      </c>
      <c r="BU9" s="316" t="s">
        <v>638</v>
      </c>
      <c r="BV9" s="463">
        <v>0.01</v>
      </c>
      <c r="BW9" s="463">
        <f t="shared" si="8"/>
        <v>0.5</v>
      </c>
      <c r="CA9" s="435"/>
      <c r="CB9" s="723">
        <v>0.65400000000000003</v>
      </c>
      <c r="CC9" s="668" t="s">
        <v>950</v>
      </c>
      <c r="CD9" s="316" t="s">
        <v>639</v>
      </c>
      <c r="CE9" s="316" t="s">
        <v>640</v>
      </c>
      <c r="CF9" s="718">
        <v>0.59</v>
      </c>
      <c r="CG9" s="316" t="s">
        <v>637</v>
      </c>
      <c r="CH9" s="316" t="s">
        <v>638</v>
      </c>
      <c r="CI9" s="718">
        <v>0.01</v>
      </c>
    </row>
    <row r="10" spans="1:87" ht="15" x14ac:dyDescent="0.2">
      <c r="A10" s="462" t="s">
        <v>740</v>
      </c>
      <c r="B10" s="998" t="s">
        <v>739</v>
      </c>
      <c r="C10" s="718">
        <v>0.4</v>
      </c>
      <c r="D10" s="316" t="s">
        <v>608</v>
      </c>
      <c r="E10" s="316" t="s">
        <v>609</v>
      </c>
      <c r="F10" s="718">
        <v>0.09</v>
      </c>
      <c r="G10" s="316" t="s">
        <v>606</v>
      </c>
      <c r="H10" s="316" t="s">
        <v>607</v>
      </c>
      <c r="I10" s="718">
        <v>0.01</v>
      </c>
      <c r="J10" s="728">
        <f t="shared" si="9"/>
        <v>0.5</v>
      </c>
      <c r="K10" s="718">
        <v>0.4</v>
      </c>
      <c r="L10" s="316" t="s">
        <v>608</v>
      </c>
      <c r="M10" s="316" t="s">
        <v>609</v>
      </c>
      <c r="N10" s="718">
        <v>0.09</v>
      </c>
      <c r="O10" s="316" t="s">
        <v>606</v>
      </c>
      <c r="P10" s="316" t="s">
        <v>607</v>
      </c>
      <c r="Q10" s="718">
        <v>0.01</v>
      </c>
      <c r="R10" s="728">
        <f t="shared" si="1"/>
        <v>0.5</v>
      </c>
      <c r="S10" s="718">
        <v>0.4</v>
      </c>
      <c r="T10" s="316" t="s">
        <v>608</v>
      </c>
      <c r="U10" s="316" t="s">
        <v>609</v>
      </c>
      <c r="V10" s="718">
        <v>0.09</v>
      </c>
      <c r="W10" s="316" t="s">
        <v>606</v>
      </c>
      <c r="X10" s="316" t="s">
        <v>607</v>
      </c>
      <c r="Y10" s="718">
        <v>0.01</v>
      </c>
      <c r="Z10" s="728">
        <f t="shared" si="2"/>
        <v>0.5</v>
      </c>
      <c r="AA10" s="718">
        <v>0.4</v>
      </c>
      <c r="AB10" s="316" t="s">
        <v>608</v>
      </c>
      <c r="AC10" s="316" t="s">
        <v>609</v>
      </c>
      <c r="AD10" s="718">
        <v>0.09</v>
      </c>
      <c r="AE10" s="316" t="s">
        <v>606</v>
      </c>
      <c r="AF10" s="316" t="s">
        <v>607</v>
      </c>
      <c r="AG10" s="718">
        <v>0.01</v>
      </c>
      <c r="AH10" s="728">
        <f t="shared" si="3"/>
        <v>0.5</v>
      </c>
      <c r="AI10" s="718">
        <v>0.4</v>
      </c>
      <c r="AJ10" s="316" t="s">
        <v>608</v>
      </c>
      <c r="AK10" s="316" t="s">
        <v>609</v>
      </c>
      <c r="AL10" s="718">
        <v>0.09</v>
      </c>
      <c r="AM10" s="316" t="s">
        <v>606</v>
      </c>
      <c r="AN10" s="316" t="s">
        <v>607</v>
      </c>
      <c r="AO10" s="718">
        <v>0.01</v>
      </c>
      <c r="AP10" s="728">
        <f t="shared" si="4"/>
        <v>0.5</v>
      </c>
      <c r="AQ10" s="718">
        <v>0.4</v>
      </c>
      <c r="AR10" s="316" t="s">
        <v>608</v>
      </c>
      <c r="AS10" s="316" t="s">
        <v>609</v>
      </c>
      <c r="AT10" s="718">
        <v>0.09</v>
      </c>
      <c r="AU10" s="316" t="s">
        <v>606</v>
      </c>
      <c r="AV10" s="316" t="s">
        <v>607</v>
      </c>
      <c r="AW10" s="718">
        <v>0.01</v>
      </c>
      <c r="AX10" s="463">
        <f t="shared" si="5"/>
        <v>0.5</v>
      </c>
      <c r="AY10" s="661">
        <v>0.4</v>
      </c>
      <c r="AZ10" s="316" t="s">
        <v>608</v>
      </c>
      <c r="BA10" s="316" t="s">
        <v>609</v>
      </c>
      <c r="BB10" s="463">
        <v>0.59</v>
      </c>
      <c r="BC10" s="316" t="s">
        <v>606</v>
      </c>
      <c r="BD10" s="316" t="s">
        <v>607</v>
      </c>
      <c r="BE10" s="463">
        <v>0.01</v>
      </c>
      <c r="BF10" s="728">
        <f t="shared" si="6"/>
        <v>1</v>
      </c>
      <c r="BG10" s="463"/>
      <c r="BH10" s="463">
        <v>0.4</v>
      </c>
      <c r="BI10" s="316" t="s">
        <v>608</v>
      </c>
      <c r="BJ10" s="316" t="s">
        <v>609</v>
      </c>
      <c r="BK10" s="463">
        <v>0.09</v>
      </c>
      <c r="BL10" s="316" t="s">
        <v>606</v>
      </c>
      <c r="BM10" s="316" t="s">
        <v>607</v>
      </c>
      <c r="BN10" s="463">
        <v>0.01</v>
      </c>
      <c r="BO10" s="728">
        <f t="shared" si="7"/>
        <v>0.5</v>
      </c>
      <c r="BP10" s="463">
        <v>0.4</v>
      </c>
      <c r="BQ10" s="316" t="s">
        <v>608</v>
      </c>
      <c r="BR10" s="316" t="s">
        <v>609</v>
      </c>
      <c r="BS10" s="463">
        <v>0.09</v>
      </c>
      <c r="BT10" s="316" t="s">
        <v>606</v>
      </c>
      <c r="BU10" s="316" t="s">
        <v>607</v>
      </c>
      <c r="BV10" s="463">
        <v>0.01</v>
      </c>
      <c r="BW10" s="463">
        <f t="shared" si="8"/>
        <v>0.5</v>
      </c>
      <c r="BX10" s="444"/>
      <c r="BY10" s="444"/>
      <c r="BZ10" s="444"/>
      <c r="CA10" s="434"/>
      <c r="CB10" s="723">
        <v>0.68100000000000005</v>
      </c>
      <c r="CC10" s="668" t="s">
        <v>950</v>
      </c>
      <c r="CD10" s="316" t="s">
        <v>608</v>
      </c>
      <c r="CE10" s="316" t="s">
        <v>609</v>
      </c>
      <c r="CF10" s="718">
        <v>0.59</v>
      </c>
      <c r="CG10" s="316" t="s">
        <v>606</v>
      </c>
      <c r="CH10" s="316" t="s">
        <v>607</v>
      </c>
      <c r="CI10" s="718">
        <v>0.01</v>
      </c>
    </row>
    <row r="11" spans="1:87" ht="15.75" customHeight="1" x14ac:dyDescent="0.2">
      <c r="A11" s="462" t="s">
        <v>742</v>
      </c>
      <c r="B11" s="469" t="s">
        <v>741</v>
      </c>
      <c r="C11" s="718">
        <v>0.4</v>
      </c>
      <c r="D11" s="316" t="s">
        <v>653</v>
      </c>
      <c r="E11" s="316" t="s">
        <v>654</v>
      </c>
      <c r="F11" s="718">
        <v>0.1</v>
      </c>
      <c r="G11" s="316" t="s">
        <v>514</v>
      </c>
      <c r="H11" s="316" t="s">
        <v>552</v>
      </c>
      <c r="I11" s="718">
        <v>0</v>
      </c>
      <c r="J11" s="728">
        <f t="shared" si="9"/>
        <v>0.5</v>
      </c>
      <c r="K11" s="718">
        <v>0.4</v>
      </c>
      <c r="L11" s="316" t="s">
        <v>653</v>
      </c>
      <c r="M11" s="316" t="s">
        <v>654</v>
      </c>
      <c r="N11" s="718">
        <v>0.1</v>
      </c>
      <c r="O11" s="316" t="s">
        <v>514</v>
      </c>
      <c r="P11" s="316" t="s">
        <v>552</v>
      </c>
      <c r="Q11" s="718">
        <v>0</v>
      </c>
      <c r="R11" s="728">
        <f t="shared" si="1"/>
        <v>0.5</v>
      </c>
      <c r="S11" s="718">
        <v>0.4</v>
      </c>
      <c r="T11" s="316" t="s">
        <v>653</v>
      </c>
      <c r="U11" s="316" t="s">
        <v>654</v>
      </c>
      <c r="V11" s="718">
        <v>0.1</v>
      </c>
      <c r="W11" s="316" t="s">
        <v>514</v>
      </c>
      <c r="X11" s="316" t="s">
        <v>552</v>
      </c>
      <c r="Y11" s="718">
        <v>0</v>
      </c>
      <c r="Z11" s="728">
        <f t="shared" si="2"/>
        <v>0.5</v>
      </c>
      <c r="AA11" s="718">
        <v>0.4</v>
      </c>
      <c r="AB11" s="316" t="s">
        <v>653</v>
      </c>
      <c r="AC11" s="316" t="s">
        <v>654</v>
      </c>
      <c r="AD11" s="718">
        <v>0.1</v>
      </c>
      <c r="AE11" s="316" t="s">
        <v>514</v>
      </c>
      <c r="AF11" s="316" t="s">
        <v>552</v>
      </c>
      <c r="AG11" s="718">
        <v>0</v>
      </c>
      <c r="AH11" s="728">
        <f t="shared" si="3"/>
        <v>0.5</v>
      </c>
      <c r="AI11" s="718">
        <v>0.4</v>
      </c>
      <c r="AJ11" s="316" t="s">
        <v>653</v>
      </c>
      <c r="AK11" s="316" t="s">
        <v>654</v>
      </c>
      <c r="AL11" s="718">
        <v>0.1</v>
      </c>
      <c r="AM11" s="316" t="s">
        <v>514</v>
      </c>
      <c r="AN11" s="316" t="s">
        <v>552</v>
      </c>
      <c r="AO11" s="718">
        <v>0</v>
      </c>
      <c r="AP11" s="728">
        <f t="shared" si="4"/>
        <v>0.5</v>
      </c>
      <c r="AQ11" s="718">
        <v>0.4</v>
      </c>
      <c r="AR11" s="316" t="s">
        <v>653</v>
      </c>
      <c r="AS11" s="316" t="s">
        <v>654</v>
      </c>
      <c r="AT11" s="718">
        <v>0.1</v>
      </c>
      <c r="AU11" s="316" t="s">
        <v>514</v>
      </c>
      <c r="AV11" s="316" t="s">
        <v>552</v>
      </c>
      <c r="AW11" s="718">
        <v>0</v>
      </c>
      <c r="AX11" s="463">
        <f t="shared" si="5"/>
        <v>0.5</v>
      </c>
      <c r="AY11" s="661">
        <v>0.8</v>
      </c>
      <c r="AZ11" s="316" t="s">
        <v>653</v>
      </c>
      <c r="BA11" s="316" t="s">
        <v>654</v>
      </c>
      <c r="BB11" s="463">
        <v>0.2</v>
      </c>
      <c r="BC11" s="316" t="s">
        <v>514</v>
      </c>
      <c r="BD11" s="316" t="s">
        <v>552</v>
      </c>
      <c r="BE11" s="463">
        <v>0</v>
      </c>
      <c r="BF11" s="728">
        <f t="shared" si="6"/>
        <v>1</v>
      </c>
      <c r="BG11" s="463"/>
      <c r="BH11" s="463">
        <v>0.4</v>
      </c>
      <c r="BI11" s="316" t="s">
        <v>653</v>
      </c>
      <c r="BJ11" s="316" t="s">
        <v>654</v>
      </c>
      <c r="BK11" s="463">
        <v>0.1</v>
      </c>
      <c r="BL11" s="316" t="s">
        <v>514</v>
      </c>
      <c r="BM11" s="316" t="s">
        <v>552</v>
      </c>
      <c r="BN11" s="463">
        <v>0</v>
      </c>
      <c r="BO11" s="728">
        <f t="shared" si="7"/>
        <v>0.5</v>
      </c>
      <c r="BP11" s="463">
        <v>0.4</v>
      </c>
      <c r="BQ11" s="316" t="s">
        <v>653</v>
      </c>
      <c r="BR11" s="316" t="s">
        <v>654</v>
      </c>
      <c r="BS11" s="463">
        <v>0.1</v>
      </c>
      <c r="BT11" s="316" t="s">
        <v>514</v>
      </c>
      <c r="BU11" s="316" t="s">
        <v>552</v>
      </c>
      <c r="BV11" s="463">
        <v>0</v>
      </c>
      <c r="BW11" s="463">
        <f t="shared" si="8"/>
        <v>0.5</v>
      </c>
      <c r="BX11" s="444" t="s">
        <v>874</v>
      </c>
      <c r="BY11" s="444"/>
      <c r="BZ11" s="444"/>
      <c r="CA11" s="434"/>
      <c r="CB11" s="723">
        <v>0.67300000000000004</v>
      </c>
      <c r="CC11" s="668" t="s">
        <v>950</v>
      </c>
      <c r="CD11" s="316" t="s">
        <v>653</v>
      </c>
      <c r="CE11" s="316" t="s">
        <v>654</v>
      </c>
      <c r="CF11" s="718">
        <v>0.6</v>
      </c>
      <c r="CG11" s="316" t="s">
        <v>514</v>
      </c>
      <c r="CH11" s="316" t="s">
        <v>552</v>
      </c>
      <c r="CI11" s="718">
        <v>0</v>
      </c>
    </row>
    <row r="12" spans="1:87" ht="15.75" customHeight="1" x14ac:dyDescent="0.2">
      <c r="A12" s="462" t="s">
        <v>744</v>
      </c>
      <c r="B12" s="469" t="s">
        <v>684</v>
      </c>
      <c r="C12" s="718">
        <v>0.3</v>
      </c>
      <c r="D12" s="316" t="s">
        <v>680</v>
      </c>
      <c r="E12" s="316" t="s">
        <v>681</v>
      </c>
      <c r="F12" s="718">
        <v>0.37</v>
      </c>
      <c r="G12" s="316" t="s">
        <v>514</v>
      </c>
      <c r="H12" s="316" t="s">
        <v>514</v>
      </c>
      <c r="I12" s="718">
        <v>0</v>
      </c>
      <c r="J12" s="728">
        <f t="shared" si="9"/>
        <v>0.66999999999999993</v>
      </c>
      <c r="K12" s="718">
        <v>0.3</v>
      </c>
      <c r="L12" s="316" t="s">
        <v>680</v>
      </c>
      <c r="M12" s="316" t="s">
        <v>681</v>
      </c>
      <c r="N12" s="718">
        <v>0.37</v>
      </c>
      <c r="O12" s="316" t="s">
        <v>514</v>
      </c>
      <c r="P12" s="316" t="s">
        <v>514</v>
      </c>
      <c r="Q12" s="718">
        <v>0</v>
      </c>
      <c r="R12" s="728">
        <f t="shared" si="1"/>
        <v>0.66999999999999993</v>
      </c>
      <c r="S12" s="718">
        <v>0.3</v>
      </c>
      <c r="T12" s="316" t="s">
        <v>680</v>
      </c>
      <c r="U12" s="316" t="s">
        <v>681</v>
      </c>
      <c r="V12" s="718">
        <v>0.37</v>
      </c>
      <c r="W12" s="316" t="s">
        <v>514</v>
      </c>
      <c r="X12" s="316" t="s">
        <v>514</v>
      </c>
      <c r="Y12" s="718">
        <v>0</v>
      </c>
      <c r="Z12" s="728">
        <f t="shared" si="2"/>
        <v>0.66999999999999993</v>
      </c>
      <c r="AA12" s="718">
        <v>0.3</v>
      </c>
      <c r="AB12" s="316" t="s">
        <v>680</v>
      </c>
      <c r="AC12" s="316" t="s">
        <v>681</v>
      </c>
      <c r="AD12" s="718">
        <v>0.37</v>
      </c>
      <c r="AE12" s="316" t="s">
        <v>514</v>
      </c>
      <c r="AF12" s="316" t="s">
        <v>514</v>
      </c>
      <c r="AG12" s="718">
        <v>0</v>
      </c>
      <c r="AH12" s="728">
        <f t="shared" si="3"/>
        <v>0.66999999999999993</v>
      </c>
      <c r="AI12" s="718">
        <v>0.3</v>
      </c>
      <c r="AJ12" s="316" t="s">
        <v>680</v>
      </c>
      <c r="AK12" s="316" t="s">
        <v>681</v>
      </c>
      <c r="AL12" s="718">
        <v>0.37</v>
      </c>
      <c r="AM12" s="316" t="s">
        <v>514</v>
      </c>
      <c r="AN12" s="316" t="s">
        <v>514</v>
      </c>
      <c r="AO12" s="718">
        <v>0</v>
      </c>
      <c r="AP12" s="728">
        <f t="shared" si="4"/>
        <v>0.66999999999999993</v>
      </c>
      <c r="AQ12" s="718">
        <v>0.48</v>
      </c>
      <c r="AR12" s="316" t="s">
        <v>680</v>
      </c>
      <c r="AS12" s="316" t="s">
        <v>681</v>
      </c>
      <c r="AT12" s="718">
        <v>0.27</v>
      </c>
      <c r="AU12" s="316" t="s">
        <v>514</v>
      </c>
      <c r="AV12" s="316" t="s">
        <v>514</v>
      </c>
      <c r="AW12" s="718">
        <v>0</v>
      </c>
      <c r="AX12" s="463">
        <f t="shared" si="5"/>
        <v>0.75</v>
      </c>
      <c r="AY12" s="661">
        <v>0.64</v>
      </c>
      <c r="AZ12" s="316" t="s">
        <v>680</v>
      </c>
      <c r="BA12" s="316" t="s">
        <v>681</v>
      </c>
      <c r="BB12" s="463">
        <v>0.36</v>
      </c>
      <c r="BC12" s="316" t="s">
        <v>514</v>
      </c>
      <c r="BD12" s="316" t="s">
        <v>514</v>
      </c>
      <c r="BE12" s="463">
        <v>0</v>
      </c>
      <c r="BF12" s="728">
        <f t="shared" si="6"/>
        <v>1</v>
      </c>
      <c r="BG12" s="463"/>
      <c r="BH12" s="463">
        <v>0.3</v>
      </c>
      <c r="BI12" s="316" t="s">
        <v>680</v>
      </c>
      <c r="BJ12" s="316" t="s">
        <v>681</v>
      </c>
      <c r="BK12" s="463">
        <v>0.37</v>
      </c>
      <c r="BL12" s="316" t="s">
        <v>514</v>
      </c>
      <c r="BM12" s="316" t="s">
        <v>514</v>
      </c>
      <c r="BN12" s="463">
        <v>0</v>
      </c>
      <c r="BO12" s="728">
        <f t="shared" si="7"/>
        <v>0.66999999999999993</v>
      </c>
      <c r="BP12" s="463">
        <v>0.3</v>
      </c>
      <c r="BQ12" s="316" t="s">
        <v>680</v>
      </c>
      <c r="BR12" s="316" t="s">
        <v>681</v>
      </c>
      <c r="BS12" s="463">
        <v>0.2</v>
      </c>
      <c r="BT12" s="316" t="s">
        <v>514</v>
      </c>
      <c r="BU12" s="316" t="s">
        <v>514</v>
      </c>
      <c r="BV12" s="463">
        <v>0</v>
      </c>
      <c r="BW12" s="463">
        <f t="shared" si="8"/>
        <v>0.5</v>
      </c>
      <c r="BX12" s="444" t="s">
        <v>874</v>
      </c>
      <c r="BY12" s="444" t="s">
        <v>874</v>
      </c>
      <c r="BZ12" s="444"/>
      <c r="CA12" s="436" t="s">
        <v>874</v>
      </c>
      <c r="CB12" s="723">
        <v>0.77400000000000002</v>
      </c>
      <c r="CC12" s="668" t="s">
        <v>950</v>
      </c>
      <c r="CD12" s="316" t="s">
        <v>680</v>
      </c>
      <c r="CE12" s="316" t="s">
        <v>681</v>
      </c>
      <c r="CF12" s="718">
        <v>0.2</v>
      </c>
      <c r="CG12" s="316" t="s">
        <v>514</v>
      </c>
      <c r="CH12" s="316" t="s">
        <v>514</v>
      </c>
      <c r="CI12" s="718">
        <v>0</v>
      </c>
    </row>
    <row r="13" spans="1:87" ht="15.75" customHeight="1" x14ac:dyDescent="0.2">
      <c r="A13" s="462" t="s">
        <v>746</v>
      </c>
      <c r="B13" s="469" t="s">
        <v>745</v>
      </c>
      <c r="C13" s="718">
        <v>0.3</v>
      </c>
      <c r="D13" s="316" t="s">
        <v>680</v>
      </c>
      <c r="E13" s="316" t="s">
        <v>681</v>
      </c>
      <c r="F13" s="718">
        <v>0.37</v>
      </c>
      <c r="G13" s="316" t="s">
        <v>514</v>
      </c>
      <c r="H13" s="316" t="s">
        <v>514</v>
      </c>
      <c r="I13" s="718">
        <v>0</v>
      </c>
      <c r="J13" s="728">
        <f t="shared" si="9"/>
        <v>0.66999999999999993</v>
      </c>
      <c r="K13" s="718">
        <v>0.3</v>
      </c>
      <c r="L13" s="316" t="s">
        <v>680</v>
      </c>
      <c r="M13" s="316" t="s">
        <v>681</v>
      </c>
      <c r="N13" s="718">
        <v>0.37</v>
      </c>
      <c r="O13" s="316" t="s">
        <v>514</v>
      </c>
      <c r="P13" s="316" t="s">
        <v>514</v>
      </c>
      <c r="Q13" s="718">
        <v>0</v>
      </c>
      <c r="R13" s="728">
        <f t="shared" si="1"/>
        <v>0.66999999999999993</v>
      </c>
      <c r="S13" s="718">
        <v>0.3</v>
      </c>
      <c r="T13" s="316" t="s">
        <v>680</v>
      </c>
      <c r="U13" s="316" t="s">
        <v>681</v>
      </c>
      <c r="V13" s="718">
        <v>0.37</v>
      </c>
      <c r="W13" s="316" t="s">
        <v>514</v>
      </c>
      <c r="X13" s="316" t="s">
        <v>514</v>
      </c>
      <c r="Y13" s="718">
        <v>0</v>
      </c>
      <c r="Z13" s="728">
        <f t="shared" si="2"/>
        <v>0.66999999999999993</v>
      </c>
      <c r="AA13" s="718">
        <v>0.3</v>
      </c>
      <c r="AB13" s="316" t="s">
        <v>680</v>
      </c>
      <c r="AC13" s="316" t="s">
        <v>681</v>
      </c>
      <c r="AD13" s="718">
        <v>0.37</v>
      </c>
      <c r="AE13" s="316" t="s">
        <v>514</v>
      </c>
      <c r="AF13" s="316" t="s">
        <v>514</v>
      </c>
      <c r="AG13" s="718">
        <v>0</v>
      </c>
      <c r="AH13" s="728">
        <f t="shared" si="3"/>
        <v>0.66999999999999993</v>
      </c>
      <c r="AI13" s="718">
        <v>0.3</v>
      </c>
      <c r="AJ13" s="316" t="s">
        <v>680</v>
      </c>
      <c r="AK13" s="316" t="s">
        <v>681</v>
      </c>
      <c r="AL13" s="718">
        <v>0.37</v>
      </c>
      <c r="AM13" s="316" t="s">
        <v>514</v>
      </c>
      <c r="AN13" s="316" t="s">
        <v>514</v>
      </c>
      <c r="AO13" s="718">
        <v>0</v>
      </c>
      <c r="AP13" s="728">
        <f t="shared" si="4"/>
        <v>0.66999999999999993</v>
      </c>
      <c r="AQ13" s="718">
        <v>0.48</v>
      </c>
      <c r="AR13" s="316" t="s">
        <v>680</v>
      </c>
      <c r="AS13" s="316" t="s">
        <v>681</v>
      </c>
      <c r="AT13" s="718">
        <v>0.27</v>
      </c>
      <c r="AU13" s="316" t="s">
        <v>514</v>
      </c>
      <c r="AV13" s="316" t="s">
        <v>514</v>
      </c>
      <c r="AW13" s="718">
        <v>0</v>
      </c>
      <c r="AX13" s="463">
        <f t="shared" si="5"/>
        <v>0.75</v>
      </c>
      <c r="AY13" s="661">
        <v>0.64</v>
      </c>
      <c r="AZ13" s="316" t="s">
        <v>680</v>
      </c>
      <c r="BA13" s="316" t="s">
        <v>681</v>
      </c>
      <c r="BB13" s="463">
        <v>0.36</v>
      </c>
      <c r="BC13" s="316" t="s">
        <v>514</v>
      </c>
      <c r="BD13" s="316" t="s">
        <v>514</v>
      </c>
      <c r="BE13" s="463">
        <v>0</v>
      </c>
      <c r="BF13" s="728">
        <f t="shared" si="6"/>
        <v>1</v>
      </c>
      <c r="BG13" s="463"/>
      <c r="BH13" s="463">
        <v>0.3</v>
      </c>
      <c r="BI13" s="316" t="s">
        <v>680</v>
      </c>
      <c r="BJ13" s="316" t="s">
        <v>681</v>
      </c>
      <c r="BK13" s="463">
        <v>0.37</v>
      </c>
      <c r="BL13" s="316" t="s">
        <v>514</v>
      </c>
      <c r="BM13" s="316" t="s">
        <v>514</v>
      </c>
      <c r="BN13" s="463">
        <v>0</v>
      </c>
      <c r="BO13" s="728">
        <f t="shared" si="7"/>
        <v>0.66999999999999993</v>
      </c>
      <c r="BP13" s="463">
        <v>0.3</v>
      </c>
      <c r="BQ13" s="316" t="s">
        <v>680</v>
      </c>
      <c r="BR13" s="316" t="s">
        <v>681</v>
      </c>
      <c r="BS13" s="463">
        <v>0.2</v>
      </c>
      <c r="BT13" s="316" t="s">
        <v>514</v>
      </c>
      <c r="BU13" s="316" t="s">
        <v>514</v>
      </c>
      <c r="BV13" s="463">
        <v>0</v>
      </c>
      <c r="BW13" s="463">
        <f t="shared" si="8"/>
        <v>0.5</v>
      </c>
      <c r="BX13" s="444" t="s">
        <v>874</v>
      </c>
      <c r="BY13" s="444"/>
      <c r="BZ13" s="444"/>
      <c r="CA13" s="436" t="s">
        <v>874</v>
      </c>
      <c r="CB13" s="723">
        <v>0.77800000000000002</v>
      </c>
      <c r="CC13" s="668" t="s">
        <v>950</v>
      </c>
      <c r="CD13" s="316" t="s">
        <v>680</v>
      </c>
      <c r="CE13" s="316" t="s">
        <v>681</v>
      </c>
      <c r="CF13" s="718">
        <v>0.2</v>
      </c>
      <c r="CG13" s="316" t="s">
        <v>514</v>
      </c>
      <c r="CH13" s="316" t="s">
        <v>514</v>
      </c>
      <c r="CI13" s="718">
        <v>0</v>
      </c>
    </row>
    <row r="14" spans="1:87" ht="15" x14ac:dyDescent="0.2">
      <c r="A14" s="462" t="s">
        <v>748</v>
      </c>
      <c r="B14" s="469" t="s">
        <v>747</v>
      </c>
      <c r="C14" s="718">
        <v>0.49</v>
      </c>
      <c r="D14" s="316" t="s">
        <v>514</v>
      </c>
      <c r="E14" s="316" t="s">
        <v>666</v>
      </c>
      <c r="F14" s="718">
        <v>0</v>
      </c>
      <c r="G14" s="316" t="s">
        <v>671</v>
      </c>
      <c r="H14" s="316" t="s">
        <v>672</v>
      </c>
      <c r="I14" s="718">
        <v>0.01</v>
      </c>
      <c r="J14" s="728">
        <f t="shared" si="9"/>
        <v>0.5</v>
      </c>
      <c r="K14" s="718">
        <v>0.49</v>
      </c>
      <c r="L14" s="316" t="s">
        <v>514</v>
      </c>
      <c r="M14" s="316" t="s">
        <v>666</v>
      </c>
      <c r="N14" s="718">
        <v>0</v>
      </c>
      <c r="O14" s="316" t="s">
        <v>671</v>
      </c>
      <c r="P14" s="316" t="s">
        <v>672</v>
      </c>
      <c r="Q14" s="718">
        <v>0.01</v>
      </c>
      <c r="R14" s="728">
        <f t="shared" si="1"/>
        <v>0.5</v>
      </c>
      <c r="S14" s="718">
        <v>0.49</v>
      </c>
      <c r="T14" s="316" t="s">
        <v>514</v>
      </c>
      <c r="U14" s="316" t="s">
        <v>666</v>
      </c>
      <c r="V14" s="718">
        <v>0</v>
      </c>
      <c r="W14" s="316" t="s">
        <v>671</v>
      </c>
      <c r="X14" s="316" t="s">
        <v>672</v>
      </c>
      <c r="Y14" s="718">
        <v>0.01</v>
      </c>
      <c r="Z14" s="728">
        <f t="shared" si="2"/>
        <v>0.5</v>
      </c>
      <c r="AA14" s="718">
        <v>0.49</v>
      </c>
      <c r="AB14" s="316" t="s">
        <v>514</v>
      </c>
      <c r="AC14" s="316" t="s">
        <v>666</v>
      </c>
      <c r="AD14" s="718">
        <v>0</v>
      </c>
      <c r="AE14" s="316" t="s">
        <v>671</v>
      </c>
      <c r="AF14" s="316" t="s">
        <v>672</v>
      </c>
      <c r="AG14" s="718">
        <v>0.01</v>
      </c>
      <c r="AH14" s="728">
        <f t="shared" si="3"/>
        <v>0.5</v>
      </c>
      <c r="AI14" s="718">
        <v>0.49</v>
      </c>
      <c r="AJ14" s="316" t="s">
        <v>514</v>
      </c>
      <c r="AK14" s="316" t="s">
        <v>666</v>
      </c>
      <c r="AL14" s="718">
        <v>0</v>
      </c>
      <c r="AM14" s="316" t="s">
        <v>671</v>
      </c>
      <c r="AN14" s="316" t="s">
        <v>672</v>
      </c>
      <c r="AO14" s="718">
        <v>0.01</v>
      </c>
      <c r="AP14" s="728">
        <f t="shared" si="4"/>
        <v>0.5</v>
      </c>
      <c r="AQ14" s="718">
        <v>0.49</v>
      </c>
      <c r="AR14" s="316" t="s">
        <v>514</v>
      </c>
      <c r="AS14" s="316" t="s">
        <v>666</v>
      </c>
      <c r="AT14" s="718">
        <v>0</v>
      </c>
      <c r="AU14" s="316" t="s">
        <v>671</v>
      </c>
      <c r="AV14" s="316" t="s">
        <v>672</v>
      </c>
      <c r="AW14" s="718">
        <v>0.01</v>
      </c>
      <c r="AX14" s="463">
        <f t="shared" si="5"/>
        <v>0.5</v>
      </c>
      <c r="AY14" s="661">
        <v>0.49</v>
      </c>
      <c r="AZ14" s="316" t="s">
        <v>514</v>
      </c>
      <c r="BA14" s="316" t="s">
        <v>666</v>
      </c>
      <c r="BB14" s="463">
        <v>0</v>
      </c>
      <c r="BC14" s="316" t="s">
        <v>671</v>
      </c>
      <c r="BD14" s="316" t="s">
        <v>672</v>
      </c>
      <c r="BE14" s="463">
        <v>0.01</v>
      </c>
      <c r="BF14" s="728">
        <f t="shared" si="6"/>
        <v>0.5</v>
      </c>
      <c r="BG14" s="463"/>
      <c r="BH14" s="463">
        <v>0.49</v>
      </c>
      <c r="BI14" s="316" t="s">
        <v>514</v>
      </c>
      <c r="BJ14" s="316" t="s">
        <v>666</v>
      </c>
      <c r="BK14" s="463">
        <v>0</v>
      </c>
      <c r="BL14" s="316" t="s">
        <v>671</v>
      </c>
      <c r="BM14" s="316" t="s">
        <v>672</v>
      </c>
      <c r="BN14" s="463">
        <v>0.01</v>
      </c>
      <c r="BO14" s="728">
        <f t="shared" si="7"/>
        <v>0.5</v>
      </c>
      <c r="BP14" s="463">
        <v>0.49</v>
      </c>
      <c r="BQ14" s="316" t="s">
        <v>514</v>
      </c>
      <c r="BR14" s="316" t="s">
        <v>666</v>
      </c>
      <c r="BS14" s="463">
        <v>0</v>
      </c>
      <c r="BT14" s="316" t="s">
        <v>671</v>
      </c>
      <c r="BU14" s="316" t="s">
        <v>672</v>
      </c>
      <c r="BV14" s="463">
        <v>0.01</v>
      </c>
      <c r="BW14" s="463">
        <f t="shared" si="8"/>
        <v>0.5</v>
      </c>
      <c r="BX14" s="444" t="s">
        <v>874</v>
      </c>
      <c r="BY14" s="444"/>
      <c r="BZ14" s="444"/>
      <c r="CA14" s="436" t="s">
        <v>874</v>
      </c>
      <c r="CB14" s="723">
        <v>0.65500000000000003</v>
      </c>
      <c r="CC14" s="668" t="s">
        <v>950</v>
      </c>
      <c r="CD14" s="316" t="s">
        <v>514</v>
      </c>
      <c r="CE14" s="316" t="s">
        <v>666</v>
      </c>
      <c r="CF14" s="718">
        <v>0</v>
      </c>
      <c r="CG14" s="316" t="s">
        <v>671</v>
      </c>
      <c r="CH14" s="316" t="s">
        <v>672</v>
      </c>
      <c r="CI14" s="718">
        <v>0.01</v>
      </c>
    </row>
    <row r="15" spans="1:87" ht="15.75" customHeight="1" x14ac:dyDescent="0.2">
      <c r="A15" s="462" t="s">
        <v>750</v>
      </c>
      <c r="B15" s="469" t="s">
        <v>749</v>
      </c>
      <c r="C15" s="718">
        <v>0.4</v>
      </c>
      <c r="D15" s="316" t="s">
        <v>581</v>
      </c>
      <c r="E15" s="316" t="s">
        <v>582</v>
      </c>
      <c r="F15" s="718">
        <v>0.09</v>
      </c>
      <c r="G15" s="316" t="s">
        <v>578</v>
      </c>
      <c r="H15" s="316" t="s">
        <v>1244</v>
      </c>
      <c r="I15" s="718">
        <v>0.01</v>
      </c>
      <c r="J15" s="728">
        <f t="shared" si="9"/>
        <v>0.5</v>
      </c>
      <c r="K15" s="718">
        <v>0.4</v>
      </c>
      <c r="L15" s="316" t="s">
        <v>581</v>
      </c>
      <c r="M15" s="316" t="s">
        <v>582</v>
      </c>
      <c r="N15" s="718">
        <v>0.09</v>
      </c>
      <c r="O15" s="316" t="s">
        <v>578</v>
      </c>
      <c r="P15" s="316" t="s">
        <v>1244</v>
      </c>
      <c r="Q15" s="718">
        <v>0.01</v>
      </c>
      <c r="R15" s="728">
        <f t="shared" si="1"/>
        <v>0.5</v>
      </c>
      <c r="S15" s="718">
        <v>0.4</v>
      </c>
      <c r="T15" s="316" t="s">
        <v>581</v>
      </c>
      <c r="U15" s="316" t="s">
        <v>582</v>
      </c>
      <c r="V15" s="718">
        <v>0.09</v>
      </c>
      <c r="W15" s="316" t="s">
        <v>578</v>
      </c>
      <c r="X15" s="316" t="s">
        <v>1244</v>
      </c>
      <c r="Y15" s="718">
        <v>0.01</v>
      </c>
      <c r="Z15" s="728">
        <f t="shared" si="2"/>
        <v>0.5</v>
      </c>
      <c r="AA15" s="718">
        <v>0.4</v>
      </c>
      <c r="AB15" s="316" t="s">
        <v>581</v>
      </c>
      <c r="AC15" s="316" t="s">
        <v>582</v>
      </c>
      <c r="AD15" s="718">
        <v>0.09</v>
      </c>
      <c r="AE15" s="316" t="s">
        <v>578</v>
      </c>
      <c r="AF15" s="316" t="s">
        <v>1244</v>
      </c>
      <c r="AG15" s="718">
        <v>0.01</v>
      </c>
      <c r="AH15" s="728">
        <f t="shared" si="3"/>
        <v>0.5</v>
      </c>
      <c r="AI15" s="718">
        <v>0.4</v>
      </c>
      <c r="AJ15" s="316" t="s">
        <v>581</v>
      </c>
      <c r="AK15" s="316" t="s">
        <v>582</v>
      </c>
      <c r="AL15" s="718">
        <v>0.09</v>
      </c>
      <c r="AM15" s="316" t="s">
        <v>578</v>
      </c>
      <c r="AN15" s="316" t="s">
        <v>1244</v>
      </c>
      <c r="AO15" s="718">
        <v>0.01</v>
      </c>
      <c r="AP15" s="728">
        <f t="shared" si="4"/>
        <v>0.5</v>
      </c>
      <c r="AQ15" s="718">
        <v>0.4</v>
      </c>
      <c r="AR15" s="316" t="s">
        <v>581</v>
      </c>
      <c r="AS15" s="316" t="s">
        <v>582</v>
      </c>
      <c r="AT15" s="718">
        <v>0.09</v>
      </c>
      <c r="AU15" s="316" t="s">
        <v>578</v>
      </c>
      <c r="AV15" s="316" t="s">
        <v>1244</v>
      </c>
      <c r="AW15" s="718">
        <v>0.01</v>
      </c>
      <c r="AX15" s="463">
        <f t="shared" si="5"/>
        <v>0.5</v>
      </c>
      <c r="AY15" s="661">
        <v>0.4</v>
      </c>
      <c r="AZ15" s="316" t="s">
        <v>581</v>
      </c>
      <c r="BA15" s="316" t="s">
        <v>582</v>
      </c>
      <c r="BB15" s="463">
        <v>0.09</v>
      </c>
      <c r="BC15" s="316" t="s">
        <v>578</v>
      </c>
      <c r="BD15" s="316" t="s">
        <v>579</v>
      </c>
      <c r="BE15" s="463">
        <v>0.01</v>
      </c>
      <c r="BF15" s="728">
        <f t="shared" si="6"/>
        <v>0.5</v>
      </c>
      <c r="BG15" s="463"/>
      <c r="BH15" s="463">
        <v>0.4</v>
      </c>
      <c r="BI15" s="316" t="s">
        <v>581</v>
      </c>
      <c r="BJ15" s="316" t="s">
        <v>582</v>
      </c>
      <c r="BK15" s="463">
        <v>0.09</v>
      </c>
      <c r="BL15" s="316" t="s">
        <v>578</v>
      </c>
      <c r="BM15" s="316" t="s">
        <v>579</v>
      </c>
      <c r="BN15" s="463">
        <v>0.01</v>
      </c>
      <c r="BO15" s="728">
        <f t="shared" si="7"/>
        <v>0.5</v>
      </c>
      <c r="BP15" s="463">
        <v>0.4</v>
      </c>
      <c r="BQ15" s="316" t="s">
        <v>581</v>
      </c>
      <c r="BR15" s="316" t="s">
        <v>582</v>
      </c>
      <c r="BS15" s="463">
        <v>0.09</v>
      </c>
      <c r="BT15" s="316" t="s">
        <v>578</v>
      </c>
      <c r="BU15" s="316" t="s">
        <v>579</v>
      </c>
      <c r="BV15" s="463">
        <v>0.01</v>
      </c>
      <c r="BW15" s="463">
        <f t="shared" si="8"/>
        <v>0.5</v>
      </c>
      <c r="BX15" s="444"/>
      <c r="BY15" s="444"/>
      <c r="BZ15" s="444"/>
      <c r="CA15" s="434"/>
      <c r="CB15" s="723">
        <v>0.746</v>
      </c>
      <c r="CC15" s="668" t="s">
        <v>950</v>
      </c>
      <c r="CD15" s="316" t="s">
        <v>581</v>
      </c>
      <c r="CE15" s="316" t="s">
        <v>582</v>
      </c>
      <c r="CF15" s="718">
        <v>0.59</v>
      </c>
      <c r="CG15" s="316" t="s">
        <v>578</v>
      </c>
      <c r="CH15" s="316" t="s">
        <v>579</v>
      </c>
      <c r="CI15" s="718">
        <v>0.01</v>
      </c>
    </row>
    <row r="16" spans="1:87" ht="15.75" customHeight="1" x14ac:dyDescent="0.2">
      <c r="A16" s="462" t="s">
        <v>752</v>
      </c>
      <c r="B16" s="469" t="s">
        <v>751</v>
      </c>
      <c r="C16" s="718">
        <v>0.4</v>
      </c>
      <c r="D16" s="316" t="s">
        <v>589</v>
      </c>
      <c r="E16" s="316" t="s">
        <v>590</v>
      </c>
      <c r="F16" s="718">
        <v>0.09</v>
      </c>
      <c r="G16" s="316" t="s">
        <v>2290</v>
      </c>
      <c r="H16" s="316" t="s">
        <v>2291</v>
      </c>
      <c r="I16" s="718">
        <v>0.01</v>
      </c>
      <c r="J16" s="728">
        <f t="shared" si="9"/>
        <v>0.5</v>
      </c>
      <c r="K16" s="718">
        <v>0.4</v>
      </c>
      <c r="L16" s="316" t="s">
        <v>589</v>
      </c>
      <c r="M16" s="316" t="s">
        <v>590</v>
      </c>
      <c r="N16" s="718">
        <v>0.09</v>
      </c>
      <c r="O16" s="316" t="s">
        <v>2290</v>
      </c>
      <c r="P16" s="316" t="s">
        <v>2291</v>
      </c>
      <c r="Q16" s="718">
        <v>0.01</v>
      </c>
      <c r="R16" s="728">
        <f t="shared" si="1"/>
        <v>0.5</v>
      </c>
      <c r="S16" s="718">
        <v>0.4</v>
      </c>
      <c r="T16" s="316" t="s">
        <v>589</v>
      </c>
      <c r="U16" s="316" t="s">
        <v>590</v>
      </c>
      <c r="V16" s="718">
        <v>0.09</v>
      </c>
      <c r="W16" s="316" t="s">
        <v>2290</v>
      </c>
      <c r="X16" s="316" t="s">
        <v>2291</v>
      </c>
      <c r="Y16" s="718">
        <v>0.01</v>
      </c>
      <c r="Z16" s="728">
        <f t="shared" si="2"/>
        <v>0.5</v>
      </c>
      <c r="AA16" s="718">
        <v>0.4</v>
      </c>
      <c r="AB16" s="316" t="s">
        <v>589</v>
      </c>
      <c r="AC16" s="316" t="s">
        <v>590</v>
      </c>
      <c r="AD16" s="718">
        <v>0.09</v>
      </c>
      <c r="AE16" s="316" t="s">
        <v>2290</v>
      </c>
      <c r="AF16" s="316" t="s">
        <v>2291</v>
      </c>
      <c r="AG16" s="718">
        <v>0.01</v>
      </c>
      <c r="AH16" s="728">
        <f t="shared" si="3"/>
        <v>0.5</v>
      </c>
      <c r="AI16" s="718">
        <v>0.4</v>
      </c>
      <c r="AJ16" s="316" t="s">
        <v>589</v>
      </c>
      <c r="AK16" s="316" t="s">
        <v>590</v>
      </c>
      <c r="AL16" s="718">
        <v>0.09</v>
      </c>
      <c r="AM16" s="316" t="s">
        <v>586</v>
      </c>
      <c r="AN16" s="316" t="s">
        <v>587</v>
      </c>
      <c r="AO16" s="718">
        <v>0.01</v>
      </c>
      <c r="AP16" s="728">
        <f t="shared" si="4"/>
        <v>0.5</v>
      </c>
      <c r="AQ16" s="718">
        <v>0.4</v>
      </c>
      <c r="AR16" s="316" t="s">
        <v>589</v>
      </c>
      <c r="AS16" s="316" t="s">
        <v>590</v>
      </c>
      <c r="AT16" s="718">
        <v>0.09</v>
      </c>
      <c r="AU16" s="316" t="s">
        <v>586</v>
      </c>
      <c r="AV16" s="316" t="s">
        <v>587</v>
      </c>
      <c r="AW16" s="718">
        <v>0.01</v>
      </c>
      <c r="AX16" s="463">
        <f t="shared" si="5"/>
        <v>0.5</v>
      </c>
      <c r="AY16" s="661">
        <v>0.4</v>
      </c>
      <c r="AZ16" s="316" t="s">
        <v>589</v>
      </c>
      <c r="BA16" s="316" t="s">
        <v>590</v>
      </c>
      <c r="BB16" s="463">
        <v>0.09</v>
      </c>
      <c r="BC16" s="316" t="s">
        <v>586</v>
      </c>
      <c r="BD16" s="316" t="s">
        <v>587</v>
      </c>
      <c r="BE16" s="463">
        <v>0.01</v>
      </c>
      <c r="BF16" s="728">
        <f t="shared" si="6"/>
        <v>0.5</v>
      </c>
      <c r="BG16" s="463"/>
      <c r="BH16" s="463">
        <v>0.4</v>
      </c>
      <c r="BI16" s="316" t="s">
        <v>589</v>
      </c>
      <c r="BJ16" s="316" t="s">
        <v>590</v>
      </c>
      <c r="BK16" s="463">
        <v>0.09</v>
      </c>
      <c r="BL16" s="316" t="s">
        <v>586</v>
      </c>
      <c r="BM16" s="316" t="s">
        <v>587</v>
      </c>
      <c r="BN16" s="463">
        <v>0.01</v>
      </c>
      <c r="BO16" s="728">
        <f t="shared" si="7"/>
        <v>0.5</v>
      </c>
      <c r="BP16" s="463">
        <v>0.4</v>
      </c>
      <c r="BQ16" s="316" t="s">
        <v>589</v>
      </c>
      <c r="BR16" s="316" t="s">
        <v>590</v>
      </c>
      <c r="BS16" s="463">
        <v>0.09</v>
      </c>
      <c r="BT16" s="316" t="s">
        <v>586</v>
      </c>
      <c r="BU16" s="316" t="s">
        <v>587</v>
      </c>
      <c r="BV16" s="463">
        <v>0.01</v>
      </c>
      <c r="BW16" s="463">
        <f t="shared" si="8"/>
        <v>0.5</v>
      </c>
      <c r="BX16" s="489" t="s">
        <v>874</v>
      </c>
      <c r="BY16" s="489"/>
      <c r="BZ16" s="489"/>
      <c r="CA16" s="434"/>
      <c r="CB16" s="723">
        <v>0.69799999999999995</v>
      </c>
      <c r="CC16" s="668" t="s">
        <v>950</v>
      </c>
      <c r="CD16" s="316" t="s">
        <v>589</v>
      </c>
      <c r="CE16" s="316" t="s">
        <v>590</v>
      </c>
      <c r="CF16" s="718">
        <v>0.59</v>
      </c>
      <c r="CG16" s="316" t="s">
        <v>586</v>
      </c>
      <c r="CH16" s="316" t="s">
        <v>587</v>
      </c>
      <c r="CI16" s="718">
        <v>0.01</v>
      </c>
    </row>
    <row r="17" spans="1:87" ht="15.75" customHeight="1" x14ac:dyDescent="0.2">
      <c r="A17" s="462" t="s">
        <v>754</v>
      </c>
      <c r="B17" s="469" t="s">
        <v>753</v>
      </c>
      <c r="C17" s="718">
        <v>0.4</v>
      </c>
      <c r="D17" s="316" t="s">
        <v>639</v>
      </c>
      <c r="E17" s="316" t="s">
        <v>640</v>
      </c>
      <c r="F17" s="718">
        <v>0.09</v>
      </c>
      <c r="G17" s="316" t="s">
        <v>637</v>
      </c>
      <c r="H17" s="316" t="s">
        <v>638</v>
      </c>
      <c r="I17" s="718">
        <v>0.01</v>
      </c>
      <c r="J17" s="728">
        <f t="shared" si="9"/>
        <v>0.5</v>
      </c>
      <c r="K17" s="718">
        <v>0.4</v>
      </c>
      <c r="L17" s="316" t="s">
        <v>639</v>
      </c>
      <c r="M17" s="316" t="s">
        <v>640</v>
      </c>
      <c r="N17" s="718">
        <v>0.09</v>
      </c>
      <c r="O17" s="316" t="s">
        <v>637</v>
      </c>
      <c r="P17" s="316" t="s">
        <v>638</v>
      </c>
      <c r="Q17" s="718">
        <v>0.01</v>
      </c>
      <c r="R17" s="728">
        <f t="shared" si="1"/>
        <v>0.5</v>
      </c>
      <c r="S17" s="718">
        <v>0.4</v>
      </c>
      <c r="T17" s="316" t="s">
        <v>639</v>
      </c>
      <c r="U17" s="316" t="s">
        <v>640</v>
      </c>
      <c r="V17" s="718">
        <v>0.09</v>
      </c>
      <c r="W17" s="316" t="s">
        <v>637</v>
      </c>
      <c r="X17" s="316" t="s">
        <v>638</v>
      </c>
      <c r="Y17" s="718">
        <v>0.01</v>
      </c>
      <c r="Z17" s="728">
        <f t="shared" si="2"/>
        <v>0.5</v>
      </c>
      <c r="AA17" s="718">
        <v>0.4</v>
      </c>
      <c r="AB17" s="316" t="s">
        <v>639</v>
      </c>
      <c r="AC17" s="316" t="s">
        <v>640</v>
      </c>
      <c r="AD17" s="718">
        <v>0.09</v>
      </c>
      <c r="AE17" s="316" t="s">
        <v>637</v>
      </c>
      <c r="AF17" s="316" t="s">
        <v>638</v>
      </c>
      <c r="AG17" s="718">
        <v>0.01</v>
      </c>
      <c r="AH17" s="728">
        <f t="shared" si="3"/>
        <v>0.5</v>
      </c>
      <c r="AI17" s="718">
        <v>0.4</v>
      </c>
      <c r="AJ17" s="316" t="s">
        <v>639</v>
      </c>
      <c r="AK17" s="316" t="s">
        <v>640</v>
      </c>
      <c r="AL17" s="718">
        <v>0.09</v>
      </c>
      <c r="AM17" s="316" t="s">
        <v>637</v>
      </c>
      <c r="AN17" s="316" t="s">
        <v>638</v>
      </c>
      <c r="AO17" s="718">
        <v>0.01</v>
      </c>
      <c r="AP17" s="728">
        <f t="shared" si="4"/>
        <v>0.5</v>
      </c>
      <c r="AQ17" s="718">
        <v>0.4</v>
      </c>
      <c r="AR17" s="316" t="s">
        <v>639</v>
      </c>
      <c r="AS17" s="316" t="s">
        <v>640</v>
      </c>
      <c r="AT17" s="718">
        <v>0.09</v>
      </c>
      <c r="AU17" s="316" t="s">
        <v>637</v>
      </c>
      <c r="AV17" s="316" t="s">
        <v>638</v>
      </c>
      <c r="AW17" s="718">
        <v>0.01</v>
      </c>
      <c r="AX17" s="463">
        <f t="shared" ref="AX17:AX61" si="10">+AQ17+AT17+AW17</f>
        <v>0.5</v>
      </c>
      <c r="AY17" s="661">
        <v>0.4</v>
      </c>
      <c r="AZ17" s="316" t="s">
        <v>639</v>
      </c>
      <c r="BA17" s="316" t="s">
        <v>640</v>
      </c>
      <c r="BB17" s="463">
        <v>0.09</v>
      </c>
      <c r="BC17" s="316" t="s">
        <v>637</v>
      </c>
      <c r="BD17" s="316" t="s">
        <v>638</v>
      </c>
      <c r="BE17" s="463">
        <v>0.01</v>
      </c>
      <c r="BF17" s="728">
        <f t="shared" ref="BF17:BF61" si="11">+AY17+BB17+BE17</f>
        <v>0.5</v>
      </c>
      <c r="BG17" s="463"/>
      <c r="BH17" s="463">
        <v>0.4</v>
      </c>
      <c r="BI17" s="316" t="s">
        <v>639</v>
      </c>
      <c r="BJ17" s="316" t="s">
        <v>640</v>
      </c>
      <c r="BK17" s="463">
        <v>0.09</v>
      </c>
      <c r="BL17" s="316" t="s">
        <v>637</v>
      </c>
      <c r="BM17" s="316" t="s">
        <v>638</v>
      </c>
      <c r="BN17" s="463">
        <v>0.01</v>
      </c>
      <c r="BO17" s="728">
        <f t="shared" si="7"/>
        <v>0.5</v>
      </c>
      <c r="BP17" s="463">
        <v>0.4</v>
      </c>
      <c r="BQ17" s="316" t="s">
        <v>639</v>
      </c>
      <c r="BR17" s="316" t="s">
        <v>640</v>
      </c>
      <c r="BS17" s="463">
        <v>0.09</v>
      </c>
      <c r="BT17" s="316" t="s">
        <v>637</v>
      </c>
      <c r="BU17" s="316" t="s">
        <v>638</v>
      </c>
      <c r="BV17" s="463">
        <v>0.01</v>
      </c>
      <c r="BW17" s="463">
        <f t="shared" si="8"/>
        <v>0.5</v>
      </c>
      <c r="BX17" s="444"/>
      <c r="BY17" s="444"/>
      <c r="BZ17" s="444"/>
      <c r="CA17" s="434"/>
      <c r="CB17" s="723">
        <v>0.67300000000000004</v>
      </c>
      <c r="CC17" s="668" t="s">
        <v>950</v>
      </c>
      <c r="CD17" s="316" t="s">
        <v>639</v>
      </c>
      <c r="CE17" s="316" t="s">
        <v>640</v>
      </c>
      <c r="CF17" s="718">
        <v>0.59</v>
      </c>
      <c r="CG17" s="316" t="s">
        <v>637</v>
      </c>
      <c r="CH17" s="316" t="s">
        <v>638</v>
      </c>
      <c r="CI17" s="718">
        <v>0.01</v>
      </c>
    </row>
    <row r="18" spans="1:87" ht="16.5" customHeight="1" x14ac:dyDescent="0.2">
      <c r="A18" s="462" t="s">
        <v>756</v>
      </c>
      <c r="B18" s="469" t="s">
        <v>513</v>
      </c>
      <c r="C18" s="718">
        <v>0.94</v>
      </c>
      <c r="D18" s="316" t="s">
        <v>1178</v>
      </c>
      <c r="E18" s="316" t="s">
        <v>1179</v>
      </c>
      <c r="F18" s="718">
        <v>0.05</v>
      </c>
      <c r="G18" s="316" t="s">
        <v>516</v>
      </c>
      <c r="H18" s="316" t="s">
        <v>517</v>
      </c>
      <c r="I18" s="718">
        <v>0.01</v>
      </c>
      <c r="J18" s="728">
        <f t="shared" si="9"/>
        <v>1</v>
      </c>
      <c r="K18" s="718">
        <v>0.94</v>
      </c>
      <c r="L18" s="316" t="s">
        <v>1178</v>
      </c>
      <c r="M18" s="316" t="s">
        <v>1179</v>
      </c>
      <c r="N18" s="718">
        <v>0.05</v>
      </c>
      <c r="O18" s="316" t="s">
        <v>516</v>
      </c>
      <c r="P18" s="316" t="s">
        <v>517</v>
      </c>
      <c r="Q18" s="718">
        <v>0.01</v>
      </c>
      <c r="R18" s="728">
        <f t="shared" si="1"/>
        <v>1</v>
      </c>
      <c r="S18" s="718">
        <v>0.94</v>
      </c>
      <c r="T18" s="316" t="s">
        <v>1178</v>
      </c>
      <c r="U18" s="316" t="s">
        <v>1179</v>
      </c>
      <c r="V18" s="718">
        <v>0.05</v>
      </c>
      <c r="W18" s="316" t="s">
        <v>516</v>
      </c>
      <c r="X18" s="316" t="s">
        <v>517</v>
      </c>
      <c r="Y18" s="718">
        <v>0.01</v>
      </c>
      <c r="Z18" s="728">
        <f t="shared" si="2"/>
        <v>1</v>
      </c>
      <c r="AA18" s="718">
        <v>0.94</v>
      </c>
      <c r="AB18" s="316" t="s">
        <v>1178</v>
      </c>
      <c r="AC18" s="316" t="s">
        <v>1179</v>
      </c>
      <c r="AD18" s="718">
        <v>0.05</v>
      </c>
      <c r="AE18" s="316" t="s">
        <v>516</v>
      </c>
      <c r="AF18" s="316" t="s">
        <v>517</v>
      </c>
      <c r="AG18" s="718">
        <v>0.01</v>
      </c>
      <c r="AH18" s="728">
        <f t="shared" si="3"/>
        <v>1</v>
      </c>
      <c r="AI18" s="718">
        <v>0.94</v>
      </c>
      <c r="AJ18" s="316" t="s">
        <v>1178</v>
      </c>
      <c r="AK18" s="316" t="s">
        <v>1179</v>
      </c>
      <c r="AL18" s="718">
        <v>0.05</v>
      </c>
      <c r="AM18" s="316" t="s">
        <v>516</v>
      </c>
      <c r="AN18" s="316" t="s">
        <v>517</v>
      </c>
      <c r="AO18" s="718">
        <v>0.01</v>
      </c>
      <c r="AP18" s="728">
        <f t="shared" si="4"/>
        <v>1</v>
      </c>
      <c r="AQ18" s="718">
        <v>0.94</v>
      </c>
      <c r="AR18" s="316" t="s">
        <v>1178</v>
      </c>
      <c r="AS18" s="316" t="s">
        <v>1179</v>
      </c>
      <c r="AT18" s="718">
        <v>0.05</v>
      </c>
      <c r="AU18" s="316" t="s">
        <v>516</v>
      </c>
      <c r="AV18" s="316" t="s">
        <v>517</v>
      </c>
      <c r="AW18" s="718">
        <v>0.01</v>
      </c>
      <c r="AX18" s="463">
        <f t="shared" si="10"/>
        <v>1</v>
      </c>
      <c r="AY18" s="661">
        <v>0.94</v>
      </c>
      <c r="AZ18" s="316" t="s">
        <v>1178</v>
      </c>
      <c r="BA18" s="316" t="s">
        <v>1179</v>
      </c>
      <c r="BB18" s="463">
        <v>0.05</v>
      </c>
      <c r="BC18" s="316" t="s">
        <v>516</v>
      </c>
      <c r="BD18" s="316" t="s">
        <v>517</v>
      </c>
      <c r="BE18" s="463">
        <v>0.01</v>
      </c>
      <c r="BF18" s="728">
        <f t="shared" si="11"/>
        <v>1</v>
      </c>
      <c r="BG18" s="463"/>
      <c r="BH18" s="463">
        <v>0.94</v>
      </c>
      <c r="BI18" s="316" t="s">
        <v>1178</v>
      </c>
      <c r="BJ18" s="316" t="s">
        <v>1179</v>
      </c>
      <c r="BK18" s="463">
        <v>0.05</v>
      </c>
      <c r="BL18" s="316" t="s">
        <v>516</v>
      </c>
      <c r="BM18" s="316" t="s">
        <v>517</v>
      </c>
      <c r="BN18" s="463">
        <v>0.01</v>
      </c>
      <c r="BO18" s="728">
        <f t="shared" si="7"/>
        <v>1</v>
      </c>
      <c r="BP18" s="463">
        <v>0.49</v>
      </c>
      <c r="BQ18" s="316" t="s">
        <v>514</v>
      </c>
      <c r="BR18" s="316" t="s">
        <v>515</v>
      </c>
      <c r="BS18" s="463">
        <v>0</v>
      </c>
      <c r="BT18" s="316" t="s">
        <v>516</v>
      </c>
      <c r="BU18" s="316" t="s">
        <v>517</v>
      </c>
      <c r="BV18" s="463">
        <v>0.01</v>
      </c>
      <c r="BW18" s="463">
        <f t="shared" si="8"/>
        <v>0.5</v>
      </c>
      <c r="BX18" s="444" t="s">
        <v>874</v>
      </c>
      <c r="BY18" s="444"/>
      <c r="BZ18" s="444"/>
      <c r="CA18" s="436" t="s">
        <v>874</v>
      </c>
      <c r="CB18" s="723">
        <v>0.68799999999999994</v>
      </c>
      <c r="CC18" s="668" t="s">
        <v>950</v>
      </c>
      <c r="CD18" s="316" t="s">
        <v>1178</v>
      </c>
      <c r="CE18" s="316" t="s">
        <v>1179</v>
      </c>
      <c r="CF18" s="718">
        <v>0.59</v>
      </c>
      <c r="CG18" s="316" t="s">
        <v>516</v>
      </c>
      <c r="CH18" s="316" t="s">
        <v>517</v>
      </c>
      <c r="CI18" s="718">
        <v>0.01</v>
      </c>
    </row>
    <row r="19" spans="1:87" ht="15.75" customHeight="1" x14ac:dyDescent="0.2">
      <c r="A19" s="462" t="s">
        <v>758</v>
      </c>
      <c r="B19" s="469" t="s">
        <v>757</v>
      </c>
      <c r="C19" s="718">
        <v>0.49</v>
      </c>
      <c r="D19" s="316" t="s">
        <v>514</v>
      </c>
      <c r="E19" s="316" t="s">
        <v>515</v>
      </c>
      <c r="F19" s="718">
        <v>0</v>
      </c>
      <c r="G19" s="316" t="s">
        <v>522</v>
      </c>
      <c r="H19" s="316" t="s">
        <v>523</v>
      </c>
      <c r="I19" s="718">
        <v>0.01</v>
      </c>
      <c r="J19" s="728">
        <f t="shared" si="9"/>
        <v>0.5</v>
      </c>
      <c r="K19" s="718">
        <v>0.49</v>
      </c>
      <c r="L19" s="316" t="s">
        <v>514</v>
      </c>
      <c r="M19" s="316" t="s">
        <v>515</v>
      </c>
      <c r="N19" s="718">
        <v>0</v>
      </c>
      <c r="O19" s="316" t="s">
        <v>522</v>
      </c>
      <c r="P19" s="316" t="s">
        <v>523</v>
      </c>
      <c r="Q19" s="718">
        <v>0.01</v>
      </c>
      <c r="R19" s="728">
        <f t="shared" si="1"/>
        <v>0.5</v>
      </c>
      <c r="S19" s="718">
        <v>0.49</v>
      </c>
      <c r="T19" s="316" t="s">
        <v>514</v>
      </c>
      <c r="U19" s="316" t="s">
        <v>515</v>
      </c>
      <c r="V19" s="718">
        <v>0</v>
      </c>
      <c r="W19" s="316" t="s">
        <v>522</v>
      </c>
      <c r="X19" s="316" t="s">
        <v>523</v>
      </c>
      <c r="Y19" s="718">
        <v>0.01</v>
      </c>
      <c r="Z19" s="728">
        <f t="shared" si="2"/>
        <v>0.5</v>
      </c>
      <c r="AA19" s="718">
        <v>0.49</v>
      </c>
      <c r="AB19" s="316" t="s">
        <v>514</v>
      </c>
      <c r="AC19" s="316" t="s">
        <v>515</v>
      </c>
      <c r="AD19" s="718">
        <v>0</v>
      </c>
      <c r="AE19" s="316" t="s">
        <v>522</v>
      </c>
      <c r="AF19" s="316" t="s">
        <v>523</v>
      </c>
      <c r="AG19" s="718">
        <v>0.01</v>
      </c>
      <c r="AH19" s="728">
        <f t="shared" si="3"/>
        <v>0.5</v>
      </c>
      <c r="AI19" s="718">
        <v>0.49</v>
      </c>
      <c r="AJ19" s="316" t="s">
        <v>514</v>
      </c>
      <c r="AK19" s="316" t="s">
        <v>515</v>
      </c>
      <c r="AL19" s="718">
        <v>0</v>
      </c>
      <c r="AM19" s="316" t="s">
        <v>522</v>
      </c>
      <c r="AN19" s="316" t="s">
        <v>523</v>
      </c>
      <c r="AO19" s="718">
        <v>0.01</v>
      </c>
      <c r="AP19" s="728">
        <f t="shared" si="4"/>
        <v>0.5</v>
      </c>
      <c r="AQ19" s="718">
        <v>0.49</v>
      </c>
      <c r="AR19" s="316" t="s">
        <v>514</v>
      </c>
      <c r="AS19" s="316" t="s">
        <v>515</v>
      </c>
      <c r="AT19" s="718">
        <v>0</v>
      </c>
      <c r="AU19" s="316" t="s">
        <v>522</v>
      </c>
      <c r="AV19" s="316" t="s">
        <v>523</v>
      </c>
      <c r="AW19" s="718">
        <v>0.01</v>
      </c>
      <c r="AX19" s="463">
        <f t="shared" si="10"/>
        <v>0.5</v>
      </c>
      <c r="AY19" s="661">
        <v>0.49</v>
      </c>
      <c r="AZ19" s="316" t="s">
        <v>514</v>
      </c>
      <c r="BA19" s="316" t="s">
        <v>515</v>
      </c>
      <c r="BB19" s="463">
        <v>0</v>
      </c>
      <c r="BC19" s="316" t="s">
        <v>522</v>
      </c>
      <c r="BD19" s="316" t="s">
        <v>523</v>
      </c>
      <c r="BE19" s="463">
        <v>0.01</v>
      </c>
      <c r="BF19" s="728">
        <f t="shared" si="11"/>
        <v>0.5</v>
      </c>
      <c r="BG19" s="463"/>
      <c r="BH19" s="463">
        <v>0.49</v>
      </c>
      <c r="BI19" s="316" t="s">
        <v>514</v>
      </c>
      <c r="BJ19" s="316" t="s">
        <v>515</v>
      </c>
      <c r="BK19" s="463">
        <v>0</v>
      </c>
      <c r="BL19" s="316" t="s">
        <v>522</v>
      </c>
      <c r="BM19" s="316" t="s">
        <v>523</v>
      </c>
      <c r="BN19" s="463">
        <v>0.01</v>
      </c>
      <c r="BO19" s="728">
        <f t="shared" si="7"/>
        <v>0.5</v>
      </c>
      <c r="BP19" s="463">
        <v>0.49</v>
      </c>
      <c r="BQ19" s="316" t="s">
        <v>514</v>
      </c>
      <c r="BR19" s="316" t="s">
        <v>515</v>
      </c>
      <c r="BS19" s="463">
        <v>0</v>
      </c>
      <c r="BT19" s="316" t="s">
        <v>522</v>
      </c>
      <c r="BU19" s="316" t="s">
        <v>523</v>
      </c>
      <c r="BV19" s="463">
        <v>0.01</v>
      </c>
      <c r="BW19" s="463">
        <f t="shared" si="8"/>
        <v>0.5</v>
      </c>
      <c r="BX19" s="444"/>
      <c r="BY19" s="444"/>
      <c r="BZ19" s="444"/>
      <c r="CA19" s="436" t="s">
        <v>874</v>
      </c>
      <c r="CB19" s="723">
        <v>0.69399999999999995</v>
      </c>
      <c r="CC19" s="668" t="s">
        <v>950</v>
      </c>
      <c r="CD19" s="316" t="s">
        <v>514</v>
      </c>
      <c r="CE19" s="316" t="s">
        <v>515</v>
      </c>
      <c r="CF19" s="718">
        <v>0</v>
      </c>
      <c r="CG19" s="316" t="s">
        <v>522</v>
      </c>
      <c r="CH19" s="316" t="s">
        <v>523</v>
      </c>
      <c r="CI19" s="718">
        <v>0.01</v>
      </c>
    </row>
    <row r="20" spans="1:87" ht="15.75" customHeight="1" x14ac:dyDescent="0.2">
      <c r="A20" s="462" t="s">
        <v>760</v>
      </c>
      <c r="B20" s="316" t="s">
        <v>759</v>
      </c>
      <c r="C20" s="718">
        <v>0.3</v>
      </c>
      <c r="D20" s="316" t="s">
        <v>680</v>
      </c>
      <c r="E20" s="316" t="s">
        <v>681</v>
      </c>
      <c r="F20" s="718">
        <v>0.37</v>
      </c>
      <c r="G20" s="316" t="s">
        <v>514</v>
      </c>
      <c r="H20" s="316" t="s">
        <v>514</v>
      </c>
      <c r="I20" s="718">
        <v>0</v>
      </c>
      <c r="J20" s="728">
        <f t="shared" si="9"/>
        <v>0.66999999999999993</v>
      </c>
      <c r="K20" s="718">
        <v>0.3</v>
      </c>
      <c r="L20" s="316" t="s">
        <v>680</v>
      </c>
      <c r="M20" s="316" t="s">
        <v>681</v>
      </c>
      <c r="N20" s="718">
        <v>0.37</v>
      </c>
      <c r="O20" s="316" t="s">
        <v>514</v>
      </c>
      <c r="P20" s="316" t="s">
        <v>514</v>
      </c>
      <c r="Q20" s="718">
        <v>0</v>
      </c>
      <c r="R20" s="728">
        <f t="shared" si="1"/>
        <v>0.66999999999999993</v>
      </c>
      <c r="S20" s="718">
        <v>0.3</v>
      </c>
      <c r="T20" s="316" t="s">
        <v>680</v>
      </c>
      <c r="U20" s="316" t="s">
        <v>681</v>
      </c>
      <c r="V20" s="718">
        <v>0.37</v>
      </c>
      <c r="W20" s="316" t="s">
        <v>514</v>
      </c>
      <c r="X20" s="316" t="s">
        <v>514</v>
      </c>
      <c r="Y20" s="718">
        <v>0</v>
      </c>
      <c r="Z20" s="728">
        <f t="shared" si="2"/>
        <v>0.66999999999999993</v>
      </c>
      <c r="AA20" s="718">
        <v>0.3</v>
      </c>
      <c r="AB20" s="316" t="s">
        <v>680</v>
      </c>
      <c r="AC20" s="316" t="s">
        <v>681</v>
      </c>
      <c r="AD20" s="718">
        <v>0.37</v>
      </c>
      <c r="AE20" s="316" t="s">
        <v>514</v>
      </c>
      <c r="AF20" s="316" t="s">
        <v>514</v>
      </c>
      <c r="AG20" s="718">
        <v>0</v>
      </c>
      <c r="AH20" s="728">
        <f t="shared" si="3"/>
        <v>0.66999999999999993</v>
      </c>
      <c r="AI20" s="718">
        <v>0.3</v>
      </c>
      <c r="AJ20" s="316" t="s">
        <v>680</v>
      </c>
      <c r="AK20" s="316" t="s">
        <v>681</v>
      </c>
      <c r="AL20" s="718">
        <v>0.37</v>
      </c>
      <c r="AM20" s="316" t="s">
        <v>514</v>
      </c>
      <c r="AN20" s="316" t="s">
        <v>514</v>
      </c>
      <c r="AO20" s="718">
        <v>0</v>
      </c>
      <c r="AP20" s="728">
        <f t="shared" si="4"/>
        <v>0.66999999999999993</v>
      </c>
      <c r="AQ20" s="718">
        <v>0.48</v>
      </c>
      <c r="AR20" s="316" t="s">
        <v>680</v>
      </c>
      <c r="AS20" s="316" t="s">
        <v>681</v>
      </c>
      <c r="AT20" s="718">
        <v>0.27</v>
      </c>
      <c r="AU20" s="316" t="s">
        <v>514</v>
      </c>
      <c r="AV20" s="316" t="s">
        <v>514</v>
      </c>
      <c r="AW20" s="718">
        <v>0</v>
      </c>
      <c r="AX20" s="463">
        <f t="shared" si="10"/>
        <v>0.75</v>
      </c>
      <c r="AY20" s="661">
        <v>0.64</v>
      </c>
      <c r="AZ20" s="316" t="s">
        <v>680</v>
      </c>
      <c r="BA20" s="316" t="s">
        <v>681</v>
      </c>
      <c r="BB20" s="463">
        <v>0.36</v>
      </c>
      <c r="BC20" s="316" t="s">
        <v>514</v>
      </c>
      <c r="BD20" s="316" t="s">
        <v>514</v>
      </c>
      <c r="BE20" s="463">
        <v>0</v>
      </c>
      <c r="BF20" s="728">
        <f t="shared" si="11"/>
        <v>1</v>
      </c>
      <c r="BG20" s="463"/>
      <c r="BH20" s="463">
        <v>0.3</v>
      </c>
      <c r="BI20" s="316" t="s">
        <v>680</v>
      </c>
      <c r="BJ20" s="316" t="s">
        <v>681</v>
      </c>
      <c r="BK20" s="463">
        <v>0.37</v>
      </c>
      <c r="BL20" s="316" t="s">
        <v>514</v>
      </c>
      <c r="BM20" s="316" t="s">
        <v>514</v>
      </c>
      <c r="BN20" s="463">
        <v>0</v>
      </c>
      <c r="BO20" s="728">
        <f t="shared" si="7"/>
        <v>0.66999999999999993</v>
      </c>
      <c r="BP20" s="463">
        <v>0.3</v>
      </c>
      <c r="BQ20" s="316" t="s">
        <v>680</v>
      </c>
      <c r="BR20" s="316" t="s">
        <v>681</v>
      </c>
      <c r="BS20" s="463">
        <v>0.2</v>
      </c>
      <c r="BT20" s="316" t="s">
        <v>514</v>
      </c>
      <c r="BU20" s="316" t="s">
        <v>514</v>
      </c>
      <c r="BV20" s="463">
        <v>0</v>
      </c>
      <c r="BW20" s="463">
        <f t="shared" si="8"/>
        <v>0.5</v>
      </c>
      <c r="BX20" s="444"/>
      <c r="BY20" s="444"/>
      <c r="BZ20" s="444"/>
      <c r="CA20" s="436" t="s">
        <v>874</v>
      </c>
      <c r="CB20" s="723">
        <v>0.69599999999999995</v>
      </c>
      <c r="CC20" s="668" t="s">
        <v>950</v>
      </c>
      <c r="CD20" s="316" t="s">
        <v>680</v>
      </c>
      <c r="CE20" s="316" t="s">
        <v>681</v>
      </c>
      <c r="CF20" s="718">
        <v>0.2</v>
      </c>
      <c r="CG20" s="316" t="s">
        <v>514</v>
      </c>
      <c r="CH20" s="316" t="s">
        <v>514</v>
      </c>
      <c r="CI20" s="718">
        <v>0</v>
      </c>
    </row>
    <row r="21" spans="1:87" ht="15" x14ac:dyDescent="0.2">
      <c r="A21" s="462" t="s">
        <v>762</v>
      </c>
      <c r="B21" s="838" t="s">
        <v>761</v>
      </c>
      <c r="C21" s="718">
        <v>0.99</v>
      </c>
      <c r="D21" s="316" t="s">
        <v>514</v>
      </c>
      <c r="E21" s="316" t="s">
        <v>666</v>
      </c>
      <c r="F21" s="718">
        <v>0</v>
      </c>
      <c r="G21" s="316" t="s">
        <v>675</v>
      </c>
      <c r="H21" s="316" t="s">
        <v>676</v>
      </c>
      <c r="I21" s="718">
        <v>0.01</v>
      </c>
      <c r="J21" s="728">
        <f t="shared" si="9"/>
        <v>1</v>
      </c>
      <c r="K21" s="718">
        <v>0.99</v>
      </c>
      <c r="L21" s="316" t="s">
        <v>514</v>
      </c>
      <c r="M21" s="316" t="s">
        <v>666</v>
      </c>
      <c r="N21" s="718">
        <v>0</v>
      </c>
      <c r="O21" s="316" t="s">
        <v>675</v>
      </c>
      <c r="P21" s="316" t="s">
        <v>676</v>
      </c>
      <c r="Q21" s="718">
        <v>0.01</v>
      </c>
      <c r="R21" s="728">
        <f t="shared" si="1"/>
        <v>1</v>
      </c>
      <c r="S21" s="718">
        <v>0.99</v>
      </c>
      <c r="T21" s="316" t="s">
        <v>514</v>
      </c>
      <c r="U21" s="316" t="s">
        <v>666</v>
      </c>
      <c r="V21" s="718">
        <v>0</v>
      </c>
      <c r="W21" s="316" t="s">
        <v>675</v>
      </c>
      <c r="X21" s="316" t="s">
        <v>676</v>
      </c>
      <c r="Y21" s="718">
        <v>0.01</v>
      </c>
      <c r="Z21" s="728">
        <f t="shared" si="2"/>
        <v>1</v>
      </c>
      <c r="AA21" s="718">
        <v>0.99</v>
      </c>
      <c r="AB21" s="316" t="s">
        <v>514</v>
      </c>
      <c r="AC21" s="316" t="s">
        <v>666</v>
      </c>
      <c r="AD21" s="718">
        <v>0</v>
      </c>
      <c r="AE21" s="316" t="s">
        <v>675</v>
      </c>
      <c r="AF21" s="316" t="s">
        <v>676</v>
      </c>
      <c r="AG21" s="718">
        <v>0.01</v>
      </c>
      <c r="AH21" s="728">
        <f t="shared" ref="AH21:AH61" si="12">+AA21+AD21+AG21</f>
        <v>1</v>
      </c>
      <c r="AI21" s="718">
        <v>0.99</v>
      </c>
      <c r="AJ21" s="316" t="s">
        <v>514</v>
      </c>
      <c r="AK21" s="316" t="s">
        <v>666</v>
      </c>
      <c r="AL21" s="718">
        <v>0</v>
      </c>
      <c r="AM21" s="316" t="s">
        <v>675</v>
      </c>
      <c r="AN21" s="316" t="s">
        <v>676</v>
      </c>
      <c r="AO21" s="718">
        <v>0.01</v>
      </c>
      <c r="AP21" s="728">
        <f t="shared" ref="AP21:AP61" si="13">+AI21+AL21+AO21</f>
        <v>1</v>
      </c>
      <c r="AQ21" s="718">
        <v>0.99</v>
      </c>
      <c r="AR21" s="316" t="s">
        <v>514</v>
      </c>
      <c r="AS21" s="316" t="s">
        <v>666</v>
      </c>
      <c r="AT21" s="718">
        <v>0</v>
      </c>
      <c r="AU21" s="316" t="s">
        <v>675</v>
      </c>
      <c r="AV21" s="316" t="s">
        <v>676</v>
      </c>
      <c r="AW21" s="718">
        <v>0.01</v>
      </c>
      <c r="AX21" s="463">
        <f t="shared" si="10"/>
        <v>1</v>
      </c>
      <c r="AY21" s="661">
        <v>0.99</v>
      </c>
      <c r="AZ21" s="316" t="s">
        <v>514</v>
      </c>
      <c r="BA21" s="316" t="s">
        <v>666</v>
      </c>
      <c r="BB21" s="463">
        <v>0</v>
      </c>
      <c r="BC21" s="316" t="s">
        <v>675</v>
      </c>
      <c r="BD21" s="316" t="s">
        <v>676</v>
      </c>
      <c r="BE21" s="463">
        <v>0.01</v>
      </c>
      <c r="BF21" s="728">
        <f t="shared" si="11"/>
        <v>1</v>
      </c>
      <c r="BG21" s="463"/>
      <c r="BH21" s="463">
        <v>0.99</v>
      </c>
      <c r="BI21" s="316" t="s">
        <v>514</v>
      </c>
      <c r="BJ21" s="316" t="s">
        <v>666</v>
      </c>
      <c r="BK21" s="463">
        <v>0</v>
      </c>
      <c r="BL21" s="316" t="s">
        <v>675</v>
      </c>
      <c r="BM21" s="316" t="s">
        <v>676</v>
      </c>
      <c r="BN21" s="463">
        <v>0.01</v>
      </c>
      <c r="BO21" s="728">
        <f t="shared" ref="BO21:BO61" si="14">+BH21+BK21+BN21</f>
        <v>1</v>
      </c>
      <c r="BP21" s="463">
        <v>0.49</v>
      </c>
      <c r="BQ21" s="316" t="s">
        <v>514</v>
      </c>
      <c r="BR21" s="316" t="s">
        <v>666</v>
      </c>
      <c r="BS21" s="463">
        <v>0</v>
      </c>
      <c r="BT21" s="316" t="s">
        <v>675</v>
      </c>
      <c r="BU21" s="316" t="s">
        <v>676</v>
      </c>
      <c r="BV21" s="463">
        <v>0.01</v>
      </c>
      <c r="BW21" s="463">
        <f t="shared" ref="BW21:BW61" si="15">+BP21+BS21+BV21</f>
        <v>0.5</v>
      </c>
      <c r="BX21" s="444" t="s">
        <v>874</v>
      </c>
      <c r="BY21" s="444"/>
      <c r="BZ21" s="444" t="s">
        <v>874</v>
      </c>
      <c r="CA21" s="436" t="s">
        <v>874</v>
      </c>
      <c r="CB21" s="723">
        <v>0.67600000000000005</v>
      </c>
      <c r="CC21" s="668" t="s">
        <v>950</v>
      </c>
      <c r="CD21" s="316" t="s">
        <v>514</v>
      </c>
      <c r="CE21" s="316" t="s">
        <v>666</v>
      </c>
      <c r="CF21" s="718">
        <v>0</v>
      </c>
      <c r="CG21" s="316" t="s">
        <v>675</v>
      </c>
      <c r="CH21" s="316" t="s">
        <v>676</v>
      </c>
      <c r="CI21" s="718">
        <v>0.01</v>
      </c>
    </row>
    <row r="22" spans="1:87" ht="15.75" customHeight="1" x14ac:dyDescent="0.2">
      <c r="A22" s="462" t="s">
        <v>764</v>
      </c>
      <c r="B22" s="316" t="s">
        <v>763</v>
      </c>
      <c r="C22" s="718">
        <v>0.4</v>
      </c>
      <c r="D22" s="316" t="s">
        <v>621</v>
      </c>
      <c r="E22" s="316" t="s">
        <v>622</v>
      </c>
      <c r="F22" s="718">
        <v>0.09</v>
      </c>
      <c r="G22" s="316" t="s">
        <v>618</v>
      </c>
      <c r="H22" s="316" t="s">
        <v>619</v>
      </c>
      <c r="I22" s="718">
        <v>0.01</v>
      </c>
      <c r="J22" s="728">
        <f t="shared" si="9"/>
        <v>0.5</v>
      </c>
      <c r="K22" s="718">
        <v>0.4</v>
      </c>
      <c r="L22" s="316" t="s">
        <v>621</v>
      </c>
      <c r="M22" s="316" t="s">
        <v>622</v>
      </c>
      <c r="N22" s="718">
        <v>0.09</v>
      </c>
      <c r="O22" s="316" t="s">
        <v>618</v>
      </c>
      <c r="P22" s="316" t="s">
        <v>619</v>
      </c>
      <c r="Q22" s="718">
        <v>0.01</v>
      </c>
      <c r="R22" s="728">
        <f t="shared" si="1"/>
        <v>0.5</v>
      </c>
      <c r="S22" s="718">
        <v>0.4</v>
      </c>
      <c r="T22" s="316" t="s">
        <v>621</v>
      </c>
      <c r="U22" s="316" t="s">
        <v>622</v>
      </c>
      <c r="V22" s="718">
        <v>0.09</v>
      </c>
      <c r="W22" s="316" t="s">
        <v>618</v>
      </c>
      <c r="X22" s="316" t="s">
        <v>619</v>
      </c>
      <c r="Y22" s="718">
        <v>0.01</v>
      </c>
      <c r="Z22" s="728">
        <f t="shared" si="2"/>
        <v>0.5</v>
      </c>
      <c r="AA22" s="718">
        <v>0.4</v>
      </c>
      <c r="AB22" s="316" t="s">
        <v>621</v>
      </c>
      <c r="AC22" s="316" t="s">
        <v>622</v>
      </c>
      <c r="AD22" s="718">
        <v>0.09</v>
      </c>
      <c r="AE22" s="316" t="s">
        <v>618</v>
      </c>
      <c r="AF22" s="316" t="s">
        <v>619</v>
      </c>
      <c r="AG22" s="718">
        <v>0.01</v>
      </c>
      <c r="AH22" s="728">
        <f t="shared" si="12"/>
        <v>0.5</v>
      </c>
      <c r="AI22" s="718">
        <v>0.4</v>
      </c>
      <c r="AJ22" s="316" t="s">
        <v>621</v>
      </c>
      <c r="AK22" s="316" t="s">
        <v>622</v>
      </c>
      <c r="AL22" s="718">
        <v>0.09</v>
      </c>
      <c r="AM22" s="316" t="s">
        <v>618</v>
      </c>
      <c r="AN22" s="316" t="s">
        <v>619</v>
      </c>
      <c r="AO22" s="718">
        <v>0.01</v>
      </c>
      <c r="AP22" s="728">
        <f t="shared" si="13"/>
        <v>0.5</v>
      </c>
      <c r="AQ22" s="718">
        <v>0.375</v>
      </c>
      <c r="AR22" s="316" t="s">
        <v>621</v>
      </c>
      <c r="AS22" s="316" t="s">
        <v>622</v>
      </c>
      <c r="AT22" s="718">
        <v>0.36499999999999999</v>
      </c>
      <c r="AU22" s="316" t="s">
        <v>618</v>
      </c>
      <c r="AV22" s="316" t="s">
        <v>619</v>
      </c>
      <c r="AW22" s="718">
        <v>0.01</v>
      </c>
      <c r="AX22" s="463">
        <f t="shared" si="10"/>
        <v>0.75</v>
      </c>
      <c r="AY22" s="661">
        <v>0.4</v>
      </c>
      <c r="AZ22" s="316" t="s">
        <v>621</v>
      </c>
      <c r="BA22" s="316" t="s">
        <v>622</v>
      </c>
      <c r="BB22" s="463">
        <v>0.09</v>
      </c>
      <c r="BC22" s="316" t="s">
        <v>618</v>
      </c>
      <c r="BD22" s="316" t="s">
        <v>619</v>
      </c>
      <c r="BE22" s="463">
        <v>0.01</v>
      </c>
      <c r="BF22" s="728">
        <f t="shared" si="11"/>
        <v>0.5</v>
      </c>
      <c r="BG22" s="463"/>
      <c r="BH22" s="463">
        <v>0.4</v>
      </c>
      <c r="BI22" s="316" t="s">
        <v>621</v>
      </c>
      <c r="BJ22" s="316" t="s">
        <v>622</v>
      </c>
      <c r="BK22" s="463">
        <v>0.09</v>
      </c>
      <c r="BL22" s="316" t="s">
        <v>618</v>
      </c>
      <c r="BM22" s="316" t="s">
        <v>619</v>
      </c>
      <c r="BN22" s="463">
        <v>0.01</v>
      </c>
      <c r="BO22" s="728">
        <f t="shared" si="14"/>
        <v>0.5</v>
      </c>
      <c r="BP22" s="463">
        <v>0.4</v>
      </c>
      <c r="BQ22" s="316" t="s">
        <v>621</v>
      </c>
      <c r="BR22" s="316" t="s">
        <v>622</v>
      </c>
      <c r="BS22" s="463">
        <v>0.09</v>
      </c>
      <c r="BT22" s="316" t="s">
        <v>618</v>
      </c>
      <c r="BU22" s="316" t="s">
        <v>619</v>
      </c>
      <c r="BV22" s="463">
        <v>0.01</v>
      </c>
      <c r="BW22" s="463">
        <f t="shared" si="15"/>
        <v>0.5</v>
      </c>
      <c r="BX22" s="444"/>
      <c r="BY22" s="444"/>
      <c r="BZ22" s="444"/>
      <c r="CA22" s="434"/>
      <c r="CB22" s="723">
        <v>0.68700000000000006</v>
      </c>
      <c r="CC22" s="668" t="s">
        <v>950</v>
      </c>
      <c r="CD22" s="316" t="s">
        <v>621</v>
      </c>
      <c r="CE22" s="316" t="s">
        <v>622</v>
      </c>
      <c r="CF22" s="718">
        <v>0.59</v>
      </c>
      <c r="CG22" s="316" t="s">
        <v>618</v>
      </c>
      <c r="CH22" s="316" t="s">
        <v>619</v>
      </c>
      <c r="CI22" s="718">
        <v>0.01</v>
      </c>
    </row>
    <row r="23" spans="1:87" ht="15.75" customHeight="1" x14ac:dyDescent="0.2">
      <c r="A23" s="462" t="s">
        <v>766</v>
      </c>
      <c r="B23" s="316" t="s">
        <v>611</v>
      </c>
      <c r="C23" s="718">
        <v>0.49</v>
      </c>
      <c r="D23" s="316" t="s">
        <v>514</v>
      </c>
      <c r="E23" s="316" t="s">
        <v>515</v>
      </c>
      <c r="F23" s="718">
        <v>0</v>
      </c>
      <c r="G23" s="316" t="s">
        <v>612</v>
      </c>
      <c r="H23" s="316" t="s">
        <v>613</v>
      </c>
      <c r="I23" s="718">
        <v>0.01</v>
      </c>
      <c r="J23" s="728">
        <f t="shared" si="9"/>
        <v>0.5</v>
      </c>
      <c r="K23" s="718">
        <v>0.49</v>
      </c>
      <c r="L23" s="316" t="s">
        <v>514</v>
      </c>
      <c r="M23" s="316" t="s">
        <v>515</v>
      </c>
      <c r="N23" s="718">
        <v>0</v>
      </c>
      <c r="O23" s="316" t="s">
        <v>612</v>
      </c>
      <c r="P23" s="316" t="s">
        <v>613</v>
      </c>
      <c r="Q23" s="718">
        <v>0.01</v>
      </c>
      <c r="R23" s="728">
        <f t="shared" si="1"/>
        <v>0.5</v>
      </c>
      <c r="S23" s="718">
        <v>0.49</v>
      </c>
      <c r="T23" s="316" t="s">
        <v>514</v>
      </c>
      <c r="U23" s="316" t="s">
        <v>515</v>
      </c>
      <c r="V23" s="718">
        <v>0</v>
      </c>
      <c r="W23" s="316" t="s">
        <v>612</v>
      </c>
      <c r="X23" s="316" t="s">
        <v>613</v>
      </c>
      <c r="Y23" s="718">
        <v>0.01</v>
      </c>
      <c r="Z23" s="728">
        <f t="shared" si="2"/>
        <v>0.5</v>
      </c>
      <c r="AA23" s="718">
        <v>0.49</v>
      </c>
      <c r="AB23" s="316" t="s">
        <v>514</v>
      </c>
      <c r="AC23" s="316" t="s">
        <v>515</v>
      </c>
      <c r="AD23" s="718">
        <v>0</v>
      </c>
      <c r="AE23" s="316" t="s">
        <v>612</v>
      </c>
      <c r="AF23" s="316" t="s">
        <v>613</v>
      </c>
      <c r="AG23" s="718">
        <v>0.01</v>
      </c>
      <c r="AH23" s="728">
        <f t="shared" si="12"/>
        <v>0.5</v>
      </c>
      <c r="AI23" s="718">
        <v>0.49</v>
      </c>
      <c r="AJ23" s="316" t="s">
        <v>514</v>
      </c>
      <c r="AK23" s="316" t="s">
        <v>515</v>
      </c>
      <c r="AL23" s="718">
        <v>0</v>
      </c>
      <c r="AM23" s="316" t="s">
        <v>612</v>
      </c>
      <c r="AN23" s="316" t="s">
        <v>613</v>
      </c>
      <c r="AO23" s="718">
        <v>0.01</v>
      </c>
      <c r="AP23" s="728">
        <f t="shared" si="13"/>
        <v>0.5</v>
      </c>
      <c r="AQ23" s="718">
        <v>0.73499999999999999</v>
      </c>
      <c r="AR23" s="316" t="s">
        <v>514</v>
      </c>
      <c r="AS23" s="316" t="s">
        <v>515</v>
      </c>
      <c r="AT23" s="718">
        <v>0</v>
      </c>
      <c r="AU23" s="316" t="s">
        <v>612</v>
      </c>
      <c r="AV23" s="316" t="s">
        <v>613</v>
      </c>
      <c r="AW23" s="718">
        <v>1.4999999999999999E-2</v>
      </c>
      <c r="AX23" s="463">
        <f t="shared" si="10"/>
        <v>0.75</v>
      </c>
      <c r="AY23" s="661">
        <v>0.49</v>
      </c>
      <c r="AZ23" s="316" t="s">
        <v>514</v>
      </c>
      <c r="BA23" s="316" t="s">
        <v>515</v>
      </c>
      <c r="BB23" s="463">
        <v>0</v>
      </c>
      <c r="BC23" s="316" t="s">
        <v>612</v>
      </c>
      <c r="BD23" s="316" t="s">
        <v>613</v>
      </c>
      <c r="BE23" s="463">
        <v>0.01</v>
      </c>
      <c r="BF23" s="728">
        <f t="shared" si="11"/>
        <v>0.5</v>
      </c>
      <c r="BG23" s="463"/>
      <c r="BH23" s="463">
        <v>0.49</v>
      </c>
      <c r="BI23" s="316" t="s">
        <v>514</v>
      </c>
      <c r="BJ23" s="316" t="s">
        <v>515</v>
      </c>
      <c r="BK23" s="463">
        <v>0</v>
      </c>
      <c r="BL23" s="316" t="s">
        <v>612</v>
      </c>
      <c r="BM23" s="316" t="s">
        <v>613</v>
      </c>
      <c r="BN23" s="463">
        <v>0.01</v>
      </c>
      <c r="BO23" s="728">
        <f t="shared" si="14"/>
        <v>0.5</v>
      </c>
      <c r="BP23" s="463">
        <v>0.49</v>
      </c>
      <c r="BQ23" s="316" t="s">
        <v>514</v>
      </c>
      <c r="BR23" s="316" t="s">
        <v>515</v>
      </c>
      <c r="BS23" s="463">
        <v>0</v>
      </c>
      <c r="BT23" s="316" t="s">
        <v>612</v>
      </c>
      <c r="BU23" s="316" t="s">
        <v>613</v>
      </c>
      <c r="BV23" s="463">
        <v>0.01</v>
      </c>
      <c r="BW23" s="463">
        <f t="shared" si="15"/>
        <v>0.5</v>
      </c>
      <c r="BX23" s="444"/>
      <c r="BY23" s="444"/>
      <c r="BZ23" s="444"/>
      <c r="CA23" s="436" t="s">
        <v>874</v>
      </c>
      <c r="CB23" s="723">
        <v>0.629</v>
      </c>
      <c r="CC23" s="668" t="s">
        <v>874</v>
      </c>
      <c r="CD23" s="316" t="s">
        <v>514</v>
      </c>
      <c r="CE23" s="316" t="s">
        <v>515</v>
      </c>
      <c r="CF23" s="718">
        <v>0</v>
      </c>
      <c r="CG23" s="316" t="s">
        <v>612</v>
      </c>
      <c r="CH23" s="316" t="s">
        <v>613</v>
      </c>
      <c r="CI23" s="718">
        <v>0.01</v>
      </c>
    </row>
    <row r="24" spans="1:87" ht="15.75" customHeight="1" x14ac:dyDescent="0.2">
      <c r="A24" s="462" t="s">
        <v>768</v>
      </c>
      <c r="B24" s="838" t="s">
        <v>614</v>
      </c>
      <c r="C24" s="718">
        <v>0.49</v>
      </c>
      <c r="D24" s="316" t="s">
        <v>514</v>
      </c>
      <c r="E24" s="316" t="s">
        <v>515</v>
      </c>
      <c r="F24" s="718">
        <v>0</v>
      </c>
      <c r="G24" s="316" t="s">
        <v>612</v>
      </c>
      <c r="H24" s="316" t="s">
        <v>613</v>
      </c>
      <c r="I24" s="718">
        <v>0.01</v>
      </c>
      <c r="J24" s="728">
        <f t="shared" si="9"/>
        <v>0.5</v>
      </c>
      <c r="K24" s="718">
        <v>0.49</v>
      </c>
      <c r="L24" s="316" t="s">
        <v>514</v>
      </c>
      <c r="M24" s="316" t="s">
        <v>515</v>
      </c>
      <c r="N24" s="718">
        <v>0</v>
      </c>
      <c r="O24" s="316" t="s">
        <v>612</v>
      </c>
      <c r="P24" s="316" t="s">
        <v>613</v>
      </c>
      <c r="Q24" s="718">
        <v>0.01</v>
      </c>
      <c r="R24" s="728">
        <f t="shared" si="1"/>
        <v>0.5</v>
      </c>
      <c r="S24" s="718">
        <v>0.49</v>
      </c>
      <c r="T24" s="316" t="s">
        <v>514</v>
      </c>
      <c r="U24" s="316" t="s">
        <v>515</v>
      </c>
      <c r="V24" s="718">
        <v>0</v>
      </c>
      <c r="W24" s="316" t="s">
        <v>612</v>
      </c>
      <c r="X24" s="316" t="s">
        <v>613</v>
      </c>
      <c r="Y24" s="718">
        <v>0.01</v>
      </c>
      <c r="Z24" s="728">
        <f t="shared" ref="Z24:Z67" si="16">+S24+V24+Y24</f>
        <v>0.5</v>
      </c>
      <c r="AA24" s="718">
        <v>0.49</v>
      </c>
      <c r="AB24" s="316" t="s">
        <v>514</v>
      </c>
      <c r="AC24" s="316" t="s">
        <v>515</v>
      </c>
      <c r="AD24" s="718">
        <v>0</v>
      </c>
      <c r="AE24" s="316" t="s">
        <v>612</v>
      </c>
      <c r="AF24" s="316" t="s">
        <v>613</v>
      </c>
      <c r="AG24" s="718">
        <v>0.01</v>
      </c>
      <c r="AH24" s="728">
        <f t="shared" si="12"/>
        <v>0.5</v>
      </c>
      <c r="AI24" s="718">
        <v>0.49</v>
      </c>
      <c r="AJ24" s="316" t="s">
        <v>514</v>
      </c>
      <c r="AK24" s="316" t="s">
        <v>515</v>
      </c>
      <c r="AL24" s="718">
        <v>0</v>
      </c>
      <c r="AM24" s="316" t="s">
        <v>612</v>
      </c>
      <c r="AN24" s="316" t="s">
        <v>613</v>
      </c>
      <c r="AO24" s="718">
        <v>0.01</v>
      </c>
      <c r="AP24" s="728">
        <f t="shared" si="13"/>
        <v>0.5</v>
      </c>
      <c r="AQ24" s="718">
        <v>0.73499999999999999</v>
      </c>
      <c r="AR24" s="316" t="s">
        <v>514</v>
      </c>
      <c r="AS24" s="316" t="s">
        <v>515</v>
      </c>
      <c r="AT24" s="718">
        <v>0</v>
      </c>
      <c r="AU24" s="316" t="s">
        <v>612</v>
      </c>
      <c r="AV24" s="316" t="s">
        <v>613</v>
      </c>
      <c r="AW24" s="718">
        <v>1.4999999999999999E-2</v>
      </c>
      <c r="AX24" s="463">
        <f t="shared" si="10"/>
        <v>0.75</v>
      </c>
      <c r="AY24" s="661">
        <v>0.49</v>
      </c>
      <c r="AZ24" s="316" t="s">
        <v>514</v>
      </c>
      <c r="BA24" s="316" t="s">
        <v>515</v>
      </c>
      <c r="BB24" s="463">
        <v>0</v>
      </c>
      <c r="BC24" s="316" t="s">
        <v>612</v>
      </c>
      <c r="BD24" s="316" t="s">
        <v>613</v>
      </c>
      <c r="BE24" s="463">
        <v>0.01</v>
      </c>
      <c r="BF24" s="728">
        <f t="shared" si="11"/>
        <v>0.5</v>
      </c>
      <c r="BG24" s="463"/>
      <c r="BH24" s="463">
        <v>0.49</v>
      </c>
      <c r="BI24" s="316" t="s">
        <v>514</v>
      </c>
      <c r="BJ24" s="316" t="s">
        <v>515</v>
      </c>
      <c r="BK24" s="463">
        <v>0</v>
      </c>
      <c r="BL24" s="316" t="s">
        <v>612</v>
      </c>
      <c r="BM24" s="316" t="s">
        <v>613</v>
      </c>
      <c r="BN24" s="463">
        <v>0.01</v>
      </c>
      <c r="BO24" s="728">
        <f t="shared" si="14"/>
        <v>0.5</v>
      </c>
      <c r="BP24" s="463">
        <v>0.49</v>
      </c>
      <c r="BQ24" s="316" t="s">
        <v>514</v>
      </c>
      <c r="BR24" s="316" t="s">
        <v>515</v>
      </c>
      <c r="BS24" s="463">
        <v>0</v>
      </c>
      <c r="BT24" s="316" t="s">
        <v>612</v>
      </c>
      <c r="BU24" s="316" t="s">
        <v>613</v>
      </c>
      <c r="BV24" s="463">
        <v>0.01</v>
      </c>
      <c r="BW24" s="463">
        <f t="shared" si="15"/>
        <v>0.5</v>
      </c>
      <c r="BX24" s="444" t="s">
        <v>874</v>
      </c>
      <c r="BY24" s="444"/>
      <c r="BZ24" s="444"/>
      <c r="CA24" s="436" t="s">
        <v>874</v>
      </c>
      <c r="CB24" s="723">
        <v>0.64</v>
      </c>
      <c r="CC24" s="668" t="s">
        <v>874</v>
      </c>
      <c r="CD24" s="316" t="s">
        <v>514</v>
      </c>
      <c r="CE24" s="316" t="s">
        <v>515</v>
      </c>
      <c r="CF24" s="718">
        <v>0</v>
      </c>
      <c r="CG24" s="316" t="s">
        <v>612</v>
      </c>
      <c r="CH24" s="316" t="s">
        <v>613</v>
      </c>
      <c r="CI24" s="718">
        <v>0.01</v>
      </c>
    </row>
    <row r="25" spans="1:87" ht="15.75" customHeight="1" x14ac:dyDescent="0.2">
      <c r="A25" s="462" t="s">
        <v>770</v>
      </c>
      <c r="B25" s="316" t="s">
        <v>769</v>
      </c>
      <c r="C25" s="718">
        <v>0.4</v>
      </c>
      <c r="D25" s="316" t="s">
        <v>556</v>
      </c>
      <c r="E25" s="316" t="s">
        <v>557</v>
      </c>
      <c r="F25" s="718">
        <v>0.09</v>
      </c>
      <c r="G25" s="316" t="s">
        <v>554</v>
      </c>
      <c r="H25" s="316" t="s">
        <v>555</v>
      </c>
      <c r="I25" s="718">
        <v>0.01</v>
      </c>
      <c r="J25" s="728">
        <f t="shared" si="9"/>
        <v>0.5</v>
      </c>
      <c r="K25" s="718">
        <v>0.4</v>
      </c>
      <c r="L25" s="316" t="s">
        <v>556</v>
      </c>
      <c r="M25" s="316" t="s">
        <v>557</v>
      </c>
      <c r="N25" s="718">
        <v>0.09</v>
      </c>
      <c r="O25" s="316" t="s">
        <v>554</v>
      </c>
      <c r="P25" s="316" t="s">
        <v>555</v>
      </c>
      <c r="Q25" s="718">
        <v>0.01</v>
      </c>
      <c r="R25" s="728">
        <f t="shared" si="1"/>
        <v>0.5</v>
      </c>
      <c r="S25" s="718">
        <v>0.4</v>
      </c>
      <c r="T25" s="316" t="s">
        <v>556</v>
      </c>
      <c r="U25" s="316" t="s">
        <v>557</v>
      </c>
      <c r="V25" s="718">
        <v>0.09</v>
      </c>
      <c r="W25" s="316" t="s">
        <v>554</v>
      </c>
      <c r="X25" s="316" t="s">
        <v>555</v>
      </c>
      <c r="Y25" s="718">
        <v>0.01</v>
      </c>
      <c r="Z25" s="728">
        <f t="shared" si="16"/>
        <v>0.5</v>
      </c>
      <c r="AA25" s="718">
        <v>0.4</v>
      </c>
      <c r="AB25" s="316" t="s">
        <v>556</v>
      </c>
      <c r="AC25" s="316" t="s">
        <v>557</v>
      </c>
      <c r="AD25" s="718">
        <v>0.09</v>
      </c>
      <c r="AE25" s="316" t="s">
        <v>554</v>
      </c>
      <c r="AF25" s="316" t="s">
        <v>555</v>
      </c>
      <c r="AG25" s="718">
        <v>0.01</v>
      </c>
      <c r="AH25" s="728">
        <f t="shared" si="12"/>
        <v>0.5</v>
      </c>
      <c r="AI25" s="718">
        <v>0.4</v>
      </c>
      <c r="AJ25" s="316" t="s">
        <v>556</v>
      </c>
      <c r="AK25" s="316" t="s">
        <v>557</v>
      </c>
      <c r="AL25" s="718">
        <v>0.09</v>
      </c>
      <c r="AM25" s="316" t="s">
        <v>554</v>
      </c>
      <c r="AN25" s="316" t="s">
        <v>555</v>
      </c>
      <c r="AO25" s="718">
        <v>0.01</v>
      </c>
      <c r="AP25" s="728">
        <f t="shared" si="13"/>
        <v>0.5</v>
      </c>
      <c r="AQ25" s="718">
        <v>0.4</v>
      </c>
      <c r="AR25" s="316" t="s">
        <v>556</v>
      </c>
      <c r="AS25" s="316" t="s">
        <v>557</v>
      </c>
      <c r="AT25" s="718">
        <v>0.09</v>
      </c>
      <c r="AU25" s="316" t="s">
        <v>554</v>
      </c>
      <c r="AV25" s="316" t="s">
        <v>555</v>
      </c>
      <c r="AW25" s="718">
        <v>0.01</v>
      </c>
      <c r="AX25" s="463">
        <f t="shared" si="10"/>
        <v>0.5</v>
      </c>
      <c r="AY25" s="661">
        <v>0.5</v>
      </c>
      <c r="AZ25" s="316" t="s">
        <v>556</v>
      </c>
      <c r="BA25" s="316" t="s">
        <v>557</v>
      </c>
      <c r="BB25" s="463">
        <v>0.49</v>
      </c>
      <c r="BC25" s="316" t="s">
        <v>554</v>
      </c>
      <c r="BD25" s="316" t="s">
        <v>555</v>
      </c>
      <c r="BE25" s="463">
        <v>0.01</v>
      </c>
      <c r="BF25" s="728">
        <f t="shared" si="11"/>
        <v>1</v>
      </c>
      <c r="BG25" s="463"/>
      <c r="BH25" s="463">
        <v>0.4</v>
      </c>
      <c r="BI25" s="316" t="s">
        <v>556</v>
      </c>
      <c r="BJ25" s="316" t="s">
        <v>557</v>
      </c>
      <c r="BK25" s="463">
        <v>0.09</v>
      </c>
      <c r="BL25" s="316" t="s">
        <v>554</v>
      </c>
      <c r="BM25" s="316" t="s">
        <v>555</v>
      </c>
      <c r="BN25" s="463">
        <v>0.01</v>
      </c>
      <c r="BO25" s="728">
        <f t="shared" si="14"/>
        <v>0.5</v>
      </c>
      <c r="BP25" s="463">
        <v>0.4</v>
      </c>
      <c r="BQ25" s="316" t="s">
        <v>556</v>
      </c>
      <c r="BR25" s="316" t="s">
        <v>557</v>
      </c>
      <c r="BS25" s="463">
        <v>0.09</v>
      </c>
      <c r="BT25" s="316" t="s">
        <v>554</v>
      </c>
      <c r="BU25" s="316" t="s">
        <v>555</v>
      </c>
      <c r="BV25" s="463">
        <v>0.01</v>
      </c>
      <c r="BW25" s="463">
        <f t="shared" si="15"/>
        <v>0.5</v>
      </c>
      <c r="BX25" s="444"/>
      <c r="BY25" s="444"/>
      <c r="BZ25" s="444"/>
      <c r="CA25" s="434"/>
      <c r="CB25" s="723">
        <v>0.64900000000000002</v>
      </c>
      <c r="CC25" s="668" t="s">
        <v>950</v>
      </c>
      <c r="CD25" s="316" t="s">
        <v>556</v>
      </c>
      <c r="CE25" s="316" t="s">
        <v>557</v>
      </c>
      <c r="CF25" s="718">
        <v>0.59</v>
      </c>
      <c r="CG25" s="316" t="s">
        <v>554</v>
      </c>
      <c r="CH25" s="316" t="s">
        <v>555</v>
      </c>
      <c r="CI25" s="718">
        <v>0.01</v>
      </c>
    </row>
    <row r="26" spans="1:87" ht="15.75" customHeight="1" x14ac:dyDescent="0.2">
      <c r="A26" s="462" t="s">
        <v>772</v>
      </c>
      <c r="B26" s="316" t="s">
        <v>771</v>
      </c>
      <c r="C26" s="718">
        <v>0.99</v>
      </c>
      <c r="D26" s="316" t="s">
        <v>514</v>
      </c>
      <c r="E26" s="316" t="s">
        <v>666</v>
      </c>
      <c r="F26" s="718">
        <v>0</v>
      </c>
      <c r="G26" s="316" t="s">
        <v>1328</v>
      </c>
      <c r="H26" s="316" t="s">
        <v>1243</v>
      </c>
      <c r="I26" s="718">
        <v>0.01</v>
      </c>
      <c r="J26" s="728">
        <f t="shared" si="9"/>
        <v>1</v>
      </c>
      <c r="K26" s="718">
        <v>0.99</v>
      </c>
      <c r="L26" s="316" t="s">
        <v>514</v>
      </c>
      <c r="M26" s="316" t="s">
        <v>666</v>
      </c>
      <c r="N26" s="718">
        <v>0</v>
      </c>
      <c r="O26" s="316" t="s">
        <v>1328</v>
      </c>
      <c r="P26" s="316" t="s">
        <v>1243</v>
      </c>
      <c r="Q26" s="718">
        <v>0.01</v>
      </c>
      <c r="R26" s="728">
        <f t="shared" si="1"/>
        <v>1</v>
      </c>
      <c r="S26" s="718">
        <v>0.99</v>
      </c>
      <c r="T26" s="316" t="s">
        <v>514</v>
      </c>
      <c r="U26" s="316" t="s">
        <v>666</v>
      </c>
      <c r="V26" s="718">
        <v>0</v>
      </c>
      <c r="W26" s="316" t="s">
        <v>1328</v>
      </c>
      <c r="X26" s="316" t="s">
        <v>1243</v>
      </c>
      <c r="Y26" s="718">
        <v>0.01</v>
      </c>
      <c r="Z26" s="728">
        <f t="shared" si="16"/>
        <v>1</v>
      </c>
      <c r="AA26" s="718">
        <v>0.99</v>
      </c>
      <c r="AB26" s="316" t="s">
        <v>514</v>
      </c>
      <c r="AC26" s="316" t="s">
        <v>666</v>
      </c>
      <c r="AD26" s="718">
        <v>0</v>
      </c>
      <c r="AE26" s="316" t="s">
        <v>1328</v>
      </c>
      <c r="AF26" s="316" t="s">
        <v>1243</v>
      </c>
      <c r="AG26" s="718">
        <v>0.01</v>
      </c>
      <c r="AH26" s="728">
        <f t="shared" si="12"/>
        <v>1</v>
      </c>
      <c r="AI26" s="718">
        <v>0.99</v>
      </c>
      <c r="AJ26" s="316" t="s">
        <v>514</v>
      </c>
      <c r="AK26" s="316" t="s">
        <v>666</v>
      </c>
      <c r="AL26" s="718">
        <v>0</v>
      </c>
      <c r="AM26" s="316" t="s">
        <v>1328</v>
      </c>
      <c r="AN26" s="316" t="s">
        <v>1243</v>
      </c>
      <c r="AO26" s="718">
        <v>0.01</v>
      </c>
      <c r="AP26" s="728">
        <f t="shared" si="13"/>
        <v>1</v>
      </c>
      <c r="AQ26" s="718">
        <v>0.99</v>
      </c>
      <c r="AR26" s="316" t="s">
        <v>514</v>
      </c>
      <c r="AS26" s="316" t="s">
        <v>666</v>
      </c>
      <c r="AT26" s="718">
        <v>0</v>
      </c>
      <c r="AU26" s="316" t="s">
        <v>667</v>
      </c>
      <c r="AV26" s="316" t="s">
        <v>1243</v>
      </c>
      <c r="AW26" s="718">
        <v>0.01</v>
      </c>
      <c r="AX26" s="463">
        <f t="shared" si="10"/>
        <v>1</v>
      </c>
      <c r="AY26" s="661">
        <v>0.99</v>
      </c>
      <c r="AZ26" s="316" t="s">
        <v>514</v>
      </c>
      <c r="BA26" s="316" t="s">
        <v>666</v>
      </c>
      <c r="BB26" s="463">
        <v>0</v>
      </c>
      <c r="BC26" s="316" t="s">
        <v>667</v>
      </c>
      <c r="BD26" s="316" t="s">
        <v>668</v>
      </c>
      <c r="BE26" s="463">
        <v>0.01</v>
      </c>
      <c r="BF26" s="728">
        <f t="shared" si="11"/>
        <v>1</v>
      </c>
      <c r="BG26" s="463"/>
      <c r="BH26" s="463">
        <v>0.99</v>
      </c>
      <c r="BI26" s="316" t="s">
        <v>514</v>
      </c>
      <c r="BJ26" s="316" t="s">
        <v>666</v>
      </c>
      <c r="BK26" s="463">
        <v>0</v>
      </c>
      <c r="BL26" s="316" t="s">
        <v>667</v>
      </c>
      <c r="BM26" s="316" t="s">
        <v>668</v>
      </c>
      <c r="BN26" s="463">
        <v>0.01</v>
      </c>
      <c r="BO26" s="728">
        <f t="shared" si="14"/>
        <v>1</v>
      </c>
      <c r="BP26" s="463">
        <v>0.49</v>
      </c>
      <c r="BQ26" s="316" t="s">
        <v>514</v>
      </c>
      <c r="BR26" s="316" t="s">
        <v>666</v>
      </c>
      <c r="BS26" s="463">
        <v>0</v>
      </c>
      <c r="BT26" s="316" t="s">
        <v>667</v>
      </c>
      <c r="BU26" s="316" t="s">
        <v>668</v>
      </c>
      <c r="BV26" s="463">
        <v>0.01</v>
      </c>
      <c r="BW26" s="463">
        <f t="shared" si="15"/>
        <v>0.5</v>
      </c>
      <c r="BX26" s="444"/>
      <c r="BY26" s="444"/>
      <c r="BZ26" s="444"/>
      <c r="CA26" s="436" t="s">
        <v>874</v>
      </c>
      <c r="CB26" s="723">
        <v>0.65500000000000003</v>
      </c>
      <c r="CC26" s="668" t="s">
        <v>950</v>
      </c>
      <c r="CD26" s="316" t="s">
        <v>514</v>
      </c>
      <c r="CE26" s="316" t="s">
        <v>666</v>
      </c>
      <c r="CF26" s="718">
        <v>0</v>
      </c>
      <c r="CG26" s="316" t="s">
        <v>667</v>
      </c>
      <c r="CH26" s="316" t="s">
        <v>668</v>
      </c>
      <c r="CI26" s="718">
        <v>0.01</v>
      </c>
    </row>
    <row r="27" spans="1:87" ht="15.75" customHeight="1" x14ac:dyDescent="0.2">
      <c r="A27" s="462" t="s">
        <v>774</v>
      </c>
      <c r="B27" s="316" t="s">
        <v>773</v>
      </c>
      <c r="C27" s="718">
        <v>0.4</v>
      </c>
      <c r="D27" s="316" t="s">
        <v>625</v>
      </c>
      <c r="E27" s="316" t="s">
        <v>626</v>
      </c>
      <c r="F27" s="718">
        <v>0.1</v>
      </c>
      <c r="G27" s="316" t="s">
        <v>514</v>
      </c>
      <c r="H27" s="316" t="s">
        <v>552</v>
      </c>
      <c r="I27" s="718">
        <v>0</v>
      </c>
      <c r="J27" s="728">
        <f t="shared" si="9"/>
        <v>0.5</v>
      </c>
      <c r="K27" s="718">
        <v>0.4</v>
      </c>
      <c r="L27" s="316" t="s">
        <v>625</v>
      </c>
      <c r="M27" s="316" t="s">
        <v>626</v>
      </c>
      <c r="N27" s="718">
        <v>0.1</v>
      </c>
      <c r="O27" s="316" t="s">
        <v>514</v>
      </c>
      <c r="P27" s="316" t="s">
        <v>552</v>
      </c>
      <c r="Q27" s="718">
        <v>0</v>
      </c>
      <c r="R27" s="728">
        <f t="shared" si="1"/>
        <v>0.5</v>
      </c>
      <c r="S27" s="718">
        <v>0.4</v>
      </c>
      <c r="T27" s="316" t="s">
        <v>625</v>
      </c>
      <c r="U27" s="316" t="s">
        <v>626</v>
      </c>
      <c r="V27" s="718">
        <v>0.1</v>
      </c>
      <c r="W27" s="316" t="s">
        <v>514</v>
      </c>
      <c r="X27" s="316" t="s">
        <v>552</v>
      </c>
      <c r="Y27" s="718">
        <v>0</v>
      </c>
      <c r="Z27" s="728">
        <f t="shared" si="16"/>
        <v>0.5</v>
      </c>
      <c r="AA27" s="718">
        <v>0.4</v>
      </c>
      <c r="AB27" s="316" t="s">
        <v>625</v>
      </c>
      <c r="AC27" s="316" t="s">
        <v>626</v>
      </c>
      <c r="AD27" s="718">
        <v>0.1</v>
      </c>
      <c r="AE27" s="316" t="s">
        <v>514</v>
      </c>
      <c r="AF27" s="316" t="s">
        <v>552</v>
      </c>
      <c r="AG27" s="718">
        <v>0</v>
      </c>
      <c r="AH27" s="728">
        <f t="shared" si="12"/>
        <v>0.5</v>
      </c>
      <c r="AI27" s="718">
        <v>0.4</v>
      </c>
      <c r="AJ27" s="316" t="s">
        <v>625</v>
      </c>
      <c r="AK27" s="316" t="s">
        <v>626</v>
      </c>
      <c r="AL27" s="718">
        <v>0.1</v>
      </c>
      <c r="AM27" s="316" t="s">
        <v>514</v>
      </c>
      <c r="AN27" s="316" t="s">
        <v>552</v>
      </c>
      <c r="AO27" s="718">
        <v>0</v>
      </c>
      <c r="AP27" s="728">
        <f t="shared" si="13"/>
        <v>0.5</v>
      </c>
      <c r="AQ27" s="718">
        <v>0.4</v>
      </c>
      <c r="AR27" s="316" t="s">
        <v>625</v>
      </c>
      <c r="AS27" s="316" t="s">
        <v>626</v>
      </c>
      <c r="AT27" s="718">
        <v>0.1</v>
      </c>
      <c r="AU27" s="316" t="s">
        <v>514</v>
      </c>
      <c r="AV27" s="316" t="s">
        <v>552</v>
      </c>
      <c r="AW27" s="718">
        <v>0</v>
      </c>
      <c r="AX27" s="463">
        <f t="shared" si="10"/>
        <v>0.5</v>
      </c>
      <c r="AY27" s="661">
        <v>0.6</v>
      </c>
      <c r="AZ27" s="316" t="s">
        <v>625</v>
      </c>
      <c r="BA27" s="316" t="s">
        <v>626</v>
      </c>
      <c r="BB27" s="463">
        <v>0.4</v>
      </c>
      <c r="BC27" s="316" t="s">
        <v>514</v>
      </c>
      <c r="BD27" s="316" t="s">
        <v>552</v>
      </c>
      <c r="BE27" s="463">
        <v>0</v>
      </c>
      <c r="BF27" s="728">
        <f t="shared" si="11"/>
        <v>1</v>
      </c>
      <c r="BG27" s="463"/>
      <c r="BH27" s="463">
        <v>0.4</v>
      </c>
      <c r="BI27" s="316" t="s">
        <v>625</v>
      </c>
      <c r="BJ27" s="316" t="s">
        <v>626</v>
      </c>
      <c r="BK27" s="463">
        <v>0.1</v>
      </c>
      <c r="BL27" s="316" t="s">
        <v>514</v>
      </c>
      <c r="BM27" s="316" t="s">
        <v>552</v>
      </c>
      <c r="BN27" s="463">
        <v>0</v>
      </c>
      <c r="BO27" s="728">
        <f t="shared" si="14"/>
        <v>0.5</v>
      </c>
      <c r="BP27" s="463">
        <v>0.4</v>
      </c>
      <c r="BQ27" s="316" t="s">
        <v>625</v>
      </c>
      <c r="BR27" s="316" t="s">
        <v>626</v>
      </c>
      <c r="BS27" s="463">
        <v>0.1</v>
      </c>
      <c r="BT27" s="316" t="s">
        <v>514</v>
      </c>
      <c r="BU27" s="316" t="s">
        <v>552</v>
      </c>
      <c r="BV27" s="463">
        <v>0</v>
      </c>
      <c r="BW27" s="463">
        <f t="shared" si="15"/>
        <v>0.5</v>
      </c>
      <c r="BX27" s="444"/>
      <c r="BY27" s="444"/>
      <c r="BZ27" s="444"/>
      <c r="CA27" s="434"/>
      <c r="CB27" s="723">
        <v>0.66300000000000003</v>
      </c>
      <c r="CC27" s="668" t="s">
        <v>950</v>
      </c>
      <c r="CD27" s="316" t="s">
        <v>625</v>
      </c>
      <c r="CE27" s="316" t="s">
        <v>626</v>
      </c>
      <c r="CF27" s="718">
        <v>0.6</v>
      </c>
      <c r="CG27" s="316" t="s">
        <v>514</v>
      </c>
      <c r="CH27" s="316" t="s">
        <v>552</v>
      </c>
      <c r="CI27" s="718">
        <v>0</v>
      </c>
    </row>
    <row r="28" spans="1:87" ht="15.75" customHeight="1" x14ac:dyDescent="0.2">
      <c r="A28" s="462" t="s">
        <v>1220</v>
      </c>
      <c r="B28" s="316" t="s">
        <v>1246</v>
      </c>
      <c r="C28" s="718">
        <v>0.49</v>
      </c>
      <c r="D28" s="316" t="s">
        <v>514</v>
      </c>
      <c r="E28" s="316" t="s">
        <v>515</v>
      </c>
      <c r="F28" s="718">
        <v>0</v>
      </c>
      <c r="G28" s="316" t="s">
        <v>1329</v>
      </c>
      <c r="H28" s="316" t="s">
        <v>1330</v>
      </c>
      <c r="I28" s="718">
        <v>0.01</v>
      </c>
      <c r="J28" s="728">
        <f t="shared" si="9"/>
        <v>0.5</v>
      </c>
      <c r="K28" s="718">
        <v>0.49</v>
      </c>
      <c r="L28" s="316" t="s">
        <v>514</v>
      </c>
      <c r="M28" s="316" t="s">
        <v>515</v>
      </c>
      <c r="N28" s="718">
        <v>0</v>
      </c>
      <c r="O28" s="316" t="s">
        <v>1329</v>
      </c>
      <c r="P28" s="316" t="s">
        <v>1330</v>
      </c>
      <c r="Q28" s="718">
        <v>0.01</v>
      </c>
      <c r="R28" s="728">
        <f t="shared" si="1"/>
        <v>0.5</v>
      </c>
      <c r="S28" s="718">
        <v>0.49</v>
      </c>
      <c r="T28" s="316" t="s">
        <v>514</v>
      </c>
      <c r="U28" s="316" t="s">
        <v>515</v>
      </c>
      <c r="V28" s="718">
        <v>0</v>
      </c>
      <c r="W28" s="316" t="s">
        <v>1329</v>
      </c>
      <c r="X28" s="316" t="s">
        <v>1330</v>
      </c>
      <c r="Y28" s="718">
        <v>0.01</v>
      </c>
      <c r="Z28" s="728">
        <f t="shared" si="16"/>
        <v>0.5</v>
      </c>
      <c r="AA28" s="718">
        <v>0.49</v>
      </c>
      <c r="AB28" s="316" t="s">
        <v>514</v>
      </c>
      <c r="AC28" s="316" t="s">
        <v>515</v>
      </c>
      <c r="AD28" s="718">
        <v>0</v>
      </c>
      <c r="AE28" s="316" t="s">
        <v>1329</v>
      </c>
      <c r="AF28" s="316" t="s">
        <v>1330</v>
      </c>
      <c r="AG28" s="718">
        <v>0.01</v>
      </c>
      <c r="AH28" s="728">
        <f t="shared" si="12"/>
        <v>0.5</v>
      </c>
      <c r="AI28" s="718">
        <v>0.49</v>
      </c>
      <c r="AJ28" s="316" t="s">
        <v>514</v>
      </c>
      <c r="AK28" s="316" t="s">
        <v>515</v>
      </c>
      <c r="AL28" s="718">
        <v>0</v>
      </c>
      <c r="AM28" s="316" t="s">
        <v>1329</v>
      </c>
      <c r="AN28" s="316" t="s">
        <v>1330</v>
      </c>
      <c r="AO28" s="718">
        <v>0.01</v>
      </c>
      <c r="AP28" s="728">
        <f t="shared" si="13"/>
        <v>0.5</v>
      </c>
      <c r="AQ28" s="718">
        <v>0.49</v>
      </c>
      <c r="AR28" s="316" t="s">
        <v>514</v>
      </c>
      <c r="AS28" s="316" t="s">
        <v>515</v>
      </c>
      <c r="AT28" s="718">
        <v>0</v>
      </c>
      <c r="AU28" s="316" t="s">
        <v>565</v>
      </c>
      <c r="AV28" s="316" t="s">
        <v>566</v>
      </c>
      <c r="AW28" s="718">
        <v>0.01</v>
      </c>
      <c r="AX28" s="463">
        <f t="shared" si="10"/>
        <v>0.5</v>
      </c>
      <c r="AY28" s="661">
        <v>0.49</v>
      </c>
      <c r="AZ28" s="316" t="s">
        <v>567</v>
      </c>
      <c r="BA28" s="316" t="s">
        <v>1247</v>
      </c>
      <c r="BB28" s="463">
        <v>0</v>
      </c>
      <c r="BC28" s="316" t="s">
        <v>565</v>
      </c>
      <c r="BD28" s="316" t="s">
        <v>566</v>
      </c>
      <c r="BE28" s="463">
        <v>0.01</v>
      </c>
      <c r="BF28" s="728">
        <f t="shared" si="11"/>
        <v>0.5</v>
      </c>
      <c r="BG28" s="463"/>
      <c r="BH28" s="463">
        <v>0.49</v>
      </c>
      <c r="BI28" s="316" t="s">
        <v>567</v>
      </c>
      <c r="BJ28" s="316" t="s">
        <v>1247</v>
      </c>
      <c r="BK28" s="463">
        <v>0</v>
      </c>
      <c r="BL28" s="316" t="s">
        <v>565</v>
      </c>
      <c r="BM28" s="316" t="s">
        <v>566</v>
      </c>
      <c r="BN28" s="463">
        <v>0.01</v>
      </c>
      <c r="BO28" s="728">
        <f t="shared" si="14"/>
        <v>0.5</v>
      </c>
      <c r="BP28" s="463">
        <v>0.49</v>
      </c>
      <c r="BQ28" s="316" t="s">
        <v>567</v>
      </c>
      <c r="BR28" s="316" t="s">
        <v>568</v>
      </c>
      <c r="BS28" s="463">
        <v>0</v>
      </c>
      <c r="BT28" s="316" t="s">
        <v>565</v>
      </c>
      <c r="BU28" s="316" t="s">
        <v>566</v>
      </c>
      <c r="BV28" s="463">
        <v>0.01</v>
      </c>
      <c r="BW28" s="463">
        <f t="shared" si="15"/>
        <v>0.5</v>
      </c>
      <c r="BX28" s="444"/>
      <c r="BY28" s="444"/>
      <c r="BZ28" s="444"/>
      <c r="CA28" s="434" t="s">
        <v>874</v>
      </c>
      <c r="CB28" s="723">
        <v>0.69599999999999995</v>
      </c>
      <c r="CC28" s="668" t="s">
        <v>950</v>
      </c>
      <c r="CD28" s="316" t="s">
        <v>514</v>
      </c>
      <c r="CE28" s="316" t="s">
        <v>515</v>
      </c>
      <c r="CF28" s="718">
        <v>0</v>
      </c>
      <c r="CG28" s="316" t="s">
        <v>565</v>
      </c>
      <c r="CH28" s="316" t="s">
        <v>566</v>
      </c>
      <c r="CI28" s="718">
        <v>0.01</v>
      </c>
    </row>
    <row r="29" spans="1:87" ht="15.75" customHeight="1" x14ac:dyDescent="0.2">
      <c r="A29" s="462" t="s">
        <v>776</v>
      </c>
      <c r="B29" s="316" t="s">
        <v>524</v>
      </c>
      <c r="C29" s="718">
        <v>0.49</v>
      </c>
      <c r="D29" s="316" t="s">
        <v>514</v>
      </c>
      <c r="E29" s="316" t="s">
        <v>515</v>
      </c>
      <c r="F29" s="718">
        <v>0</v>
      </c>
      <c r="G29" s="316" t="s">
        <v>525</v>
      </c>
      <c r="H29" s="316" t="s">
        <v>526</v>
      </c>
      <c r="I29" s="718">
        <v>0.01</v>
      </c>
      <c r="J29" s="728">
        <f t="shared" si="9"/>
        <v>0.5</v>
      </c>
      <c r="K29" s="718">
        <v>0.49</v>
      </c>
      <c r="L29" s="316" t="s">
        <v>514</v>
      </c>
      <c r="M29" s="316" t="s">
        <v>515</v>
      </c>
      <c r="N29" s="718">
        <v>0</v>
      </c>
      <c r="O29" s="316" t="s">
        <v>525</v>
      </c>
      <c r="P29" s="316" t="s">
        <v>526</v>
      </c>
      <c r="Q29" s="718">
        <v>0.01</v>
      </c>
      <c r="R29" s="728">
        <f t="shared" si="1"/>
        <v>0.5</v>
      </c>
      <c r="S29" s="718">
        <v>0.49</v>
      </c>
      <c r="T29" s="316" t="s">
        <v>514</v>
      </c>
      <c r="U29" s="316" t="s">
        <v>515</v>
      </c>
      <c r="V29" s="718">
        <v>0</v>
      </c>
      <c r="W29" s="316" t="s">
        <v>525</v>
      </c>
      <c r="X29" s="316" t="s">
        <v>526</v>
      </c>
      <c r="Y29" s="718">
        <v>0.01</v>
      </c>
      <c r="Z29" s="728">
        <f t="shared" si="16"/>
        <v>0.5</v>
      </c>
      <c r="AA29" s="718">
        <v>0.49</v>
      </c>
      <c r="AB29" s="316" t="s">
        <v>514</v>
      </c>
      <c r="AC29" s="316" t="s">
        <v>515</v>
      </c>
      <c r="AD29" s="718">
        <v>0</v>
      </c>
      <c r="AE29" s="316" t="s">
        <v>525</v>
      </c>
      <c r="AF29" s="316" t="s">
        <v>526</v>
      </c>
      <c r="AG29" s="718">
        <v>0.01</v>
      </c>
      <c r="AH29" s="728">
        <f t="shared" si="12"/>
        <v>0.5</v>
      </c>
      <c r="AI29" s="718">
        <v>0.49</v>
      </c>
      <c r="AJ29" s="316" t="s">
        <v>514</v>
      </c>
      <c r="AK29" s="316" t="s">
        <v>515</v>
      </c>
      <c r="AL29" s="718">
        <v>0</v>
      </c>
      <c r="AM29" s="316" t="s">
        <v>525</v>
      </c>
      <c r="AN29" s="316" t="s">
        <v>526</v>
      </c>
      <c r="AO29" s="718">
        <v>0.01</v>
      </c>
      <c r="AP29" s="728">
        <f t="shared" si="13"/>
        <v>0.5</v>
      </c>
      <c r="AQ29" s="718">
        <v>0.74</v>
      </c>
      <c r="AR29" s="316" t="s">
        <v>514</v>
      </c>
      <c r="AS29" s="316" t="s">
        <v>515</v>
      </c>
      <c r="AT29" s="718">
        <v>0</v>
      </c>
      <c r="AU29" s="316" t="s">
        <v>525</v>
      </c>
      <c r="AV29" s="316" t="s">
        <v>526</v>
      </c>
      <c r="AW29" s="718">
        <v>0.01</v>
      </c>
      <c r="AX29" s="463">
        <f t="shared" si="10"/>
        <v>0.75</v>
      </c>
      <c r="AY29" s="661">
        <v>0.99</v>
      </c>
      <c r="AZ29" s="316" t="s">
        <v>514</v>
      </c>
      <c r="BA29" s="316" t="s">
        <v>515</v>
      </c>
      <c r="BB29" s="463">
        <v>0</v>
      </c>
      <c r="BC29" s="316" t="s">
        <v>525</v>
      </c>
      <c r="BD29" s="316" t="s">
        <v>526</v>
      </c>
      <c r="BE29" s="463">
        <v>0.01</v>
      </c>
      <c r="BF29" s="728">
        <f t="shared" si="11"/>
        <v>1</v>
      </c>
      <c r="BG29" s="463"/>
      <c r="BH29" s="463">
        <v>0.49</v>
      </c>
      <c r="BI29" s="316" t="s">
        <v>514</v>
      </c>
      <c r="BJ29" s="316" t="s">
        <v>515</v>
      </c>
      <c r="BK29" s="463">
        <v>0</v>
      </c>
      <c r="BL29" s="316" t="s">
        <v>525</v>
      </c>
      <c r="BM29" s="316" t="s">
        <v>526</v>
      </c>
      <c r="BN29" s="463">
        <v>0.01</v>
      </c>
      <c r="BO29" s="728">
        <f t="shared" si="14"/>
        <v>0.5</v>
      </c>
      <c r="BP29" s="463">
        <v>0.49</v>
      </c>
      <c r="BQ29" s="316" t="s">
        <v>514</v>
      </c>
      <c r="BR29" s="316" t="s">
        <v>515</v>
      </c>
      <c r="BS29" s="463">
        <v>0</v>
      </c>
      <c r="BT29" s="316" t="s">
        <v>525</v>
      </c>
      <c r="BU29" s="316" t="s">
        <v>526</v>
      </c>
      <c r="BV29" s="463">
        <v>0.01</v>
      </c>
      <c r="BW29" s="463">
        <f t="shared" si="15"/>
        <v>0.5</v>
      </c>
      <c r="BX29" s="444"/>
      <c r="BY29" s="444"/>
      <c r="BZ29" s="444"/>
      <c r="CA29" s="436" t="s">
        <v>874</v>
      </c>
      <c r="CB29" s="723">
        <v>0.73099999999999998</v>
      </c>
      <c r="CC29" s="668" t="s">
        <v>950</v>
      </c>
      <c r="CD29" s="316" t="s">
        <v>514</v>
      </c>
      <c r="CE29" s="316" t="s">
        <v>515</v>
      </c>
      <c r="CF29" s="718">
        <v>0</v>
      </c>
      <c r="CG29" s="316" t="s">
        <v>525</v>
      </c>
      <c r="CH29" s="316" t="s">
        <v>526</v>
      </c>
      <c r="CI29" s="718">
        <v>0.01</v>
      </c>
    </row>
    <row r="30" spans="1:87" ht="15.75" customHeight="1" x14ac:dyDescent="0.2">
      <c r="A30" s="462" t="s">
        <v>778</v>
      </c>
      <c r="B30" s="838" t="s">
        <v>777</v>
      </c>
      <c r="C30" s="718">
        <v>0.49</v>
      </c>
      <c r="D30" s="316" t="s">
        <v>514</v>
      </c>
      <c r="E30" s="316" t="s">
        <v>666</v>
      </c>
      <c r="F30" s="718">
        <v>0</v>
      </c>
      <c r="G30" s="316" t="s">
        <v>677</v>
      </c>
      <c r="H30" s="316" t="s">
        <v>678</v>
      </c>
      <c r="I30" s="718">
        <v>0.01</v>
      </c>
      <c r="J30" s="728">
        <f t="shared" si="9"/>
        <v>0.5</v>
      </c>
      <c r="K30" s="718">
        <v>0.49</v>
      </c>
      <c r="L30" s="316" t="s">
        <v>514</v>
      </c>
      <c r="M30" s="316" t="s">
        <v>666</v>
      </c>
      <c r="N30" s="718">
        <v>0</v>
      </c>
      <c r="O30" s="316" t="s">
        <v>677</v>
      </c>
      <c r="P30" s="316" t="s">
        <v>678</v>
      </c>
      <c r="Q30" s="718">
        <v>0.01</v>
      </c>
      <c r="R30" s="728">
        <f t="shared" si="1"/>
        <v>0.5</v>
      </c>
      <c r="S30" s="718">
        <v>0.49</v>
      </c>
      <c r="T30" s="316" t="s">
        <v>514</v>
      </c>
      <c r="U30" s="316" t="s">
        <v>666</v>
      </c>
      <c r="V30" s="718">
        <v>0</v>
      </c>
      <c r="W30" s="316" t="s">
        <v>677</v>
      </c>
      <c r="X30" s="316" t="s">
        <v>678</v>
      </c>
      <c r="Y30" s="718">
        <v>0.01</v>
      </c>
      <c r="Z30" s="728">
        <f t="shared" si="16"/>
        <v>0.5</v>
      </c>
      <c r="AA30" s="718">
        <v>0.49</v>
      </c>
      <c r="AB30" s="316" t="s">
        <v>514</v>
      </c>
      <c r="AC30" s="316" t="s">
        <v>666</v>
      </c>
      <c r="AD30" s="718">
        <v>0</v>
      </c>
      <c r="AE30" s="316" t="s">
        <v>677</v>
      </c>
      <c r="AF30" s="316" t="s">
        <v>678</v>
      </c>
      <c r="AG30" s="718">
        <v>0.01</v>
      </c>
      <c r="AH30" s="728">
        <f t="shared" si="12"/>
        <v>0.5</v>
      </c>
      <c r="AI30" s="718">
        <v>0.49</v>
      </c>
      <c r="AJ30" s="316" t="s">
        <v>514</v>
      </c>
      <c r="AK30" s="316" t="s">
        <v>666</v>
      </c>
      <c r="AL30" s="718">
        <v>0</v>
      </c>
      <c r="AM30" s="316" t="s">
        <v>677</v>
      </c>
      <c r="AN30" s="316" t="s">
        <v>678</v>
      </c>
      <c r="AO30" s="718">
        <v>0.01</v>
      </c>
      <c r="AP30" s="728">
        <f t="shared" si="13"/>
        <v>0.5</v>
      </c>
      <c r="AQ30" s="718">
        <v>0.74</v>
      </c>
      <c r="AR30" s="316" t="s">
        <v>514</v>
      </c>
      <c r="AS30" s="316" t="s">
        <v>666</v>
      </c>
      <c r="AT30" s="718">
        <v>0</v>
      </c>
      <c r="AU30" s="316" t="s">
        <v>677</v>
      </c>
      <c r="AV30" s="316" t="s">
        <v>678</v>
      </c>
      <c r="AW30" s="718">
        <v>0.01</v>
      </c>
      <c r="AX30" s="463">
        <f t="shared" si="10"/>
        <v>0.75</v>
      </c>
      <c r="AY30" s="661">
        <v>0.99</v>
      </c>
      <c r="AZ30" s="316" t="s">
        <v>514</v>
      </c>
      <c r="BA30" s="316" t="s">
        <v>666</v>
      </c>
      <c r="BB30" s="463">
        <v>0</v>
      </c>
      <c r="BC30" s="316" t="s">
        <v>677</v>
      </c>
      <c r="BD30" s="316" t="s">
        <v>678</v>
      </c>
      <c r="BE30" s="463">
        <v>0.01</v>
      </c>
      <c r="BF30" s="728">
        <f t="shared" si="11"/>
        <v>1</v>
      </c>
      <c r="BG30" s="463"/>
      <c r="BH30" s="463">
        <v>0.49</v>
      </c>
      <c r="BI30" s="316" t="s">
        <v>514</v>
      </c>
      <c r="BJ30" s="316" t="s">
        <v>666</v>
      </c>
      <c r="BK30" s="463">
        <v>0</v>
      </c>
      <c r="BL30" s="316" t="s">
        <v>677</v>
      </c>
      <c r="BM30" s="316" t="s">
        <v>678</v>
      </c>
      <c r="BN30" s="463">
        <v>0.01</v>
      </c>
      <c r="BO30" s="728">
        <f t="shared" si="14"/>
        <v>0.5</v>
      </c>
      <c r="BP30" s="463">
        <v>0.49</v>
      </c>
      <c r="BQ30" s="316" t="s">
        <v>514</v>
      </c>
      <c r="BR30" s="316" t="s">
        <v>666</v>
      </c>
      <c r="BS30" s="463">
        <v>0</v>
      </c>
      <c r="BT30" s="316" t="s">
        <v>677</v>
      </c>
      <c r="BU30" s="316" t="s">
        <v>678</v>
      </c>
      <c r="BV30" s="463">
        <v>0.01</v>
      </c>
      <c r="BW30" s="463">
        <f t="shared" si="15"/>
        <v>0.5</v>
      </c>
      <c r="BX30" s="489" t="s">
        <v>874</v>
      </c>
      <c r="BY30" s="489"/>
      <c r="BZ30" s="489"/>
      <c r="CA30" s="436" t="s">
        <v>874</v>
      </c>
      <c r="CB30" s="723">
        <v>0.66500000000000004</v>
      </c>
      <c r="CC30" s="668" t="s">
        <v>950</v>
      </c>
      <c r="CD30" s="316" t="s">
        <v>514</v>
      </c>
      <c r="CE30" s="316" t="s">
        <v>666</v>
      </c>
      <c r="CF30" s="718">
        <v>0</v>
      </c>
      <c r="CG30" s="316" t="s">
        <v>677</v>
      </c>
      <c r="CH30" s="316" t="s">
        <v>678</v>
      </c>
      <c r="CI30" s="718">
        <v>0.01</v>
      </c>
    </row>
    <row r="31" spans="1:87" ht="15.75" customHeight="1" x14ac:dyDescent="0.2">
      <c r="A31" s="462" t="s">
        <v>780</v>
      </c>
      <c r="B31" s="316" t="s">
        <v>779</v>
      </c>
      <c r="C31" s="718">
        <v>0.4</v>
      </c>
      <c r="D31" s="316" t="s">
        <v>581</v>
      </c>
      <c r="E31" s="316" t="s">
        <v>582</v>
      </c>
      <c r="F31" s="718">
        <v>0.09</v>
      </c>
      <c r="G31" s="316" t="s">
        <v>578</v>
      </c>
      <c r="H31" s="316" t="s">
        <v>1244</v>
      </c>
      <c r="I31" s="718">
        <v>0.01</v>
      </c>
      <c r="J31" s="728">
        <f t="shared" si="9"/>
        <v>0.5</v>
      </c>
      <c r="K31" s="718">
        <v>0.4</v>
      </c>
      <c r="L31" s="316" t="s">
        <v>581</v>
      </c>
      <c r="M31" s="316" t="s">
        <v>582</v>
      </c>
      <c r="N31" s="718">
        <v>0.09</v>
      </c>
      <c r="O31" s="316" t="s">
        <v>578</v>
      </c>
      <c r="P31" s="316" t="s">
        <v>1244</v>
      </c>
      <c r="Q31" s="718">
        <v>0.01</v>
      </c>
      <c r="R31" s="728">
        <f t="shared" si="1"/>
        <v>0.5</v>
      </c>
      <c r="S31" s="718">
        <v>0.4</v>
      </c>
      <c r="T31" s="316" t="s">
        <v>581</v>
      </c>
      <c r="U31" s="316" t="s">
        <v>582</v>
      </c>
      <c r="V31" s="718">
        <v>0.09</v>
      </c>
      <c r="W31" s="316" t="s">
        <v>578</v>
      </c>
      <c r="X31" s="316" t="s">
        <v>1244</v>
      </c>
      <c r="Y31" s="718">
        <v>0.01</v>
      </c>
      <c r="Z31" s="728">
        <f t="shared" si="16"/>
        <v>0.5</v>
      </c>
      <c r="AA31" s="718">
        <v>0.4</v>
      </c>
      <c r="AB31" s="316" t="s">
        <v>581</v>
      </c>
      <c r="AC31" s="316" t="s">
        <v>582</v>
      </c>
      <c r="AD31" s="718">
        <v>0.09</v>
      </c>
      <c r="AE31" s="316" t="s">
        <v>578</v>
      </c>
      <c r="AF31" s="316" t="s">
        <v>1244</v>
      </c>
      <c r="AG31" s="718">
        <v>0.01</v>
      </c>
      <c r="AH31" s="728">
        <f t="shared" si="12"/>
        <v>0.5</v>
      </c>
      <c r="AI31" s="718">
        <v>0.4</v>
      </c>
      <c r="AJ31" s="316" t="s">
        <v>581</v>
      </c>
      <c r="AK31" s="316" t="s">
        <v>582</v>
      </c>
      <c r="AL31" s="718">
        <v>0.09</v>
      </c>
      <c r="AM31" s="316" t="s">
        <v>578</v>
      </c>
      <c r="AN31" s="316" t="s">
        <v>1244</v>
      </c>
      <c r="AO31" s="718">
        <v>0.01</v>
      </c>
      <c r="AP31" s="728">
        <f t="shared" si="13"/>
        <v>0.5</v>
      </c>
      <c r="AQ31" s="718">
        <v>0.4</v>
      </c>
      <c r="AR31" s="316" t="s">
        <v>581</v>
      </c>
      <c r="AS31" s="316" t="s">
        <v>582</v>
      </c>
      <c r="AT31" s="718">
        <v>0.09</v>
      </c>
      <c r="AU31" s="316" t="s">
        <v>578</v>
      </c>
      <c r="AV31" s="316" t="s">
        <v>1244</v>
      </c>
      <c r="AW31" s="718">
        <v>0.01</v>
      </c>
      <c r="AX31" s="463">
        <f t="shared" si="10"/>
        <v>0.5</v>
      </c>
      <c r="AY31" s="661">
        <v>0.4</v>
      </c>
      <c r="AZ31" s="316" t="s">
        <v>581</v>
      </c>
      <c r="BA31" s="316" t="s">
        <v>582</v>
      </c>
      <c r="BB31" s="463">
        <v>0.09</v>
      </c>
      <c r="BC31" s="316" t="s">
        <v>578</v>
      </c>
      <c r="BD31" s="316" t="s">
        <v>579</v>
      </c>
      <c r="BE31" s="463">
        <v>0.01</v>
      </c>
      <c r="BF31" s="728">
        <f t="shared" si="11"/>
        <v>0.5</v>
      </c>
      <c r="BG31" s="463"/>
      <c r="BH31" s="463">
        <v>0.4</v>
      </c>
      <c r="BI31" s="316" t="s">
        <v>581</v>
      </c>
      <c r="BJ31" s="316" t="s">
        <v>582</v>
      </c>
      <c r="BK31" s="463">
        <v>0.09</v>
      </c>
      <c r="BL31" s="316" t="s">
        <v>578</v>
      </c>
      <c r="BM31" s="316" t="s">
        <v>579</v>
      </c>
      <c r="BN31" s="463">
        <v>0.01</v>
      </c>
      <c r="BO31" s="728">
        <f t="shared" si="14"/>
        <v>0.5</v>
      </c>
      <c r="BP31" s="463">
        <v>0.4</v>
      </c>
      <c r="BQ31" s="316" t="s">
        <v>581</v>
      </c>
      <c r="BR31" s="316" t="s">
        <v>582</v>
      </c>
      <c r="BS31" s="463">
        <v>0.09</v>
      </c>
      <c r="BT31" s="316" t="s">
        <v>578</v>
      </c>
      <c r="BU31" s="316" t="s">
        <v>579</v>
      </c>
      <c r="BV31" s="463">
        <v>0.01</v>
      </c>
      <c r="BW31" s="463">
        <f t="shared" si="15"/>
        <v>0.5</v>
      </c>
      <c r="BX31" s="444"/>
      <c r="BY31" s="444"/>
      <c r="BZ31" s="444"/>
      <c r="CA31" s="434"/>
      <c r="CB31" s="723">
        <v>0.68400000000000005</v>
      </c>
      <c r="CC31" s="668" t="s">
        <v>950</v>
      </c>
      <c r="CD31" s="316" t="s">
        <v>581</v>
      </c>
      <c r="CE31" s="316" t="s">
        <v>582</v>
      </c>
      <c r="CF31" s="718">
        <v>0.59</v>
      </c>
      <c r="CG31" s="316" t="s">
        <v>578</v>
      </c>
      <c r="CH31" s="316" t="s">
        <v>579</v>
      </c>
      <c r="CI31" s="718">
        <v>0.01</v>
      </c>
    </row>
    <row r="32" spans="1:87" ht="15.75" customHeight="1" x14ac:dyDescent="0.2">
      <c r="A32" s="462" t="s">
        <v>782</v>
      </c>
      <c r="B32" s="316" t="s">
        <v>781</v>
      </c>
      <c r="C32" s="718">
        <v>0.4</v>
      </c>
      <c r="D32" s="316" t="s">
        <v>627</v>
      </c>
      <c r="E32" s="316" t="s">
        <v>628</v>
      </c>
      <c r="F32" s="718">
        <v>0.1</v>
      </c>
      <c r="G32" s="316" t="s">
        <v>514</v>
      </c>
      <c r="H32" s="316" t="s">
        <v>552</v>
      </c>
      <c r="I32" s="718">
        <v>0</v>
      </c>
      <c r="J32" s="728">
        <f t="shared" si="9"/>
        <v>0.5</v>
      </c>
      <c r="K32" s="718">
        <v>0.4</v>
      </c>
      <c r="L32" s="316" t="s">
        <v>627</v>
      </c>
      <c r="M32" s="316" t="s">
        <v>628</v>
      </c>
      <c r="N32" s="718">
        <v>0.1</v>
      </c>
      <c r="O32" s="316" t="s">
        <v>514</v>
      </c>
      <c r="P32" s="316" t="s">
        <v>552</v>
      </c>
      <c r="Q32" s="718">
        <v>0</v>
      </c>
      <c r="R32" s="728">
        <f t="shared" si="1"/>
        <v>0.5</v>
      </c>
      <c r="S32" s="718">
        <v>0.4</v>
      </c>
      <c r="T32" s="316" t="s">
        <v>627</v>
      </c>
      <c r="U32" s="316" t="s">
        <v>628</v>
      </c>
      <c r="V32" s="718">
        <v>0.1</v>
      </c>
      <c r="W32" s="316" t="s">
        <v>514</v>
      </c>
      <c r="X32" s="316" t="s">
        <v>552</v>
      </c>
      <c r="Y32" s="718">
        <v>0</v>
      </c>
      <c r="Z32" s="728">
        <f t="shared" si="16"/>
        <v>0.5</v>
      </c>
      <c r="AA32" s="718">
        <v>0.4</v>
      </c>
      <c r="AB32" s="316" t="s">
        <v>627</v>
      </c>
      <c r="AC32" s="316" t="s">
        <v>628</v>
      </c>
      <c r="AD32" s="718">
        <v>0.1</v>
      </c>
      <c r="AE32" s="316" t="s">
        <v>514</v>
      </c>
      <c r="AF32" s="316" t="s">
        <v>552</v>
      </c>
      <c r="AG32" s="718">
        <v>0</v>
      </c>
      <c r="AH32" s="728">
        <f t="shared" si="12"/>
        <v>0.5</v>
      </c>
      <c r="AI32" s="718">
        <v>0.4</v>
      </c>
      <c r="AJ32" s="316" t="s">
        <v>627</v>
      </c>
      <c r="AK32" s="316" t="s">
        <v>628</v>
      </c>
      <c r="AL32" s="718">
        <v>0.1</v>
      </c>
      <c r="AM32" s="316" t="s">
        <v>514</v>
      </c>
      <c r="AN32" s="316" t="s">
        <v>552</v>
      </c>
      <c r="AO32" s="718">
        <v>0</v>
      </c>
      <c r="AP32" s="728">
        <f t="shared" si="13"/>
        <v>0.5</v>
      </c>
      <c r="AQ32" s="718">
        <v>0.42499999999999999</v>
      </c>
      <c r="AR32" s="316" t="s">
        <v>627</v>
      </c>
      <c r="AS32" s="316" t="s">
        <v>628</v>
      </c>
      <c r="AT32" s="718">
        <v>0.32500000000000001</v>
      </c>
      <c r="AU32" s="316" t="s">
        <v>514</v>
      </c>
      <c r="AV32" s="316" t="s">
        <v>552</v>
      </c>
      <c r="AW32" s="718">
        <v>0</v>
      </c>
      <c r="AX32" s="463">
        <f t="shared" si="10"/>
        <v>0.75</v>
      </c>
      <c r="AY32" s="661">
        <v>0.4</v>
      </c>
      <c r="AZ32" s="316" t="s">
        <v>627</v>
      </c>
      <c r="BA32" s="316" t="s">
        <v>628</v>
      </c>
      <c r="BB32" s="463">
        <v>0.1</v>
      </c>
      <c r="BC32" s="316" t="s">
        <v>514</v>
      </c>
      <c r="BD32" s="316" t="s">
        <v>552</v>
      </c>
      <c r="BE32" s="463">
        <v>0</v>
      </c>
      <c r="BF32" s="728">
        <f t="shared" si="11"/>
        <v>0.5</v>
      </c>
      <c r="BG32" s="463"/>
      <c r="BH32" s="463">
        <v>0.4</v>
      </c>
      <c r="BI32" s="316" t="s">
        <v>627</v>
      </c>
      <c r="BJ32" s="316" t="s">
        <v>628</v>
      </c>
      <c r="BK32" s="463">
        <v>0.1</v>
      </c>
      <c r="BL32" s="316" t="s">
        <v>514</v>
      </c>
      <c r="BM32" s="316" t="s">
        <v>552</v>
      </c>
      <c r="BN32" s="463">
        <v>0</v>
      </c>
      <c r="BO32" s="728">
        <f t="shared" si="14"/>
        <v>0.5</v>
      </c>
      <c r="BP32" s="463">
        <v>0.4</v>
      </c>
      <c r="BQ32" s="316" t="s">
        <v>627</v>
      </c>
      <c r="BR32" s="316" t="s">
        <v>628</v>
      </c>
      <c r="BS32" s="463">
        <v>0.1</v>
      </c>
      <c r="BT32" s="316" t="s">
        <v>514</v>
      </c>
      <c r="BU32" s="316" t="s">
        <v>552</v>
      </c>
      <c r="BV32" s="463">
        <v>0</v>
      </c>
      <c r="BW32" s="463">
        <f t="shared" si="15"/>
        <v>0.5</v>
      </c>
      <c r="BX32" s="444"/>
      <c r="BY32" s="444"/>
      <c r="BZ32" s="444"/>
      <c r="CA32" s="434"/>
      <c r="CB32" s="723">
        <v>0.67700000000000005</v>
      </c>
      <c r="CC32" s="668" t="s">
        <v>950</v>
      </c>
      <c r="CD32" s="316" t="s">
        <v>627</v>
      </c>
      <c r="CE32" s="316" t="s">
        <v>628</v>
      </c>
      <c r="CF32" s="718">
        <v>0.6</v>
      </c>
      <c r="CG32" s="316" t="s">
        <v>514</v>
      </c>
      <c r="CH32" s="316" t="s">
        <v>552</v>
      </c>
      <c r="CI32" s="718">
        <v>0</v>
      </c>
    </row>
    <row r="33" spans="1:90" ht="15.75" customHeight="1" x14ac:dyDescent="0.2">
      <c r="A33" s="462" t="s">
        <v>784</v>
      </c>
      <c r="B33" s="316" t="s">
        <v>783</v>
      </c>
      <c r="C33" s="718">
        <v>0.3</v>
      </c>
      <c r="D33" s="316" t="s">
        <v>680</v>
      </c>
      <c r="E33" s="316" t="s">
        <v>681</v>
      </c>
      <c r="F33" s="718">
        <v>0.37</v>
      </c>
      <c r="G33" s="316" t="s">
        <v>514</v>
      </c>
      <c r="H33" s="316" t="s">
        <v>514</v>
      </c>
      <c r="I33" s="718">
        <v>0</v>
      </c>
      <c r="J33" s="728">
        <f t="shared" si="9"/>
        <v>0.66999999999999993</v>
      </c>
      <c r="K33" s="718">
        <v>0.3</v>
      </c>
      <c r="L33" s="316" t="s">
        <v>680</v>
      </c>
      <c r="M33" s="316" t="s">
        <v>681</v>
      </c>
      <c r="N33" s="718">
        <v>0.37</v>
      </c>
      <c r="O33" s="316" t="s">
        <v>514</v>
      </c>
      <c r="P33" s="316" t="s">
        <v>514</v>
      </c>
      <c r="Q33" s="718">
        <v>0</v>
      </c>
      <c r="R33" s="728">
        <f t="shared" si="1"/>
        <v>0.66999999999999993</v>
      </c>
      <c r="S33" s="718">
        <v>0.3</v>
      </c>
      <c r="T33" s="316" t="s">
        <v>680</v>
      </c>
      <c r="U33" s="316" t="s">
        <v>681</v>
      </c>
      <c r="V33" s="718">
        <v>0.37</v>
      </c>
      <c r="W33" s="316" t="s">
        <v>514</v>
      </c>
      <c r="X33" s="316" t="s">
        <v>514</v>
      </c>
      <c r="Y33" s="718">
        <v>0</v>
      </c>
      <c r="Z33" s="728">
        <f t="shared" si="16"/>
        <v>0.66999999999999993</v>
      </c>
      <c r="AA33" s="718">
        <v>0.3</v>
      </c>
      <c r="AB33" s="316" t="s">
        <v>680</v>
      </c>
      <c r="AC33" s="316" t="s">
        <v>681</v>
      </c>
      <c r="AD33" s="718">
        <v>0.37</v>
      </c>
      <c r="AE33" s="316" t="s">
        <v>514</v>
      </c>
      <c r="AF33" s="316" t="s">
        <v>514</v>
      </c>
      <c r="AG33" s="718">
        <v>0</v>
      </c>
      <c r="AH33" s="728">
        <f t="shared" si="12"/>
        <v>0.66999999999999993</v>
      </c>
      <c r="AI33" s="718">
        <v>0.3</v>
      </c>
      <c r="AJ33" s="316" t="s">
        <v>680</v>
      </c>
      <c r="AK33" s="316" t="s">
        <v>681</v>
      </c>
      <c r="AL33" s="718">
        <v>0.37</v>
      </c>
      <c r="AM33" s="316" t="s">
        <v>514</v>
      </c>
      <c r="AN33" s="316" t="s">
        <v>514</v>
      </c>
      <c r="AO33" s="718">
        <v>0</v>
      </c>
      <c r="AP33" s="728">
        <f t="shared" si="13"/>
        <v>0.66999999999999993</v>
      </c>
      <c r="AQ33" s="718">
        <v>0.48</v>
      </c>
      <c r="AR33" s="316" t="s">
        <v>680</v>
      </c>
      <c r="AS33" s="316" t="s">
        <v>681</v>
      </c>
      <c r="AT33" s="718">
        <v>0.27</v>
      </c>
      <c r="AU33" s="316" t="s">
        <v>514</v>
      </c>
      <c r="AV33" s="316" t="s">
        <v>514</v>
      </c>
      <c r="AW33" s="718">
        <v>0</v>
      </c>
      <c r="AX33" s="463">
        <f t="shared" si="10"/>
        <v>0.75</v>
      </c>
      <c r="AY33" s="661">
        <v>0.64</v>
      </c>
      <c r="AZ33" s="316" t="s">
        <v>680</v>
      </c>
      <c r="BA33" s="316" t="s">
        <v>681</v>
      </c>
      <c r="BB33" s="463">
        <v>0.36</v>
      </c>
      <c r="BC33" s="316" t="s">
        <v>514</v>
      </c>
      <c r="BD33" s="316" t="s">
        <v>514</v>
      </c>
      <c r="BE33" s="463">
        <v>0</v>
      </c>
      <c r="BF33" s="728">
        <f t="shared" si="11"/>
        <v>1</v>
      </c>
      <c r="BG33" s="463"/>
      <c r="BH33" s="463">
        <v>0.3</v>
      </c>
      <c r="BI33" s="316" t="s">
        <v>680</v>
      </c>
      <c r="BJ33" s="316" t="s">
        <v>681</v>
      </c>
      <c r="BK33" s="463">
        <v>0.37</v>
      </c>
      <c r="BL33" s="316" t="s">
        <v>514</v>
      </c>
      <c r="BM33" s="316" t="s">
        <v>514</v>
      </c>
      <c r="BN33" s="463">
        <v>0</v>
      </c>
      <c r="BO33" s="728">
        <f t="shared" si="14"/>
        <v>0.66999999999999993</v>
      </c>
      <c r="BP33" s="463">
        <v>0.3</v>
      </c>
      <c r="BQ33" s="316" t="s">
        <v>680</v>
      </c>
      <c r="BR33" s="316" t="s">
        <v>681</v>
      </c>
      <c r="BS33" s="463">
        <v>0.2</v>
      </c>
      <c r="BT33" s="316" t="s">
        <v>514</v>
      </c>
      <c r="BU33" s="316" t="s">
        <v>514</v>
      </c>
      <c r="BV33" s="463">
        <v>0</v>
      </c>
      <c r="BW33" s="463">
        <f t="shared" si="15"/>
        <v>0.5</v>
      </c>
      <c r="BX33" s="444"/>
      <c r="BY33" s="444"/>
      <c r="BZ33" s="444"/>
      <c r="CA33" s="436" t="s">
        <v>874</v>
      </c>
      <c r="CB33" s="723">
        <v>0.78</v>
      </c>
      <c r="CC33" s="668" t="s">
        <v>950</v>
      </c>
      <c r="CD33" s="316" t="s">
        <v>680</v>
      </c>
      <c r="CE33" s="316" t="s">
        <v>681</v>
      </c>
      <c r="CF33" s="718">
        <v>0.2</v>
      </c>
      <c r="CG33" s="316" t="s">
        <v>514</v>
      </c>
      <c r="CH33" s="316" t="s">
        <v>514</v>
      </c>
      <c r="CI33" s="718">
        <v>0</v>
      </c>
    </row>
    <row r="34" spans="1:90" ht="15.75" customHeight="1" x14ac:dyDescent="0.2">
      <c r="A34" s="462" t="s">
        <v>786</v>
      </c>
      <c r="B34" s="316" t="s">
        <v>785</v>
      </c>
      <c r="C34" s="718">
        <v>0.4</v>
      </c>
      <c r="D34" s="316" t="s">
        <v>581</v>
      </c>
      <c r="E34" s="316" t="s">
        <v>582</v>
      </c>
      <c r="F34" s="718">
        <v>0.09</v>
      </c>
      <c r="G34" s="316" t="s">
        <v>578</v>
      </c>
      <c r="H34" s="316" t="s">
        <v>1244</v>
      </c>
      <c r="I34" s="718">
        <v>0.01</v>
      </c>
      <c r="J34" s="728">
        <f t="shared" si="9"/>
        <v>0.5</v>
      </c>
      <c r="K34" s="718">
        <v>0.4</v>
      </c>
      <c r="L34" s="316" t="s">
        <v>581</v>
      </c>
      <c r="M34" s="316" t="s">
        <v>582</v>
      </c>
      <c r="N34" s="718">
        <v>0.09</v>
      </c>
      <c r="O34" s="316" t="s">
        <v>578</v>
      </c>
      <c r="P34" s="316" t="s">
        <v>1244</v>
      </c>
      <c r="Q34" s="718">
        <v>0.01</v>
      </c>
      <c r="R34" s="728">
        <f t="shared" si="1"/>
        <v>0.5</v>
      </c>
      <c r="S34" s="718">
        <v>0.4</v>
      </c>
      <c r="T34" s="316" t="s">
        <v>581</v>
      </c>
      <c r="U34" s="316" t="s">
        <v>582</v>
      </c>
      <c r="V34" s="718">
        <v>0.09</v>
      </c>
      <c r="W34" s="316" t="s">
        <v>578</v>
      </c>
      <c r="X34" s="316" t="s">
        <v>1244</v>
      </c>
      <c r="Y34" s="718">
        <v>0.01</v>
      </c>
      <c r="Z34" s="728">
        <f t="shared" si="16"/>
        <v>0.5</v>
      </c>
      <c r="AA34" s="718">
        <v>0.4</v>
      </c>
      <c r="AB34" s="316" t="s">
        <v>581</v>
      </c>
      <c r="AC34" s="316" t="s">
        <v>582</v>
      </c>
      <c r="AD34" s="718">
        <v>0.09</v>
      </c>
      <c r="AE34" s="316" t="s">
        <v>578</v>
      </c>
      <c r="AF34" s="316" t="s">
        <v>1244</v>
      </c>
      <c r="AG34" s="718">
        <v>0.01</v>
      </c>
      <c r="AH34" s="728">
        <f t="shared" si="12"/>
        <v>0.5</v>
      </c>
      <c r="AI34" s="718">
        <v>0.4</v>
      </c>
      <c r="AJ34" s="316" t="s">
        <v>581</v>
      </c>
      <c r="AK34" s="316" t="s">
        <v>582</v>
      </c>
      <c r="AL34" s="718">
        <v>0.09</v>
      </c>
      <c r="AM34" s="316" t="s">
        <v>578</v>
      </c>
      <c r="AN34" s="316" t="s">
        <v>1244</v>
      </c>
      <c r="AO34" s="718">
        <v>0.01</v>
      </c>
      <c r="AP34" s="728">
        <f t="shared" si="13"/>
        <v>0.5</v>
      </c>
      <c r="AQ34" s="718">
        <v>0.4</v>
      </c>
      <c r="AR34" s="316" t="s">
        <v>581</v>
      </c>
      <c r="AS34" s="316" t="s">
        <v>582</v>
      </c>
      <c r="AT34" s="718">
        <v>0.09</v>
      </c>
      <c r="AU34" s="316" t="s">
        <v>578</v>
      </c>
      <c r="AV34" s="316" t="s">
        <v>1244</v>
      </c>
      <c r="AW34" s="718">
        <v>0.01</v>
      </c>
      <c r="AX34" s="463">
        <f t="shared" si="10"/>
        <v>0.5</v>
      </c>
      <c r="AY34" s="661">
        <v>0.4</v>
      </c>
      <c r="AZ34" s="316" t="s">
        <v>581</v>
      </c>
      <c r="BA34" s="316" t="s">
        <v>582</v>
      </c>
      <c r="BB34" s="463">
        <v>0.09</v>
      </c>
      <c r="BC34" s="316" t="s">
        <v>578</v>
      </c>
      <c r="BD34" s="316" t="s">
        <v>579</v>
      </c>
      <c r="BE34" s="463">
        <v>0.01</v>
      </c>
      <c r="BF34" s="728">
        <f t="shared" si="11"/>
        <v>0.5</v>
      </c>
      <c r="BG34" s="463"/>
      <c r="BH34" s="463">
        <v>0.4</v>
      </c>
      <c r="BI34" s="316" t="s">
        <v>581</v>
      </c>
      <c r="BJ34" s="316" t="s">
        <v>582</v>
      </c>
      <c r="BK34" s="463">
        <v>0.09</v>
      </c>
      <c r="BL34" s="316" t="s">
        <v>578</v>
      </c>
      <c r="BM34" s="316" t="s">
        <v>579</v>
      </c>
      <c r="BN34" s="463">
        <v>0.01</v>
      </c>
      <c r="BO34" s="728">
        <f t="shared" si="14"/>
        <v>0.5</v>
      </c>
      <c r="BP34" s="463">
        <v>0.4</v>
      </c>
      <c r="BQ34" s="316" t="s">
        <v>581</v>
      </c>
      <c r="BR34" s="316" t="s">
        <v>582</v>
      </c>
      <c r="BS34" s="463">
        <v>0.09</v>
      </c>
      <c r="BT34" s="316" t="s">
        <v>578</v>
      </c>
      <c r="BU34" s="316" t="s">
        <v>579</v>
      </c>
      <c r="BV34" s="463">
        <v>0.01</v>
      </c>
      <c r="BW34" s="463">
        <f t="shared" si="15"/>
        <v>0.5</v>
      </c>
      <c r="BX34" s="444"/>
      <c r="BY34" s="444"/>
      <c r="BZ34" s="444"/>
      <c r="CA34" s="434"/>
      <c r="CB34" s="723">
        <v>0.72799999999999998</v>
      </c>
      <c r="CC34" s="668" t="s">
        <v>950</v>
      </c>
      <c r="CD34" s="316" t="s">
        <v>581</v>
      </c>
      <c r="CE34" s="316" t="s">
        <v>582</v>
      </c>
      <c r="CF34" s="718">
        <v>0.59</v>
      </c>
      <c r="CG34" s="316" t="s">
        <v>578</v>
      </c>
      <c r="CH34" s="316" t="s">
        <v>579</v>
      </c>
      <c r="CI34" s="718">
        <v>0.01</v>
      </c>
    </row>
    <row r="35" spans="1:90" ht="15.75" customHeight="1" x14ac:dyDescent="0.2">
      <c r="A35" s="462" t="s">
        <v>788</v>
      </c>
      <c r="B35" s="316" t="s">
        <v>572</v>
      </c>
      <c r="C35" s="718">
        <v>0.49</v>
      </c>
      <c r="D35" s="316" t="s">
        <v>514</v>
      </c>
      <c r="E35" s="316" t="s">
        <v>515</v>
      </c>
      <c r="F35" s="718">
        <v>0</v>
      </c>
      <c r="G35" s="316" t="s">
        <v>573</v>
      </c>
      <c r="H35" s="316" t="s">
        <v>574</v>
      </c>
      <c r="I35" s="718">
        <v>0.01</v>
      </c>
      <c r="J35" s="728">
        <f t="shared" si="9"/>
        <v>0.5</v>
      </c>
      <c r="K35" s="718">
        <v>0.49</v>
      </c>
      <c r="L35" s="316" t="s">
        <v>514</v>
      </c>
      <c r="M35" s="316" t="s">
        <v>515</v>
      </c>
      <c r="N35" s="718">
        <v>0</v>
      </c>
      <c r="O35" s="316" t="s">
        <v>573</v>
      </c>
      <c r="P35" s="316" t="s">
        <v>574</v>
      </c>
      <c r="Q35" s="718">
        <v>0.01</v>
      </c>
      <c r="R35" s="728">
        <f t="shared" si="1"/>
        <v>0.5</v>
      </c>
      <c r="S35" s="718">
        <v>0.49</v>
      </c>
      <c r="T35" s="316" t="s">
        <v>514</v>
      </c>
      <c r="U35" s="316" t="s">
        <v>515</v>
      </c>
      <c r="V35" s="718">
        <v>0</v>
      </c>
      <c r="W35" s="316" t="s">
        <v>573</v>
      </c>
      <c r="X35" s="316" t="s">
        <v>574</v>
      </c>
      <c r="Y35" s="718">
        <v>0.01</v>
      </c>
      <c r="Z35" s="728">
        <f t="shared" si="16"/>
        <v>0.5</v>
      </c>
      <c r="AA35" s="718">
        <v>0.49</v>
      </c>
      <c r="AB35" s="316" t="s">
        <v>514</v>
      </c>
      <c r="AC35" s="316" t="s">
        <v>515</v>
      </c>
      <c r="AD35" s="718">
        <v>0</v>
      </c>
      <c r="AE35" s="316" t="s">
        <v>573</v>
      </c>
      <c r="AF35" s="316" t="s">
        <v>574</v>
      </c>
      <c r="AG35" s="718">
        <v>0.01</v>
      </c>
      <c r="AH35" s="728">
        <f t="shared" si="12"/>
        <v>0.5</v>
      </c>
      <c r="AI35" s="718">
        <v>0.49</v>
      </c>
      <c r="AJ35" s="316" t="s">
        <v>514</v>
      </c>
      <c r="AK35" s="316" t="s">
        <v>515</v>
      </c>
      <c r="AL35" s="718">
        <v>0</v>
      </c>
      <c r="AM35" s="316" t="s">
        <v>573</v>
      </c>
      <c r="AN35" s="316" t="s">
        <v>574</v>
      </c>
      <c r="AO35" s="718">
        <v>0.01</v>
      </c>
      <c r="AP35" s="728">
        <f t="shared" si="13"/>
        <v>0.5</v>
      </c>
      <c r="AQ35" s="718">
        <v>0.49</v>
      </c>
      <c r="AR35" s="316" t="s">
        <v>514</v>
      </c>
      <c r="AS35" s="316" t="s">
        <v>515</v>
      </c>
      <c r="AT35" s="718">
        <v>0</v>
      </c>
      <c r="AU35" s="316" t="s">
        <v>573</v>
      </c>
      <c r="AV35" s="316" t="s">
        <v>574</v>
      </c>
      <c r="AW35" s="718">
        <v>0.01</v>
      </c>
      <c r="AX35" s="463">
        <f t="shared" si="10"/>
        <v>0.5</v>
      </c>
      <c r="AY35" s="661">
        <v>0.49</v>
      </c>
      <c r="AZ35" s="316" t="s">
        <v>514</v>
      </c>
      <c r="BA35" s="316" t="s">
        <v>515</v>
      </c>
      <c r="BB35" s="463">
        <v>0</v>
      </c>
      <c r="BC35" s="316" t="s">
        <v>573</v>
      </c>
      <c r="BD35" s="316" t="s">
        <v>574</v>
      </c>
      <c r="BE35" s="463">
        <v>0.01</v>
      </c>
      <c r="BF35" s="728">
        <f t="shared" si="11"/>
        <v>0.5</v>
      </c>
      <c r="BG35" s="463"/>
      <c r="BH35" s="463">
        <v>0.49</v>
      </c>
      <c r="BI35" s="316" t="s">
        <v>514</v>
      </c>
      <c r="BJ35" s="316" t="s">
        <v>515</v>
      </c>
      <c r="BK35" s="463">
        <v>0</v>
      </c>
      <c r="BL35" s="316" t="s">
        <v>573</v>
      </c>
      <c r="BM35" s="316" t="s">
        <v>574</v>
      </c>
      <c r="BN35" s="463">
        <v>0.01</v>
      </c>
      <c r="BO35" s="728">
        <f t="shared" si="14"/>
        <v>0.5</v>
      </c>
      <c r="BP35" s="463">
        <v>0.49</v>
      </c>
      <c r="BQ35" s="316" t="s">
        <v>514</v>
      </c>
      <c r="BR35" s="316" t="s">
        <v>515</v>
      </c>
      <c r="BS35" s="463">
        <v>0</v>
      </c>
      <c r="BT35" s="316" t="s">
        <v>573</v>
      </c>
      <c r="BU35" s="316" t="s">
        <v>574</v>
      </c>
      <c r="BV35" s="463">
        <v>0.01</v>
      </c>
      <c r="BW35" s="463">
        <f t="shared" si="15"/>
        <v>0.5</v>
      </c>
      <c r="BX35" s="444"/>
      <c r="BY35" s="444"/>
      <c r="BZ35" s="444"/>
      <c r="CA35" s="436" t="s">
        <v>874</v>
      </c>
      <c r="CB35" s="723">
        <v>0.70099999999999996</v>
      </c>
      <c r="CC35" s="668" t="s">
        <v>950</v>
      </c>
      <c r="CD35" s="316" t="s">
        <v>514</v>
      </c>
      <c r="CE35" s="316" t="s">
        <v>515</v>
      </c>
      <c r="CF35" s="718">
        <v>0</v>
      </c>
      <c r="CG35" s="316" t="s">
        <v>573</v>
      </c>
      <c r="CH35" s="316" t="s">
        <v>574</v>
      </c>
      <c r="CI35" s="718">
        <v>0.01</v>
      </c>
    </row>
    <row r="36" spans="1:90" ht="15" x14ac:dyDescent="0.2">
      <c r="A36" s="462" t="s">
        <v>790</v>
      </c>
      <c r="B36" s="838" t="s">
        <v>518</v>
      </c>
      <c r="C36" s="718">
        <v>0.94</v>
      </c>
      <c r="D36" s="316" t="s">
        <v>1178</v>
      </c>
      <c r="E36" s="316" t="s">
        <v>1179</v>
      </c>
      <c r="F36" s="718">
        <v>0.05</v>
      </c>
      <c r="G36" s="316" t="s">
        <v>516</v>
      </c>
      <c r="H36" s="316" t="s">
        <v>517</v>
      </c>
      <c r="I36" s="718">
        <v>0.01</v>
      </c>
      <c r="J36" s="728">
        <f t="shared" si="9"/>
        <v>1</v>
      </c>
      <c r="K36" s="718">
        <v>0.94</v>
      </c>
      <c r="L36" s="316" t="s">
        <v>1178</v>
      </c>
      <c r="M36" s="316" t="s">
        <v>1179</v>
      </c>
      <c r="N36" s="718">
        <v>0.05</v>
      </c>
      <c r="O36" s="316" t="s">
        <v>516</v>
      </c>
      <c r="P36" s="316" t="s">
        <v>517</v>
      </c>
      <c r="Q36" s="718">
        <v>0.01</v>
      </c>
      <c r="R36" s="728">
        <f t="shared" si="1"/>
        <v>1</v>
      </c>
      <c r="S36" s="718">
        <v>0.94</v>
      </c>
      <c r="T36" s="316" t="s">
        <v>1178</v>
      </c>
      <c r="U36" s="316" t="s">
        <v>1179</v>
      </c>
      <c r="V36" s="718">
        <v>0.05</v>
      </c>
      <c r="W36" s="316" t="s">
        <v>516</v>
      </c>
      <c r="X36" s="316" t="s">
        <v>517</v>
      </c>
      <c r="Y36" s="718">
        <v>0.01</v>
      </c>
      <c r="Z36" s="728">
        <f t="shared" si="16"/>
        <v>1</v>
      </c>
      <c r="AA36" s="718">
        <v>0.94</v>
      </c>
      <c r="AB36" s="316" t="s">
        <v>1178</v>
      </c>
      <c r="AC36" s="316" t="s">
        <v>1179</v>
      </c>
      <c r="AD36" s="718">
        <v>0.05</v>
      </c>
      <c r="AE36" s="316" t="s">
        <v>516</v>
      </c>
      <c r="AF36" s="316" t="s">
        <v>517</v>
      </c>
      <c r="AG36" s="718">
        <v>0.01</v>
      </c>
      <c r="AH36" s="728">
        <f t="shared" si="12"/>
        <v>1</v>
      </c>
      <c r="AI36" s="718">
        <v>0.94</v>
      </c>
      <c r="AJ36" s="316" t="s">
        <v>1178</v>
      </c>
      <c r="AK36" s="316" t="s">
        <v>1179</v>
      </c>
      <c r="AL36" s="718">
        <v>0.05</v>
      </c>
      <c r="AM36" s="316" t="s">
        <v>516</v>
      </c>
      <c r="AN36" s="316" t="s">
        <v>517</v>
      </c>
      <c r="AO36" s="718">
        <v>0.01</v>
      </c>
      <c r="AP36" s="728">
        <f t="shared" si="13"/>
        <v>1</v>
      </c>
      <c r="AQ36" s="718">
        <v>0.94</v>
      </c>
      <c r="AR36" s="316" t="s">
        <v>1178</v>
      </c>
      <c r="AS36" s="316" t="s">
        <v>1179</v>
      </c>
      <c r="AT36" s="718">
        <v>0.05</v>
      </c>
      <c r="AU36" s="316" t="s">
        <v>516</v>
      </c>
      <c r="AV36" s="316" t="s">
        <v>517</v>
      </c>
      <c r="AW36" s="718">
        <v>0.01</v>
      </c>
      <c r="AX36" s="463">
        <f t="shared" si="10"/>
        <v>1</v>
      </c>
      <c r="AY36" s="661">
        <v>0.94</v>
      </c>
      <c r="AZ36" s="316" t="s">
        <v>1178</v>
      </c>
      <c r="BA36" s="316" t="s">
        <v>1179</v>
      </c>
      <c r="BB36" s="463">
        <v>0.05</v>
      </c>
      <c r="BC36" s="316" t="s">
        <v>516</v>
      </c>
      <c r="BD36" s="316" t="s">
        <v>517</v>
      </c>
      <c r="BE36" s="463">
        <v>0.01</v>
      </c>
      <c r="BF36" s="728">
        <f t="shared" si="11"/>
        <v>1</v>
      </c>
      <c r="BG36" s="463"/>
      <c r="BH36" s="463">
        <v>0.94</v>
      </c>
      <c r="BI36" s="316" t="s">
        <v>1178</v>
      </c>
      <c r="BJ36" s="316" t="s">
        <v>1179</v>
      </c>
      <c r="BK36" s="463">
        <v>0.05</v>
      </c>
      <c r="BL36" s="316" t="s">
        <v>516</v>
      </c>
      <c r="BM36" s="316" t="s">
        <v>517</v>
      </c>
      <c r="BN36" s="463">
        <v>0.01</v>
      </c>
      <c r="BO36" s="728">
        <f t="shared" si="14"/>
        <v>1</v>
      </c>
      <c r="BP36" s="463">
        <v>0.49</v>
      </c>
      <c r="BQ36" s="316" t="s">
        <v>514</v>
      </c>
      <c r="BR36" s="316" t="s">
        <v>515</v>
      </c>
      <c r="BS36" s="463">
        <v>0</v>
      </c>
      <c r="BT36" s="316" t="s">
        <v>516</v>
      </c>
      <c r="BU36" s="316" t="s">
        <v>517</v>
      </c>
      <c r="BV36" s="463">
        <v>0.01</v>
      </c>
      <c r="BW36" s="463">
        <f t="shared" si="15"/>
        <v>0.5</v>
      </c>
      <c r="BX36" s="444" t="s">
        <v>874</v>
      </c>
      <c r="BY36" s="444"/>
      <c r="BZ36" s="444"/>
      <c r="CA36" s="436" t="s">
        <v>874</v>
      </c>
      <c r="CB36" s="723">
        <v>0.69499999999999995</v>
      </c>
      <c r="CC36" s="668" t="s">
        <v>950</v>
      </c>
      <c r="CD36" s="316" t="s">
        <v>1178</v>
      </c>
      <c r="CE36" s="316" t="s">
        <v>1179</v>
      </c>
      <c r="CF36" s="718">
        <v>0.59</v>
      </c>
      <c r="CG36" s="316" t="s">
        <v>516</v>
      </c>
      <c r="CH36" s="316" t="s">
        <v>517</v>
      </c>
      <c r="CI36" s="718">
        <v>0.01</v>
      </c>
    </row>
    <row r="37" spans="1:90" ht="15.75" customHeight="1" x14ac:dyDescent="0.2">
      <c r="A37" s="462" t="s">
        <v>792</v>
      </c>
      <c r="B37" s="316" t="s">
        <v>791</v>
      </c>
      <c r="C37" s="718">
        <v>0.4</v>
      </c>
      <c r="D37" s="316" t="s">
        <v>627</v>
      </c>
      <c r="E37" s="316" t="s">
        <v>628</v>
      </c>
      <c r="F37" s="718">
        <v>0.1</v>
      </c>
      <c r="G37" s="316" t="s">
        <v>514</v>
      </c>
      <c r="H37" s="316" t="s">
        <v>552</v>
      </c>
      <c r="I37" s="718">
        <v>0</v>
      </c>
      <c r="J37" s="728">
        <f t="shared" si="9"/>
        <v>0.5</v>
      </c>
      <c r="K37" s="718">
        <v>0.4</v>
      </c>
      <c r="L37" s="316" t="s">
        <v>627</v>
      </c>
      <c r="M37" s="316" t="s">
        <v>628</v>
      </c>
      <c r="N37" s="718">
        <v>0.1</v>
      </c>
      <c r="O37" s="316" t="s">
        <v>514</v>
      </c>
      <c r="P37" s="316" t="s">
        <v>552</v>
      </c>
      <c r="Q37" s="718">
        <v>0</v>
      </c>
      <c r="R37" s="728">
        <f t="shared" si="1"/>
        <v>0.5</v>
      </c>
      <c r="S37" s="718">
        <v>0.4</v>
      </c>
      <c r="T37" s="316" t="s">
        <v>627</v>
      </c>
      <c r="U37" s="316" t="s">
        <v>628</v>
      </c>
      <c r="V37" s="718">
        <v>0.1</v>
      </c>
      <c r="W37" s="316" t="s">
        <v>514</v>
      </c>
      <c r="X37" s="316" t="s">
        <v>552</v>
      </c>
      <c r="Y37" s="718">
        <v>0</v>
      </c>
      <c r="Z37" s="728">
        <f t="shared" si="16"/>
        <v>0.5</v>
      </c>
      <c r="AA37" s="718">
        <v>0.4</v>
      </c>
      <c r="AB37" s="316" t="s">
        <v>627</v>
      </c>
      <c r="AC37" s="316" t="s">
        <v>628</v>
      </c>
      <c r="AD37" s="718">
        <v>0.1</v>
      </c>
      <c r="AE37" s="316" t="s">
        <v>514</v>
      </c>
      <c r="AF37" s="316" t="s">
        <v>552</v>
      </c>
      <c r="AG37" s="718">
        <v>0</v>
      </c>
      <c r="AH37" s="728">
        <f t="shared" si="12"/>
        <v>0.5</v>
      </c>
      <c r="AI37" s="718">
        <v>0.4</v>
      </c>
      <c r="AJ37" s="316" t="s">
        <v>627</v>
      </c>
      <c r="AK37" s="316" t="s">
        <v>628</v>
      </c>
      <c r="AL37" s="718">
        <v>0.1</v>
      </c>
      <c r="AM37" s="316" t="s">
        <v>514</v>
      </c>
      <c r="AN37" s="316" t="s">
        <v>552</v>
      </c>
      <c r="AO37" s="718">
        <v>0</v>
      </c>
      <c r="AP37" s="728">
        <f t="shared" si="13"/>
        <v>0.5</v>
      </c>
      <c r="AQ37" s="718">
        <v>0.42499999999999999</v>
      </c>
      <c r="AR37" s="316" t="s">
        <v>627</v>
      </c>
      <c r="AS37" s="316" t="s">
        <v>628</v>
      </c>
      <c r="AT37" s="718">
        <v>0.32500000000000001</v>
      </c>
      <c r="AU37" s="316" t="s">
        <v>514</v>
      </c>
      <c r="AV37" s="316" t="s">
        <v>552</v>
      </c>
      <c r="AW37" s="718">
        <v>0</v>
      </c>
      <c r="AX37" s="463">
        <f t="shared" si="10"/>
        <v>0.75</v>
      </c>
      <c r="AY37" s="661">
        <v>0.4</v>
      </c>
      <c r="AZ37" s="316" t="s">
        <v>627</v>
      </c>
      <c r="BA37" s="316" t="s">
        <v>628</v>
      </c>
      <c r="BB37" s="463">
        <v>0.1</v>
      </c>
      <c r="BC37" s="316" t="s">
        <v>514</v>
      </c>
      <c r="BD37" s="316" t="s">
        <v>552</v>
      </c>
      <c r="BE37" s="463">
        <v>0</v>
      </c>
      <c r="BF37" s="728">
        <f t="shared" si="11"/>
        <v>0.5</v>
      </c>
      <c r="BG37" s="463"/>
      <c r="BH37" s="463">
        <v>0.4</v>
      </c>
      <c r="BI37" s="316" t="s">
        <v>627</v>
      </c>
      <c r="BJ37" s="316" t="s">
        <v>628</v>
      </c>
      <c r="BK37" s="463">
        <v>0.1</v>
      </c>
      <c r="BL37" s="316" t="s">
        <v>514</v>
      </c>
      <c r="BM37" s="316" t="s">
        <v>552</v>
      </c>
      <c r="BN37" s="463">
        <v>0</v>
      </c>
      <c r="BO37" s="728">
        <f t="shared" si="14"/>
        <v>0.5</v>
      </c>
      <c r="BP37" s="463">
        <v>0.4</v>
      </c>
      <c r="BQ37" s="316" t="s">
        <v>627</v>
      </c>
      <c r="BR37" s="316" t="s">
        <v>628</v>
      </c>
      <c r="BS37" s="463">
        <v>0.1</v>
      </c>
      <c r="BT37" s="316" t="s">
        <v>514</v>
      </c>
      <c r="BU37" s="316" t="s">
        <v>552</v>
      </c>
      <c r="BV37" s="463">
        <v>0</v>
      </c>
      <c r="BW37" s="463">
        <f t="shared" si="15"/>
        <v>0.5</v>
      </c>
      <c r="BX37" s="444"/>
      <c r="BY37" s="444"/>
      <c r="BZ37" s="444"/>
      <c r="CA37" s="434"/>
      <c r="CB37" s="723">
        <v>0.65300000000000002</v>
      </c>
      <c r="CC37" s="668" t="s">
        <v>950</v>
      </c>
      <c r="CD37" s="316" t="s">
        <v>627</v>
      </c>
      <c r="CE37" s="316" t="s">
        <v>628</v>
      </c>
      <c r="CF37" s="718">
        <v>0.6</v>
      </c>
      <c r="CG37" s="316" t="s">
        <v>514</v>
      </c>
      <c r="CH37" s="316" t="s">
        <v>552</v>
      </c>
      <c r="CI37" s="718">
        <v>0</v>
      </c>
    </row>
    <row r="38" spans="1:90" ht="15.75" customHeight="1" x14ac:dyDescent="0.2">
      <c r="A38" s="462" t="s">
        <v>794</v>
      </c>
      <c r="B38" s="316" t="s">
        <v>793</v>
      </c>
      <c r="C38" s="718">
        <v>0.3</v>
      </c>
      <c r="D38" s="316" t="s">
        <v>680</v>
      </c>
      <c r="E38" s="316" t="s">
        <v>681</v>
      </c>
      <c r="F38" s="718">
        <v>0.37</v>
      </c>
      <c r="G38" s="316" t="s">
        <v>514</v>
      </c>
      <c r="H38" s="316" t="s">
        <v>514</v>
      </c>
      <c r="I38" s="718">
        <v>0</v>
      </c>
      <c r="J38" s="728">
        <f t="shared" si="9"/>
        <v>0.66999999999999993</v>
      </c>
      <c r="K38" s="718">
        <v>0.3</v>
      </c>
      <c r="L38" s="316" t="s">
        <v>680</v>
      </c>
      <c r="M38" s="316" t="s">
        <v>681</v>
      </c>
      <c r="N38" s="718">
        <v>0.37</v>
      </c>
      <c r="O38" s="316" t="s">
        <v>514</v>
      </c>
      <c r="P38" s="316" t="s">
        <v>514</v>
      </c>
      <c r="Q38" s="718">
        <v>0</v>
      </c>
      <c r="R38" s="728">
        <f t="shared" si="1"/>
        <v>0.66999999999999993</v>
      </c>
      <c r="S38" s="718">
        <v>0.3</v>
      </c>
      <c r="T38" s="316" t="s">
        <v>680</v>
      </c>
      <c r="U38" s="316" t="s">
        <v>681</v>
      </c>
      <c r="V38" s="718">
        <v>0.37</v>
      </c>
      <c r="W38" s="316" t="s">
        <v>514</v>
      </c>
      <c r="X38" s="316" t="s">
        <v>514</v>
      </c>
      <c r="Y38" s="718">
        <v>0</v>
      </c>
      <c r="Z38" s="728">
        <f t="shared" si="16"/>
        <v>0.66999999999999993</v>
      </c>
      <c r="AA38" s="718">
        <v>0.3</v>
      </c>
      <c r="AB38" s="316" t="s">
        <v>680</v>
      </c>
      <c r="AC38" s="316" t="s">
        <v>681</v>
      </c>
      <c r="AD38" s="718">
        <v>0.37</v>
      </c>
      <c r="AE38" s="316" t="s">
        <v>514</v>
      </c>
      <c r="AF38" s="316" t="s">
        <v>514</v>
      </c>
      <c r="AG38" s="718">
        <v>0</v>
      </c>
      <c r="AH38" s="728">
        <f t="shared" si="12"/>
        <v>0.66999999999999993</v>
      </c>
      <c r="AI38" s="718">
        <v>0.3</v>
      </c>
      <c r="AJ38" s="316" t="s">
        <v>680</v>
      </c>
      <c r="AK38" s="316" t="s">
        <v>681</v>
      </c>
      <c r="AL38" s="718">
        <v>0.37</v>
      </c>
      <c r="AM38" s="316" t="s">
        <v>514</v>
      </c>
      <c r="AN38" s="316" t="s">
        <v>514</v>
      </c>
      <c r="AO38" s="718">
        <v>0</v>
      </c>
      <c r="AP38" s="728">
        <f t="shared" si="13"/>
        <v>0.66999999999999993</v>
      </c>
      <c r="AQ38" s="718">
        <v>0.48</v>
      </c>
      <c r="AR38" s="316" t="s">
        <v>680</v>
      </c>
      <c r="AS38" s="316" t="s">
        <v>681</v>
      </c>
      <c r="AT38" s="718">
        <v>0.27</v>
      </c>
      <c r="AU38" s="316" t="s">
        <v>514</v>
      </c>
      <c r="AV38" s="316" t="s">
        <v>514</v>
      </c>
      <c r="AW38" s="718">
        <v>0</v>
      </c>
      <c r="AX38" s="463">
        <f t="shared" si="10"/>
        <v>0.75</v>
      </c>
      <c r="AY38" s="661">
        <v>0.64</v>
      </c>
      <c r="AZ38" s="316" t="s">
        <v>680</v>
      </c>
      <c r="BA38" s="316" t="s">
        <v>681</v>
      </c>
      <c r="BB38" s="463">
        <v>0.36</v>
      </c>
      <c r="BC38" s="316" t="s">
        <v>514</v>
      </c>
      <c r="BD38" s="316" t="s">
        <v>514</v>
      </c>
      <c r="BE38" s="463">
        <v>0</v>
      </c>
      <c r="BF38" s="728">
        <f t="shared" si="11"/>
        <v>1</v>
      </c>
      <c r="BG38" s="463"/>
      <c r="BH38" s="463">
        <v>0.3</v>
      </c>
      <c r="BI38" s="316" t="s">
        <v>680</v>
      </c>
      <c r="BJ38" s="316" t="s">
        <v>681</v>
      </c>
      <c r="BK38" s="463">
        <v>0.37</v>
      </c>
      <c r="BL38" s="316" t="s">
        <v>514</v>
      </c>
      <c r="BM38" s="316" t="s">
        <v>514</v>
      </c>
      <c r="BN38" s="463">
        <v>0</v>
      </c>
      <c r="BO38" s="728">
        <f t="shared" si="14"/>
        <v>0.66999999999999993</v>
      </c>
      <c r="BP38" s="463">
        <v>0.3</v>
      </c>
      <c r="BQ38" s="316" t="s">
        <v>680</v>
      </c>
      <c r="BR38" s="316" t="s">
        <v>681</v>
      </c>
      <c r="BS38" s="463">
        <v>0.2</v>
      </c>
      <c r="BT38" s="316" t="s">
        <v>514</v>
      </c>
      <c r="BU38" s="316" t="s">
        <v>514</v>
      </c>
      <c r="BV38" s="463">
        <v>0</v>
      </c>
      <c r="BW38" s="463">
        <f t="shared" si="15"/>
        <v>0.5</v>
      </c>
      <c r="BX38" s="444"/>
      <c r="BY38" s="444"/>
      <c r="BZ38" s="444"/>
      <c r="CA38" s="436" t="s">
        <v>874</v>
      </c>
      <c r="CB38" s="723">
        <v>0.75600000000000001</v>
      </c>
      <c r="CC38" s="668" t="s">
        <v>950</v>
      </c>
      <c r="CD38" s="316" t="s">
        <v>680</v>
      </c>
      <c r="CE38" s="316" t="s">
        <v>681</v>
      </c>
      <c r="CF38" s="718">
        <v>0.2</v>
      </c>
      <c r="CG38" s="316" t="s">
        <v>514</v>
      </c>
      <c r="CH38" s="316" t="s">
        <v>514</v>
      </c>
      <c r="CI38" s="718">
        <v>0</v>
      </c>
    </row>
    <row r="39" spans="1:90" ht="15.75" customHeight="1" x14ac:dyDescent="0.2">
      <c r="A39" s="747" t="s">
        <v>796</v>
      </c>
      <c r="B39" s="469" t="s">
        <v>795</v>
      </c>
      <c r="C39" s="718">
        <v>0.4</v>
      </c>
      <c r="D39" s="469" t="s">
        <v>594</v>
      </c>
      <c r="E39" s="469" t="s">
        <v>595</v>
      </c>
      <c r="F39" s="718">
        <v>0.09</v>
      </c>
      <c r="G39" s="469" t="s">
        <v>592</v>
      </c>
      <c r="H39" s="469" t="s">
        <v>593</v>
      </c>
      <c r="I39" s="718">
        <v>0.01</v>
      </c>
      <c r="J39" s="748">
        <f t="shared" ref="J39:J62" si="17">+C39+F39+I39</f>
        <v>0.5</v>
      </c>
      <c r="K39" s="718">
        <v>0.4</v>
      </c>
      <c r="L39" s="316" t="s">
        <v>594</v>
      </c>
      <c r="M39" s="316" t="s">
        <v>595</v>
      </c>
      <c r="N39" s="718">
        <v>0.09</v>
      </c>
      <c r="O39" s="316" t="s">
        <v>592</v>
      </c>
      <c r="P39" s="316" t="s">
        <v>593</v>
      </c>
      <c r="Q39" s="718">
        <v>0.01</v>
      </c>
      <c r="R39" s="728">
        <f t="shared" si="1"/>
        <v>0.5</v>
      </c>
      <c r="S39" s="718">
        <v>0.4</v>
      </c>
      <c r="T39" s="316" t="s">
        <v>594</v>
      </c>
      <c r="U39" s="316" t="s">
        <v>595</v>
      </c>
      <c r="V39" s="718">
        <v>0.09</v>
      </c>
      <c r="W39" s="316" t="s">
        <v>592</v>
      </c>
      <c r="X39" s="316" t="s">
        <v>593</v>
      </c>
      <c r="Y39" s="718">
        <v>0.01</v>
      </c>
      <c r="Z39" s="728">
        <f t="shared" si="16"/>
        <v>0.5</v>
      </c>
      <c r="AA39" s="718">
        <v>0.4</v>
      </c>
      <c r="AB39" s="316" t="s">
        <v>594</v>
      </c>
      <c r="AC39" s="316" t="s">
        <v>595</v>
      </c>
      <c r="AD39" s="718">
        <v>0.09</v>
      </c>
      <c r="AE39" s="316" t="s">
        <v>592</v>
      </c>
      <c r="AF39" s="316" t="s">
        <v>593</v>
      </c>
      <c r="AG39" s="718">
        <v>0.01</v>
      </c>
      <c r="AH39" s="728">
        <f t="shared" si="12"/>
        <v>0.5</v>
      </c>
      <c r="AI39" s="718">
        <v>0.4</v>
      </c>
      <c r="AJ39" s="316" t="s">
        <v>594</v>
      </c>
      <c r="AK39" s="316" t="s">
        <v>595</v>
      </c>
      <c r="AL39" s="718">
        <v>0.09</v>
      </c>
      <c r="AM39" s="316" t="s">
        <v>592</v>
      </c>
      <c r="AN39" s="316" t="s">
        <v>593</v>
      </c>
      <c r="AO39" s="718">
        <v>0.01</v>
      </c>
      <c r="AP39" s="728">
        <f t="shared" si="13"/>
        <v>0.5</v>
      </c>
      <c r="AQ39" s="718">
        <v>0</v>
      </c>
      <c r="AR39" s="316" t="s">
        <v>594</v>
      </c>
      <c r="AS39" s="316" t="s">
        <v>595</v>
      </c>
      <c r="AT39" s="718">
        <v>0.74</v>
      </c>
      <c r="AU39" s="316" t="s">
        <v>592</v>
      </c>
      <c r="AV39" s="316" t="s">
        <v>593</v>
      </c>
      <c r="AW39" s="718">
        <v>0.01</v>
      </c>
      <c r="AX39" s="463">
        <f t="shared" si="10"/>
        <v>0.75</v>
      </c>
      <c r="AY39" s="661">
        <v>0.4</v>
      </c>
      <c r="AZ39" s="316" t="s">
        <v>594</v>
      </c>
      <c r="BA39" s="316" t="s">
        <v>595</v>
      </c>
      <c r="BB39" s="463">
        <v>0.09</v>
      </c>
      <c r="BC39" s="316" t="s">
        <v>592</v>
      </c>
      <c r="BD39" s="316" t="s">
        <v>593</v>
      </c>
      <c r="BE39" s="463">
        <v>0.01</v>
      </c>
      <c r="BF39" s="728">
        <f t="shared" si="11"/>
        <v>0.5</v>
      </c>
      <c r="BG39" s="463"/>
      <c r="BH39" s="463">
        <v>0.4</v>
      </c>
      <c r="BI39" s="316" t="s">
        <v>594</v>
      </c>
      <c r="BJ39" s="316" t="s">
        <v>595</v>
      </c>
      <c r="BK39" s="463">
        <v>0.09</v>
      </c>
      <c r="BL39" s="316" t="s">
        <v>592</v>
      </c>
      <c r="BM39" s="316" t="s">
        <v>593</v>
      </c>
      <c r="BN39" s="463">
        <v>0.01</v>
      </c>
      <c r="BO39" s="728">
        <f t="shared" si="14"/>
        <v>0.5</v>
      </c>
      <c r="BP39" s="463">
        <v>0.4</v>
      </c>
      <c r="BQ39" s="316" t="s">
        <v>594</v>
      </c>
      <c r="BR39" s="316" t="s">
        <v>595</v>
      </c>
      <c r="BS39" s="463">
        <v>0.09</v>
      </c>
      <c r="BT39" s="316" t="s">
        <v>592</v>
      </c>
      <c r="BU39" s="316" t="s">
        <v>593</v>
      </c>
      <c r="BV39" s="463">
        <v>0.01</v>
      </c>
      <c r="BW39" s="463">
        <f t="shared" si="15"/>
        <v>0.5</v>
      </c>
      <c r="BX39" s="444"/>
      <c r="BY39" s="444"/>
      <c r="BZ39" s="444"/>
      <c r="CA39" s="434"/>
      <c r="CB39" s="723">
        <v>0.69399999999999995</v>
      </c>
      <c r="CC39" s="668" t="s">
        <v>950</v>
      </c>
      <c r="CD39" s="316" t="s">
        <v>594</v>
      </c>
      <c r="CE39" s="316" t="s">
        <v>595</v>
      </c>
      <c r="CF39" s="718">
        <v>0.59</v>
      </c>
      <c r="CG39" s="316" t="s">
        <v>592</v>
      </c>
      <c r="CH39" s="316" t="s">
        <v>593</v>
      </c>
      <c r="CI39" s="718">
        <v>0.01</v>
      </c>
    </row>
    <row r="40" spans="1:90" ht="15.75" customHeight="1" x14ac:dyDescent="0.2">
      <c r="A40" s="747" t="s">
        <v>798</v>
      </c>
      <c r="B40" s="469" t="s">
        <v>797</v>
      </c>
      <c r="C40" s="718">
        <v>0.4</v>
      </c>
      <c r="D40" s="469" t="s">
        <v>596</v>
      </c>
      <c r="E40" s="469" t="s">
        <v>597</v>
      </c>
      <c r="F40" s="718">
        <v>0.1</v>
      </c>
      <c r="G40" s="469" t="s">
        <v>514</v>
      </c>
      <c r="H40" s="469" t="s">
        <v>552</v>
      </c>
      <c r="I40" s="718">
        <v>0</v>
      </c>
      <c r="J40" s="748">
        <f t="shared" si="17"/>
        <v>0.5</v>
      </c>
      <c r="K40" s="718">
        <v>0.4</v>
      </c>
      <c r="L40" s="316" t="s">
        <v>596</v>
      </c>
      <c r="M40" s="316" t="s">
        <v>597</v>
      </c>
      <c r="N40" s="718">
        <v>0.1</v>
      </c>
      <c r="O40" s="316" t="s">
        <v>514</v>
      </c>
      <c r="P40" s="316" t="s">
        <v>552</v>
      </c>
      <c r="Q40" s="718">
        <v>0</v>
      </c>
      <c r="R40" s="728">
        <f t="shared" si="1"/>
        <v>0.5</v>
      </c>
      <c r="S40" s="718">
        <v>0.4</v>
      </c>
      <c r="T40" s="316" t="s">
        <v>596</v>
      </c>
      <c r="U40" s="316" t="s">
        <v>597</v>
      </c>
      <c r="V40" s="718">
        <v>0.1</v>
      </c>
      <c r="W40" s="316" t="s">
        <v>514</v>
      </c>
      <c r="X40" s="316" t="s">
        <v>552</v>
      </c>
      <c r="Y40" s="718">
        <v>0</v>
      </c>
      <c r="Z40" s="728">
        <f t="shared" si="16"/>
        <v>0.5</v>
      </c>
      <c r="AA40" s="718">
        <v>0.4</v>
      </c>
      <c r="AB40" s="316" t="s">
        <v>596</v>
      </c>
      <c r="AC40" s="316" t="s">
        <v>597</v>
      </c>
      <c r="AD40" s="718">
        <v>0.1</v>
      </c>
      <c r="AE40" s="316" t="s">
        <v>514</v>
      </c>
      <c r="AF40" s="316" t="s">
        <v>552</v>
      </c>
      <c r="AG40" s="718">
        <v>0</v>
      </c>
      <c r="AH40" s="728">
        <f t="shared" si="12"/>
        <v>0.5</v>
      </c>
      <c r="AI40" s="718">
        <v>0.4</v>
      </c>
      <c r="AJ40" s="316" t="s">
        <v>596</v>
      </c>
      <c r="AK40" s="316" t="s">
        <v>597</v>
      </c>
      <c r="AL40" s="718">
        <v>0.1</v>
      </c>
      <c r="AM40" s="316" t="s">
        <v>514</v>
      </c>
      <c r="AN40" s="316" t="s">
        <v>552</v>
      </c>
      <c r="AO40" s="718">
        <v>0</v>
      </c>
      <c r="AP40" s="728">
        <f t="shared" si="13"/>
        <v>0.5</v>
      </c>
      <c r="AQ40" s="718">
        <v>0.35</v>
      </c>
      <c r="AR40" s="316" t="s">
        <v>596</v>
      </c>
      <c r="AS40" s="316" t="s">
        <v>597</v>
      </c>
      <c r="AT40" s="718">
        <v>0.4</v>
      </c>
      <c r="AU40" s="316" t="s">
        <v>514</v>
      </c>
      <c r="AV40" s="316" t="s">
        <v>552</v>
      </c>
      <c r="AW40" s="718">
        <v>0</v>
      </c>
      <c r="AX40" s="463">
        <f t="shared" si="10"/>
        <v>0.75</v>
      </c>
      <c r="AY40" s="661">
        <v>0.4</v>
      </c>
      <c r="AZ40" s="316" t="s">
        <v>596</v>
      </c>
      <c r="BA40" s="316" t="s">
        <v>597</v>
      </c>
      <c r="BB40" s="463">
        <v>0.1</v>
      </c>
      <c r="BC40" s="316" t="s">
        <v>514</v>
      </c>
      <c r="BD40" s="316" t="s">
        <v>552</v>
      </c>
      <c r="BE40" s="463">
        <v>0</v>
      </c>
      <c r="BF40" s="728">
        <f t="shared" si="11"/>
        <v>0.5</v>
      </c>
      <c r="BG40" s="463"/>
      <c r="BH40" s="463">
        <v>0.4</v>
      </c>
      <c r="BI40" s="316" t="s">
        <v>596</v>
      </c>
      <c r="BJ40" s="316" t="s">
        <v>597</v>
      </c>
      <c r="BK40" s="463">
        <v>0.1</v>
      </c>
      <c r="BL40" s="316" t="s">
        <v>514</v>
      </c>
      <c r="BM40" s="316" t="s">
        <v>552</v>
      </c>
      <c r="BN40" s="463">
        <v>0</v>
      </c>
      <c r="BO40" s="728">
        <f t="shared" si="14"/>
        <v>0.5</v>
      </c>
      <c r="BP40" s="463">
        <v>0.4</v>
      </c>
      <c r="BQ40" s="316" t="s">
        <v>596</v>
      </c>
      <c r="BR40" s="316" t="s">
        <v>597</v>
      </c>
      <c r="BS40" s="463">
        <v>0.1</v>
      </c>
      <c r="BT40" s="316" t="s">
        <v>514</v>
      </c>
      <c r="BU40" s="316" t="s">
        <v>552</v>
      </c>
      <c r="BV40" s="463">
        <v>0</v>
      </c>
      <c r="BW40" s="463">
        <f t="shared" si="15"/>
        <v>0.5</v>
      </c>
      <c r="BX40" s="444"/>
      <c r="BY40" s="444"/>
      <c r="BZ40" s="444"/>
      <c r="CA40" s="434"/>
      <c r="CB40" s="723">
        <v>0.75900000000000001</v>
      </c>
      <c r="CC40" s="668" t="s">
        <v>950</v>
      </c>
      <c r="CD40" s="316" t="s">
        <v>596</v>
      </c>
      <c r="CE40" s="316" t="s">
        <v>597</v>
      </c>
      <c r="CF40" s="718">
        <v>0.6</v>
      </c>
      <c r="CG40" s="316" t="s">
        <v>514</v>
      </c>
      <c r="CH40" s="316" t="s">
        <v>552</v>
      </c>
      <c r="CI40" s="718">
        <v>0</v>
      </c>
    </row>
    <row r="41" spans="1:90" ht="15" x14ac:dyDescent="0.2">
      <c r="A41" s="747" t="s">
        <v>800</v>
      </c>
      <c r="B41" s="469" t="s">
        <v>799</v>
      </c>
      <c r="C41" s="718">
        <v>0.4</v>
      </c>
      <c r="D41" s="469" t="s">
        <v>639</v>
      </c>
      <c r="E41" s="469" t="s">
        <v>640</v>
      </c>
      <c r="F41" s="718">
        <v>0.09</v>
      </c>
      <c r="G41" s="469" t="s">
        <v>637</v>
      </c>
      <c r="H41" s="469" t="s">
        <v>638</v>
      </c>
      <c r="I41" s="718">
        <v>0.01</v>
      </c>
      <c r="J41" s="748">
        <f t="shared" si="17"/>
        <v>0.5</v>
      </c>
      <c r="K41" s="718">
        <v>0.4</v>
      </c>
      <c r="L41" s="316" t="s">
        <v>639</v>
      </c>
      <c r="M41" s="316" t="s">
        <v>640</v>
      </c>
      <c r="N41" s="718">
        <v>0.09</v>
      </c>
      <c r="O41" s="316" t="s">
        <v>637</v>
      </c>
      <c r="P41" s="316" t="s">
        <v>638</v>
      </c>
      <c r="Q41" s="718">
        <v>0.01</v>
      </c>
      <c r="R41" s="728">
        <f t="shared" si="1"/>
        <v>0.5</v>
      </c>
      <c r="S41" s="718">
        <v>0.4</v>
      </c>
      <c r="T41" s="316" t="s">
        <v>639</v>
      </c>
      <c r="U41" s="316" t="s">
        <v>640</v>
      </c>
      <c r="V41" s="718">
        <v>0.09</v>
      </c>
      <c r="W41" s="316" t="s">
        <v>637</v>
      </c>
      <c r="X41" s="316" t="s">
        <v>638</v>
      </c>
      <c r="Y41" s="718">
        <v>0.01</v>
      </c>
      <c r="Z41" s="728">
        <f t="shared" si="16"/>
        <v>0.5</v>
      </c>
      <c r="AA41" s="718">
        <v>0.4</v>
      </c>
      <c r="AB41" s="316" t="s">
        <v>639</v>
      </c>
      <c r="AC41" s="316" t="s">
        <v>640</v>
      </c>
      <c r="AD41" s="718">
        <v>0.09</v>
      </c>
      <c r="AE41" s="316" t="s">
        <v>637</v>
      </c>
      <c r="AF41" s="316" t="s">
        <v>638</v>
      </c>
      <c r="AG41" s="718">
        <v>0.01</v>
      </c>
      <c r="AH41" s="728">
        <f t="shared" si="12"/>
        <v>0.5</v>
      </c>
      <c r="AI41" s="718">
        <v>0.4</v>
      </c>
      <c r="AJ41" s="316" t="s">
        <v>639</v>
      </c>
      <c r="AK41" s="316" t="s">
        <v>640</v>
      </c>
      <c r="AL41" s="718">
        <v>0.09</v>
      </c>
      <c r="AM41" s="316" t="s">
        <v>637</v>
      </c>
      <c r="AN41" s="316" t="s">
        <v>638</v>
      </c>
      <c r="AO41" s="718">
        <v>0.01</v>
      </c>
      <c r="AP41" s="728">
        <f t="shared" si="13"/>
        <v>0.5</v>
      </c>
      <c r="AQ41" s="718">
        <v>0.4</v>
      </c>
      <c r="AR41" s="316" t="s">
        <v>639</v>
      </c>
      <c r="AS41" s="316" t="s">
        <v>640</v>
      </c>
      <c r="AT41" s="718">
        <v>0.09</v>
      </c>
      <c r="AU41" s="316" t="s">
        <v>637</v>
      </c>
      <c r="AV41" s="316" t="s">
        <v>638</v>
      </c>
      <c r="AW41" s="718">
        <v>0.01</v>
      </c>
      <c r="AX41" s="463">
        <f t="shared" si="10"/>
        <v>0.5</v>
      </c>
      <c r="AY41" s="661">
        <v>0.4</v>
      </c>
      <c r="AZ41" s="316" t="s">
        <v>639</v>
      </c>
      <c r="BA41" s="316" t="s">
        <v>640</v>
      </c>
      <c r="BB41" s="463">
        <v>0.09</v>
      </c>
      <c r="BC41" s="316" t="s">
        <v>637</v>
      </c>
      <c r="BD41" s="316" t="s">
        <v>638</v>
      </c>
      <c r="BE41" s="463">
        <v>0.01</v>
      </c>
      <c r="BF41" s="728">
        <f t="shared" si="11"/>
        <v>0.5</v>
      </c>
      <c r="BG41" s="463"/>
      <c r="BH41" s="463">
        <v>0.4</v>
      </c>
      <c r="BI41" s="316" t="s">
        <v>639</v>
      </c>
      <c r="BJ41" s="316" t="s">
        <v>640</v>
      </c>
      <c r="BK41" s="463">
        <v>0.09</v>
      </c>
      <c r="BL41" s="316" t="s">
        <v>637</v>
      </c>
      <c r="BM41" s="316" t="s">
        <v>638</v>
      </c>
      <c r="BN41" s="463">
        <v>0.01</v>
      </c>
      <c r="BO41" s="728">
        <f t="shared" si="14"/>
        <v>0.5</v>
      </c>
      <c r="BP41" s="463">
        <v>0.4</v>
      </c>
      <c r="BQ41" s="316" t="s">
        <v>639</v>
      </c>
      <c r="BR41" s="316" t="s">
        <v>640</v>
      </c>
      <c r="BS41" s="463">
        <v>0.09</v>
      </c>
      <c r="BT41" s="316" t="s">
        <v>637</v>
      </c>
      <c r="BU41" s="316" t="s">
        <v>638</v>
      </c>
      <c r="BV41" s="463">
        <v>0.01</v>
      </c>
      <c r="BW41" s="463">
        <f t="shared" si="15"/>
        <v>0.5</v>
      </c>
      <c r="BX41" s="444" t="s">
        <v>874</v>
      </c>
      <c r="BY41" s="444"/>
      <c r="BZ41" s="444"/>
      <c r="CA41" s="434"/>
      <c r="CB41" s="723">
        <v>0.67700000000000005</v>
      </c>
      <c r="CC41" s="668" t="s">
        <v>950</v>
      </c>
      <c r="CD41" s="316" t="s">
        <v>639</v>
      </c>
      <c r="CE41" s="316" t="s">
        <v>640</v>
      </c>
      <c r="CF41" s="718">
        <v>0.59</v>
      </c>
      <c r="CG41" s="316" t="s">
        <v>637</v>
      </c>
      <c r="CH41" s="316" t="s">
        <v>638</v>
      </c>
      <c r="CI41" s="718">
        <v>0.01</v>
      </c>
    </row>
    <row r="42" spans="1:90" s="142" customFormat="1" ht="15" x14ac:dyDescent="0.2">
      <c r="A42" s="747" t="s">
        <v>1257</v>
      </c>
      <c r="B42" s="469" t="s">
        <v>1256</v>
      </c>
      <c r="C42" s="718">
        <v>0.49</v>
      </c>
      <c r="D42" s="469" t="s">
        <v>514</v>
      </c>
      <c r="E42" s="469" t="s">
        <v>515</v>
      </c>
      <c r="F42" s="718">
        <v>0</v>
      </c>
      <c r="G42" s="469" t="s">
        <v>533</v>
      </c>
      <c r="H42" s="469" t="s">
        <v>534</v>
      </c>
      <c r="I42" s="718">
        <v>0.01</v>
      </c>
      <c r="J42" s="748">
        <f t="shared" si="17"/>
        <v>0.5</v>
      </c>
      <c r="K42" s="731">
        <v>0.49</v>
      </c>
      <c r="L42" s="838" t="s">
        <v>514</v>
      </c>
      <c r="M42" s="838" t="s">
        <v>515</v>
      </c>
      <c r="N42" s="731">
        <v>0</v>
      </c>
      <c r="O42" s="838" t="s">
        <v>533</v>
      </c>
      <c r="P42" s="838" t="s">
        <v>534</v>
      </c>
      <c r="Q42" s="731">
        <v>0.01</v>
      </c>
      <c r="R42" s="839">
        <f t="shared" si="1"/>
        <v>0.5</v>
      </c>
      <c r="S42" s="731">
        <v>0.49</v>
      </c>
      <c r="T42" s="838" t="s">
        <v>514</v>
      </c>
      <c r="U42" s="838" t="s">
        <v>515</v>
      </c>
      <c r="V42" s="731">
        <v>0</v>
      </c>
      <c r="W42" s="838" t="s">
        <v>533</v>
      </c>
      <c r="X42" s="838" t="s">
        <v>534</v>
      </c>
      <c r="Y42" s="731">
        <v>0.01</v>
      </c>
      <c r="Z42" s="839">
        <f t="shared" si="16"/>
        <v>0.5</v>
      </c>
      <c r="AA42" s="731">
        <v>0.49</v>
      </c>
      <c r="AB42" s="838" t="s">
        <v>514</v>
      </c>
      <c r="AC42" s="838" t="s">
        <v>515</v>
      </c>
      <c r="AD42" s="731">
        <v>0</v>
      </c>
      <c r="AE42" s="838" t="s">
        <v>533</v>
      </c>
      <c r="AF42" s="838" t="s">
        <v>534</v>
      </c>
      <c r="AG42" s="731">
        <v>0.01</v>
      </c>
      <c r="AH42" s="839">
        <f t="shared" si="12"/>
        <v>0.5</v>
      </c>
      <c r="AI42" s="731">
        <v>0.49</v>
      </c>
      <c r="AJ42" s="838" t="s">
        <v>514</v>
      </c>
      <c r="AK42" s="838" t="s">
        <v>515</v>
      </c>
      <c r="AL42" s="731">
        <v>0</v>
      </c>
      <c r="AM42" s="838" t="s">
        <v>533</v>
      </c>
      <c r="AN42" s="838" t="s">
        <v>534</v>
      </c>
      <c r="AO42" s="731">
        <v>0.01</v>
      </c>
      <c r="AP42" s="839">
        <f t="shared" si="13"/>
        <v>0.5</v>
      </c>
      <c r="AQ42" s="731">
        <f>0.425+0.315</f>
        <v>0.74</v>
      </c>
      <c r="AR42" s="838" t="s">
        <v>514</v>
      </c>
      <c r="AS42" s="838" t="s">
        <v>515</v>
      </c>
      <c r="AT42" s="731">
        <v>0</v>
      </c>
      <c r="AU42" s="838" t="s">
        <v>533</v>
      </c>
      <c r="AV42" s="838" t="s">
        <v>534</v>
      </c>
      <c r="AW42" s="731">
        <v>0.01</v>
      </c>
      <c r="AX42" s="731">
        <f t="shared" si="10"/>
        <v>0.75</v>
      </c>
      <c r="AY42" s="840">
        <f>0.4+0.09</f>
        <v>0.49</v>
      </c>
      <c r="AZ42" s="838" t="s">
        <v>514</v>
      </c>
      <c r="BA42" s="838" t="s">
        <v>515</v>
      </c>
      <c r="BB42" s="731">
        <v>0</v>
      </c>
      <c r="BC42" s="838" t="s">
        <v>533</v>
      </c>
      <c r="BD42" s="838" t="s">
        <v>534</v>
      </c>
      <c r="BE42" s="731">
        <v>0.01</v>
      </c>
      <c r="BF42" s="839">
        <f t="shared" si="11"/>
        <v>0.5</v>
      </c>
      <c r="BG42" s="731"/>
      <c r="BH42" s="731">
        <f>0.4+0.09</f>
        <v>0.49</v>
      </c>
      <c r="BI42" s="838" t="s">
        <v>514</v>
      </c>
      <c r="BJ42" s="838" t="s">
        <v>515</v>
      </c>
      <c r="BK42" s="731">
        <v>0</v>
      </c>
      <c r="BL42" s="838" t="s">
        <v>533</v>
      </c>
      <c r="BM42" s="838" t="s">
        <v>534</v>
      </c>
      <c r="BN42" s="731">
        <v>0.01</v>
      </c>
      <c r="BO42" s="839">
        <f t="shared" si="14"/>
        <v>0.5</v>
      </c>
      <c r="BP42" s="731">
        <f>0.4+0.09</f>
        <v>0.49</v>
      </c>
      <c r="BQ42" s="838" t="s">
        <v>514</v>
      </c>
      <c r="BR42" s="838" t="s">
        <v>515</v>
      </c>
      <c r="BS42" s="731">
        <v>0</v>
      </c>
      <c r="BT42" s="838" t="s">
        <v>533</v>
      </c>
      <c r="BU42" s="838" t="s">
        <v>534</v>
      </c>
      <c r="BV42" s="731">
        <v>0.01</v>
      </c>
      <c r="BW42" s="731">
        <f t="shared" si="15"/>
        <v>0.5</v>
      </c>
      <c r="BX42" s="444" t="s">
        <v>874</v>
      </c>
      <c r="BY42" s="444"/>
      <c r="BZ42" s="444"/>
      <c r="CA42" s="436" t="s">
        <v>874</v>
      </c>
      <c r="CB42" s="723">
        <v>0.71599999999999997</v>
      </c>
      <c r="CC42" s="841" t="s">
        <v>950</v>
      </c>
      <c r="CD42" s="838" t="s">
        <v>514</v>
      </c>
      <c r="CE42" s="838" t="s">
        <v>515</v>
      </c>
      <c r="CF42" s="731">
        <v>0</v>
      </c>
      <c r="CG42" s="838" t="s">
        <v>533</v>
      </c>
      <c r="CH42" s="838" t="s">
        <v>534</v>
      </c>
      <c r="CI42" s="731">
        <v>0.01</v>
      </c>
      <c r="CK42" s="457"/>
      <c r="CL42" s="457"/>
    </row>
    <row r="43" spans="1:90" ht="15.75" customHeight="1" x14ac:dyDescent="0.2">
      <c r="A43" s="747" t="s">
        <v>802</v>
      </c>
      <c r="B43" s="469" t="s">
        <v>801</v>
      </c>
      <c r="C43" s="718">
        <v>0.4</v>
      </c>
      <c r="D43" s="469" t="s">
        <v>615</v>
      </c>
      <c r="E43" s="469" t="s">
        <v>616</v>
      </c>
      <c r="F43" s="718">
        <v>0.09</v>
      </c>
      <c r="G43" s="469" t="s">
        <v>612</v>
      </c>
      <c r="H43" s="469" t="s">
        <v>613</v>
      </c>
      <c r="I43" s="718">
        <v>0.01</v>
      </c>
      <c r="J43" s="748">
        <f t="shared" si="17"/>
        <v>0.5</v>
      </c>
      <c r="K43" s="718">
        <v>0.4</v>
      </c>
      <c r="L43" s="316" t="s">
        <v>615</v>
      </c>
      <c r="M43" s="316" t="s">
        <v>616</v>
      </c>
      <c r="N43" s="718">
        <v>0.09</v>
      </c>
      <c r="O43" s="316" t="s">
        <v>612</v>
      </c>
      <c r="P43" s="316" t="s">
        <v>613</v>
      </c>
      <c r="Q43" s="718">
        <v>0.01</v>
      </c>
      <c r="R43" s="728">
        <f t="shared" si="1"/>
        <v>0.5</v>
      </c>
      <c r="S43" s="718">
        <v>0.4</v>
      </c>
      <c r="T43" s="316" t="s">
        <v>615</v>
      </c>
      <c r="U43" s="316" t="s">
        <v>616</v>
      </c>
      <c r="V43" s="718">
        <v>0.09</v>
      </c>
      <c r="W43" s="316" t="s">
        <v>612</v>
      </c>
      <c r="X43" s="316" t="s">
        <v>613</v>
      </c>
      <c r="Y43" s="718">
        <v>0.01</v>
      </c>
      <c r="Z43" s="728">
        <f t="shared" si="16"/>
        <v>0.5</v>
      </c>
      <c r="AA43" s="718">
        <v>0.4</v>
      </c>
      <c r="AB43" s="316" t="s">
        <v>615</v>
      </c>
      <c r="AC43" s="316" t="s">
        <v>616</v>
      </c>
      <c r="AD43" s="718">
        <v>0.09</v>
      </c>
      <c r="AE43" s="316" t="s">
        <v>612</v>
      </c>
      <c r="AF43" s="316" t="s">
        <v>613</v>
      </c>
      <c r="AG43" s="718">
        <v>0.01</v>
      </c>
      <c r="AH43" s="728">
        <f t="shared" si="12"/>
        <v>0.5</v>
      </c>
      <c r="AI43" s="718">
        <v>0.4</v>
      </c>
      <c r="AJ43" s="316" t="s">
        <v>615</v>
      </c>
      <c r="AK43" s="316" t="s">
        <v>616</v>
      </c>
      <c r="AL43" s="718">
        <v>0.09</v>
      </c>
      <c r="AM43" s="316" t="s">
        <v>612</v>
      </c>
      <c r="AN43" s="316" t="s">
        <v>613</v>
      </c>
      <c r="AO43" s="718">
        <v>0.01</v>
      </c>
      <c r="AP43" s="728">
        <f t="shared" si="13"/>
        <v>0.5</v>
      </c>
      <c r="AQ43" s="718">
        <v>0.56000000000000005</v>
      </c>
      <c r="AR43" s="316" t="s">
        <v>615</v>
      </c>
      <c r="AS43" s="316" t="s">
        <v>616</v>
      </c>
      <c r="AT43" s="718">
        <v>0.17499999999999999</v>
      </c>
      <c r="AU43" s="316" t="s">
        <v>612</v>
      </c>
      <c r="AV43" s="316" t="s">
        <v>613</v>
      </c>
      <c r="AW43" s="718">
        <v>1.4999999999999999E-2</v>
      </c>
      <c r="AX43" s="463">
        <f t="shared" si="10"/>
        <v>0.75000000000000011</v>
      </c>
      <c r="AY43" s="661">
        <v>0.4</v>
      </c>
      <c r="AZ43" s="316" t="s">
        <v>615</v>
      </c>
      <c r="BA43" s="316" t="s">
        <v>616</v>
      </c>
      <c r="BB43" s="463">
        <v>0.09</v>
      </c>
      <c r="BC43" s="316" t="s">
        <v>612</v>
      </c>
      <c r="BD43" s="316" t="s">
        <v>613</v>
      </c>
      <c r="BE43" s="463">
        <v>0.01</v>
      </c>
      <c r="BF43" s="728">
        <f t="shared" si="11"/>
        <v>0.5</v>
      </c>
      <c r="BG43" s="463"/>
      <c r="BH43" s="463">
        <v>0.4</v>
      </c>
      <c r="BI43" s="316" t="s">
        <v>615</v>
      </c>
      <c r="BJ43" s="316" t="s">
        <v>616</v>
      </c>
      <c r="BK43" s="463">
        <v>0.09</v>
      </c>
      <c r="BL43" s="316" t="s">
        <v>612</v>
      </c>
      <c r="BM43" s="316" t="s">
        <v>613</v>
      </c>
      <c r="BN43" s="463">
        <v>0.01</v>
      </c>
      <c r="BO43" s="728">
        <f t="shared" si="14"/>
        <v>0.5</v>
      </c>
      <c r="BP43" s="463">
        <v>0.4</v>
      </c>
      <c r="BQ43" s="316" t="s">
        <v>615</v>
      </c>
      <c r="BR43" s="316" t="s">
        <v>616</v>
      </c>
      <c r="BS43" s="463">
        <v>0.09</v>
      </c>
      <c r="BT43" s="316" t="s">
        <v>612</v>
      </c>
      <c r="BU43" s="316" t="s">
        <v>613</v>
      </c>
      <c r="BV43" s="463">
        <v>0.01</v>
      </c>
      <c r="BW43" s="463">
        <f t="shared" si="15"/>
        <v>0.5</v>
      </c>
      <c r="BX43" s="444"/>
      <c r="BY43" s="444"/>
      <c r="BZ43" s="444"/>
      <c r="CA43" s="434"/>
      <c r="CB43" s="723">
        <v>0.63400000000000001</v>
      </c>
      <c r="CC43" s="668" t="s">
        <v>874</v>
      </c>
      <c r="CD43" s="316" t="s">
        <v>615</v>
      </c>
      <c r="CE43" s="316" t="s">
        <v>616</v>
      </c>
      <c r="CF43" s="718">
        <v>0.59</v>
      </c>
      <c r="CG43" s="316" t="s">
        <v>612</v>
      </c>
      <c r="CH43" s="316" t="s">
        <v>613</v>
      </c>
      <c r="CI43" s="718">
        <v>0.01</v>
      </c>
    </row>
    <row r="44" spans="1:90" ht="15.75" customHeight="1" x14ac:dyDescent="0.2">
      <c r="A44" s="747" t="s">
        <v>804</v>
      </c>
      <c r="B44" s="469" t="s">
        <v>803</v>
      </c>
      <c r="C44" s="718">
        <v>0.99</v>
      </c>
      <c r="D44" s="469" t="s">
        <v>514</v>
      </c>
      <c r="E44" s="469" t="s">
        <v>666</v>
      </c>
      <c r="F44" s="718">
        <v>0</v>
      </c>
      <c r="G44" s="469" t="s">
        <v>1328</v>
      </c>
      <c r="H44" s="469" t="s">
        <v>1243</v>
      </c>
      <c r="I44" s="718">
        <v>0.01</v>
      </c>
      <c r="J44" s="748">
        <f t="shared" si="17"/>
        <v>1</v>
      </c>
      <c r="K44" s="718">
        <v>0.99</v>
      </c>
      <c r="L44" s="316" t="s">
        <v>514</v>
      </c>
      <c r="M44" s="316" t="s">
        <v>666</v>
      </c>
      <c r="N44" s="718">
        <v>0</v>
      </c>
      <c r="O44" s="316" t="s">
        <v>1328</v>
      </c>
      <c r="P44" s="316" t="s">
        <v>1243</v>
      </c>
      <c r="Q44" s="718">
        <v>0.01</v>
      </c>
      <c r="R44" s="728">
        <f t="shared" si="1"/>
        <v>1</v>
      </c>
      <c r="S44" s="718">
        <v>0.99</v>
      </c>
      <c r="T44" s="316" t="s">
        <v>514</v>
      </c>
      <c r="U44" s="316" t="s">
        <v>666</v>
      </c>
      <c r="V44" s="718">
        <v>0</v>
      </c>
      <c r="W44" s="316" t="s">
        <v>1328</v>
      </c>
      <c r="X44" s="316" t="s">
        <v>1243</v>
      </c>
      <c r="Y44" s="718">
        <v>0.01</v>
      </c>
      <c r="Z44" s="728">
        <f t="shared" si="16"/>
        <v>1</v>
      </c>
      <c r="AA44" s="718">
        <v>0.99</v>
      </c>
      <c r="AB44" s="316" t="s">
        <v>514</v>
      </c>
      <c r="AC44" s="316" t="s">
        <v>666</v>
      </c>
      <c r="AD44" s="718">
        <v>0</v>
      </c>
      <c r="AE44" s="316" t="s">
        <v>1328</v>
      </c>
      <c r="AF44" s="316" t="s">
        <v>1243</v>
      </c>
      <c r="AG44" s="718">
        <v>0.01</v>
      </c>
      <c r="AH44" s="728">
        <f t="shared" si="12"/>
        <v>1</v>
      </c>
      <c r="AI44" s="718">
        <v>0.99</v>
      </c>
      <c r="AJ44" s="316" t="s">
        <v>514</v>
      </c>
      <c r="AK44" s="316" t="s">
        <v>666</v>
      </c>
      <c r="AL44" s="718">
        <v>0</v>
      </c>
      <c r="AM44" s="316" t="s">
        <v>1328</v>
      </c>
      <c r="AN44" s="316" t="s">
        <v>1243</v>
      </c>
      <c r="AO44" s="718">
        <v>0.01</v>
      </c>
      <c r="AP44" s="728">
        <f t="shared" si="13"/>
        <v>1</v>
      </c>
      <c r="AQ44" s="718">
        <v>0.99</v>
      </c>
      <c r="AR44" s="316" t="s">
        <v>514</v>
      </c>
      <c r="AS44" s="316" t="s">
        <v>666</v>
      </c>
      <c r="AT44" s="718">
        <v>0</v>
      </c>
      <c r="AU44" s="316" t="s">
        <v>667</v>
      </c>
      <c r="AV44" s="316" t="s">
        <v>1243</v>
      </c>
      <c r="AW44" s="718">
        <v>0.01</v>
      </c>
      <c r="AX44" s="463">
        <f t="shared" si="10"/>
        <v>1</v>
      </c>
      <c r="AY44" s="661">
        <v>0.99</v>
      </c>
      <c r="AZ44" s="316" t="s">
        <v>514</v>
      </c>
      <c r="BA44" s="316" t="s">
        <v>666</v>
      </c>
      <c r="BB44" s="463">
        <v>0</v>
      </c>
      <c r="BC44" s="316" t="s">
        <v>667</v>
      </c>
      <c r="BD44" s="316" t="s">
        <v>668</v>
      </c>
      <c r="BE44" s="463">
        <v>0.01</v>
      </c>
      <c r="BF44" s="728">
        <f t="shared" si="11"/>
        <v>1</v>
      </c>
      <c r="BG44" s="463"/>
      <c r="BH44" s="463">
        <v>0.99</v>
      </c>
      <c r="BI44" s="316" t="s">
        <v>514</v>
      </c>
      <c r="BJ44" s="316" t="s">
        <v>666</v>
      </c>
      <c r="BK44" s="463">
        <v>0</v>
      </c>
      <c r="BL44" s="316" t="s">
        <v>667</v>
      </c>
      <c r="BM44" s="316" t="s">
        <v>668</v>
      </c>
      <c r="BN44" s="463">
        <v>0.01</v>
      </c>
      <c r="BO44" s="728">
        <f t="shared" si="14"/>
        <v>1</v>
      </c>
      <c r="BP44" s="463">
        <v>0.49</v>
      </c>
      <c r="BQ44" s="316" t="s">
        <v>514</v>
      </c>
      <c r="BR44" s="316" t="s">
        <v>666</v>
      </c>
      <c r="BS44" s="463">
        <v>0</v>
      </c>
      <c r="BT44" s="316" t="s">
        <v>667</v>
      </c>
      <c r="BU44" s="316" t="s">
        <v>668</v>
      </c>
      <c r="BV44" s="463">
        <v>0.01</v>
      </c>
      <c r="BW44" s="463">
        <f t="shared" si="15"/>
        <v>0.5</v>
      </c>
      <c r="BX44" s="444" t="s">
        <v>874</v>
      </c>
      <c r="BY44" s="444"/>
      <c r="BZ44" s="444" t="s">
        <v>874</v>
      </c>
      <c r="CA44" s="436" t="s">
        <v>874</v>
      </c>
      <c r="CB44" s="723">
        <v>0.67400000000000004</v>
      </c>
      <c r="CC44" s="668" t="s">
        <v>950</v>
      </c>
      <c r="CD44" s="316" t="s">
        <v>514</v>
      </c>
      <c r="CE44" s="316" t="s">
        <v>666</v>
      </c>
      <c r="CF44" s="718">
        <v>0</v>
      </c>
      <c r="CG44" s="316" t="s">
        <v>667</v>
      </c>
      <c r="CH44" s="316" t="s">
        <v>668</v>
      </c>
      <c r="CI44" s="718">
        <v>0.01</v>
      </c>
    </row>
    <row r="45" spans="1:90" ht="15.75" customHeight="1" x14ac:dyDescent="0.2">
      <c r="A45" s="747" t="s">
        <v>806</v>
      </c>
      <c r="B45" s="469" t="s">
        <v>805</v>
      </c>
      <c r="C45" s="718">
        <v>0.49</v>
      </c>
      <c r="D45" s="469" t="s">
        <v>514</v>
      </c>
      <c r="E45" s="469" t="s">
        <v>666</v>
      </c>
      <c r="F45" s="718">
        <v>0</v>
      </c>
      <c r="G45" s="469" t="s">
        <v>677</v>
      </c>
      <c r="H45" s="469" t="s">
        <v>678</v>
      </c>
      <c r="I45" s="718">
        <v>0.01</v>
      </c>
      <c r="J45" s="748">
        <f t="shared" si="17"/>
        <v>0.5</v>
      </c>
      <c r="K45" s="718">
        <v>0.49</v>
      </c>
      <c r="L45" s="316" t="s">
        <v>514</v>
      </c>
      <c r="M45" s="316" t="s">
        <v>666</v>
      </c>
      <c r="N45" s="718">
        <v>0</v>
      </c>
      <c r="O45" s="316" t="s">
        <v>677</v>
      </c>
      <c r="P45" s="316" t="s">
        <v>678</v>
      </c>
      <c r="Q45" s="718">
        <v>0.01</v>
      </c>
      <c r="R45" s="728">
        <f t="shared" si="1"/>
        <v>0.5</v>
      </c>
      <c r="S45" s="718">
        <v>0.49</v>
      </c>
      <c r="T45" s="316" t="s">
        <v>514</v>
      </c>
      <c r="U45" s="316" t="s">
        <v>666</v>
      </c>
      <c r="V45" s="718">
        <v>0</v>
      </c>
      <c r="W45" s="316" t="s">
        <v>677</v>
      </c>
      <c r="X45" s="316" t="s">
        <v>678</v>
      </c>
      <c r="Y45" s="718">
        <v>0.01</v>
      </c>
      <c r="Z45" s="728">
        <f t="shared" si="16"/>
        <v>0.5</v>
      </c>
      <c r="AA45" s="718">
        <v>0.49</v>
      </c>
      <c r="AB45" s="316" t="s">
        <v>514</v>
      </c>
      <c r="AC45" s="316" t="s">
        <v>666</v>
      </c>
      <c r="AD45" s="718">
        <v>0</v>
      </c>
      <c r="AE45" s="316" t="s">
        <v>677</v>
      </c>
      <c r="AF45" s="316" t="s">
        <v>678</v>
      </c>
      <c r="AG45" s="718">
        <v>0.01</v>
      </c>
      <c r="AH45" s="728">
        <f t="shared" si="12"/>
        <v>0.5</v>
      </c>
      <c r="AI45" s="718">
        <v>0.49</v>
      </c>
      <c r="AJ45" s="316" t="s">
        <v>514</v>
      </c>
      <c r="AK45" s="316" t="s">
        <v>666</v>
      </c>
      <c r="AL45" s="718">
        <v>0</v>
      </c>
      <c r="AM45" s="316" t="s">
        <v>677</v>
      </c>
      <c r="AN45" s="316" t="s">
        <v>678</v>
      </c>
      <c r="AO45" s="718">
        <v>0.01</v>
      </c>
      <c r="AP45" s="728">
        <f t="shared" si="13"/>
        <v>0.5</v>
      </c>
      <c r="AQ45" s="718">
        <v>0.74</v>
      </c>
      <c r="AR45" s="316" t="s">
        <v>514</v>
      </c>
      <c r="AS45" s="316" t="s">
        <v>666</v>
      </c>
      <c r="AT45" s="718">
        <v>0</v>
      </c>
      <c r="AU45" s="316" t="s">
        <v>677</v>
      </c>
      <c r="AV45" s="316" t="s">
        <v>678</v>
      </c>
      <c r="AW45" s="718">
        <v>0.01</v>
      </c>
      <c r="AX45" s="463">
        <f t="shared" si="10"/>
        <v>0.75</v>
      </c>
      <c r="AY45" s="661">
        <v>0.99</v>
      </c>
      <c r="AZ45" s="316" t="s">
        <v>514</v>
      </c>
      <c r="BA45" s="316" t="s">
        <v>666</v>
      </c>
      <c r="BB45" s="463">
        <v>0</v>
      </c>
      <c r="BC45" s="316" t="s">
        <v>677</v>
      </c>
      <c r="BD45" s="316" t="s">
        <v>678</v>
      </c>
      <c r="BE45" s="463">
        <v>0.01</v>
      </c>
      <c r="BF45" s="728">
        <f t="shared" si="11"/>
        <v>1</v>
      </c>
      <c r="BG45" s="463"/>
      <c r="BH45" s="463">
        <v>0.49</v>
      </c>
      <c r="BI45" s="316" t="s">
        <v>514</v>
      </c>
      <c r="BJ45" s="316" t="s">
        <v>666</v>
      </c>
      <c r="BK45" s="463">
        <v>0</v>
      </c>
      <c r="BL45" s="316" t="s">
        <v>677</v>
      </c>
      <c r="BM45" s="316" t="s">
        <v>678</v>
      </c>
      <c r="BN45" s="463">
        <v>0.01</v>
      </c>
      <c r="BO45" s="728">
        <f t="shared" si="14"/>
        <v>0.5</v>
      </c>
      <c r="BP45" s="463">
        <v>0.49</v>
      </c>
      <c r="BQ45" s="316" t="s">
        <v>514</v>
      </c>
      <c r="BR45" s="316" t="s">
        <v>666</v>
      </c>
      <c r="BS45" s="463">
        <v>0</v>
      </c>
      <c r="BT45" s="316" t="s">
        <v>677</v>
      </c>
      <c r="BU45" s="316" t="s">
        <v>678</v>
      </c>
      <c r="BV45" s="463">
        <v>0.01</v>
      </c>
      <c r="BW45" s="463">
        <f t="shared" si="15"/>
        <v>0.5</v>
      </c>
      <c r="BX45" s="489" t="s">
        <v>874</v>
      </c>
      <c r="BY45" s="489"/>
      <c r="BZ45" s="489"/>
      <c r="CA45" s="436" t="s">
        <v>874</v>
      </c>
      <c r="CB45" s="723">
        <v>0.65200000000000002</v>
      </c>
      <c r="CC45" s="668" t="s">
        <v>950</v>
      </c>
      <c r="CD45" s="316" t="s">
        <v>514</v>
      </c>
      <c r="CE45" s="316" t="s">
        <v>666</v>
      </c>
      <c r="CF45" s="718">
        <v>0</v>
      </c>
      <c r="CG45" s="316" t="s">
        <v>677</v>
      </c>
      <c r="CH45" s="316" t="s">
        <v>678</v>
      </c>
      <c r="CI45" s="718">
        <v>0.01</v>
      </c>
    </row>
    <row r="46" spans="1:90" ht="15.75" customHeight="1" x14ac:dyDescent="0.2">
      <c r="A46" s="747" t="s">
        <v>808</v>
      </c>
      <c r="B46" s="469" t="s">
        <v>807</v>
      </c>
      <c r="C46" s="718">
        <v>0.4</v>
      </c>
      <c r="D46" s="469" t="s">
        <v>539</v>
      </c>
      <c r="E46" s="469" t="s">
        <v>540</v>
      </c>
      <c r="F46" s="718">
        <v>0.09</v>
      </c>
      <c r="G46" s="469" t="s">
        <v>537</v>
      </c>
      <c r="H46" s="469" t="s">
        <v>538</v>
      </c>
      <c r="I46" s="718">
        <v>0.01</v>
      </c>
      <c r="J46" s="748">
        <f t="shared" si="17"/>
        <v>0.5</v>
      </c>
      <c r="K46" s="718">
        <v>0.4</v>
      </c>
      <c r="L46" s="316" t="s">
        <v>539</v>
      </c>
      <c r="M46" s="316" t="s">
        <v>540</v>
      </c>
      <c r="N46" s="718">
        <v>0.09</v>
      </c>
      <c r="O46" s="316" t="s">
        <v>537</v>
      </c>
      <c r="P46" s="316" t="s">
        <v>538</v>
      </c>
      <c r="Q46" s="718">
        <v>0.01</v>
      </c>
      <c r="R46" s="728">
        <f t="shared" si="1"/>
        <v>0.5</v>
      </c>
      <c r="S46" s="718">
        <v>0.4</v>
      </c>
      <c r="T46" s="316" t="s">
        <v>539</v>
      </c>
      <c r="U46" s="316" t="s">
        <v>540</v>
      </c>
      <c r="V46" s="718">
        <v>0.09</v>
      </c>
      <c r="W46" s="316" t="s">
        <v>537</v>
      </c>
      <c r="X46" s="316" t="s">
        <v>538</v>
      </c>
      <c r="Y46" s="718">
        <v>0.01</v>
      </c>
      <c r="Z46" s="728">
        <f t="shared" si="16"/>
        <v>0.5</v>
      </c>
      <c r="AA46" s="718">
        <v>0.4</v>
      </c>
      <c r="AB46" s="316" t="s">
        <v>539</v>
      </c>
      <c r="AC46" s="316" t="s">
        <v>540</v>
      </c>
      <c r="AD46" s="718">
        <v>0.09</v>
      </c>
      <c r="AE46" s="316" t="s">
        <v>537</v>
      </c>
      <c r="AF46" s="316" t="s">
        <v>538</v>
      </c>
      <c r="AG46" s="718">
        <v>0.01</v>
      </c>
      <c r="AH46" s="728">
        <f t="shared" si="12"/>
        <v>0.5</v>
      </c>
      <c r="AI46" s="718">
        <v>0.4</v>
      </c>
      <c r="AJ46" s="316" t="s">
        <v>539</v>
      </c>
      <c r="AK46" s="316" t="s">
        <v>540</v>
      </c>
      <c r="AL46" s="718">
        <v>0.09</v>
      </c>
      <c r="AM46" s="316" t="s">
        <v>537</v>
      </c>
      <c r="AN46" s="316" t="s">
        <v>538</v>
      </c>
      <c r="AO46" s="718">
        <v>0.01</v>
      </c>
      <c r="AP46" s="728">
        <f t="shared" si="13"/>
        <v>0.5</v>
      </c>
      <c r="AQ46" s="718">
        <v>0.4</v>
      </c>
      <c r="AR46" s="316" t="s">
        <v>539</v>
      </c>
      <c r="AS46" s="316" t="s">
        <v>540</v>
      </c>
      <c r="AT46" s="718">
        <v>0.09</v>
      </c>
      <c r="AU46" s="316" t="s">
        <v>537</v>
      </c>
      <c r="AV46" s="316" t="s">
        <v>538</v>
      </c>
      <c r="AW46" s="718">
        <v>0.01</v>
      </c>
      <c r="AX46" s="463">
        <f t="shared" si="10"/>
        <v>0.5</v>
      </c>
      <c r="AY46" s="661">
        <v>0.4</v>
      </c>
      <c r="AZ46" s="316" t="s">
        <v>539</v>
      </c>
      <c r="BA46" s="316" t="s">
        <v>540</v>
      </c>
      <c r="BB46" s="463">
        <v>0.09</v>
      </c>
      <c r="BC46" s="316" t="s">
        <v>537</v>
      </c>
      <c r="BD46" s="316" t="s">
        <v>538</v>
      </c>
      <c r="BE46" s="463">
        <v>0.01</v>
      </c>
      <c r="BF46" s="728">
        <f t="shared" si="11"/>
        <v>0.5</v>
      </c>
      <c r="BG46" s="463"/>
      <c r="BH46" s="463">
        <v>0.4</v>
      </c>
      <c r="BI46" s="316" t="s">
        <v>539</v>
      </c>
      <c r="BJ46" s="316" t="s">
        <v>540</v>
      </c>
      <c r="BK46" s="463">
        <v>0.09</v>
      </c>
      <c r="BL46" s="316" t="s">
        <v>537</v>
      </c>
      <c r="BM46" s="316" t="s">
        <v>538</v>
      </c>
      <c r="BN46" s="463">
        <v>0.01</v>
      </c>
      <c r="BO46" s="728">
        <f t="shared" si="14"/>
        <v>0.5</v>
      </c>
      <c r="BP46" s="463">
        <v>0.4</v>
      </c>
      <c r="BQ46" s="316" t="s">
        <v>539</v>
      </c>
      <c r="BR46" s="316" t="s">
        <v>540</v>
      </c>
      <c r="BS46" s="463">
        <v>0.09</v>
      </c>
      <c r="BT46" s="316" t="s">
        <v>537</v>
      </c>
      <c r="BU46" s="316" t="s">
        <v>538</v>
      </c>
      <c r="BV46" s="463">
        <v>0.01</v>
      </c>
      <c r="BW46" s="463">
        <f t="shared" si="15"/>
        <v>0.5</v>
      </c>
      <c r="BX46" s="444"/>
      <c r="BY46" s="444"/>
      <c r="BZ46" s="444"/>
      <c r="CA46" s="434"/>
      <c r="CB46" s="723">
        <v>0.73799999999999999</v>
      </c>
      <c r="CC46" s="668" t="s">
        <v>950</v>
      </c>
      <c r="CD46" s="316" t="s">
        <v>539</v>
      </c>
      <c r="CE46" s="316" t="s">
        <v>540</v>
      </c>
      <c r="CF46" s="718">
        <v>0.59</v>
      </c>
      <c r="CG46" s="316" t="s">
        <v>537</v>
      </c>
      <c r="CH46" s="316" t="s">
        <v>538</v>
      </c>
      <c r="CI46" s="718">
        <v>0.01</v>
      </c>
    </row>
    <row r="47" spans="1:90" ht="15.75" customHeight="1" x14ac:dyDescent="0.2">
      <c r="A47" s="747" t="s">
        <v>810</v>
      </c>
      <c r="B47" s="469" t="s">
        <v>809</v>
      </c>
      <c r="C47" s="718">
        <v>0.3</v>
      </c>
      <c r="D47" s="469" t="s">
        <v>680</v>
      </c>
      <c r="E47" s="469" t="s">
        <v>681</v>
      </c>
      <c r="F47" s="718">
        <v>0.37</v>
      </c>
      <c r="G47" s="469" t="s">
        <v>514</v>
      </c>
      <c r="H47" s="469" t="s">
        <v>514</v>
      </c>
      <c r="I47" s="718">
        <v>0</v>
      </c>
      <c r="J47" s="748">
        <f t="shared" si="17"/>
        <v>0.66999999999999993</v>
      </c>
      <c r="K47" s="718">
        <v>0.3</v>
      </c>
      <c r="L47" s="316" t="s">
        <v>680</v>
      </c>
      <c r="M47" s="316" t="s">
        <v>681</v>
      </c>
      <c r="N47" s="718">
        <v>0.37</v>
      </c>
      <c r="O47" s="316" t="s">
        <v>514</v>
      </c>
      <c r="P47" s="316" t="s">
        <v>514</v>
      </c>
      <c r="Q47" s="718">
        <v>0</v>
      </c>
      <c r="R47" s="728">
        <f t="shared" si="1"/>
        <v>0.66999999999999993</v>
      </c>
      <c r="S47" s="718">
        <v>0.3</v>
      </c>
      <c r="T47" s="316" t="s">
        <v>680</v>
      </c>
      <c r="U47" s="316" t="s">
        <v>681</v>
      </c>
      <c r="V47" s="718">
        <v>0.37</v>
      </c>
      <c r="W47" s="316" t="s">
        <v>514</v>
      </c>
      <c r="X47" s="316" t="s">
        <v>514</v>
      </c>
      <c r="Y47" s="718">
        <v>0</v>
      </c>
      <c r="Z47" s="728">
        <f t="shared" si="16"/>
        <v>0.66999999999999993</v>
      </c>
      <c r="AA47" s="718">
        <v>0.3</v>
      </c>
      <c r="AB47" s="316" t="s">
        <v>680</v>
      </c>
      <c r="AC47" s="316" t="s">
        <v>681</v>
      </c>
      <c r="AD47" s="718">
        <v>0.37</v>
      </c>
      <c r="AE47" s="316" t="s">
        <v>514</v>
      </c>
      <c r="AF47" s="316" t="s">
        <v>514</v>
      </c>
      <c r="AG47" s="718">
        <v>0</v>
      </c>
      <c r="AH47" s="728">
        <f t="shared" si="12"/>
        <v>0.66999999999999993</v>
      </c>
      <c r="AI47" s="718">
        <v>0.3</v>
      </c>
      <c r="AJ47" s="316" t="s">
        <v>680</v>
      </c>
      <c r="AK47" s="316" t="s">
        <v>681</v>
      </c>
      <c r="AL47" s="718">
        <v>0.37</v>
      </c>
      <c r="AM47" s="316" t="s">
        <v>514</v>
      </c>
      <c r="AN47" s="316" t="s">
        <v>514</v>
      </c>
      <c r="AO47" s="718">
        <v>0</v>
      </c>
      <c r="AP47" s="728">
        <f t="shared" si="13"/>
        <v>0.66999999999999993</v>
      </c>
      <c r="AQ47" s="718">
        <v>0.48</v>
      </c>
      <c r="AR47" s="316" t="s">
        <v>680</v>
      </c>
      <c r="AS47" s="316" t="s">
        <v>681</v>
      </c>
      <c r="AT47" s="718">
        <v>0.27</v>
      </c>
      <c r="AU47" s="316" t="s">
        <v>514</v>
      </c>
      <c r="AV47" s="316" t="s">
        <v>514</v>
      </c>
      <c r="AW47" s="718">
        <v>0</v>
      </c>
      <c r="AX47" s="463">
        <f t="shared" si="10"/>
        <v>0.75</v>
      </c>
      <c r="AY47" s="661">
        <v>0.64</v>
      </c>
      <c r="AZ47" s="316" t="s">
        <v>680</v>
      </c>
      <c r="BA47" s="316" t="s">
        <v>681</v>
      </c>
      <c r="BB47" s="463">
        <v>0.36</v>
      </c>
      <c r="BC47" s="316" t="s">
        <v>514</v>
      </c>
      <c r="BD47" s="316" t="s">
        <v>514</v>
      </c>
      <c r="BE47" s="463">
        <v>0</v>
      </c>
      <c r="BF47" s="728">
        <f t="shared" si="11"/>
        <v>1</v>
      </c>
      <c r="BG47" s="463"/>
      <c r="BH47" s="463">
        <v>0.3</v>
      </c>
      <c r="BI47" s="316" t="s">
        <v>680</v>
      </c>
      <c r="BJ47" s="316" t="s">
        <v>681</v>
      </c>
      <c r="BK47" s="463">
        <v>0.37</v>
      </c>
      <c r="BL47" s="316" t="s">
        <v>514</v>
      </c>
      <c r="BM47" s="316" t="s">
        <v>514</v>
      </c>
      <c r="BN47" s="463">
        <v>0</v>
      </c>
      <c r="BO47" s="728">
        <f t="shared" si="14"/>
        <v>0.66999999999999993</v>
      </c>
      <c r="BP47" s="463">
        <v>0.3</v>
      </c>
      <c r="BQ47" s="316" t="s">
        <v>680</v>
      </c>
      <c r="BR47" s="316" t="s">
        <v>681</v>
      </c>
      <c r="BS47" s="463">
        <v>0.2</v>
      </c>
      <c r="BT47" s="316" t="s">
        <v>514</v>
      </c>
      <c r="BU47" s="316" t="s">
        <v>514</v>
      </c>
      <c r="BV47" s="463">
        <v>0</v>
      </c>
      <c r="BW47" s="463">
        <f t="shared" si="15"/>
        <v>0.5</v>
      </c>
      <c r="BX47" s="444"/>
      <c r="BY47" s="444"/>
      <c r="BZ47" s="444"/>
      <c r="CA47" s="436" t="s">
        <v>874</v>
      </c>
      <c r="CB47" s="723">
        <v>0.72599999999999998</v>
      </c>
      <c r="CC47" s="668" t="s">
        <v>950</v>
      </c>
      <c r="CD47" s="316" t="s">
        <v>680</v>
      </c>
      <c r="CE47" s="316" t="s">
        <v>681</v>
      </c>
      <c r="CF47" s="718">
        <v>0.2</v>
      </c>
      <c r="CG47" s="316" t="s">
        <v>514</v>
      </c>
      <c r="CH47" s="316" t="s">
        <v>514</v>
      </c>
      <c r="CI47" s="718">
        <v>0</v>
      </c>
    </row>
    <row r="48" spans="1:90" ht="15.75" customHeight="1" x14ac:dyDescent="0.2">
      <c r="A48" s="747" t="s">
        <v>812</v>
      </c>
      <c r="B48" s="469" t="s">
        <v>811</v>
      </c>
      <c r="C48" s="718">
        <v>0.4</v>
      </c>
      <c r="D48" s="469" t="s">
        <v>651</v>
      </c>
      <c r="E48" s="469" t="s">
        <v>652</v>
      </c>
      <c r="F48" s="718">
        <v>0.09</v>
      </c>
      <c r="G48" s="469" t="s">
        <v>649</v>
      </c>
      <c r="H48" s="469" t="s">
        <v>1245</v>
      </c>
      <c r="I48" s="718">
        <v>0.01</v>
      </c>
      <c r="J48" s="748">
        <f t="shared" si="17"/>
        <v>0.5</v>
      </c>
      <c r="K48" s="718">
        <v>0.4</v>
      </c>
      <c r="L48" s="316" t="s">
        <v>651</v>
      </c>
      <c r="M48" s="316" t="s">
        <v>652</v>
      </c>
      <c r="N48" s="718">
        <v>0.09</v>
      </c>
      <c r="O48" s="316" t="s">
        <v>649</v>
      </c>
      <c r="P48" s="316" t="s">
        <v>1245</v>
      </c>
      <c r="Q48" s="718">
        <v>0.01</v>
      </c>
      <c r="R48" s="728">
        <f t="shared" si="1"/>
        <v>0.5</v>
      </c>
      <c r="S48" s="718">
        <v>0.4</v>
      </c>
      <c r="T48" s="316" t="s">
        <v>651</v>
      </c>
      <c r="U48" s="316" t="s">
        <v>652</v>
      </c>
      <c r="V48" s="718">
        <v>0.09</v>
      </c>
      <c r="W48" s="316" t="s">
        <v>649</v>
      </c>
      <c r="X48" s="316" t="s">
        <v>1245</v>
      </c>
      <c r="Y48" s="718">
        <v>0.01</v>
      </c>
      <c r="Z48" s="728">
        <f t="shared" si="16"/>
        <v>0.5</v>
      </c>
      <c r="AA48" s="718">
        <v>0.4</v>
      </c>
      <c r="AB48" s="316" t="s">
        <v>651</v>
      </c>
      <c r="AC48" s="316" t="s">
        <v>652</v>
      </c>
      <c r="AD48" s="718">
        <v>0.09</v>
      </c>
      <c r="AE48" s="316" t="s">
        <v>649</v>
      </c>
      <c r="AF48" s="316" t="s">
        <v>1245</v>
      </c>
      <c r="AG48" s="718">
        <v>0.01</v>
      </c>
      <c r="AH48" s="728">
        <f t="shared" si="12"/>
        <v>0.5</v>
      </c>
      <c r="AI48" s="718">
        <v>0.4</v>
      </c>
      <c r="AJ48" s="316" t="s">
        <v>651</v>
      </c>
      <c r="AK48" s="316" t="s">
        <v>652</v>
      </c>
      <c r="AL48" s="718">
        <v>0.09</v>
      </c>
      <c r="AM48" s="316" t="s">
        <v>649</v>
      </c>
      <c r="AN48" s="316" t="s">
        <v>1245</v>
      </c>
      <c r="AO48" s="718">
        <v>0.01</v>
      </c>
      <c r="AP48" s="728">
        <f t="shared" si="13"/>
        <v>0.5</v>
      </c>
      <c r="AQ48" s="718">
        <v>0.4</v>
      </c>
      <c r="AR48" s="316" t="s">
        <v>651</v>
      </c>
      <c r="AS48" s="316" t="s">
        <v>652</v>
      </c>
      <c r="AT48" s="718">
        <v>0.33999999999999997</v>
      </c>
      <c r="AU48" s="316" t="s">
        <v>649</v>
      </c>
      <c r="AV48" s="316" t="s">
        <v>1245</v>
      </c>
      <c r="AW48" s="718">
        <v>0.01</v>
      </c>
      <c r="AX48" s="463">
        <f t="shared" si="10"/>
        <v>0.75</v>
      </c>
      <c r="AY48" s="661">
        <v>0.4</v>
      </c>
      <c r="AZ48" s="316" t="s">
        <v>651</v>
      </c>
      <c r="BA48" s="316" t="s">
        <v>652</v>
      </c>
      <c r="BB48" s="463">
        <v>0.09</v>
      </c>
      <c r="BC48" s="316" t="s">
        <v>649</v>
      </c>
      <c r="BD48" s="316" t="s">
        <v>650</v>
      </c>
      <c r="BE48" s="463">
        <v>0.01</v>
      </c>
      <c r="BF48" s="728">
        <f t="shared" si="11"/>
        <v>0.5</v>
      </c>
      <c r="BG48" s="463"/>
      <c r="BH48" s="463">
        <v>0.4</v>
      </c>
      <c r="BI48" s="316" t="s">
        <v>651</v>
      </c>
      <c r="BJ48" s="316" t="s">
        <v>652</v>
      </c>
      <c r="BK48" s="463">
        <v>0.09</v>
      </c>
      <c r="BL48" s="316" t="s">
        <v>649</v>
      </c>
      <c r="BM48" s="316" t="s">
        <v>650</v>
      </c>
      <c r="BN48" s="463">
        <v>0.01</v>
      </c>
      <c r="BO48" s="728">
        <f t="shared" si="14"/>
        <v>0.5</v>
      </c>
      <c r="BP48" s="463">
        <v>0.4</v>
      </c>
      <c r="BQ48" s="316" t="s">
        <v>651</v>
      </c>
      <c r="BR48" s="316" t="s">
        <v>652</v>
      </c>
      <c r="BS48" s="463">
        <v>0.09</v>
      </c>
      <c r="BT48" s="316" t="s">
        <v>649</v>
      </c>
      <c r="BU48" s="316" t="s">
        <v>650</v>
      </c>
      <c r="BV48" s="463">
        <v>0.01</v>
      </c>
      <c r="BW48" s="463">
        <f t="shared" si="15"/>
        <v>0.5</v>
      </c>
      <c r="BX48" s="444"/>
      <c r="BY48" s="444"/>
      <c r="BZ48" s="444"/>
      <c r="CA48" s="434"/>
      <c r="CB48" s="723">
        <v>0.69099999999999995</v>
      </c>
      <c r="CC48" s="668" t="s">
        <v>950</v>
      </c>
      <c r="CD48" s="316" t="s">
        <v>651</v>
      </c>
      <c r="CE48" s="316" t="s">
        <v>652</v>
      </c>
      <c r="CF48" s="718">
        <v>0.59</v>
      </c>
      <c r="CG48" s="316" t="s">
        <v>649</v>
      </c>
      <c r="CH48" s="316" t="s">
        <v>650</v>
      </c>
      <c r="CI48" s="718">
        <v>0.01</v>
      </c>
    </row>
    <row r="49" spans="1:87" ht="15.75" customHeight="1" x14ac:dyDescent="0.2">
      <c r="A49" s="747" t="s">
        <v>814</v>
      </c>
      <c r="B49" s="469" t="s">
        <v>813</v>
      </c>
      <c r="C49" s="718">
        <v>0.4</v>
      </c>
      <c r="D49" s="469" t="s">
        <v>608</v>
      </c>
      <c r="E49" s="469" t="s">
        <v>609</v>
      </c>
      <c r="F49" s="718">
        <v>0.09</v>
      </c>
      <c r="G49" s="469" t="s">
        <v>606</v>
      </c>
      <c r="H49" s="469" t="s">
        <v>607</v>
      </c>
      <c r="I49" s="718">
        <v>0.01</v>
      </c>
      <c r="J49" s="748">
        <f t="shared" si="17"/>
        <v>0.5</v>
      </c>
      <c r="K49" s="718">
        <v>0.4</v>
      </c>
      <c r="L49" s="316" t="s">
        <v>608</v>
      </c>
      <c r="M49" s="316" t="s">
        <v>609</v>
      </c>
      <c r="N49" s="718">
        <v>0.09</v>
      </c>
      <c r="O49" s="316" t="s">
        <v>606</v>
      </c>
      <c r="P49" s="316" t="s">
        <v>607</v>
      </c>
      <c r="Q49" s="718">
        <v>0.01</v>
      </c>
      <c r="R49" s="728">
        <f t="shared" si="1"/>
        <v>0.5</v>
      </c>
      <c r="S49" s="718">
        <v>0.4</v>
      </c>
      <c r="T49" s="316" t="s">
        <v>608</v>
      </c>
      <c r="U49" s="316" t="s">
        <v>609</v>
      </c>
      <c r="V49" s="718">
        <v>0.09</v>
      </c>
      <c r="W49" s="316" t="s">
        <v>606</v>
      </c>
      <c r="X49" s="316" t="s">
        <v>607</v>
      </c>
      <c r="Y49" s="718">
        <v>0.01</v>
      </c>
      <c r="Z49" s="728">
        <f t="shared" si="16"/>
        <v>0.5</v>
      </c>
      <c r="AA49" s="718">
        <v>0.4</v>
      </c>
      <c r="AB49" s="316" t="s">
        <v>608</v>
      </c>
      <c r="AC49" s="316" t="s">
        <v>609</v>
      </c>
      <c r="AD49" s="718">
        <v>0.09</v>
      </c>
      <c r="AE49" s="316" t="s">
        <v>606</v>
      </c>
      <c r="AF49" s="316" t="s">
        <v>607</v>
      </c>
      <c r="AG49" s="718">
        <v>0.01</v>
      </c>
      <c r="AH49" s="728">
        <f t="shared" si="12"/>
        <v>0.5</v>
      </c>
      <c r="AI49" s="718">
        <v>0.4</v>
      </c>
      <c r="AJ49" s="316" t="s">
        <v>608</v>
      </c>
      <c r="AK49" s="316" t="s">
        <v>609</v>
      </c>
      <c r="AL49" s="718">
        <v>0.09</v>
      </c>
      <c r="AM49" s="316" t="s">
        <v>606</v>
      </c>
      <c r="AN49" s="316" t="s">
        <v>607</v>
      </c>
      <c r="AO49" s="718">
        <v>0.01</v>
      </c>
      <c r="AP49" s="728">
        <f t="shared" si="13"/>
        <v>0.5</v>
      </c>
      <c r="AQ49" s="718">
        <v>0.4</v>
      </c>
      <c r="AR49" s="316" t="s">
        <v>608</v>
      </c>
      <c r="AS49" s="316" t="s">
        <v>609</v>
      </c>
      <c r="AT49" s="718">
        <v>0.09</v>
      </c>
      <c r="AU49" s="316" t="s">
        <v>606</v>
      </c>
      <c r="AV49" s="316" t="s">
        <v>607</v>
      </c>
      <c r="AW49" s="718">
        <v>0.01</v>
      </c>
      <c r="AX49" s="463">
        <f t="shared" si="10"/>
        <v>0.5</v>
      </c>
      <c r="AY49" s="661">
        <v>0.4</v>
      </c>
      <c r="AZ49" s="316" t="s">
        <v>608</v>
      </c>
      <c r="BA49" s="316" t="s">
        <v>609</v>
      </c>
      <c r="BB49" s="463">
        <v>0.59</v>
      </c>
      <c r="BC49" s="316" t="s">
        <v>606</v>
      </c>
      <c r="BD49" s="316" t="s">
        <v>607</v>
      </c>
      <c r="BE49" s="463">
        <v>0.01</v>
      </c>
      <c r="BF49" s="728">
        <f t="shared" si="11"/>
        <v>1</v>
      </c>
      <c r="BG49" s="463"/>
      <c r="BH49" s="463">
        <v>0.4</v>
      </c>
      <c r="BI49" s="316" t="s">
        <v>608</v>
      </c>
      <c r="BJ49" s="316" t="s">
        <v>609</v>
      </c>
      <c r="BK49" s="463">
        <v>0.09</v>
      </c>
      <c r="BL49" s="316" t="s">
        <v>606</v>
      </c>
      <c r="BM49" s="316" t="s">
        <v>607</v>
      </c>
      <c r="BN49" s="463">
        <v>0.01</v>
      </c>
      <c r="BO49" s="728">
        <f t="shared" si="14"/>
        <v>0.5</v>
      </c>
      <c r="BP49" s="463">
        <v>0.4</v>
      </c>
      <c r="BQ49" s="316" t="s">
        <v>608</v>
      </c>
      <c r="BR49" s="316" t="s">
        <v>609</v>
      </c>
      <c r="BS49" s="463">
        <v>0.09</v>
      </c>
      <c r="BT49" s="316" t="s">
        <v>606</v>
      </c>
      <c r="BU49" s="316" t="s">
        <v>607</v>
      </c>
      <c r="BV49" s="463">
        <v>0.01</v>
      </c>
      <c r="BW49" s="463">
        <f t="shared" si="15"/>
        <v>0.5</v>
      </c>
      <c r="BX49" s="444"/>
      <c r="BY49" s="444"/>
      <c r="BZ49" s="444"/>
      <c r="CA49" s="434"/>
      <c r="CB49" s="723">
        <v>0.68400000000000005</v>
      </c>
      <c r="CC49" s="668" t="s">
        <v>950</v>
      </c>
      <c r="CD49" s="316" t="s">
        <v>608</v>
      </c>
      <c r="CE49" s="316" t="s">
        <v>609</v>
      </c>
      <c r="CF49" s="718">
        <v>0.59</v>
      </c>
      <c r="CG49" s="316" t="s">
        <v>606</v>
      </c>
      <c r="CH49" s="316" t="s">
        <v>607</v>
      </c>
      <c r="CI49" s="718">
        <v>0.01</v>
      </c>
    </row>
    <row r="50" spans="1:87" ht="15.75" customHeight="1" x14ac:dyDescent="0.2">
      <c r="A50" s="747" t="s">
        <v>816</v>
      </c>
      <c r="B50" s="469" t="s">
        <v>815</v>
      </c>
      <c r="C50" s="718">
        <v>0.4</v>
      </c>
      <c r="D50" s="469" t="s">
        <v>581</v>
      </c>
      <c r="E50" s="469" t="s">
        <v>582</v>
      </c>
      <c r="F50" s="718">
        <v>0.09</v>
      </c>
      <c r="G50" s="469" t="s">
        <v>578</v>
      </c>
      <c r="H50" s="469" t="s">
        <v>1244</v>
      </c>
      <c r="I50" s="718">
        <v>0.01</v>
      </c>
      <c r="J50" s="748">
        <f t="shared" si="17"/>
        <v>0.5</v>
      </c>
      <c r="K50" s="718">
        <v>0.4</v>
      </c>
      <c r="L50" s="316" t="s">
        <v>581</v>
      </c>
      <c r="M50" s="316" t="s">
        <v>582</v>
      </c>
      <c r="N50" s="718">
        <v>0.09</v>
      </c>
      <c r="O50" s="316" t="s">
        <v>578</v>
      </c>
      <c r="P50" s="316" t="s">
        <v>1244</v>
      </c>
      <c r="Q50" s="718">
        <v>0.01</v>
      </c>
      <c r="R50" s="728">
        <f t="shared" si="1"/>
        <v>0.5</v>
      </c>
      <c r="S50" s="718">
        <v>0.4</v>
      </c>
      <c r="T50" s="316" t="s">
        <v>581</v>
      </c>
      <c r="U50" s="316" t="s">
        <v>582</v>
      </c>
      <c r="V50" s="718">
        <v>0.09</v>
      </c>
      <c r="W50" s="316" t="s">
        <v>578</v>
      </c>
      <c r="X50" s="316" t="s">
        <v>1244</v>
      </c>
      <c r="Y50" s="718">
        <v>0.01</v>
      </c>
      <c r="Z50" s="728">
        <f t="shared" si="16"/>
        <v>0.5</v>
      </c>
      <c r="AA50" s="718">
        <v>0.4</v>
      </c>
      <c r="AB50" s="316" t="s">
        <v>581</v>
      </c>
      <c r="AC50" s="316" t="s">
        <v>582</v>
      </c>
      <c r="AD50" s="718">
        <v>0.09</v>
      </c>
      <c r="AE50" s="316" t="s">
        <v>578</v>
      </c>
      <c r="AF50" s="316" t="s">
        <v>1244</v>
      </c>
      <c r="AG50" s="718">
        <v>0.01</v>
      </c>
      <c r="AH50" s="728">
        <f t="shared" si="12"/>
        <v>0.5</v>
      </c>
      <c r="AI50" s="718">
        <v>0.4</v>
      </c>
      <c r="AJ50" s="316" t="s">
        <v>581</v>
      </c>
      <c r="AK50" s="316" t="s">
        <v>582</v>
      </c>
      <c r="AL50" s="718">
        <v>0.09</v>
      </c>
      <c r="AM50" s="316" t="s">
        <v>578</v>
      </c>
      <c r="AN50" s="316" t="s">
        <v>1244</v>
      </c>
      <c r="AO50" s="718">
        <v>0.01</v>
      </c>
      <c r="AP50" s="728">
        <f t="shared" si="13"/>
        <v>0.5</v>
      </c>
      <c r="AQ50" s="718">
        <v>0.4</v>
      </c>
      <c r="AR50" s="316" t="s">
        <v>581</v>
      </c>
      <c r="AS50" s="316" t="s">
        <v>582</v>
      </c>
      <c r="AT50" s="718">
        <v>0.09</v>
      </c>
      <c r="AU50" s="316" t="s">
        <v>578</v>
      </c>
      <c r="AV50" s="316" t="s">
        <v>1244</v>
      </c>
      <c r="AW50" s="718">
        <v>0.01</v>
      </c>
      <c r="AX50" s="463">
        <f t="shared" si="10"/>
        <v>0.5</v>
      </c>
      <c r="AY50" s="661">
        <v>0.4</v>
      </c>
      <c r="AZ50" s="316" t="s">
        <v>581</v>
      </c>
      <c r="BA50" s="316" t="s">
        <v>582</v>
      </c>
      <c r="BB50" s="463">
        <v>0.09</v>
      </c>
      <c r="BC50" s="316" t="s">
        <v>578</v>
      </c>
      <c r="BD50" s="316" t="s">
        <v>579</v>
      </c>
      <c r="BE50" s="463">
        <v>0.01</v>
      </c>
      <c r="BF50" s="728">
        <f t="shared" si="11"/>
        <v>0.5</v>
      </c>
      <c r="BG50" s="463"/>
      <c r="BH50" s="463">
        <v>0.4</v>
      </c>
      <c r="BI50" s="316" t="s">
        <v>581</v>
      </c>
      <c r="BJ50" s="316" t="s">
        <v>582</v>
      </c>
      <c r="BK50" s="463">
        <v>0.09</v>
      </c>
      <c r="BL50" s="316" t="s">
        <v>578</v>
      </c>
      <c r="BM50" s="316" t="s">
        <v>579</v>
      </c>
      <c r="BN50" s="463">
        <v>0.01</v>
      </c>
      <c r="BO50" s="728">
        <f t="shared" si="14"/>
        <v>0.5</v>
      </c>
      <c r="BP50" s="463">
        <v>0.4</v>
      </c>
      <c r="BQ50" s="316" t="s">
        <v>581</v>
      </c>
      <c r="BR50" s="316" t="s">
        <v>582</v>
      </c>
      <c r="BS50" s="463">
        <v>0.09</v>
      </c>
      <c r="BT50" s="316" t="s">
        <v>578</v>
      </c>
      <c r="BU50" s="316" t="s">
        <v>579</v>
      </c>
      <c r="BV50" s="463">
        <v>0.01</v>
      </c>
      <c r="BW50" s="463">
        <f t="shared" si="15"/>
        <v>0.5</v>
      </c>
      <c r="BX50" s="444"/>
      <c r="BY50" s="444"/>
      <c r="BZ50" s="444"/>
      <c r="CA50" s="434"/>
      <c r="CB50" s="723">
        <v>0.69799999999999995</v>
      </c>
      <c r="CC50" s="668" t="s">
        <v>950</v>
      </c>
      <c r="CD50" s="316" t="s">
        <v>581</v>
      </c>
      <c r="CE50" s="316" t="s">
        <v>582</v>
      </c>
      <c r="CF50" s="718">
        <v>0.59</v>
      </c>
      <c r="CG50" s="316" t="s">
        <v>578</v>
      </c>
      <c r="CH50" s="316" t="s">
        <v>579</v>
      </c>
      <c r="CI50" s="718">
        <v>0.01</v>
      </c>
    </row>
    <row r="51" spans="1:87" ht="15.75" customHeight="1" x14ac:dyDescent="0.2">
      <c r="A51" s="747" t="s">
        <v>818</v>
      </c>
      <c r="B51" s="469" t="s">
        <v>817</v>
      </c>
      <c r="C51" s="718">
        <v>0.49</v>
      </c>
      <c r="D51" s="469" t="s">
        <v>514</v>
      </c>
      <c r="E51" s="469" t="s">
        <v>515</v>
      </c>
      <c r="F51" s="718">
        <v>0</v>
      </c>
      <c r="G51" s="469" t="s">
        <v>522</v>
      </c>
      <c r="H51" s="469" t="s">
        <v>523</v>
      </c>
      <c r="I51" s="718">
        <v>0.01</v>
      </c>
      <c r="J51" s="748">
        <f t="shared" si="17"/>
        <v>0.5</v>
      </c>
      <c r="K51" s="718">
        <v>0.49</v>
      </c>
      <c r="L51" s="316" t="s">
        <v>514</v>
      </c>
      <c r="M51" s="316" t="s">
        <v>515</v>
      </c>
      <c r="N51" s="718">
        <v>0</v>
      </c>
      <c r="O51" s="316" t="s">
        <v>522</v>
      </c>
      <c r="P51" s="316" t="s">
        <v>523</v>
      </c>
      <c r="Q51" s="718">
        <v>0.01</v>
      </c>
      <c r="R51" s="728">
        <f t="shared" si="1"/>
        <v>0.5</v>
      </c>
      <c r="S51" s="718">
        <v>0.49</v>
      </c>
      <c r="T51" s="316" t="s">
        <v>514</v>
      </c>
      <c r="U51" s="316" t="s">
        <v>515</v>
      </c>
      <c r="V51" s="718">
        <v>0</v>
      </c>
      <c r="W51" s="316" t="s">
        <v>522</v>
      </c>
      <c r="X51" s="316" t="s">
        <v>523</v>
      </c>
      <c r="Y51" s="718">
        <v>0.01</v>
      </c>
      <c r="Z51" s="728">
        <f t="shared" si="16"/>
        <v>0.5</v>
      </c>
      <c r="AA51" s="718">
        <v>0.49</v>
      </c>
      <c r="AB51" s="316" t="s">
        <v>514</v>
      </c>
      <c r="AC51" s="316" t="s">
        <v>515</v>
      </c>
      <c r="AD51" s="718">
        <v>0</v>
      </c>
      <c r="AE51" s="316" t="s">
        <v>522</v>
      </c>
      <c r="AF51" s="316" t="s">
        <v>523</v>
      </c>
      <c r="AG51" s="718">
        <v>0.01</v>
      </c>
      <c r="AH51" s="728">
        <f t="shared" si="12"/>
        <v>0.5</v>
      </c>
      <c r="AI51" s="718">
        <v>0.49</v>
      </c>
      <c r="AJ51" s="316" t="s">
        <v>514</v>
      </c>
      <c r="AK51" s="316" t="s">
        <v>515</v>
      </c>
      <c r="AL51" s="718">
        <v>0</v>
      </c>
      <c r="AM51" s="316" t="s">
        <v>522</v>
      </c>
      <c r="AN51" s="316" t="s">
        <v>523</v>
      </c>
      <c r="AO51" s="718">
        <v>0.01</v>
      </c>
      <c r="AP51" s="728">
        <f t="shared" si="13"/>
        <v>0.5</v>
      </c>
      <c r="AQ51" s="718">
        <v>0.49</v>
      </c>
      <c r="AR51" s="316" t="s">
        <v>514</v>
      </c>
      <c r="AS51" s="316" t="s">
        <v>515</v>
      </c>
      <c r="AT51" s="718">
        <v>0</v>
      </c>
      <c r="AU51" s="316" t="s">
        <v>522</v>
      </c>
      <c r="AV51" s="316" t="s">
        <v>523</v>
      </c>
      <c r="AW51" s="718">
        <v>0.01</v>
      </c>
      <c r="AX51" s="463">
        <f t="shared" si="10"/>
        <v>0.5</v>
      </c>
      <c r="AY51" s="661">
        <v>0.49</v>
      </c>
      <c r="AZ51" s="316" t="s">
        <v>514</v>
      </c>
      <c r="BA51" s="316" t="s">
        <v>515</v>
      </c>
      <c r="BB51" s="463">
        <v>0</v>
      </c>
      <c r="BC51" s="316" t="s">
        <v>522</v>
      </c>
      <c r="BD51" s="316" t="s">
        <v>523</v>
      </c>
      <c r="BE51" s="463">
        <v>0.01</v>
      </c>
      <c r="BF51" s="728">
        <f t="shared" si="11"/>
        <v>0.5</v>
      </c>
      <c r="BG51" s="463"/>
      <c r="BH51" s="463">
        <v>0.49</v>
      </c>
      <c r="BI51" s="316" t="s">
        <v>514</v>
      </c>
      <c r="BJ51" s="316" t="s">
        <v>515</v>
      </c>
      <c r="BK51" s="463">
        <v>0</v>
      </c>
      <c r="BL51" s="316" t="s">
        <v>522</v>
      </c>
      <c r="BM51" s="316" t="s">
        <v>523</v>
      </c>
      <c r="BN51" s="463">
        <v>0.01</v>
      </c>
      <c r="BO51" s="728">
        <f t="shared" si="14"/>
        <v>0.5</v>
      </c>
      <c r="BP51" s="463">
        <v>0.49</v>
      </c>
      <c r="BQ51" s="316" t="s">
        <v>514</v>
      </c>
      <c r="BR51" s="316" t="s">
        <v>515</v>
      </c>
      <c r="BS51" s="463">
        <v>0</v>
      </c>
      <c r="BT51" s="316" t="s">
        <v>522</v>
      </c>
      <c r="BU51" s="316" t="s">
        <v>523</v>
      </c>
      <c r="BV51" s="463">
        <v>0.01</v>
      </c>
      <c r="BW51" s="463">
        <f t="shared" si="15"/>
        <v>0.5</v>
      </c>
      <c r="BX51" s="444"/>
      <c r="BY51" s="444"/>
      <c r="BZ51" s="444"/>
      <c r="CA51" s="436" t="s">
        <v>874</v>
      </c>
      <c r="CB51" s="723">
        <v>0.70599999999999996</v>
      </c>
      <c r="CC51" s="668" t="s">
        <v>950</v>
      </c>
      <c r="CD51" s="316" t="s">
        <v>514</v>
      </c>
      <c r="CE51" s="316" t="s">
        <v>515</v>
      </c>
      <c r="CF51" s="718">
        <v>0</v>
      </c>
      <c r="CG51" s="316" t="s">
        <v>522</v>
      </c>
      <c r="CH51" s="316" t="s">
        <v>523</v>
      </c>
      <c r="CI51" s="718">
        <v>0.01</v>
      </c>
    </row>
    <row r="52" spans="1:87" ht="15.75" customHeight="1" x14ac:dyDescent="0.2">
      <c r="A52" s="747" t="s">
        <v>820</v>
      </c>
      <c r="B52" s="469" t="s">
        <v>819</v>
      </c>
      <c r="C52" s="718">
        <v>0.4</v>
      </c>
      <c r="D52" s="469" t="s">
        <v>621</v>
      </c>
      <c r="E52" s="469" t="s">
        <v>622</v>
      </c>
      <c r="F52" s="718">
        <v>0.09</v>
      </c>
      <c r="G52" s="469" t="s">
        <v>618</v>
      </c>
      <c r="H52" s="469" t="s">
        <v>619</v>
      </c>
      <c r="I52" s="718">
        <v>0.01</v>
      </c>
      <c r="J52" s="748">
        <f t="shared" si="17"/>
        <v>0.5</v>
      </c>
      <c r="K52" s="718">
        <v>0.4</v>
      </c>
      <c r="L52" s="316" t="s">
        <v>621</v>
      </c>
      <c r="M52" s="316" t="s">
        <v>622</v>
      </c>
      <c r="N52" s="718">
        <v>0.09</v>
      </c>
      <c r="O52" s="316" t="s">
        <v>618</v>
      </c>
      <c r="P52" s="316" t="s">
        <v>619</v>
      </c>
      <c r="Q52" s="718">
        <v>0.01</v>
      </c>
      <c r="R52" s="728">
        <f t="shared" si="1"/>
        <v>0.5</v>
      </c>
      <c r="S52" s="718">
        <v>0.4</v>
      </c>
      <c r="T52" s="316" t="s">
        <v>621</v>
      </c>
      <c r="U52" s="316" t="s">
        <v>622</v>
      </c>
      <c r="V52" s="718">
        <v>0.09</v>
      </c>
      <c r="W52" s="316" t="s">
        <v>618</v>
      </c>
      <c r="X52" s="316" t="s">
        <v>619</v>
      </c>
      <c r="Y52" s="718">
        <v>0.01</v>
      </c>
      <c r="Z52" s="728">
        <f t="shared" si="16"/>
        <v>0.5</v>
      </c>
      <c r="AA52" s="718">
        <v>0.4</v>
      </c>
      <c r="AB52" s="316" t="s">
        <v>621</v>
      </c>
      <c r="AC52" s="316" t="s">
        <v>622</v>
      </c>
      <c r="AD52" s="718">
        <v>0.09</v>
      </c>
      <c r="AE52" s="316" t="s">
        <v>618</v>
      </c>
      <c r="AF52" s="316" t="s">
        <v>619</v>
      </c>
      <c r="AG52" s="718">
        <v>0.01</v>
      </c>
      <c r="AH52" s="728">
        <f t="shared" si="12"/>
        <v>0.5</v>
      </c>
      <c r="AI52" s="718">
        <v>0.4</v>
      </c>
      <c r="AJ52" s="316" t="s">
        <v>621</v>
      </c>
      <c r="AK52" s="316" t="s">
        <v>622</v>
      </c>
      <c r="AL52" s="718">
        <v>0.09</v>
      </c>
      <c r="AM52" s="316" t="s">
        <v>618</v>
      </c>
      <c r="AN52" s="316" t="s">
        <v>619</v>
      </c>
      <c r="AO52" s="718">
        <v>0.01</v>
      </c>
      <c r="AP52" s="728">
        <f t="shared" si="13"/>
        <v>0.5</v>
      </c>
      <c r="AQ52" s="718">
        <v>0.375</v>
      </c>
      <c r="AR52" s="316" t="s">
        <v>621</v>
      </c>
      <c r="AS52" s="316" t="s">
        <v>622</v>
      </c>
      <c r="AT52" s="718">
        <v>0.36499999999999999</v>
      </c>
      <c r="AU52" s="316" t="s">
        <v>618</v>
      </c>
      <c r="AV52" s="316" t="s">
        <v>619</v>
      </c>
      <c r="AW52" s="718">
        <v>0.01</v>
      </c>
      <c r="AX52" s="463">
        <f t="shared" si="10"/>
        <v>0.75</v>
      </c>
      <c r="AY52" s="661">
        <v>0.4</v>
      </c>
      <c r="AZ52" s="316" t="s">
        <v>621</v>
      </c>
      <c r="BA52" s="316" t="s">
        <v>622</v>
      </c>
      <c r="BB52" s="463">
        <v>0.09</v>
      </c>
      <c r="BC52" s="316" t="s">
        <v>618</v>
      </c>
      <c r="BD52" s="316" t="s">
        <v>619</v>
      </c>
      <c r="BE52" s="463">
        <v>0.01</v>
      </c>
      <c r="BF52" s="728">
        <f t="shared" si="11"/>
        <v>0.5</v>
      </c>
      <c r="BG52" s="463"/>
      <c r="BH52" s="463">
        <v>0.4</v>
      </c>
      <c r="BI52" s="316" t="s">
        <v>621</v>
      </c>
      <c r="BJ52" s="316" t="s">
        <v>622</v>
      </c>
      <c r="BK52" s="463">
        <v>0.09</v>
      </c>
      <c r="BL52" s="316" t="s">
        <v>618</v>
      </c>
      <c r="BM52" s="316" t="s">
        <v>619</v>
      </c>
      <c r="BN52" s="463">
        <v>0.01</v>
      </c>
      <c r="BO52" s="728">
        <f t="shared" si="14"/>
        <v>0.5</v>
      </c>
      <c r="BP52" s="463">
        <v>0.4</v>
      </c>
      <c r="BQ52" s="316" t="s">
        <v>621</v>
      </c>
      <c r="BR52" s="316" t="s">
        <v>622</v>
      </c>
      <c r="BS52" s="463">
        <v>0.09</v>
      </c>
      <c r="BT52" s="316" t="s">
        <v>618</v>
      </c>
      <c r="BU52" s="316" t="s">
        <v>619</v>
      </c>
      <c r="BV52" s="463">
        <v>0.01</v>
      </c>
      <c r="BW52" s="463">
        <f t="shared" si="15"/>
        <v>0.5</v>
      </c>
      <c r="BX52" s="444" t="s">
        <v>874</v>
      </c>
      <c r="BY52" s="444"/>
      <c r="BZ52" s="444"/>
      <c r="CA52" s="434"/>
      <c r="CB52" s="723">
        <v>0.70299999999999996</v>
      </c>
      <c r="CC52" s="668" t="s">
        <v>950</v>
      </c>
      <c r="CD52" s="316" t="s">
        <v>621</v>
      </c>
      <c r="CE52" s="316" t="s">
        <v>622</v>
      </c>
      <c r="CF52" s="718">
        <v>0.59</v>
      </c>
      <c r="CG52" s="316" t="s">
        <v>618</v>
      </c>
      <c r="CH52" s="316" t="s">
        <v>619</v>
      </c>
      <c r="CI52" s="718">
        <v>0.01</v>
      </c>
    </row>
    <row r="53" spans="1:87" ht="15.75" customHeight="1" x14ac:dyDescent="0.2">
      <c r="A53" s="747" t="s">
        <v>822</v>
      </c>
      <c r="B53" s="469" t="s">
        <v>821</v>
      </c>
      <c r="C53" s="718">
        <v>0.4</v>
      </c>
      <c r="D53" s="469" t="s">
        <v>581</v>
      </c>
      <c r="E53" s="469" t="s">
        <v>582</v>
      </c>
      <c r="F53" s="718">
        <v>0.09</v>
      </c>
      <c r="G53" s="469" t="s">
        <v>578</v>
      </c>
      <c r="H53" s="469" t="s">
        <v>1244</v>
      </c>
      <c r="I53" s="718">
        <v>0.01</v>
      </c>
      <c r="J53" s="748">
        <f t="shared" si="17"/>
        <v>0.5</v>
      </c>
      <c r="K53" s="718">
        <v>0.4</v>
      </c>
      <c r="L53" s="316" t="s">
        <v>581</v>
      </c>
      <c r="M53" s="316" t="s">
        <v>582</v>
      </c>
      <c r="N53" s="718">
        <v>0.09</v>
      </c>
      <c r="O53" s="316" t="s">
        <v>578</v>
      </c>
      <c r="P53" s="316" t="s">
        <v>1244</v>
      </c>
      <c r="Q53" s="718">
        <v>0.01</v>
      </c>
      <c r="R53" s="728">
        <f t="shared" si="1"/>
        <v>0.5</v>
      </c>
      <c r="S53" s="718">
        <v>0.4</v>
      </c>
      <c r="T53" s="316" t="s">
        <v>581</v>
      </c>
      <c r="U53" s="316" t="s">
        <v>582</v>
      </c>
      <c r="V53" s="718">
        <v>0.09</v>
      </c>
      <c r="W53" s="316" t="s">
        <v>578</v>
      </c>
      <c r="X53" s="316" t="s">
        <v>1244</v>
      </c>
      <c r="Y53" s="718">
        <v>0.01</v>
      </c>
      <c r="Z53" s="728">
        <f t="shared" si="16"/>
        <v>0.5</v>
      </c>
      <c r="AA53" s="718">
        <v>0.4</v>
      </c>
      <c r="AB53" s="316" t="s">
        <v>581</v>
      </c>
      <c r="AC53" s="316" t="s">
        <v>582</v>
      </c>
      <c r="AD53" s="718">
        <v>0.09</v>
      </c>
      <c r="AE53" s="316" t="s">
        <v>578</v>
      </c>
      <c r="AF53" s="316" t="s">
        <v>1244</v>
      </c>
      <c r="AG53" s="718">
        <v>0.01</v>
      </c>
      <c r="AH53" s="728">
        <f t="shared" si="12"/>
        <v>0.5</v>
      </c>
      <c r="AI53" s="718">
        <v>0.4</v>
      </c>
      <c r="AJ53" s="316" t="s">
        <v>581</v>
      </c>
      <c r="AK53" s="316" t="s">
        <v>582</v>
      </c>
      <c r="AL53" s="718">
        <v>0.09</v>
      </c>
      <c r="AM53" s="316" t="s">
        <v>578</v>
      </c>
      <c r="AN53" s="316" t="s">
        <v>1244</v>
      </c>
      <c r="AO53" s="718">
        <v>0.01</v>
      </c>
      <c r="AP53" s="728">
        <f t="shared" si="13"/>
        <v>0.5</v>
      </c>
      <c r="AQ53" s="718">
        <v>0.4</v>
      </c>
      <c r="AR53" s="316" t="s">
        <v>581</v>
      </c>
      <c r="AS53" s="316" t="s">
        <v>582</v>
      </c>
      <c r="AT53" s="718">
        <v>0.09</v>
      </c>
      <c r="AU53" s="316" t="s">
        <v>578</v>
      </c>
      <c r="AV53" s="316" t="s">
        <v>1244</v>
      </c>
      <c r="AW53" s="718">
        <v>0.01</v>
      </c>
      <c r="AX53" s="463">
        <f t="shared" si="10"/>
        <v>0.5</v>
      </c>
      <c r="AY53" s="661">
        <v>0.4</v>
      </c>
      <c r="AZ53" s="316" t="s">
        <v>581</v>
      </c>
      <c r="BA53" s="316" t="s">
        <v>582</v>
      </c>
      <c r="BB53" s="463">
        <v>0.09</v>
      </c>
      <c r="BC53" s="316" t="s">
        <v>578</v>
      </c>
      <c r="BD53" s="316" t="s">
        <v>579</v>
      </c>
      <c r="BE53" s="463">
        <v>0.01</v>
      </c>
      <c r="BF53" s="728">
        <f t="shared" si="11"/>
        <v>0.5</v>
      </c>
      <c r="BG53" s="463"/>
      <c r="BH53" s="463">
        <v>0.4</v>
      </c>
      <c r="BI53" s="316" t="s">
        <v>581</v>
      </c>
      <c r="BJ53" s="316" t="s">
        <v>582</v>
      </c>
      <c r="BK53" s="463">
        <v>0.09</v>
      </c>
      <c r="BL53" s="316" t="s">
        <v>578</v>
      </c>
      <c r="BM53" s="316" t="s">
        <v>579</v>
      </c>
      <c r="BN53" s="463">
        <v>0.01</v>
      </c>
      <c r="BO53" s="728">
        <f t="shared" si="14"/>
        <v>0.5</v>
      </c>
      <c r="BP53" s="463">
        <v>0.4</v>
      </c>
      <c r="BQ53" s="316" t="s">
        <v>581</v>
      </c>
      <c r="BR53" s="316" t="s">
        <v>582</v>
      </c>
      <c r="BS53" s="463">
        <v>0.09</v>
      </c>
      <c r="BT53" s="316" t="s">
        <v>578</v>
      </c>
      <c r="BU53" s="316" t="s">
        <v>579</v>
      </c>
      <c r="BV53" s="463">
        <v>0.01</v>
      </c>
      <c r="BW53" s="463">
        <f t="shared" si="15"/>
        <v>0.5</v>
      </c>
      <c r="BX53" s="444"/>
      <c r="BY53" s="444"/>
      <c r="BZ53" s="444"/>
      <c r="CA53" s="434"/>
      <c r="CB53" s="723">
        <v>0.71299999999999997</v>
      </c>
      <c r="CC53" s="668" t="s">
        <v>950</v>
      </c>
      <c r="CD53" s="316" t="s">
        <v>581</v>
      </c>
      <c r="CE53" s="316" t="s">
        <v>582</v>
      </c>
      <c r="CF53" s="718">
        <v>0.59</v>
      </c>
      <c r="CG53" s="316" t="s">
        <v>578</v>
      </c>
      <c r="CH53" s="316" t="s">
        <v>579</v>
      </c>
      <c r="CI53" s="718">
        <v>0.01</v>
      </c>
    </row>
    <row r="54" spans="1:87" ht="15.75" customHeight="1" x14ac:dyDescent="0.2">
      <c r="A54" s="747" t="s">
        <v>824</v>
      </c>
      <c r="B54" s="469" t="s">
        <v>823</v>
      </c>
      <c r="C54" s="718">
        <v>0.4</v>
      </c>
      <c r="D54" s="469" t="s">
        <v>583</v>
      </c>
      <c r="E54" s="469" t="s">
        <v>584</v>
      </c>
      <c r="F54" s="718">
        <v>0.1</v>
      </c>
      <c r="G54" s="469" t="s">
        <v>514</v>
      </c>
      <c r="H54" s="469" t="s">
        <v>552</v>
      </c>
      <c r="I54" s="718">
        <v>0</v>
      </c>
      <c r="J54" s="748">
        <f t="shared" si="17"/>
        <v>0.5</v>
      </c>
      <c r="K54" s="718">
        <v>0.4</v>
      </c>
      <c r="L54" s="316" t="s">
        <v>583</v>
      </c>
      <c r="M54" s="316" t="s">
        <v>584</v>
      </c>
      <c r="N54" s="718">
        <v>0.1</v>
      </c>
      <c r="O54" s="316" t="s">
        <v>514</v>
      </c>
      <c r="P54" s="316" t="s">
        <v>552</v>
      </c>
      <c r="Q54" s="718">
        <v>0</v>
      </c>
      <c r="R54" s="728">
        <f t="shared" si="1"/>
        <v>0.5</v>
      </c>
      <c r="S54" s="718">
        <v>0.4</v>
      </c>
      <c r="T54" s="316" t="s">
        <v>583</v>
      </c>
      <c r="U54" s="316" t="s">
        <v>584</v>
      </c>
      <c r="V54" s="718">
        <v>0.1</v>
      </c>
      <c r="W54" s="316" t="s">
        <v>514</v>
      </c>
      <c r="X54" s="316" t="s">
        <v>552</v>
      </c>
      <c r="Y54" s="718">
        <v>0</v>
      </c>
      <c r="Z54" s="728">
        <f t="shared" si="16"/>
        <v>0.5</v>
      </c>
      <c r="AA54" s="718">
        <v>0.4</v>
      </c>
      <c r="AB54" s="316" t="s">
        <v>583</v>
      </c>
      <c r="AC54" s="316" t="s">
        <v>584</v>
      </c>
      <c r="AD54" s="718">
        <v>0.1</v>
      </c>
      <c r="AE54" s="316" t="s">
        <v>514</v>
      </c>
      <c r="AF54" s="316" t="s">
        <v>552</v>
      </c>
      <c r="AG54" s="718">
        <v>0</v>
      </c>
      <c r="AH54" s="728">
        <f t="shared" si="12"/>
        <v>0.5</v>
      </c>
      <c r="AI54" s="718">
        <v>0.4</v>
      </c>
      <c r="AJ54" s="316" t="s">
        <v>583</v>
      </c>
      <c r="AK54" s="316" t="s">
        <v>584</v>
      </c>
      <c r="AL54" s="718">
        <v>0.1</v>
      </c>
      <c r="AM54" s="316" t="s">
        <v>514</v>
      </c>
      <c r="AN54" s="316" t="s">
        <v>552</v>
      </c>
      <c r="AO54" s="718">
        <v>0</v>
      </c>
      <c r="AP54" s="728">
        <f t="shared" si="13"/>
        <v>0.5</v>
      </c>
      <c r="AQ54" s="718">
        <v>0.4</v>
      </c>
      <c r="AR54" s="316" t="s">
        <v>583</v>
      </c>
      <c r="AS54" s="316" t="s">
        <v>584</v>
      </c>
      <c r="AT54" s="718">
        <v>0.1</v>
      </c>
      <c r="AU54" s="316" t="s">
        <v>514</v>
      </c>
      <c r="AV54" s="316" t="s">
        <v>552</v>
      </c>
      <c r="AW54" s="718">
        <v>0</v>
      </c>
      <c r="AX54" s="463">
        <f t="shared" si="10"/>
        <v>0.5</v>
      </c>
      <c r="AY54" s="661">
        <v>0.5</v>
      </c>
      <c r="AZ54" s="316" t="s">
        <v>583</v>
      </c>
      <c r="BA54" s="316" t="s">
        <v>584</v>
      </c>
      <c r="BB54" s="463">
        <v>0.5</v>
      </c>
      <c r="BC54" s="316" t="s">
        <v>514</v>
      </c>
      <c r="BD54" s="316" t="s">
        <v>552</v>
      </c>
      <c r="BE54" s="463">
        <v>0</v>
      </c>
      <c r="BF54" s="728">
        <f t="shared" si="11"/>
        <v>1</v>
      </c>
      <c r="BG54" s="463"/>
      <c r="BH54" s="463">
        <v>0.4</v>
      </c>
      <c r="BI54" s="316" t="s">
        <v>583</v>
      </c>
      <c r="BJ54" s="316" t="s">
        <v>584</v>
      </c>
      <c r="BK54" s="463">
        <v>0.1</v>
      </c>
      <c r="BL54" s="316" t="s">
        <v>514</v>
      </c>
      <c r="BM54" s="316" t="s">
        <v>552</v>
      </c>
      <c r="BN54" s="463">
        <v>0</v>
      </c>
      <c r="BO54" s="728">
        <f t="shared" si="14"/>
        <v>0.5</v>
      </c>
      <c r="BP54" s="463">
        <v>0.4</v>
      </c>
      <c r="BQ54" s="316" t="s">
        <v>583</v>
      </c>
      <c r="BR54" s="316" t="s">
        <v>584</v>
      </c>
      <c r="BS54" s="463">
        <v>0.1</v>
      </c>
      <c r="BT54" s="316" t="s">
        <v>514</v>
      </c>
      <c r="BU54" s="316" t="s">
        <v>552</v>
      </c>
      <c r="BV54" s="463">
        <v>0</v>
      </c>
      <c r="BW54" s="463">
        <f t="shared" si="15"/>
        <v>0.5</v>
      </c>
      <c r="BX54" s="444"/>
      <c r="BY54" s="444"/>
      <c r="BZ54" s="444"/>
      <c r="CA54" s="434"/>
      <c r="CB54" s="723">
        <v>0.68600000000000005</v>
      </c>
      <c r="CC54" s="668" t="s">
        <v>950</v>
      </c>
      <c r="CD54" s="316" t="s">
        <v>583</v>
      </c>
      <c r="CE54" s="316" t="s">
        <v>584</v>
      </c>
      <c r="CF54" s="718">
        <v>0.6</v>
      </c>
      <c r="CG54" s="316" t="s">
        <v>514</v>
      </c>
      <c r="CH54" s="316" t="s">
        <v>552</v>
      </c>
      <c r="CI54" s="718">
        <v>0</v>
      </c>
    </row>
    <row r="55" spans="1:87" ht="15.75" customHeight="1" x14ac:dyDescent="0.2">
      <c r="A55" s="747" t="s">
        <v>826</v>
      </c>
      <c r="B55" s="469" t="s">
        <v>825</v>
      </c>
      <c r="C55" s="718">
        <v>0.4</v>
      </c>
      <c r="D55" s="469" t="s">
        <v>642</v>
      </c>
      <c r="E55" s="469" t="s">
        <v>643</v>
      </c>
      <c r="F55" s="718">
        <v>0.1</v>
      </c>
      <c r="G55" s="469" t="s">
        <v>514</v>
      </c>
      <c r="H55" s="469" t="s">
        <v>552</v>
      </c>
      <c r="I55" s="718">
        <v>0</v>
      </c>
      <c r="J55" s="748">
        <f t="shared" si="17"/>
        <v>0.5</v>
      </c>
      <c r="K55" s="718">
        <v>0.4</v>
      </c>
      <c r="L55" s="316" t="s">
        <v>642</v>
      </c>
      <c r="M55" s="316" t="s">
        <v>643</v>
      </c>
      <c r="N55" s="718">
        <v>0.1</v>
      </c>
      <c r="O55" s="316" t="s">
        <v>514</v>
      </c>
      <c r="P55" s="316" t="s">
        <v>552</v>
      </c>
      <c r="Q55" s="718">
        <v>0</v>
      </c>
      <c r="R55" s="728">
        <f t="shared" si="1"/>
        <v>0.5</v>
      </c>
      <c r="S55" s="718">
        <v>0.4</v>
      </c>
      <c r="T55" s="316" t="s">
        <v>642</v>
      </c>
      <c r="U55" s="316" t="s">
        <v>643</v>
      </c>
      <c r="V55" s="718">
        <v>0.1</v>
      </c>
      <c r="W55" s="316" t="s">
        <v>514</v>
      </c>
      <c r="X55" s="316" t="s">
        <v>552</v>
      </c>
      <c r="Y55" s="718">
        <v>0</v>
      </c>
      <c r="Z55" s="728">
        <f t="shared" si="16"/>
        <v>0.5</v>
      </c>
      <c r="AA55" s="718">
        <v>0.4</v>
      </c>
      <c r="AB55" s="316" t="s">
        <v>642</v>
      </c>
      <c r="AC55" s="316" t="s">
        <v>643</v>
      </c>
      <c r="AD55" s="718">
        <v>0.1</v>
      </c>
      <c r="AE55" s="316" t="s">
        <v>514</v>
      </c>
      <c r="AF55" s="316" t="s">
        <v>552</v>
      </c>
      <c r="AG55" s="718">
        <v>0</v>
      </c>
      <c r="AH55" s="728">
        <f t="shared" si="12"/>
        <v>0.5</v>
      </c>
      <c r="AI55" s="718">
        <v>0.4</v>
      </c>
      <c r="AJ55" s="316" t="s">
        <v>642</v>
      </c>
      <c r="AK55" s="316" t="s">
        <v>643</v>
      </c>
      <c r="AL55" s="718">
        <v>0.1</v>
      </c>
      <c r="AM55" s="316" t="s">
        <v>514</v>
      </c>
      <c r="AN55" s="316" t="s">
        <v>552</v>
      </c>
      <c r="AO55" s="718">
        <v>0</v>
      </c>
      <c r="AP55" s="728">
        <f t="shared" si="13"/>
        <v>0.5</v>
      </c>
      <c r="AQ55" s="718">
        <v>0.4</v>
      </c>
      <c r="AR55" s="316" t="s">
        <v>642</v>
      </c>
      <c r="AS55" s="316" t="s">
        <v>643</v>
      </c>
      <c r="AT55" s="718">
        <v>0.1</v>
      </c>
      <c r="AU55" s="316" t="s">
        <v>514</v>
      </c>
      <c r="AV55" s="316" t="s">
        <v>552</v>
      </c>
      <c r="AW55" s="718">
        <v>0</v>
      </c>
      <c r="AX55" s="463">
        <f t="shared" si="10"/>
        <v>0.5</v>
      </c>
      <c r="AY55" s="661">
        <v>0.4</v>
      </c>
      <c r="AZ55" s="316" t="s">
        <v>642</v>
      </c>
      <c r="BA55" s="316" t="s">
        <v>643</v>
      </c>
      <c r="BB55" s="463">
        <v>0.1</v>
      </c>
      <c r="BC55" s="316" t="s">
        <v>514</v>
      </c>
      <c r="BD55" s="316" t="s">
        <v>552</v>
      </c>
      <c r="BE55" s="463">
        <v>0</v>
      </c>
      <c r="BF55" s="728">
        <f t="shared" si="11"/>
        <v>0.5</v>
      </c>
      <c r="BG55" s="463"/>
      <c r="BH55" s="463">
        <v>0.4</v>
      </c>
      <c r="BI55" s="316" t="s">
        <v>642</v>
      </c>
      <c r="BJ55" s="316" t="s">
        <v>643</v>
      </c>
      <c r="BK55" s="463">
        <v>0.1</v>
      </c>
      <c r="BL55" s="316" t="s">
        <v>514</v>
      </c>
      <c r="BM55" s="316" t="s">
        <v>552</v>
      </c>
      <c r="BN55" s="463">
        <v>0</v>
      </c>
      <c r="BO55" s="728">
        <f t="shared" si="14"/>
        <v>0.5</v>
      </c>
      <c r="BP55" s="463">
        <v>0.4</v>
      </c>
      <c r="BQ55" s="316" t="s">
        <v>642</v>
      </c>
      <c r="BR55" s="316" t="s">
        <v>643</v>
      </c>
      <c r="BS55" s="463">
        <v>0.1</v>
      </c>
      <c r="BT55" s="316" t="s">
        <v>514</v>
      </c>
      <c r="BU55" s="316" t="s">
        <v>552</v>
      </c>
      <c r="BV55" s="463">
        <v>0</v>
      </c>
      <c r="BW55" s="463">
        <f t="shared" si="15"/>
        <v>0.5</v>
      </c>
      <c r="BX55" s="444"/>
      <c r="BY55" s="444"/>
      <c r="BZ55" s="444"/>
      <c r="CA55" s="434"/>
      <c r="CB55" s="723">
        <v>0.72199999999999998</v>
      </c>
      <c r="CC55" s="668" t="s">
        <v>950</v>
      </c>
      <c r="CD55" s="316" t="s">
        <v>642</v>
      </c>
      <c r="CE55" s="316" t="s">
        <v>643</v>
      </c>
      <c r="CF55" s="718">
        <v>0.6</v>
      </c>
      <c r="CG55" s="316" t="s">
        <v>514</v>
      </c>
      <c r="CH55" s="316" t="s">
        <v>552</v>
      </c>
      <c r="CI55" s="718">
        <v>0</v>
      </c>
    </row>
    <row r="56" spans="1:87" ht="15" x14ac:dyDescent="0.2">
      <c r="A56" s="747" t="s">
        <v>828</v>
      </c>
      <c r="B56" s="469" t="s">
        <v>827</v>
      </c>
      <c r="C56" s="718">
        <v>0.49</v>
      </c>
      <c r="D56" s="469" t="s">
        <v>514</v>
      </c>
      <c r="E56" s="469" t="s">
        <v>515</v>
      </c>
      <c r="F56" s="718">
        <v>0</v>
      </c>
      <c r="G56" s="469" t="s">
        <v>542</v>
      </c>
      <c r="H56" s="469" t="s">
        <v>543</v>
      </c>
      <c r="I56" s="718">
        <v>0.01</v>
      </c>
      <c r="J56" s="748">
        <f t="shared" si="17"/>
        <v>0.5</v>
      </c>
      <c r="K56" s="718">
        <v>0.49</v>
      </c>
      <c r="L56" s="316" t="s">
        <v>514</v>
      </c>
      <c r="M56" s="316" t="s">
        <v>515</v>
      </c>
      <c r="N56" s="718">
        <v>0</v>
      </c>
      <c r="O56" s="316" t="s">
        <v>542</v>
      </c>
      <c r="P56" s="316" t="s">
        <v>543</v>
      </c>
      <c r="Q56" s="718">
        <v>0.01</v>
      </c>
      <c r="R56" s="728">
        <f t="shared" si="1"/>
        <v>0.5</v>
      </c>
      <c r="S56" s="718">
        <v>0.49</v>
      </c>
      <c r="T56" s="316" t="s">
        <v>514</v>
      </c>
      <c r="U56" s="316" t="s">
        <v>515</v>
      </c>
      <c r="V56" s="718">
        <v>0</v>
      </c>
      <c r="W56" s="316" t="s">
        <v>542</v>
      </c>
      <c r="X56" s="316" t="s">
        <v>543</v>
      </c>
      <c r="Y56" s="718">
        <v>0.01</v>
      </c>
      <c r="Z56" s="728">
        <f t="shared" si="16"/>
        <v>0.5</v>
      </c>
      <c r="AA56" s="718">
        <v>0.49</v>
      </c>
      <c r="AB56" s="316" t="s">
        <v>514</v>
      </c>
      <c r="AC56" s="316" t="s">
        <v>515</v>
      </c>
      <c r="AD56" s="718">
        <v>0</v>
      </c>
      <c r="AE56" s="316" t="s">
        <v>542</v>
      </c>
      <c r="AF56" s="316" t="s">
        <v>543</v>
      </c>
      <c r="AG56" s="718">
        <v>0.01</v>
      </c>
      <c r="AH56" s="728">
        <f t="shared" si="12"/>
        <v>0.5</v>
      </c>
      <c r="AI56" s="718">
        <v>0.49</v>
      </c>
      <c r="AJ56" s="316" t="s">
        <v>514</v>
      </c>
      <c r="AK56" s="316" t="s">
        <v>515</v>
      </c>
      <c r="AL56" s="718">
        <v>0</v>
      </c>
      <c r="AM56" s="316" t="s">
        <v>542</v>
      </c>
      <c r="AN56" s="316" t="s">
        <v>543</v>
      </c>
      <c r="AO56" s="718">
        <v>0.01</v>
      </c>
      <c r="AP56" s="728">
        <f t="shared" si="13"/>
        <v>0.5</v>
      </c>
      <c r="AQ56" s="718">
        <v>0.49</v>
      </c>
      <c r="AR56" s="316" t="s">
        <v>514</v>
      </c>
      <c r="AS56" s="316" t="s">
        <v>515</v>
      </c>
      <c r="AT56" s="718">
        <v>0</v>
      </c>
      <c r="AU56" s="316" t="s">
        <v>542</v>
      </c>
      <c r="AV56" s="316" t="s">
        <v>543</v>
      </c>
      <c r="AW56" s="718">
        <v>0.01</v>
      </c>
      <c r="AX56" s="463">
        <f t="shared" si="10"/>
        <v>0.5</v>
      </c>
      <c r="AY56" s="661">
        <v>0.49</v>
      </c>
      <c r="AZ56" s="316" t="s">
        <v>514</v>
      </c>
      <c r="BA56" s="316" t="s">
        <v>515</v>
      </c>
      <c r="BB56" s="463">
        <v>0</v>
      </c>
      <c r="BC56" s="316" t="s">
        <v>542</v>
      </c>
      <c r="BD56" s="316" t="s">
        <v>543</v>
      </c>
      <c r="BE56" s="463">
        <v>0.01</v>
      </c>
      <c r="BF56" s="728">
        <f t="shared" si="11"/>
        <v>0.5</v>
      </c>
      <c r="BG56" s="463"/>
      <c r="BH56" s="463">
        <v>0.49</v>
      </c>
      <c r="BI56" s="316" t="s">
        <v>514</v>
      </c>
      <c r="BJ56" s="316" t="s">
        <v>515</v>
      </c>
      <c r="BK56" s="463">
        <v>0</v>
      </c>
      <c r="BL56" s="316" t="s">
        <v>542</v>
      </c>
      <c r="BM56" s="316" t="s">
        <v>543</v>
      </c>
      <c r="BN56" s="463">
        <v>0.01</v>
      </c>
      <c r="BO56" s="728">
        <f t="shared" si="14"/>
        <v>0.5</v>
      </c>
      <c r="BP56" s="463">
        <v>0.49</v>
      </c>
      <c r="BQ56" s="316" t="s">
        <v>514</v>
      </c>
      <c r="BR56" s="316" t="s">
        <v>515</v>
      </c>
      <c r="BS56" s="463">
        <v>0</v>
      </c>
      <c r="BT56" s="316" t="s">
        <v>542</v>
      </c>
      <c r="BU56" s="316" t="s">
        <v>543</v>
      </c>
      <c r="BV56" s="463">
        <v>0.01</v>
      </c>
      <c r="BW56" s="463">
        <f t="shared" si="15"/>
        <v>0.5</v>
      </c>
      <c r="BX56" s="444" t="s">
        <v>874</v>
      </c>
      <c r="BY56" s="444"/>
      <c r="BZ56" s="444"/>
      <c r="CA56" s="436" t="s">
        <v>874</v>
      </c>
      <c r="CB56" s="723">
        <v>0.67800000000000005</v>
      </c>
      <c r="CC56" s="668" t="s">
        <v>950</v>
      </c>
      <c r="CD56" s="316" t="s">
        <v>514</v>
      </c>
      <c r="CE56" s="316" t="s">
        <v>515</v>
      </c>
      <c r="CF56" s="718">
        <v>0</v>
      </c>
      <c r="CG56" s="316" t="s">
        <v>542</v>
      </c>
      <c r="CH56" s="316" t="s">
        <v>543</v>
      </c>
      <c r="CI56" s="718">
        <v>0.01</v>
      </c>
    </row>
    <row r="57" spans="1:87" ht="15" x14ac:dyDescent="0.2">
      <c r="A57" s="747" t="s">
        <v>829</v>
      </c>
      <c r="B57" s="469" t="s">
        <v>545</v>
      </c>
      <c r="C57" s="718">
        <v>0.49</v>
      </c>
      <c r="D57" s="469" t="s">
        <v>514</v>
      </c>
      <c r="E57" s="469" t="s">
        <v>515</v>
      </c>
      <c r="F57" s="718">
        <v>0</v>
      </c>
      <c r="G57" s="469" t="s">
        <v>542</v>
      </c>
      <c r="H57" s="469" t="s">
        <v>543</v>
      </c>
      <c r="I57" s="718">
        <v>0.01</v>
      </c>
      <c r="J57" s="748">
        <f t="shared" si="17"/>
        <v>0.5</v>
      </c>
      <c r="K57" s="718">
        <v>0.49</v>
      </c>
      <c r="L57" s="316" t="s">
        <v>514</v>
      </c>
      <c r="M57" s="316" t="s">
        <v>515</v>
      </c>
      <c r="N57" s="718">
        <v>0</v>
      </c>
      <c r="O57" s="316" t="s">
        <v>542</v>
      </c>
      <c r="P57" s="316" t="s">
        <v>543</v>
      </c>
      <c r="Q57" s="718">
        <v>0.01</v>
      </c>
      <c r="R57" s="728">
        <f t="shared" si="1"/>
        <v>0.5</v>
      </c>
      <c r="S57" s="718">
        <v>0.49</v>
      </c>
      <c r="T57" s="316" t="s">
        <v>514</v>
      </c>
      <c r="U57" s="316" t="s">
        <v>515</v>
      </c>
      <c r="V57" s="718">
        <v>0</v>
      </c>
      <c r="W57" s="316" t="s">
        <v>542</v>
      </c>
      <c r="X57" s="316" t="s">
        <v>543</v>
      </c>
      <c r="Y57" s="718">
        <v>0.01</v>
      </c>
      <c r="Z57" s="728">
        <f t="shared" si="16"/>
        <v>0.5</v>
      </c>
      <c r="AA57" s="718">
        <v>0.49</v>
      </c>
      <c r="AB57" s="316" t="s">
        <v>514</v>
      </c>
      <c r="AC57" s="316" t="s">
        <v>515</v>
      </c>
      <c r="AD57" s="718">
        <v>0</v>
      </c>
      <c r="AE57" s="316" t="s">
        <v>542</v>
      </c>
      <c r="AF57" s="316" t="s">
        <v>543</v>
      </c>
      <c r="AG57" s="718">
        <v>0.01</v>
      </c>
      <c r="AH57" s="728">
        <f t="shared" si="12"/>
        <v>0.5</v>
      </c>
      <c r="AI57" s="718">
        <v>0.49</v>
      </c>
      <c r="AJ57" s="316" t="s">
        <v>514</v>
      </c>
      <c r="AK57" s="316" t="s">
        <v>515</v>
      </c>
      <c r="AL57" s="718">
        <v>0</v>
      </c>
      <c r="AM57" s="316" t="s">
        <v>542</v>
      </c>
      <c r="AN57" s="316" t="s">
        <v>543</v>
      </c>
      <c r="AO57" s="718">
        <v>0.01</v>
      </c>
      <c r="AP57" s="728">
        <f t="shared" si="13"/>
        <v>0.5</v>
      </c>
      <c r="AQ57" s="718">
        <v>0.49</v>
      </c>
      <c r="AR57" s="316" t="s">
        <v>514</v>
      </c>
      <c r="AS57" s="316" t="s">
        <v>515</v>
      </c>
      <c r="AT57" s="718">
        <v>0</v>
      </c>
      <c r="AU57" s="316" t="s">
        <v>542</v>
      </c>
      <c r="AV57" s="316" t="s">
        <v>543</v>
      </c>
      <c r="AW57" s="718">
        <v>0.01</v>
      </c>
      <c r="AX57" s="463">
        <f t="shared" si="10"/>
        <v>0.5</v>
      </c>
      <c r="AY57" s="661">
        <v>0.49</v>
      </c>
      <c r="AZ57" s="316" t="s">
        <v>514</v>
      </c>
      <c r="BA57" s="316" t="s">
        <v>515</v>
      </c>
      <c r="BB57" s="463">
        <v>0</v>
      </c>
      <c r="BC57" s="316" t="s">
        <v>542</v>
      </c>
      <c r="BD57" s="316" t="s">
        <v>543</v>
      </c>
      <c r="BE57" s="463">
        <v>0.01</v>
      </c>
      <c r="BF57" s="728">
        <f t="shared" si="11"/>
        <v>0.5</v>
      </c>
      <c r="BG57" s="463"/>
      <c r="BH57" s="463">
        <v>0.49</v>
      </c>
      <c r="BI57" s="316" t="s">
        <v>514</v>
      </c>
      <c r="BJ57" s="316" t="s">
        <v>515</v>
      </c>
      <c r="BK57" s="463">
        <v>0</v>
      </c>
      <c r="BL57" s="316" t="s">
        <v>542</v>
      </c>
      <c r="BM57" s="316" t="s">
        <v>543</v>
      </c>
      <c r="BN57" s="463">
        <v>0.01</v>
      </c>
      <c r="BO57" s="728">
        <f t="shared" si="14"/>
        <v>0.5</v>
      </c>
      <c r="BP57" s="463">
        <v>0.49</v>
      </c>
      <c r="BQ57" s="316" t="s">
        <v>514</v>
      </c>
      <c r="BR57" s="316" t="s">
        <v>515</v>
      </c>
      <c r="BS57" s="463">
        <v>0</v>
      </c>
      <c r="BT57" s="316" t="s">
        <v>542</v>
      </c>
      <c r="BU57" s="316" t="s">
        <v>543</v>
      </c>
      <c r="BV57" s="463">
        <v>0.01</v>
      </c>
      <c r="BW57" s="463">
        <f t="shared" si="15"/>
        <v>0.5</v>
      </c>
      <c r="BX57" s="444" t="s">
        <v>874</v>
      </c>
      <c r="BY57" s="444"/>
      <c r="BZ57" s="444"/>
      <c r="CA57" s="436" t="s">
        <v>874</v>
      </c>
      <c r="CB57" s="723">
        <v>0.68799999999999994</v>
      </c>
      <c r="CC57" s="668" t="s">
        <v>950</v>
      </c>
      <c r="CD57" s="316" t="s">
        <v>514</v>
      </c>
      <c r="CE57" s="316" t="s">
        <v>515</v>
      </c>
      <c r="CF57" s="718">
        <v>0</v>
      </c>
      <c r="CG57" s="316" t="s">
        <v>542</v>
      </c>
      <c r="CH57" s="316" t="s">
        <v>543</v>
      </c>
      <c r="CI57" s="718">
        <v>0.01</v>
      </c>
    </row>
    <row r="58" spans="1:87" ht="15" x14ac:dyDescent="0.2">
      <c r="A58" s="747" t="s">
        <v>831</v>
      </c>
      <c r="B58" s="469" t="s">
        <v>830</v>
      </c>
      <c r="C58" s="718">
        <v>0.4</v>
      </c>
      <c r="D58" s="469" t="s">
        <v>556</v>
      </c>
      <c r="E58" s="469" t="s">
        <v>557</v>
      </c>
      <c r="F58" s="718">
        <v>0.09</v>
      </c>
      <c r="G58" s="469" t="s">
        <v>554</v>
      </c>
      <c r="H58" s="469" t="s">
        <v>555</v>
      </c>
      <c r="I58" s="718">
        <v>0.01</v>
      </c>
      <c r="J58" s="748">
        <f t="shared" si="17"/>
        <v>0.5</v>
      </c>
      <c r="K58" s="718">
        <v>0.4</v>
      </c>
      <c r="L58" s="316" t="s">
        <v>556</v>
      </c>
      <c r="M58" s="316" t="s">
        <v>557</v>
      </c>
      <c r="N58" s="718">
        <v>0.09</v>
      </c>
      <c r="O58" s="316" t="s">
        <v>554</v>
      </c>
      <c r="P58" s="316" t="s">
        <v>555</v>
      </c>
      <c r="Q58" s="718">
        <v>0.01</v>
      </c>
      <c r="R58" s="728">
        <f t="shared" si="1"/>
        <v>0.5</v>
      </c>
      <c r="S58" s="718">
        <v>0.4</v>
      </c>
      <c r="T58" s="316" t="s">
        <v>556</v>
      </c>
      <c r="U58" s="316" t="s">
        <v>557</v>
      </c>
      <c r="V58" s="718">
        <v>0.09</v>
      </c>
      <c r="W58" s="316" t="s">
        <v>554</v>
      </c>
      <c r="X58" s="316" t="s">
        <v>555</v>
      </c>
      <c r="Y58" s="718">
        <v>0.01</v>
      </c>
      <c r="Z58" s="728">
        <f t="shared" si="16"/>
        <v>0.5</v>
      </c>
      <c r="AA58" s="718">
        <v>0.4</v>
      </c>
      <c r="AB58" s="316" t="s">
        <v>556</v>
      </c>
      <c r="AC58" s="316" t="s">
        <v>557</v>
      </c>
      <c r="AD58" s="718">
        <v>0.09</v>
      </c>
      <c r="AE58" s="316" t="s">
        <v>554</v>
      </c>
      <c r="AF58" s="316" t="s">
        <v>555</v>
      </c>
      <c r="AG58" s="718">
        <v>0.01</v>
      </c>
      <c r="AH58" s="728">
        <f t="shared" si="12"/>
        <v>0.5</v>
      </c>
      <c r="AI58" s="718">
        <v>0.4</v>
      </c>
      <c r="AJ58" s="316" t="s">
        <v>556</v>
      </c>
      <c r="AK58" s="316" t="s">
        <v>557</v>
      </c>
      <c r="AL58" s="718">
        <v>0.09</v>
      </c>
      <c r="AM58" s="316" t="s">
        <v>554</v>
      </c>
      <c r="AN58" s="316" t="s">
        <v>555</v>
      </c>
      <c r="AO58" s="718">
        <v>0.01</v>
      </c>
      <c r="AP58" s="728">
        <f t="shared" si="13"/>
        <v>0.5</v>
      </c>
      <c r="AQ58" s="718">
        <v>0.4</v>
      </c>
      <c r="AR58" s="316" t="s">
        <v>556</v>
      </c>
      <c r="AS58" s="316" t="s">
        <v>557</v>
      </c>
      <c r="AT58" s="718">
        <v>0.09</v>
      </c>
      <c r="AU58" s="316" t="s">
        <v>554</v>
      </c>
      <c r="AV58" s="316" t="s">
        <v>555</v>
      </c>
      <c r="AW58" s="718">
        <v>0.01</v>
      </c>
      <c r="AX58" s="463">
        <f t="shared" si="10"/>
        <v>0.5</v>
      </c>
      <c r="AY58" s="661">
        <v>0.5</v>
      </c>
      <c r="AZ58" s="316" t="s">
        <v>556</v>
      </c>
      <c r="BA58" s="316" t="s">
        <v>557</v>
      </c>
      <c r="BB58" s="463">
        <v>0.49</v>
      </c>
      <c r="BC58" s="316" t="s">
        <v>554</v>
      </c>
      <c r="BD58" s="316" t="s">
        <v>555</v>
      </c>
      <c r="BE58" s="463">
        <v>0.01</v>
      </c>
      <c r="BF58" s="728">
        <f t="shared" si="11"/>
        <v>1</v>
      </c>
      <c r="BG58" s="463"/>
      <c r="BH58" s="463">
        <v>0.4</v>
      </c>
      <c r="BI58" s="316" t="s">
        <v>556</v>
      </c>
      <c r="BJ58" s="316" t="s">
        <v>557</v>
      </c>
      <c r="BK58" s="463">
        <v>0.09</v>
      </c>
      <c r="BL58" s="316" t="s">
        <v>554</v>
      </c>
      <c r="BM58" s="316" t="s">
        <v>555</v>
      </c>
      <c r="BN58" s="463">
        <v>0.01</v>
      </c>
      <c r="BO58" s="728">
        <f t="shared" si="14"/>
        <v>0.5</v>
      </c>
      <c r="BP58" s="463">
        <v>0.4</v>
      </c>
      <c r="BQ58" s="316" t="s">
        <v>556</v>
      </c>
      <c r="BR58" s="316" t="s">
        <v>557</v>
      </c>
      <c r="BS58" s="463">
        <v>0.09</v>
      </c>
      <c r="BT58" s="316" t="s">
        <v>554</v>
      </c>
      <c r="BU58" s="316" t="s">
        <v>555</v>
      </c>
      <c r="BV58" s="463">
        <v>0.01</v>
      </c>
      <c r="BW58" s="463">
        <f t="shared" si="15"/>
        <v>0.5</v>
      </c>
      <c r="BX58" s="444" t="s">
        <v>874</v>
      </c>
      <c r="BY58" s="444"/>
      <c r="BZ58" s="444"/>
      <c r="CA58" s="434"/>
      <c r="CB58" s="723">
        <v>0.68</v>
      </c>
      <c r="CC58" s="668" t="s">
        <v>950</v>
      </c>
      <c r="CD58" s="316" t="s">
        <v>556</v>
      </c>
      <c r="CE58" s="316" t="s">
        <v>557</v>
      </c>
      <c r="CF58" s="718">
        <v>0.59</v>
      </c>
      <c r="CG58" s="316" t="s">
        <v>554</v>
      </c>
      <c r="CH58" s="316" t="s">
        <v>555</v>
      </c>
      <c r="CI58" s="718">
        <v>0.01</v>
      </c>
    </row>
    <row r="59" spans="1:87" ht="15.75" customHeight="1" x14ac:dyDescent="0.2">
      <c r="A59" s="747" t="s">
        <v>833</v>
      </c>
      <c r="B59" s="469" t="s">
        <v>832</v>
      </c>
      <c r="C59" s="718">
        <v>0.4</v>
      </c>
      <c r="D59" s="469" t="s">
        <v>661</v>
      </c>
      <c r="E59" s="469" t="s">
        <v>662</v>
      </c>
      <c r="F59" s="718">
        <v>0.1</v>
      </c>
      <c r="G59" s="469" t="s">
        <v>514</v>
      </c>
      <c r="H59" s="469" t="s">
        <v>552</v>
      </c>
      <c r="I59" s="718">
        <v>0</v>
      </c>
      <c r="J59" s="748">
        <f t="shared" si="17"/>
        <v>0.5</v>
      </c>
      <c r="K59" s="718">
        <v>0.4</v>
      </c>
      <c r="L59" s="316" t="s">
        <v>661</v>
      </c>
      <c r="M59" s="316" t="s">
        <v>662</v>
      </c>
      <c r="N59" s="718">
        <v>0.1</v>
      </c>
      <c r="O59" s="316" t="s">
        <v>514</v>
      </c>
      <c r="P59" s="316" t="s">
        <v>552</v>
      </c>
      <c r="Q59" s="718">
        <v>0</v>
      </c>
      <c r="R59" s="728">
        <f t="shared" si="1"/>
        <v>0.5</v>
      </c>
      <c r="S59" s="718">
        <v>0.4</v>
      </c>
      <c r="T59" s="316" t="s">
        <v>661</v>
      </c>
      <c r="U59" s="316" t="s">
        <v>662</v>
      </c>
      <c r="V59" s="718">
        <v>0.1</v>
      </c>
      <c r="W59" s="316" t="s">
        <v>514</v>
      </c>
      <c r="X59" s="316" t="s">
        <v>552</v>
      </c>
      <c r="Y59" s="718">
        <v>0</v>
      </c>
      <c r="Z59" s="728">
        <f t="shared" si="16"/>
        <v>0.5</v>
      </c>
      <c r="AA59" s="718">
        <v>0.4</v>
      </c>
      <c r="AB59" s="316" t="s">
        <v>661</v>
      </c>
      <c r="AC59" s="316" t="s">
        <v>662</v>
      </c>
      <c r="AD59" s="718">
        <v>0.1</v>
      </c>
      <c r="AE59" s="316" t="s">
        <v>514</v>
      </c>
      <c r="AF59" s="316" t="s">
        <v>552</v>
      </c>
      <c r="AG59" s="718">
        <v>0</v>
      </c>
      <c r="AH59" s="728">
        <f t="shared" si="12"/>
        <v>0.5</v>
      </c>
      <c r="AI59" s="718">
        <v>0.4</v>
      </c>
      <c r="AJ59" s="316" t="s">
        <v>661</v>
      </c>
      <c r="AK59" s="316" t="s">
        <v>662</v>
      </c>
      <c r="AL59" s="718">
        <v>0.1</v>
      </c>
      <c r="AM59" s="316" t="s">
        <v>514</v>
      </c>
      <c r="AN59" s="316" t="s">
        <v>552</v>
      </c>
      <c r="AO59" s="718">
        <v>0</v>
      </c>
      <c r="AP59" s="728">
        <f t="shared" si="13"/>
        <v>0.5</v>
      </c>
      <c r="AQ59" s="718">
        <v>0.2</v>
      </c>
      <c r="AR59" s="316" t="s">
        <v>661</v>
      </c>
      <c r="AS59" s="316" t="s">
        <v>662</v>
      </c>
      <c r="AT59" s="718">
        <v>0.55000000000000004</v>
      </c>
      <c r="AU59" s="316" t="s">
        <v>514</v>
      </c>
      <c r="AV59" s="316" t="s">
        <v>552</v>
      </c>
      <c r="AW59" s="718">
        <v>0</v>
      </c>
      <c r="AX59" s="463">
        <f t="shared" si="10"/>
        <v>0.75</v>
      </c>
      <c r="AY59" s="661">
        <v>0.4</v>
      </c>
      <c r="AZ59" s="316" t="s">
        <v>661</v>
      </c>
      <c r="BA59" s="316" t="s">
        <v>662</v>
      </c>
      <c r="BB59" s="463">
        <v>0.1</v>
      </c>
      <c r="BC59" s="316" t="s">
        <v>514</v>
      </c>
      <c r="BD59" s="316" t="s">
        <v>552</v>
      </c>
      <c r="BE59" s="463">
        <v>0</v>
      </c>
      <c r="BF59" s="728">
        <f t="shared" si="11"/>
        <v>0.5</v>
      </c>
      <c r="BG59" s="463"/>
      <c r="BH59" s="463">
        <v>0.4</v>
      </c>
      <c r="BI59" s="316" t="s">
        <v>661</v>
      </c>
      <c r="BJ59" s="316" t="s">
        <v>662</v>
      </c>
      <c r="BK59" s="463">
        <v>0.1</v>
      </c>
      <c r="BL59" s="316" t="s">
        <v>514</v>
      </c>
      <c r="BM59" s="316" t="s">
        <v>552</v>
      </c>
      <c r="BN59" s="463">
        <v>0</v>
      </c>
      <c r="BO59" s="728">
        <f t="shared" si="14"/>
        <v>0.5</v>
      </c>
      <c r="BP59" s="463">
        <v>0.4</v>
      </c>
      <c r="BQ59" s="316" t="s">
        <v>661</v>
      </c>
      <c r="BR59" s="316" t="s">
        <v>662</v>
      </c>
      <c r="BS59" s="463">
        <v>0.1</v>
      </c>
      <c r="BT59" s="316" t="s">
        <v>514</v>
      </c>
      <c r="BU59" s="316" t="s">
        <v>552</v>
      </c>
      <c r="BV59" s="463">
        <v>0</v>
      </c>
      <c r="BW59" s="463">
        <f t="shared" si="15"/>
        <v>0.5</v>
      </c>
      <c r="BX59" s="444"/>
      <c r="BY59" s="444"/>
      <c r="BZ59" s="444"/>
      <c r="CA59" s="434"/>
      <c r="CB59" s="723">
        <v>0.68600000000000005</v>
      </c>
      <c r="CC59" s="668" t="s">
        <v>950</v>
      </c>
      <c r="CD59" s="316" t="s">
        <v>661</v>
      </c>
      <c r="CE59" s="316" t="s">
        <v>662</v>
      </c>
      <c r="CF59" s="718">
        <v>0.6</v>
      </c>
      <c r="CG59" s="316" t="s">
        <v>514</v>
      </c>
      <c r="CH59" s="316" t="s">
        <v>552</v>
      </c>
      <c r="CI59" s="718">
        <v>0</v>
      </c>
    </row>
    <row r="60" spans="1:87" ht="15.75" customHeight="1" x14ac:dyDescent="0.2">
      <c r="A60" s="747" t="s">
        <v>835</v>
      </c>
      <c r="B60" s="469" t="s">
        <v>834</v>
      </c>
      <c r="C60" s="718">
        <v>0.4</v>
      </c>
      <c r="D60" s="469" t="s">
        <v>615</v>
      </c>
      <c r="E60" s="469" t="s">
        <v>616</v>
      </c>
      <c r="F60" s="718">
        <v>0.09</v>
      </c>
      <c r="G60" s="469" t="s">
        <v>612</v>
      </c>
      <c r="H60" s="469" t="s">
        <v>613</v>
      </c>
      <c r="I60" s="718">
        <v>0.01</v>
      </c>
      <c r="J60" s="748">
        <f t="shared" si="17"/>
        <v>0.5</v>
      </c>
      <c r="K60" s="718">
        <v>0.4</v>
      </c>
      <c r="L60" s="316" t="s">
        <v>615</v>
      </c>
      <c r="M60" s="316" t="s">
        <v>616</v>
      </c>
      <c r="N60" s="718">
        <v>0.09</v>
      </c>
      <c r="O60" s="316" t="s">
        <v>612</v>
      </c>
      <c r="P60" s="316" t="s">
        <v>613</v>
      </c>
      <c r="Q60" s="718">
        <v>0.01</v>
      </c>
      <c r="R60" s="728">
        <f t="shared" si="1"/>
        <v>0.5</v>
      </c>
      <c r="S60" s="718">
        <v>0.4</v>
      </c>
      <c r="T60" s="316" t="s">
        <v>615</v>
      </c>
      <c r="U60" s="316" t="s">
        <v>616</v>
      </c>
      <c r="V60" s="718">
        <v>0.09</v>
      </c>
      <c r="W60" s="316" t="s">
        <v>612</v>
      </c>
      <c r="X60" s="316" t="s">
        <v>613</v>
      </c>
      <c r="Y60" s="718">
        <v>0.01</v>
      </c>
      <c r="Z60" s="728">
        <f t="shared" si="16"/>
        <v>0.5</v>
      </c>
      <c r="AA60" s="718">
        <v>0.4</v>
      </c>
      <c r="AB60" s="316" t="s">
        <v>615</v>
      </c>
      <c r="AC60" s="316" t="s">
        <v>616</v>
      </c>
      <c r="AD60" s="718">
        <v>0.09</v>
      </c>
      <c r="AE60" s="316" t="s">
        <v>612</v>
      </c>
      <c r="AF60" s="316" t="s">
        <v>613</v>
      </c>
      <c r="AG60" s="718">
        <v>0.01</v>
      </c>
      <c r="AH60" s="728">
        <f t="shared" si="12"/>
        <v>0.5</v>
      </c>
      <c r="AI60" s="718">
        <v>0.4</v>
      </c>
      <c r="AJ60" s="316" t="s">
        <v>615</v>
      </c>
      <c r="AK60" s="316" t="s">
        <v>616</v>
      </c>
      <c r="AL60" s="718">
        <v>0.09</v>
      </c>
      <c r="AM60" s="316" t="s">
        <v>612</v>
      </c>
      <c r="AN60" s="316" t="s">
        <v>613</v>
      </c>
      <c r="AO60" s="718">
        <v>0.01</v>
      </c>
      <c r="AP60" s="728">
        <f t="shared" si="13"/>
        <v>0.5</v>
      </c>
      <c r="AQ60" s="718">
        <v>0.56000000000000005</v>
      </c>
      <c r="AR60" s="316" t="s">
        <v>615</v>
      </c>
      <c r="AS60" s="316" t="s">
        <v>616</v>
      </c>
      <c r="AT60" s="718">
        <v>0.17499999999999999</v>
      </c>
      <c r="AU60" s="316" t="s">
        <v>612</v>
      </c>
      <c r="AV60" s="316" t="s">
        <v>613</v>
      </c>
      <c r="AW60" s="718">
        <v>1.4999999999999999E-2</v>
      </c>
      <c r="AX60" s="463">
        <f t="shared" si="10"/>
        <v>0.75000000000000011</v>
      </c>
      <c r="AY60" s="661">
        <v>0.4</v>
      </c>
      <c r="AZ60" s="316" t="s">
        <v>615</v>
      </c>
      <c r="BA60" s="316" t="s">
        <v>616</v>
      </c>
      <c r="BB60" s="463">
        <v>0.09</v>
      </c>
      <c r="BC60" s="316" t="s">
        <v>612</v>
      </c>
      <c r="BD60" s="316" t="s">
        <v>613</v>
      </c>
      <c r="BE60" s="463">
        <v>0.01</v>
      </c>
      <c r="BF60" s="728">
        <f t="shared" si="11"/>
        <v>0.5</v>
      </c>
      <c r="BG60" s="463"/>
      <c r="BH60" s="463">
        <v>0.4</v>
      </c>
      <c r="BI60" s="316" t="s">
        <v>615</v>
      </c>
      <c r="BJ60" s="316" t="s">
        <v>616</v>
      </c>
      <c r="BK60" s="463">
        <v>0.09</v>
      </c>
      <c r="BL60" s="316" t="s">
        <v>612</v>
      </c>
      <c r="BM60" s="316" t="s">
        <v>613</v>
      </c>
      <c r="BN60" s="463">
        <v>0.01</v>
      </c>
      <c r="BO60" s="728">
        <f t="shared" si="14"/>
        <v>0.5</v>
      </c>
      <c r="BP60" s="463">
        <v>0.4</v>
      </c>
      <c r="BQ60" s="316" t="s">
        <v>615</v>
      </c>
      <c r="BR60" s="316" t="s">
        <v>616</v>
      </c>
      <c r="BS60" s="463">
        <v>0.09</v>
      </c>
      <c r="BT60" s="316" t="s">
        <v>612</v>
      </c>
      <c r="BU60" s="316" t="s">
        <v>613</v>
      </c>
      <c r="BV60" s="463">
        <v>0.01</v>
      </c>
      <c r="BW60" s="463">
        <f t="shared" si="15"/>
        <v>0.5</v>
      </c>
      <c r="BX60" s="444"/>
      <c r="BY60" s="444"/>
      <c r="BZ60" s="444"/>
      <c r="CA60" s="434"/>
      <c r="CB60" s="723">
        <v>0.65100000000000002</v>
      </c>
      <c r="CC60" s="668" t="s">
        <v>874</v>
      </c>
      <c r="CD60" s="316" t="s">
        <v>615</v>
      </c>
      <c r="CE60" s="316" t="s">
        <v>616</v>
      </c>
      <c r="CF60" s="718">
        <v>0.59</v>
      </c>
      <c r="CG60" s="316" t="s">
        <v>612</v>
      </c>
      <c r="CH60" s="316" t="s">
        <v>613</v>
      </c>
      <c r="CI60" s="718">
        <v>0.01</v>
      </c>
    </row>
    <row r="61" spans="1:87" ht="15.75" customHeight="1" x14ac:dyDescent="0.2">
      <c r="A61" s="747" t="s">
        <v>0</v>
      </c>
      <c r="B61" s="469" t="s">
        <v>836</v>
      </c>
      <c r="C61" s="718">
        <v>0.3</v>
      </c>
      <c r="D61" s="469" t="s">
        <v>680</v>
      </c>
      <c r="E61" s="469" t="s">
        <v>31</v>
      </c>
      <c r="F61" s="718">
        <v>0.37</v>
      </c>
      <c r="G61" s="469" t="s">
        <v>514</v>
      </c>
      <c r="H61" s="469" t="s">
        <v>514</v>
      </c>
      <c r="I61" s="718">
        <v>0</v>
      </c>
      <c r="J61" s="748">
        <f t="shared" si="17"/>
        <v>0.66999999999999993</v>
      </c>
      <c r="K61" s="718">
        <v>0.3</v>
      </c>
      <c r="L61" s="316" t="s">
        <v>680</v>
      </c>
      <c r="M61" s="316" t="s">
        <v>31</v>
      </c>
      <c r="N61" s="718">
        <v>0.37</v>
      </c>
      <c r="O61" s="316" t="s">
        <v>514</v>
      </c>
      <c r="P61" s="316" t="s">
        <v>514</v>
      </c>
      <c r="Q61" s="718">
        <v>0</v>
      </c>
      <c r="R61" s="728">
        <f t="shared" si="1"/>
        <v>0.66999999999999993</v>
      </c>
      <c r="S61" s="718">
        <v>0.3</v>
      </c>
      <c r="T61" s="316" t="s">
        <v>680</v>
      </c>
      <c r="U61" s="316" t="s">
        <v>31</v>
      </c>
      <c r="V61" s="718">
        <v>0.37</v>
      </c>
      <c r="W61" s="316" t="s">
        <v>514</v>
      </c>
      <c r="X61" s="316" t="s">
        <v>514</v>
      </c>
      <c r="Y61" s="718">
        <v>0</v>
      </c>
      <c r="Z61" s="728">
        <f t="shared" si="16"/>
        <v>0.66999999999999993</v>
      </c>
      <c r="AA61" s="718">
        <v>0.3</v>
      </c>
      <c r="AB61" s="316" t="s">
        <v>680</v>
      </c>
      <c r="AC61" s="316" t="s">
        <v>31</v>
      </c>
      <c r="AD61" s="718">
        <v>0.37</v>
      </c>
      <c r="AE61" s="316" t="s">
        <v>514</v>
      </c>
      <c r="AF61" s="316" t="s">
        <v>514</v>
      </c>
      <c r="AG61" s="718">
        <v>0</v>
      </c>
      <c r="AH61" s="728">
        <f t="shared" si="12"/>
        <v>0.66999999999999993</v>
      </c>
      <c r="AI61" s="718">
        <v>0.3</v>
      </c>
      <c r="AJ61" s="316" t="s">
        <v>680</v>
      </c>
      <c r="AK61" s="316" t="s">
        <v>31</v>
      </c>
      <c r="AL61" s="718">
        <v>0.37</v>
      </c>
      <c r="AM61" s="316" t="s">
        <v>514</v>
      </c>
      <c r="AN61" s="316" t="s">
        <v>514</v>
      </c>
      <c r="AO61" s="718">
        <v>0</v>
      </c>
      <c r="AP61" s="728">
        <f t="shared" si="13"/>
        <v>0.66999999999999993</v>
      </c>
      <c r="AQ61" s="718">
        <v>0.48</v>
      </c>
      <c r="AR61" s="316" t="s">
        <v>680</v>
      </c>
      <c r="AS61" s="316" t="s">
        <v>31</v>
      </c>
      <c r="AT61" s="718">
        <v>0.27</v>
      </c>
      <c r="AU61" s="316" t="s">
        <v>514</v>
      </c>
      <c r="AV61" s="316" t="s">
        <v>514</v>
      </c>
      <c r="AW61" s="718">
        <v>0</v>
      </c>
      <c r="AX61" s="463">
        <f t="shared" si="10"/>
        <v>0.75</v>
      </c>
      <c r="AY61" s="661">
        <v>0.64</v>
      </c>
      <c r="AZ61" s="316" t="s">
        <v>679</v>
      </c>
      <c r="BA61" s="316" t="s">
        <v>31</v>
      </c>
      <c r="BB61" s="463">
        <v>0.36</v>
      </c>
      <c r="BC61" s="316" t="s">
        <v>514</v>
      </c>
      <c r="BD61" s="316" t="s">
        <v>514</v>
      </c>
      <c r="BE61" s="463">
        <v>0</v>
      </c>
      <c r="BF61" s="728">
        <f t="shared" si="11"/>
        <v>1</v>
      </c>
      <c r="BG61" s="463"/>
      <c r="BH61" s="463">
        <v>0.3</v>
      </c>
      <c r="BI61" s="316" t="s">
        <v>679</v>
      </c>
      <c r="BJ61" s="316" t="s">
        <v>31</v>
      </c>
      <c r="BK61" s="463">
        <v>0.37</v>
      </c>
      <c r="BL61" s="316" t="s">
        <v>514</v>
      </c>
      <c r="BM61" s="316" t="s">
        <v>514</v>
      </c>
      <c r="BN61" s="463">
        <v>0</v>
      </c>
      <c r="BO61" s="728">
        <f t="shared" si="14"/>
        <v>0.66999999999999993</v>
      </c>
      <c r="BP61" s="463">
        <v>0.3</v>
      </c>
      <c r="BQ61" s="316" t="s">
        <v>679</v>
      </c>
      <c r="BR61" s="316" t="s">
        <v>31</v>
      </c>
      <c r="BS61" s="463">
        <v>0.2</v>
      </c>
      <c r="BT61" s="316" t="s">
        <v>514</v>
      </c>
      <c r="BU61" s="316" t="s">
        <v>514</v>
      </c>
      <c r="BV61" s="463">
        <v>0</v>
      </c>
      <c r="BW61" s="463">
        <f t="shared" si="15"/>
        <v>0.5</v>
      </c>
      <c r="BX61" s="444"/>
      <c r="BY61" s="444"/>
      <c r="BZ61" s="444"/>
      <c r="CA61" s="434"/>
      <c r="CB61" s="723">
        <v>0.68899999999999995</v>
      </c>
      <c r="CC61" s="668" t="s">
        <v>950</v>
      </c>
      <c r="CD61" s="316" t="s">
        <v>679</v>
      </c>
      <c r="CE61" s="316" t="s">
        <v>31</v>
      </c>
      <c r="CF61" s="718">
        <v>0.2</v>
      </c>
      <c r="CG61" s="316" t="s">
        <v>514</v>
      </c>
      <c r="CH61" s="316" t="s">
        <v>514</v>
      </c>
      <c r="CI61" s="718">
        <v>0</v>
      </c>
    </row>
    <row r="62" spans="1:87" ht="15.75" customHeight="1" x14ac:dyDescent="0.2">
      <c r="A62" s="747" t="s">
        <v>2</v>
      </c>
      <c r="B62" s="469" t="s">
        <v>1</v>
      </c>
      <c r="C62" s="718">
        <v>0.4</v>
      </c>
      <c r="D62" s="469" t="s">
        <v>581</v>
      </c>
      <c r="E62" s="469" t="s">
        <v>582</v>
      </c>
      <c r="F62" s="718">
        <v>0.09</v>
      </c>
      <c r="G62" s="469" t="s">
        <v>578</v>
      </c>
      <c r="H62" s="469" t="s">
        <v>1244</v>
      </c>
      <c r="I62" s="718">
        <v>0.01</v>
      </c>
      <c r="J62" s="748">
        <f t="shared" si="17"/>
        <v>0.5</v>
      </c>
      <c r="K62" s="718">
        <v>0.4</v>
      </c>
      <c r="L62" s="316" t="s">
        <v>581</v>
      </c>
      <c r="M62" s="316" t="s">
        <v>582</v>
      </c>
      <c r="N62" s="718">
        <v>0.09</v>
      </c>
      <c r="O62" s="316" t="s">
        <v>578</v>
      </c>
      <c r="P62" s="316" t="s">
        <v>1244</v>
      </c>
      <c r="Q62" s="718">
        <v>0.01</v>
      </c>
      <c r="R62" s="728">
        <f t="shared" si="1"/>
        <v>0.5</v>
      </c>
      <c r="S62" s="718">
        <v>0.4</v>
      </c>
      <c r="T62" s="316" t="s">
        <v>581</v>
      </c>
      <c r="U62" s="316" t="s">
        <v>582</v>
      </c>
      <c r="V62" s="718">
        <v>0.09</v>
      </c>
      <c r="W62" s="316" t="s">
        <v>578</v>
      </c>
      <c r="X62" s="316" t="s">
        <v>1244</v>
      </c>
      <c r="Y62" s="718">
        <v>0.01</v>
      </c>
      <c r="Z62" s="728">
        <f t="shared" si="16"/>
        <v>0.5</v>
      </c>
      <c r="AA62" s="718">
        <v>0.4</v>
      </c>
      <c r="AB62" s="316" t="s">
        <v>581</v>
      </c>
      <c r="AC62" s="316" t="s">
        <v>582</v>
      </c>
      <c r="AD62" s="718">
        <v>0.09</v>
      </c>
      <c r="AE62" s="316" t="s">
        <v>578</v>
      </c>
      <c r="AF62" s="316" t="s">
        <v>1244</v>
      </c>
      <c r="AG62" s="718">
        <v>0.01</v>
      </c>
      <c r="AH62" s="728">
        <f t="shared" ref="AH62:AH67" si="18">+AA62+AD62+AG62</f>
        <v>0.5</v>
      </c>
      <c r="AI62" s="718">
        <v>0.4</v>
      </c>
      <c r="AJ62" s="316" t="s">
        <v>581</v>
      </c>
      <c r="AK62" s="316" t="s">
        <v>582</v>
      </c>
      <c r="AL62" s="718">
        <v>0.09</v>
      </c>
      <c r="AM62" s="316" t="s">
        <v>578</v>
      </c>
      <c r="AN62" s="316" t="s">
        <v>1244</v>
      </c>
      <c r="AO62" s="718">
        <v>0.01</v>
      </c>
      <c r="AP62" s="728">
        <f t="shared" ref="AP62:AP67" si="19">+AI62+AL62+AO62</f>
        <v>0.5</v>
      </c>
      <c r="AQ62" s="718">
        <v>0.4</v>
      </c>
      <c r="AR62" s="316" t="s">
        <v>581</v>
      </c>
      <c r="AS62" s="316" t="s">
        <v>582</v>
      </c>
      <c r="AT62" s="718">
        <v>0.09</v>
      </c>
      <c r="AU62" s="316" t="s">
        <v>578</v>
      </c>
      <c r="AV62" s="316" t="s">
        <v>1244</v>
      </c>
      <c r="AW62" s="718">
        <v>0.01</v>
      </c>
      <c r="AX62" s="463">
        <f t="shared" ref="AX62:AX67" si="20">+AQ62+AT62+AW62</f>
        <v>0.5</v>
      </c>
      <c r="AY62" s="661">
        <v>0.4</v>
      </c>
      <c r="AZ62" s="316" t="s">
        <v>581</v>
      </c>
      <c r="BA62" s="316" t="s">
        <v>582</v>
      </c>
      <c r="BB62" s="463">
        <v>0.09</v>
      </c>
      <c r="BC62" s="316" t="s">
        <v>578</v>
      </c>
      <c r="BD62" s="316" t="s">
        <v>579</v>
      </c>
      <c r="BE62" s="463">
        <v>0.01</v>
      </c>
      <c r="BF62" s="728">
        <f t="shared" ref="BF62:BF67" si="21">+AY62+BB62+BE62</f>
        <v>0.5</v>
      </c>
      <c r="BG62" s="463"/>
      <c r="BH62" s="463">
        <v>0.4</v>
      </c>
      <c r="BI62" s="316" t="s">
        <v>581</v>
      </c>
      <c r="BJ62" s="316" t="s">
        <v>582</v>
      </c>
      <c r="BK62" s="463">
        <v>0.09</v>
      </c>
      <c r="BL62" s="316" t="s">
        <v>578</v>
      </c>
      <c r="BM62" s="316" t="s">
        <v>579</v>
      </c>
      <c r="BN62" s="463">
        <v>0.01</v>
      </c>
      <c r="BO62" s="728">
        <f t="shared" ref="BO62:BO67" si="22">+BH62+BK62+BN62</f>
        <v>0.5</v>
      </c>
      <c r="BP62" s="463">
        <v>0.4</v>
      </c>
      <c r="BQ62" s="316" t="s">
        <v>581</v>
      </c>
      <c r="BR62" s="316" t="s">
        <v>582</v>
      </c>
      <c r="BS62" s="463">
        <v>0.09</v>
      </c>
      <c r="BT62" s="316" t="s">
        <v>578</v>
      </c>
      <c r="BU62" s="316" t="s">
        <v>579</v>
      </c>
      <c r="BV62" s="463">
        <v>0.01</v>
      </c>
      <c r="BW62" s="463">
        <f t="shared" ref="BW62:BW67" si="23">+BP62+BS62+BV62</f>
        <v>0.5</v>
      </c>
      <c r="BX62" s="444"/>
      <c r="BY62" s="444"/>
      <c r="BZ62" s="444"/>
      <c r="CA62" s="434"/>
      <c r="CB62" s="723">
        <v>0.70799999999999996</v>
      </c>
      <c r="CC62" s="668" t="s">
        <v>950</v>
      </c>
      <c r="CD62" s="316" t="s">
        <v>581</v>
      </c>
      <c r="CE62" s="316" t="s">
        <v>582</v>
      </c>
      <c r="CF62" s="718">
        <v>0.59</v>
      </c>
      <c r="CG62" s="316" t="s">
        <v>578</v>
      </c>
      <c r="CH62" s="316" t="s">
        <v>579</v>
      </c>
      <c r="CI62" s="718">
        <v>0.01</v>
      </c>
    </row>
    <row r="63" spans="1:87" ht="15" x14ac:dyDescent="0.2">
      <c r="A63" s="747" t="s">
        <v>4</v>
      </c>
      <c r="B63" s="469" t="s">
        <v>3</v>
      </c>
      <c r="C63" s="718">
        <v>1</v>
      </c>
      <c r="D63" s="469" t="s">
        <v>514</v>
      </c>
      <c r="E63" s="469" t="s">
        <v>515</v>
      </c>
      <c r="F63" s="718">
        <v>0</v>
      </c>
      <c r="G63" s="469" t="s">
        <v>514</v>
      </c>
      <c r="H63" s="469" t="s">
        <v>552</v>
      </c>
      <c r="I63" s="718">
        <v>0</v>
      </c>
      <c r="J63" s="748">
        <f t="shared" ref="J63:J83" si="24">+C63+F63+I63</f>
        <v>1</v>
      </c>
      <c r="K63" s="718">
        <v>1</v>
      </c>
      <c r="L63" s="316" t="s">
        <v>514</v>
      </c>
      <c r="M63" s="316" t="s">
        <v>515</v>
      </c>
      <c r="N63" s="718">
        <v>0</v>
      </c>
      <c r="O63" s="316" t="s">
        <v>514</v>
      </c>
      <c r="P63" s="316" t="s">
        <v>552</v>
      </c>
      <c r="Q63" s="718">
        <v>0</v>
      </c>
      <c r="R63" s="728">
        <f t="shared" si="1"/>
        <v>1</v>
      </c>
      <c r="S63" s="718">
        <v>1</v>
      </c>
      <c r="T63" s="316" t="s">
        <v>514</v>
      </c>
      <c r="U63" s="316" t="s">
        <v>515</v>
      </c>
      <c r="V63" s="718">
        <v>0</v>
      </c>
      <c r="W63" s="316" t="s">
        <v>514</v>
      </c>
      <c r="X63" s="316" t="s">
        <v>552</v>
      </c>
      <c r="Y63" s="718">
        <v>0</v>
      </c>
      <c r="Z63" s="728">
        <f t="shared" si="16"/>
        <v>1</v>
      </c>
      <c r="AA63" s="718">
        <v>1</v>
      </c>
      <c r="AB63" s="316" t="s">
        <v>514</v>
      </c>
      <c r="AC63" s="316" t="s">
        <v>515</v>
      </c>
      <c r="AD63" s="718">
        <v>0</v>
      </c>
      <c r="AE63" s="316" t="s">
        <v>514</v>
      </c>
      <c r="AF63" s="316" t="s">
        <v>552</v>
      </c>
      <c r="AG63" s="718">
        <v>0</v>
      </c>
      <c r="AH63" s="728">
        <f t="shared" si="18"/>
        <v>1</v>
      </c>
      <c r="AI63" s="718">
        <v>1</v>
      </c>
      <c r="AJ63" s="316" t="s">
        <v>514</v>
      </c>
      <c r="AK63" s="316" t="s">
        <v>515</v>
      </c>
      <c r="AL63" s="718">
        <v>0</v>
      </c>
      <c r="AM63" s="316" t="s">
        <v>514</v>
      </c>
      <c r="AN63" s="316" t="s">
        <v>552</v>
      </c>
      <c r="AO63" s="718">
        <v>0</v>
      </c>
      <c r="AP63" s="728">
        <f t="shared" si="19"/>
        <v>1</v>
      </c>
      <c r="AQ63" s="718">
        <v>1</v>
      </c>
      <c r="AR63" s="316" t="s">
        <v>514</v>
      </c>
      <c r="AS63" s="316" t="s">
        <v>515</v>
      </c>
      <c r="AT63" s="718">
        <v>0</v>
      </c>
      <c r="AU63" s="316" t="s">
        <v>514</v>
      </c>
      <c r="AV63" s="316" t="s">
        <v>552</v>
      </c>
      <c r="AW63" s="718">
        <v>0</v>
      </c>
      <c r="AX63" s="463">
        <f t="shared" si="20"/>
        <v>1</v>
      </c>
      <c r="AY63" s="661">
        <v>1</v>
      </c>
      <c r="AZ63" s="316" t="s">
        <v>514</v>
      </c>
      <c r="BA63" s="316" t="s">
        <v>515</v>
      </c>
      <c r="BB63" s="463">
        <v>0</v>
      </c>
      <c r="BC63" s="316" t="s">
        <v>514</v>
      </c>
      <c r="BD63" s="316" t="s">
        <v>552</v>
      </c>
      <c r="BE63" s="463">
        <v>0</v>
      </c>
      <c r="BF63" s="728">
        <f t="shared" si="21"/>
        <v>1</v>
      </c>
      <c r="BG63" s="463"/>
      <c r="BH63" s="463">
        <v>1</v>
      </c>
      <c r="BI63" s="316" t="s">
        <v>514</v>
      </c>
      <c r="BJ63" s="316" t="s">
        <v>515</v>
      </c>
      <c r="BK63" s="463">
        <v>0</v>
      </c>
      <c r="BL63" s="316" t="s">
        <v>514</v>
      </c>
      <c r="BM63" s="316" t="s">
        <v>552</v>
      </c>
      <c r="BN63" s="463">
        <v>0</v>
      </c>
      <c r="BO63" s="728">
        <f t="shared" si="22"/>
        <v>1</v>
      </c>
      <c r="BP63" s="463">
        <v>0.5</v>
      </c>
      <c r="BQ63" s="316" t="s">
        <v>514</v>
      </c>
      <c r="BR63" s="316" t="s">
        <v>515</v>
      </c>
      <c r="BS63" s="463">
        <v>0</v>
      </c>
      <c r="BT63" s="316" t="s">
        <v>514</v>
      </c>
      <c r="BU63" s="316" t="s">
        <v>552</v>
      </c>
      <c r="BV63" s="463">
        <v>0</v>
      </c>
      <c r="BW63" s="463">
        <f t="shared" si="23"/>
        <v>0.5</v>
      </c>
      <c r="BX63" s="444" t="s">
        <v>874</v>
      </c>
      <c r="BY63" s="444"/>
      <c r="BZ63" s="444"/>
      <c r="CA63" s="436" t="s">
        <v>874</v>
      </c>
      <c r="CB63" s="723">
        <v>0.64300000000000002</v>
      </c>
      <c r="CC63" s="668" t="s">
        <v>950</v>
      </c>
      <c r="CD63" s="316" t="s">
        <v>514</v>
      </c>
      <c r="CE63" s="316" t="s">
        <v>515</v>
      </c>
      <c r="CF63" s="718">
        <v>0</v>
      </c>
      <c r="CG63" s="316" t="s">
        <v>514</v>
      </c>
      <c r="CH63" s="316" t="s">
        <v>552</v>
      </c>
      <c r="CI63" s="718">
        <v>0</v>
      </c>
    </row>
    <row r="64" spans="1:87" ht="15.75" customHeight="1" x14ac:dyDescent="0.2">
      <c r="A64" s="747" t="s">
        <v>6</v>
      </c>
      <c r="B64" s="469" t="s">
        <v>5</v>
      </c>
      <c r="C64" s="718">
        <v>0.4</v>
      </c>
      <c r="D64" s="469" t="s">
        <v>583</v>
      </c>
      <c r="E64" s="469" t="s">
        <v>584</v>
      </c>
      <c r="F64" s="718">
        <v>0.1</v>
      </c>
      <c r="G64" s="469" t="s">
        <v>514</v>
      </c>
      <c r="H64" s="469" t="s">
        <v>552</v>
      </c>
      <c r="I64" s="718">
        <v>0</v>
      </c>
      <c r="J64" s="748">
        <f t="shared" si="24"/>
        <v>0.5</v>
      </c>
      <c r="K64" s="718">
        <v>0.4</v>
      </c>
      <c r="L64" s="316" t="s">
        <v>583</v>
      </c>
      <c r="M64" s="316" t="s">
        <v>584</v>
      </c>
      <c r="N64" s="718">
        <v>0.1</v>
      </c>
      <c r="O64" s="316" t="s">
        <v>514</v>
      </c>
      <c r="P64" s="316" t="s">
        <v>552</v>
      </c>
      <c r="Q64" s="718">
        <v>0</v>
      </c>
      <c r="R64" s="728">
        <f t="shared" si="1"/>
        <v>0.5</v>
      </c>
      <c r="S64" s="718">
        <v>0.4</v>
      </c>
      <c r="T64" s="316" t="s">
        <v>583</v>
      </c>
      <c r="U64" s="316" t="s">
        <v>584</v>
      </c>
      <c r="V64" s="718">
        <v>0.1</v>
      </c>
      <c r="W64" s="316" t="s">
        <v>514</v>
      </c>
      <c r="X64" s="316" t="s">
        <v>552</v>
      </c>
      <c r="Y64" s="718">
        <v>0</v>
      </c>
      <c r="Z64" s="728">
        <f t="shared" si="16"/>
        <v>0.5</v>
      </c>
      <c r="AA64" s="718">
        <v>0.4</v>
      </c>
      <c r="AB64" s="316" t="s">
        <v>583</v>
      </c>
      <c r="AC64" s="316" t="s">
        <v>584</v>
      </c>
      <c r="AD64" s="718">
        <v>0.1</v>
      </c>
      <c r="AE64" s="316" t="s">
        <v>514</v>
      </c>
      <c r="AF64" s="316" t="s">
        <v>552</v>
      </c>
      <c r="AG64" s="718">
        <v>0</v>
      </c>
      <c r="AH64" s="728">
        <f t="shared" si="18"/>
        <v>0.5</v>
      </c>
      <c r="AI64" s="718">
        <v>0.4</v>
      </c>
      <c r="AJ64" s="316" t="s">
        <v>583</v>
      </c>
      <c r="AK64" s="316" t="s">
        <v>584</v>
      </c>
      <c r="AL64" s="718">
        <v>0.1</v>
      </c>
      <c r="AM64" s="316" t="s">
        <v>514</v>
      </c>
      <c r="AN64" s="316" t="s">
        <v>552</v>
      </c>
      <c r="AO64" s="718">
        <v>0</v>
      </c>
      <c r="AP64" s="728">
        <f t="shared" si="19"/>
        <v>0.5</v>
      </c>
      <c r="AQ64" s="718">
        <v>0.4</v>
      </c>
      <c r="AR64" s="316" t="s">
        <v>583</v>
      </c>
      <c r="AS64" s="316" t="s">
        <v>584</v>
      </c>
      <c r="AT64" s="718">
        <v>0.1</v>
      </c>
      <c r="AU64" s="316" t="s">
        <v>514</v>
      </c>
      <c r="AV64" s="316" t="s">
        <v>552</v>
      </c>
      <c r="AW64" s="718">
        <v>0</v>
      </c>
      <c r="AX64" s="463">
        <f t="shared" si="20"/>
        <v>0.5</v>
      </c>
      <c r="AY64" s="661">
        <v>0.5</v>
      </c>
      <c r="AZ64" s="316" t="s">
        <v>583</v>
      </c>
      <c r="BA64" s="316" t="s">
        <v>584</v>
      </c>
      <c r="BB64" s="463">
        <v>0.5</v>
      </c>
      <c r="BC64" s="316" t="s">
        <v>514</v>
      </c>
      <c r="BD64" s="316" t="s">
        <v>552</v>
      </c>
      <c r="BE64" s="463">
        <v>0</v>
      </c>
      <c r="BF64" s="728">
        <f t="shared" si="21"/>
        <v>1</v>
      </c>
      <c r="BG64" s="463"/>
      <c r="BH64" s="463">
        <v>0.4</v>
      </c>
      <c r="BI64" s="316" t="s">
        <v>583</v>
      </c>
      <c r="BJ64" s="316" t="s">
        <v>584</v>
      </c>
      <c r="BK64" s="463">
        <v>0.1</v>
      </c>
      <c r="BL64" s="316" t="s">
        <v>514</v>
      </c>
      <c r="BM64" s="316" t="s">
        <v>552</v>
      </c>
      <c r="BN64" s="463">
        <v>0</v>
      </c>
      <c r="BO64" s="728">
        <f t="shared" si="22"/>
        <v>0.5</v>
      </c>
      <c r="BP64" s="463">
        <v>0.4</v>
      </c>
      <c r="BQ64" s="316" t="s">
        <v>583</v>
      </c>
      <c r="BR64" s="316" t="s">
        <v>584</v>
      </c>
      <c r="BS64" s="463">
        <v>0.1</v>
      </c>
      <c r="BT64" s="316" t="s">
        <v>514</v>
      </c>
      <c r="BU64" s="316" t="s">
        <v>552</v>
      </c>
      <c r="BV64" s="463">
        <v>0</v>
      </c>
      <c r="BW64" s="463">
        <f t="shared" si="23"/>
        <v>0.5</v>
      </c>
      <c r="BX64" s="444"/>
      <c r="BY64" s="444"/>
      <c r="BZ64" s="444"/>
      <c r="CA64" s="434"/>
      <c r="CB64" s="723">
        <v>0.68600000000000005</v>
      </c>
      <c r="CC64" s="668" t="s">
        <v>950</v>
      </c>
      <c r="CD64" s="316" t="s">
        <v>583</v>
      </c>
      <c r="CE64" s="316" t="s">
        <v>584</v>
      </c>
      <c r="CF64" s="718">
        <v>0.6</v>
      </c>
      <c r="CG64" s="316" t="s">
        <v>514</v>
      </c>
      <c r="CH64" s="316" t="s">
        <v>552</v>
      </c>
      <c r="CI64" s="718">
        <v>0</v>
      </c>
    </row>
    <row r="65" spans="1:90" ht="15.75" customHeight="1" x14ac:dyDescent="0.2">
      <c r="A65" s="747" t="s">
        <v>8</v>
      </c>
      <c r="B65" s="469" t="s">
        <v>7</v>
      </c>
      <c r="C65" s="718">
        <v>0.99</v>
      </c>
      <c r="D65" s="469" t="s">
        <v>514</v>
      </c>
      <c r="E65" s="469" t="s">
        <v>666</v>
      </c>
      <c r="F65" s="718">
        <v>0</v>
      </c>
      <c r="G65" s="469" t="s">
        <v>675</v>
      </c>
      <c r="H65" s="469" t="s">
        <v>676</v>
      </c>
      <c r="I65" s="718">
        <v>0.01</v>
      </c>
      <c r="J65" s="748">
        <f t="shared" si="24"/>
        <v>1</v>
      </c>
      <c r="K65" s="718">
        <v>0.99</v>
      </c>
      <c r="L65" s="316" t="s">
        <v>514</v>
      </c>
      <c r="M65" s="316" t="s">
        <v>666</v>
      </c>
      <c r="N65" s="718">
        <v>0</v>
      </c>
      <c r="O65" s="316" t="s">
        <v>675</v>
      </c>
      <c r="P65" s="316" t="s">
        <v>676</v>
      </c>
      <c r="Q65" s="718">
        <v>0.01</v>
      </c>
      <c r="R65" s="728">
        <f t="shared" si="1"/>
        <v>1</v>
      </c>
      <c r="S65" s="718">
        <v>0.99</v>
      </c>
      <c r="T65" s="316" t="s">
        <v>514</v>
      </c>
      <c r="U65" s="316" t="s">
        <v>666</v>
      </c>
      <c r="V65" s="718">
        <v>0</v>
      </c>
      <c r="W65" s="316" t="s">
        <v>675</v>
      </c>
      <c r="X65" s="316" t="s">
        <v>676</v>
      </c>
      <c r="Y65" s="718">
        <v>0.01</v>
      </c>
      <c r="Z65" s="728">
        <f t="shared" si="16"/>
        <v>1</v>
      </c>
      <c r="AA65" s="718">
        <v>0.99</v>
      </c>
      <c r="AB65" s="316" t="s">
        <v>514</v>
      </c>
      <c r="AC65" s="316" t="s">
        <v>666</v>
      </c>
      <c r="AD65" s="718">
        <v>0</v>
      </c>
      <c r="AE65" s="316" t="s">
        <v>675</v>
      </c>
      <c r="AF65" s="316" t="s">
        <v>676</v>
      </c>
      <c r="AG65" s="718">
        <v>0.01</v>
      </c>
      <c r="AH65" s="728">
        <f t="shared" si="18"/>
        <v>1</v>
      </c>
      <c r="AI65" s="718">
        <v>0.99</v>
      </c>
      <c r="AJ65" s="316" t="s">
        <v>514</v>
      </c>
      <c r="AK65" s="316" t="s">
        <v>666</v>
      </c>
      <c r="AL65" s="718">
        <v>0</v>
      </c>
      <c r="AM65" s="316" t="s">
        <v>675</v>
      </c>
      <c r="AN65" s="316" t="s">
        <v>676</v>
      </c>
      <c r="AO65" s="718">
        <v>0.01</v>
      </c>
      <c r="AP65" s="728">
        <f t="shared" si="19"/>
        <v>1</v>
      </c>
      <c r="AQ65" s="718">
        <v>0.99</v>
      </c>
      <c r="AR65" s="316" t="s">
        <v>514</v>
      </c>
      <c r="AS65" s="316" t="s">
        <v>666</v>
      </c>
      <c r="AT65" s="718">
        <v>0</v>
      </c>
      <c r="AU65" s="316" t="s">
        <v>675</v>
      </c>
      <c r="AV65" s="316" t="s">
        <v>676</v>
      </c>
      <c r="AW65" s="718">
        <v>0.01</v>
      </c>
      <c r="AX65" s="463">
        <f t="shared" si="20"/>
        <v>1</v>
      </c>
      <c r="AY65" s="661">
        <v>0.99</v>
      </c>
      <c r="AZ65" s="316" t="s">
        <v>514</v>
      </c>
      <c r="BA65" s="316" t="s">
        <v>666</v>
      </c>
      <c r="BB65" s="463">
        <v>0</v>
      </c>
      <c r="BC65" s="316" t="s">
        <v>675</v>
      </c>
      <c r="BD65" s="316" t="s">
        <v>676</v>
      </c>
      <c r="BE65" s="463">
        <v>0.01</v>
      </c>
      <c r="BF65" s="728">
        <f t="shared" si="21"/>
        <v>1</v>
      </c>
      <c r="BG65" s="463"/>
      <c r="BH65" s="463">
        <v>0.99</v>
      </c>
      <c r="BI65" s="316" t="s">
        <v>514</v>
      </c>
      <c r="BJ65" s="316" t="s">
        <v>666</v>
      </c>
      <c r="BK65" s="463">
        <v>0</v>
      </c>
      <c r="BL65" s="316" t="s">
        <v>675</v>
      </c>
      <c r="BM65" s="316" t="s">
        <v>676</v>
      </c>
      <c r="BN65" s="463">
        <v>0.01</v>
      </c>
      <c r="BO65" s="728">
        <f t="shared" si="22"/>
        <v>1</v>
      </c>
      <c r="BP65" s="463">
        <v>0.49</v>
      </c>
      <c r="BQ65" s="316" t="s">
        <v>514</v>
      </c>
      <c r="BR65" s="316" t="s">
        <v>666</v>
      </c>
      <c r="BS65" s="463">
        <v>0</v>
      </c>
      <c r="BT65" s="316" t="s">
        <v>675</v>
      </c>
      <c r="BU65" s="316" t="s">
        <v>676</v>
      </c>
      <c r="BV65" s="463">
        <v>0.01</v>
      </c>
      <c r="BW65" s="463">
        <f t="shared" si="23"/>
        <v>0.5</v>
      </c>
      <c r="BX65" s="446" t="s">
        <v>874</v>
      </c>
      <c r="BZ65" s="446" t="s">
        <v>874</v>
      </c>
      <c r="CA65" s="436" t="s">
        <v>874</v>
      </c>
      <c r="CB65" s="723">
        <v>0.68</v>
      </c>
      <c r="CC65" s="668" t="s">
        <v>950</v>
      </c>
      <c r="CD65" s="316" t="s">
        <v>514</v>
      </c>
      <c r="CE65" s="316" t="s">
        <v>666</v>
      </c>
      <c r="CF65" s="718">
        <v>0</v>
      </c>
      <c r="CG65" s="316" t="s">
        <v>675</v>
      </c>
      <c r="CH65" s="316" t="s">
        <v>676</v>
      </c>
      <c r="CI65" s="718">
        <v>0.01</v>
      </c>
    </row>
    <row r="66" spans="1:90" ht="15.75" customHeight="1" x14ac:dyDescent="0.2">
      <c r="A66" s="747" t="s">
        <v>10</v>
      </c>
      <c r="B66" s="469" t="s">
        <v>9</v>
      </c>
      <c r="C66" s="718">
        <v>0.4</v>
      </c>
      <c r="D66" s="469" t="s">
        <v>661</v>
      </c>
      <c r="E66" s="469" t="s">
        <v>662</v>
      </c>
      <c r="F66" s="718">
        <v>0.1</v>
      </c>
      <c r="G66" s="469" t="s">
        <v>514</v>
      </c>
      <c r="H66" s="469" t="s">
        <v>552</v>
      </c>
      <c r="I66" s="718">
        <v>0</v>
      </c>
      <c r="J66" s="748">
        <f t="shared" si="24"/>
        <v>0.5</v>
      </c>
      <c r="K66" s="718">
        <v>0.4</v>
      </c>
      <c r="L66" s="316" t="s">
        <v>661</v>
      </c>
      <c r="M66" s="316" t="s">
        <v>662</v>
      </c>
      <c r="N66" s="718">
        <v>0.1</v>
      </c>
      <c r="O66" s="316" t="s">
        <v>514</v>
      </c>
      <c r="P66" s="316" t="s">
        <v>552</v>
      </c>
      <c r="Q66" s="718">
        <v>0</v>
      </c>
      <c r="R66" s="728">
        <f t="shared" si="1"/>
        <v>0.5</v>
      </c>
      <c r="S66" s="718">
        <v>0.4</v>
      </c>
      <c r="T66" s="316" t="s">
        <v>661</v>
      </c>
      <c r="U66" s="316" t="s">
        <v>662</v>
      </c>
      <c r="V66" s="718">
        <v>0.1</v>
      </c>
      <c r="W66" s="316" t="s">
        <v>514</v>
      </c>
      <c r="X66" s="316" t="s">
        <v>552</v>
      </c>
      <c r="Y66" s="718">
        <v>0</v>
      </c>
      <c r="Z66" s="728">
        <f t="shared" si="16"/>
        <v>0.5</v>
      </c>
      <c r="AA66" s="718">
        <v>0.4</v>
      </c>
      <c r="AB66" s="316" t="s">
        <v>661</v>
      </c>
      <c r="AC66" s="316" t="s">
        <v>662</v>
      </c>
      <c r="AD66" s="718">
        <v>0.1</v>
      </c>
      <c r="AE66" s="316" t="s">
        <v>514</v>
      </c>
      <c r="AF66" s="316" t="s">
        <v>552</v>
      </c>
      <c r="AG66" s="718">
        <v>0</v>
      </c>
      <c r="AH66" s="728">
        <f t="shared" si="18"/>
        <v>0.5</v>
      </c>
      <c r="AI66" s="718">
        <v>0.4</v>
      </c>
      <c r="AJ66" s="316" t="s">
        <v>661</v>
      </c>
      <c r="AK66" s="316" t="s">
        <v>662</v>
      </c>
      <c r="AL66" s="718">
        <v>0.1</v>
      </c>
      <c r="AM66" s="316" t="s">
        <v>514</v>
      </c>
      <c r="AN66" s="316" t="s">
        <v>552</v>
      </c>
      <c r="AO66" s="718">
        <v>0</v>
      </c>
      <c r="AP66" s="728">
        <f t="shared" si="19"/>
        <v>0.5</v>
      </c>
      <c r="AQ66" s="718">
        <v>0.2</v>
      </c>
      <c r="AR66" s="316" t="s">
        <v>661</v>
      </c>
      <c r="AS66" s="316" t="s">
        <v>662</v>
      </c>
      <c r="AT66" s="718">
        <v>0.55000000000000004</v>
      </c>
      <c r="AU66" s="316" t="s">
        <v>514</v>
      </c>
      <c r="AV66" s="316" t="s">
        <v>552</v>
      </c>
      <c r="AW66" s="718">
        <v>0</v>
      </c>
      <c r="AX66" s="463">
        <f t="shared" si="20"/>
        <v>0.75</v>
      </c>
      <c r="AY66" s="661">
        <v>0.4</v>
      </c>
      <c r="AZ66" s="316" t="s">
        <v>661</v>
      </c>
      <c r="BA66" s="316" t="s">
        <v>662</v>
      </c>
      <c r="BB66" s="463">
        <v>0.1</v>
      </c>
      <c r="BC66" s="316" t="s">
        <v>514</v>
      </c>
      <c r="BD66" s="316" t="s">
        <v>552</v>
      </c>
      <c r="BE66" s="463">
        <v>0</v>
      </c>
      <c r="BF66" s="728">
        <f t="shared" si="21"/>
        <v>0.5</v>
      </c>
      <c r="BG66" s="463"/>
      <c r="BH66" s="463">
        <v>0.4</v>
      </c>
      <c r="BI66" s="316" t="s">
        <v>661</v>
      </c>
      <c r="BJ66" s="316" t="s">
        <v>662</v>
      </c>
      <c r="BK66" s="463">
        <v>0.1</v>
      </c>
      <c r="BL66" s="316" t="s">
        <v>514</v>
      </c>
      <c r="BM66" s="316" t="s">
        <v>552</v>
      </c>
      <c r="BN66" s="463">
        <v>0</v>
      </c>
      <c r="BO66" s="728">
        <f t="shared" si="22"/>
        <v>0.5</v>
      </c>
      <c r="BP66" s="463">
        <v>0.4</v>
      </c>
      <c r="BQ66" s="316" t="s">
        <v>661</v>
      </c>
      <c r="BR66" s="316" t="s">
        <v>662</v>
      </c>
      <c r="BS66" s="463">
        <v>0.1</v>
      </c>
      <c r="BT66" s="316" t="s">
        <v>514</v>
      </c>
      <c r="BU66" s="316" t="s">
        <v>552</v>
      </c>
      <c r="BV66" s="463">
        <v>0</v>
      </c>
      <c r="BW66" s="463">
        <f t="shared" si="23"/>
        <v>0.5</v>
      </c>
      <c r="BX66" s="444"/>
      <c r="BY66" s="444"/>
      <c r="BZ66" s="444"/>
      <c r="CA66" s="434"/>
      <c r="CB66" s="723">
        <v>0.753</v>
      </c>
      <c r="CC66" s="668" t="s">
        <v>950</v>
      </c>
      <c r="CD66" s="316" t="s">
        <v>661</v>
      </c>
      <c r="CE66" s="316" t="s">
        <v>662</v>
      </c>
      <c r="CF66" s="718">
        <v>0.6</v>
      </c>
      <c r="CG66" s="316" t="s">
        <v>514</v>
      </c>
      <c r="CH66" s="316" t="s">
        <v>552</v>
      </c>
      <c r="CI66" s="718">
        <v>0</v>
      </c>
    </row>
    <row r="67" spans="1:90" ht="15.75" customHeight="1" x14ac:dyDescent="0.2">
      <c r="A67" s="747" t="s">
        <v>12</v>
      </c>
      <c r="B67" s="469" t="s">
        <v>11</v>
      </c>
      <c r="C67" s="718">
        <v>0.3</v>
      </c>
      <c r="D67" s="469" t="s">
        <v>680</v>
      </c>
      <c r="E67" s="469" t="s">
        <v>681</v>
      </c>
      <c r="F67" s="718">
        <v>0.37</v>
      </c>
      <c r="G67" s="469" t="s">
        <v>514</v>
      </c>
      <c r="H67" s="469" t="s">
        <v>514</v>
      </c>
      <c r="I67" s="718">
        <v>0</v>
      </c>
      <c r="J67" s="748">
        <f t="shared" si="24"/>
        <v>0.66999999999999993</v>
      </c>
      <c r="K67" s="718">
        <v>0.3</v>
      </c>
      <c r="L67" s="316" t="s">
        <v>680</v>
      </c>
      <c r="M67" s="316" t="s">
        <v>681</v>
      </c>
      <c r="N67" s="718">
        <v>0.37</v>
      </c>
      <c r="O67" s="316" t="s">
        <v>514</v>
      </c>
      <c r="P67" s="316" t="s">
        <v>514</v>
      </c>
      <c r="Q67" s="718">
        <v>0</v>
      </c>
      <c r="R67" s="728">
        <f t="shared" si="1"/>
        <v>0.66999999999999993</v>
      </c>
      <c r="S67" s="718">
        <v>0.3</v>
      </c>
      <c r="T67" s="316" t="s">
        <v>680</v>
      </c>
      <c r="U67" s="316" t="s">
        <v>681</v>
      </c>
      <c r="V67" s="718">
        <v>0.37</v>
      </c>
      <c r="W67" s="316" t="s">
        <v>514</v>
      </c>
      <c r="X67" s="316" t="s">
        <v>514</v>
      </c>
      <c r="Y67" s="718">
        <v>0</v>
      </c>
      <c r="Z67" s="728">
        <f t="shared" si="16"/>
        <v>0.66999999999999993</v>
      </c>
      <c r="AA67" s="718">
        <v>0.3</v>
      </c>
      <c r="AB67" s="316" t="s">
        <v>680</v>
      </c>
      <c r="AC67" s="316" t="s">
        <v>681</v>
      </c>
      <c r="AD67" s="718">
        <v>0.37</v>
      </c>
      <c r="AE67" s="316" t="s">
        <v>514</v>
      </c>
      <c r="AF67" s="316" t="s">
        <v>514</v>
      </c>
      <c r="AG67" s="718">
        <v>0</v>
      </c>
      <c r="AH67" s="728">
        <f t="shared" si="18"/>
        <v>0.66999999999999993</v>
      </c>
      <c r="AI67" s="718">
        <v>0.3</v>
      </c>
      <c r="AJ67" s="316" t="s">
        <v>680</v>
      </c>
      <c r="AK67" s="316" t="s">
        <v>681</v>
      </c>
      <c r="AL67" s="718">
        <v>0.37</v>
      </c>
      <c r="AM67" s="316" t="s">
        <v>514</v>
      </c>
      <c r="AN67" s="316" t="s">
        <v>514</v>
      </c>
      <c r="AO67" s="718">
        <v>0</v>
      </c>
      <c r="AP67" s="728">
        <f t="shared" si="19"/>
        <v>0.66999999999999993</v>
      </c>
      <c r="AQ67" s="718">
        <v>0.48</v>
      </c>
      <c r="AR67" s="316" t="s">
        <v>680</v>
      </c>
      <c r="AS67" s="316" t="s">
        <v>681</v>
      </c>
      <c r="AT67" s="718">
        <v>0.27</v>
      </c>
      <c r="AU67" s="316" t="s">
        <v>514</v>
      </c>
      <c r="AV67" s="316" t="s">
        <v>514</v>
      </c>
      <c r="AW67" s="718">
        <v>0</v>
      </c>
      <c r="AX67" s="463">
        <f t="shared" si="20"/>
        <v>0.75</v>
      </c>
      <c r="AY67" s="661">
        <v>0.64</v>
      </c>
      <c r="AZ67" s="316" t="s">
        <v>680</v>
      </c>
      <c r="BA67" s="316" t="s">
        <v>681</v>
      </c>
      <c r="BB67" s="463">
        <v>0.36</v>
      </c>
      <c r="BC67" s="316" t="s">
        <v>514</v>
      </c>
      <c r="BD67" s="316" t="s">
        <v>514</v>
      </c>
      <c r="BE67" s="463">
        <v>0</v>
      </c>
      <c r="BF67" s="728">
        <f t="shared" si="21"/>
        <v>1</v>
      </c>
      <c r="BG67" s="463"/>
      <c r="BH67" s="463">
        <v>0.3</v>
      </c>
      <c r="BI67" s="316" t="s">
        <v>680</v>
      </c>
      <c r="BJ67" s="316" t="s">
        <v>681</v>
      </c>
      <c r="BK67" s="463">
        <v>0.37</v>
      </c>
      <c r="BL67" s="316" t="s">
        <v>514</v>
      </c>
      <c r="BM67" s="316" t="s">
        <v>514</v>
      </c>
      <c r="BN67" s="463">
        <v>0</v>
      </c>
      <c r="BO67" s="728">
        <f t="shared" si="22"/>
        <v>0.66999999999999993</v>
      </c>
      <c r="BP67" s="463">
        <v>0.3</v>
      </c>
      <c r="BQ67" s="316" t="s">
        <v>680</v>
      </c>
      <c r="BR67" s="316" t="s">
        <v>681</v>
      </c>
      <c r="BS67" s="463">
        <v>0.2</v>
      </c>
      <c r="BT67" s="316" t="s">
        <v>514</v>
      </c>
      <c r="BU67" s="316" t="s">
        <v>514</v>
      </c>
      <c r="BV67" s="463">
        <v>0</v>
      </c>
      <c r="BW67" s="463">
        <f t="shared" si="23"/>
        <v>0.5</v>
      </c>
      <c r="BX67" s="444" t="s">
        <v>874</v>
      </c>
      <c r="BY67" s="444"/>
      <c r="BZ67" s="444"/>
      <c r="CA67" s="436" t="s">
        <v>874</v>
      </c>
      <c r="CB67" s="723">
        <v>0.747</v>
      </c>
      <c r="CC67" s="668" t="s">
        <v>950</v>
      </c>
      <c r="CD67" s="316" t="s">
        <v>680</v>
      </c>
      <c r="CE67" s="316" t="s">
        <v>681</v>
      </c>
      <c r="CF67" s="718">
        <v>0.2</v>
      </c>
      <c r="CG67" s="316" t="s">
        <v>514</v>
      </c>
      <c r="CH67" s="316" t="s">
        <v>514</v>
      </c>
      <c r="CI67" s="718">
        <v>0</v>
      </c>
    </row>
    <row r="68" spans="1:90" ht="15.75" customHeight="1" x14ac:dyDescent="0.2">
      <c r="A68" s="747" t="s">
        <v>2429</v>
      </c>
      <c r="B68" s="469" t="s">
        <v>2403</v>
      </c>
      <c r="C68" s="718">
        <v>0.49</v>
      </c>
      <c r="D68" s="469" t="s">
        <v>514</v>
      </c>
      <c r="E68" s="469" t="s">
        <v>515</v>
      </c>
      <c r="F68" s="718">
        <v>0</v>
      </c>
      <c r="G68" s="469" t="s">
        <v>2784</v>
      </c>
      <c r="H68" s="469" t="s">
        <v>2795</v>
      </c>
      <c r="I68" s="718">
        <v>0.01</v>
      </c>
      <c r="J68" s="748">
        <f>+C68+F68+I68</f>
        <v>0.5</v>
      </c>
      <c r="K68" s="842">
        <v>0.49</v>
      </c>
      <c r="L68" s="843" t="s">
        <v>514</v>
      </c>
      <c r="M68" s="843" t="s">
        <v>515</v>
      </c>
      <c r="N68" s="842">
        <v>0</v>
      </c>
      <c r="O68" s="843" t="s">
        <v>2784</v>
      </c>
      <c r="P68" s="843" t="s">
        <v>2795</v>
      </c>
      <c r="Q68" s="842">
        <v>0.01</v>
      </c>
      <c r="R68" s="844">
        <f>+K68+N68+Q68</f>
        <v>0.5</v>
      </c>
      <c r="S68" s="842">
        <v>0.5</v>
      </c>
      <c r="T68" s="843" t="s">
        <v>514</v>
      </c>
      <c r="U68" s="843" t="s">
        <v>515</v>
      </c>
      <c r="V68" s="842">
        <v>0</v>
      </c>
      <c r="W68" s="843" t="s">
        <v>514</v>
      </c>
      <c r="X68" s="843" t="s">
        <v>552</v>
      </c>
      <c r="Y68" s="842">
        <v>0</v>
      </c>
      <c r="Z68" s="844">
        <f>+S68+V68+Y68</f>
        <v>0.5</v>
      </c>
      <c r="AA68" s="842">
        <v>0.5</v>
      </c>
      <c r="AB68" s="843" t="s">
        <v>514</v>
      </c>
      <c r="AC68" s="843" t="s">
        <v>515</v>
      </c>
      <c r="AD68" s="842">
        <v>0</v>
      </c>
      <c r="AE68" s="843" t="s">
        <v>514</v>
      </c>
      <c r="AF68" s="843" t="s">
        <v>552</v>
      </c>
      <c r="AG68" s="842">
        <v>0</v>
      </c>
      <c r="AH68" s="844">
        <f>+AA68+AD68+AG68</f>
        <v>0.5</v>
      </c>
      <c r="AI68" s="842">
        <v>0.5</v>
      </c>
      <c r="AJ68" s="843" t="s">
        <v>514</v>
      </c>
      <c r="AK68" s="843" t="s">
        <v>515</v>
      </c>
      <c r="AL68" s="842">
        <v>0</v>
      </c>
      <c r="AM68" s="843" t="s">
        <v>514</v>
      </c>
      <c r="AN68" s="843" t="s">
        <v>552</v>
      </c>
      <c r="AO68" s="842">
        <v>0</v>
      </c>
      <c r="AP68" s="844">
        <f>+AI68+AL68+AO68</f>
        <v>0.5</v>
      </c>
      <c r="AQ68" s="842">
        <v>0.5</v>
      </c>
      <c r="AR68" s="843" t="s">
        <v>514</v>
      </c>
      <c r="AS68" s="843" t="s">
        <v>515</v>
      </c>
      <c r="AT68" s="842">
        <v>0</v>
      </c>
      <c r="AU68" s="843" t="s">
        <v>514</v>
      </c>
      <c r="AV68" s="843" t="s">
        <v>552</v>
      </c>
      <c r="AW68" s="842">
        <v>0</v>
      </c>
      <c r="AX68" s="844">
        <f>+AQ68+AT68+AW68</f>
        <v>0.5</v>
      </c>
      <c r="AY68" s="842">
        <v>0.5</v>
      </c>
      <c r="AZ68" s="843" t="s">
        <v>514</v>
      </c>
      <c r="BA68" s="843" t="s">
        <v>515</v>
      </c>
      <c r="BB68" s="842">
        <v>0</v>
      </c>
      <c r="BC68" s="843" t="s">
        <v>514</v>
      </c>
      <c r="BD68" s="843" t="s">
        <v>552</v>
      </c>
      <c r="BE68" s="842">
        <v>0</v>
      </c>
      <c r="BF68" s="844">
        <f>+AY68+BB68+BE68</f>
        <v>0.5</v>
      </c>
      <c r="BG68" s="842"/>
      <c r="BH68" s="842">
        <v>0.5</v>
      </c>
      <c r="BI68" s="843" t="s">
        <v>514</v>
      </c>
      <c r="BJ68" s="843" t="s">
        <v>515</v>
      </c>
      <c r="BK68" s="842">
        <v>0</v>
      </c>
      <c r="BL68" s="843" t="s">
        <v>514</v>
      </c>
      <c r="BM68" s="843" t="s">
        <v>552</v>
      </c>
      <c r="BN68" s="842">
        <v>0</v>
      </c>
      <c r="BO68" s="844">
        <f>+BH68+BK68+BN68</f>
        <v>0.5</v>
      </c>
      <c r="BP68" s="842">
        <v>0.5</v>
      </c>
      <c r="BQ68" s="843" t="s">
        <v>514</v>
      </c>
      <c r="BR68" s="843" t="s">
        <v>515</v>
      </c>
      <c r="BS68" s="842">
        <v>0</v>
      </c>
      <c r="BT68" s="843" t="s">
        <v>514</v>
      </c>
      <c r="BU68" s="843" t="s">
        <v>552</v>
      </c>
      <c r="BV68" s="842">
        <v>0</v>
      </c>
      <c r="BW68" s="844">
        <f>+BP68+BS68+BV68</f>
        <v>0.5</v>
      </c>
      <c r="BX68" s="444" t="s">
        <v>874</v>
      </c>
      <c r="BY68" s="444"/>
      <c r="BZ68" s="444"/>
      <c r="CA68" s="436" t="s">
        <v>874</v>
      </c>
      <c r="CB68" s="723">
        <v>0.64800000000000002</v>
      </c>
      <c r="CC68" s="668" t="s">
        <v>950</v>
      </c>
      <c r="CD68" s="316" t="s">
        <v>514</v>
      </c>
      <c r="CE68" s="316" t="s">
        <v>515</v>
      </c>
      <c r="CF68" s="718">
        <v>0</v>
      </c>
      <c r="CG68" s="316" t="s">
        <v>514</v>
      </c>
      <c r="CH68" s="316" t="s">
        <v>552</v>
      </c>
      <c r="CI68" s="718">
        <v>0</v>
      </c>
    </row>
    <row r="69" spans="1:90" ht="15.75" customHeight="1" x14ac:dyDescent="0.2">
      <c r="A69" s="747" t="s">
        <v>14</v>
      </c>
      <c r="B69" s="469" t="s">
        <v>13</v>
      </c>
      <c r="C69" s="718">
        <v>0.4</v>
      </c>
      <c r="D69" s="469" t="s">
        <v>596</v>
      </c>
      <c r="E69" s="469" t="s">
        <v>597</v>
      </c>
      <c r="F69" s="718">
        <v>0.1</v>
      </c>
      <c r="G69" s="469" t="s">
        <v>514</v>
      </c>
      <c r="H69" s="469" t="s">
        <v>552</v>
      </c>
      <c r="I69" s="718">
        <v>0</v>
      </c>
      <c r="J69" s="748">
        <f t="shared" si="24"/>
        <v>0.5</v>
      </c>
      <c r="K69" s="718">
        <v>0.4</v>
      </c>
      <c r="L69" s="316" t="s">
        <v>596</v>
      </c>
      <c r="M69" s="316" t="s">
        <v>597</v>
      </c>
      <c r="N69" s="718">
        <v>0.1</v>
      </c>
      <c r="O69" s="316" t="s">
        <v>514</v>
      </c>
      <c r="P69" s="316" t="s">
        <v>552</v>
      </c>
      <c r="Q69" s="718">
        <v>0</v>
      </c>
      <c r="R69" s="728">
        <f t="shared" ref="R69:R96" si="25">+K69+N69+Q69</f>
        <v>0.5</v>
      </c>
      <c r="S69" s="718">
        <v>0.4</v>
      </c>
      <c r="T69" s="316" t="s">
        <v>596</v>
      </c>
      <c r="U69" s="316" t="s">
        <v>597</v>
      </c>
      <c r="V69" s="718">
        <v>0.1</v>
      </c>
      <c r="W69" s="316" t="s">
        <v>514</v>
      </c>
      <c r="X69" s="316" t="s">
        <v>552</v>
      </c>
      <c r="Y69" s="718">
        <v>0</v>
      </c>
      <c r="Z69" s="728">
        <f t="shared" ref="Z69:Z96" si="26">+S69+V69+Y69</f>
        <v>0.5</v>
      </c>
      <c r="AA69" s="718">
        <v>0.4</v>
      </c>
      <c r="AB69" s="316" t="s">
        <v>596</v>
      </c>
      <c r="AC69" s="316" t="s">
        <v>597</v>
      </c>
      <c r="AD69" s="718">
        <v>0.1</v>
      </c>
      <c r="AE69" s="316" t="s">
        <v>514</v>
      </c>
      <c r="AF69" s="316" t="s">
        <v>552</v>
      </c>
      <c r="AG69" s="718">
        <v>0</v>
      </c>
      <c r="AH69" s="728">
        <f t="shared" ref="AH69:AH72" si="27">+AA69+AD69+AG69</f>
        <v>0.5</v>
      </c>
      <c r="AI69" s="718">
        <v>0.4</v>
      </c>
      <c r="AJ69" s="316" t="s">
        <v>596</v>
      </c>
      <c r="AK69" s="316" t="s">
        <v>597</v>
      </c>
      <c r="AL69" s="718">
        <v>0.1</v>
      </c>
      <c r="AM69" s="316" t="s">
        <v>514</v>
      </c>
      <c r="AN69" s="316" t="s">
        <v>552</v>
      </c>
      <c r="AO69" s="718">
        <v>0</v>
      </c>
      <c r="AP69" s="728">
        <f t="shared" ref="AP69:AP73" si="28">+AI69+AL69+AO69</f>
        <v>0.5</v>
      </c>
      <c r="AQ69" s="718">
        <v>0.35</v>
      </c>
      <c r="AR69" s="316" t="s">
        <v>596</v>
      </c>
      <c r="AS69" s="316" t="s">
        <v>597</v>
      </c>
      <c r="AT69" s="718">
        <v>0.4</v>
      </c>
      <c r="AU69" s="316" t="s">
        <v>514</v>
      </c>
      <c r="AV69" s="316" t="s">
        <v>552</v>
      </c>
      <c r="AW69" s="718">
        <v>0</v>
      </c>
      <c r="AX69" s="463">
        <f t="shared" ref="AX69:AX73" si="29">+AQ69+AT69+AW69</f>
        <v>0.75</v>
      </c>
      <c r="AY69" s="661">
        <v>0.4</v>
      </c>
      <c r="AZ69" s="316" t="s">
        <v>596</v>
      </c>
      <c r="BA69" s="316" t="s">
        <v>597</v>
      </c>
      <c r="BB69" s="463">
        <v>0.1</v>
      </c>
      <c r="BC69" s="316" t="s">
        <v>514</v>
      </c>
      <c r="BD69" s="316" t="s">
        <v>552</v>
      </c>
      <c r="BE69" s="463">
        <v>0</v>
      </c>
      <c r="BF69" s="728">
        <f t="shared" ref="BF69:BF73" si="30">+AY69+BB69+BE69</f>
        <v>0.5</v>
      </c>
      <c r="BG69" s="463"/>
      <c r="BH69" s="463">
        <v>0.4</v>
      </c>
      <c r="BI69" s="316" t="s">
        <v>596</v>
      </c>
      <c r="BJ69" s="316" t="s">
        <v>597</v>
      </c>
      <c r="BK69" s="463">
        <v>0.1</v>
      </c>
      <c r="BL69" s="316" t="s">
        <v>514</v>
      </c>
      <c r="BM69" s="316" t="s">
        <v>552</v>
      </c>
      <c r="BN69" s="463">
        <v>0</v>
      </c>
      <c r="BO69" s="728">
        <f t="shared" ref="BO69:BO73" si="31">+BH69+BK69+BN69</f>
        <v>0.5</v>
      </c>
      <c r="BP69" s="463">
        <v>0.4</v>
      </c>
      <c r="BQ69" s="316" t="s">
        <v>596</v>
      </c>
      <c r="BR69" s="316" t="s">
        <v>597</v>
      </c>
      <c r="BS69" s="463">
        <v>0.1</v>
      </c>
      <c r="BT69" s="316" t="s">
        <v>514</v>
      </c>
      <c r="BU69" s="316" t="s">
        <v>552</v>
      </c>
      <c r="BV69" s="463">
        <v>0</v>
      </c>
      <c r="BW69" s="463">
        <f t="shared" ref="BW69:BW73" si="32">+BP69+BS69+BV69</f>
        <v>0.5</v>
      </c>
      <c r="BX69" s="489" t="s">
        <v>874</v>
      </c>
      <c r="BY69" s="489"/>
      <c r="BZ69" s="489"/>
      <c r="CA69" s="434"/>
      <c r="CB69" s="723">
        <v>0.71699999999999997</v>
      </c>
      <c r="CC69" s="668" t="s">
        <v>950</v>
      </c>
      <c r="CD69" s="316" t="s">
        <v>596</v>
      </c>
      <c r="CE69" s="316" t="s">
        <v>597</v>
      </c>
      <c r="CF69" s="718">
        <v>0.6</v>
      </c>
      <c r="CG69" s="316" t="s">
        <v>514</v>
      </c>
      <c r="CH69" s="316" t="s">
        <v>552</v>
      </c>
      <c r="CI69" s="718">
        <v>0</v>
      </c>
    </row>
    <row r="70" spans="1:90" ht="15" x14ac:dyDescent="0.2">
      <c r="A70" s="747" t="s">
        <v>16</v>
      </c>
      <c r="B70" s="469" t="s">
        <v>569</v>
      </c>
      <c r="C70" s="718">
        <v>0.49</v>
      </c>
      <c r="D70" s="469" t="s">
        <v>514</v>
      </c>
      <c r="E70" s="469" t="s">
        <v>515</v>
      </c>
      <c r="F70" s="718">
        <v>0</v>
      </c>
      <c r="G70" s="469" t="s">
        <v>570</v>
      </c>
      <c r="H70" s="469" t="s">
        <v>571</v>
      </c>
      <c r="I70" s="718">
        <v>0.01</v>
      </c>
      <c r="J70" s="748">
        <f t="shared" si="24"/>
        <v>0.5</v>
      </c>
      <c r="K70" s="718">
        <v>0.49</v>
      </c>
      <c r="L70" s="316" t="s">
        <v>514</v>
      </c>
      <c r="M70" s="316" t="s">
        <v>515</v>
      </c>
      <c r="N70" s="718">
        <v>0</v>
      </c>
      <c r="O70" s="316" t="s">
        <v>570</v>
      </c>
      <c r="P70" s="316" t="s">
        <v>571</v>
      </c>
      <c r="Q70" s="718">
        <v>0.01</v>
      </c>
      <c r="R70" s="728">
        <f t="shared" si="25"/>
        <v>0.5</v>
      </c>
      <c r="S70" s="718">
        <v>0.49</v>
      </c>
      <c r="T70" s="316" t="s">
        <v>514</v>
      </c>
      <c r="U70" s="316" t="s">
        <v>515</v>
      </c>
      <c r="V70" s="718">
        <v>0</v>
      </c>
      <c r="W70" s="316" t="s">
        <v>570</v>
      </c>
      <c r="X70" s="316" t="s">
        <v>571</v>
      </c>
      <c r="Y70" s="718">
        <v>0.01</v>
      </c>
      <c r="Z70" s="728">
        <f t="shared" si="26"/>
        <v>0.5</v>
      </c>
      <c r="AA70" s="718">
        <v>0.49</v>
      </c>
      <c r="AB70" s="316" t="s">
        <v>514</v>
      </c>
      <c r="AC70" s="316" t="s">
        <v>515</v>
      </c>
      <c r="AD70" s="718">
        <v>0</v>
      </c>
      <c r="AE70" s="316" t="s">
        <v>570</v>
      </c>
      <c r="AF70" s="316" t="s">
        <v>571</v>
      </c>
      <c r="AG70" s="718">
        <v>0.01</v>
      </c>
      <c r="AH70" s="728">
        <f t="shared" si="27"/>
        <v>0.5</v>
      </c>
      <c r="AI70" s="718">
        <v>0.49</v>
      </c>
      <c r="AJ70" s="316" t="s">
        <v>514</v>
      </c>
      <c r="AK70" s="316" t="s">
        <v>515</v>
      </c>
      <c r="AL70" s="718">
        <v>0</v>
      </c>
      <c r="AM70" s="316" t="s">
        <v>570</v>
      </c>
      <c r="AN70" s="316" t="s">
        <v>571</v>
      </c>
      <c r="AO70" s="718">
        <v>0.01</v>
      </c>
      <c r="AP70" s="728">
        <f t="shared" si="28"/>
        <v>0.5</v>
      </c>
      <c r="AQ70" s="718">
        <v>0.49</v>
      </c>
      <c r="AR70" s="316" t="s">
        <v>514</v>
      </c>
      <c r="AS70" s="316" t="s">
        <v>515</v>
      </c>
      <c r="AT70" s="718">
        <v>0</v>
      </c>
      <c r="AU70" s="316" t="s">
        <v>570</v>
      </c>
      <c r="AV70" s="316" t="s">
        <v>571</v>
      </c>
      <c r="AW70" s="718">
        <v>0.01</v>
      </c>
      <c r="AX70" s="463">
        <f t="shared" si="29"/>
        <v>0.5</v>
      </c>
      <c r="AY70" s="661">
        <v>0.49</v>
      </c>
      <c r="AZ70" s="316" t="s">
        <v>514</v>
      </c>
      <c r="BA70" s="316" t="s">
        <v>515</v>
      </c>
      <c r="BB70" s="463">
        <v>0</v>
      </c>
      <c r="BC70" s="316" t="s">
        <v>570</v>
      </c>
      <c r="BD70" s="316" t="s">
        <v>571</v>
      </c>
      <c r="BE70" s="463">
        <v>0.01</v>
      </c>
      <c r="BF70" s="728">
        <f t="shared" si="30"/>
        <v>0.5</v>
      </c>
      <c r="BG70" s="463"/>
      <c r="BH70" s="463">
        <v>0.49</v>
      </c>
      <c r="BI70" s="316" t="s">
        <v>514</v>
      </c>
      <c r="BJ70" s="316" t="s">
        <v>515</v>
      </c>
      <c r="BK70" s="463">
        <v>0</v>
      </c>
      <c r="BL70" s="316" t="s">
        <v>570</v>
      </c>
      <c r="BM70" s="316" t="s">
        <v>571</v>
      </c>
      <c r="BN70" s="463">
        <v>0.01</v>
      </c>
      <c r="BO70" s="728">
        <f t="shared" si="31"/>
        <v>0.5</v>
      </c>
      <c r="BP70" s="463">
        <v>0.49</v>
      </c>
      <c r="BQ70" s="316" t="s">
        <v>514</v>
      </c>
      <c r="BR70" s="316" t="s">
        <v>515</v>
      </c>
      <c r="BS70" s="463">
        <v>0</v>
      </c>
      <c r="BT70" s="316" t="s">
        <v>570</v>
      </c>
      <c r="BU70" s="316" t="s">
        <v>571</v>
      </c>
      <c r="BV70" s="463">
        <v>0.01</v>
      </c>
      <c r="BW70" s="463">
        <f t="shared" si="32"/>
        <v>0.5</v>
      </c>
      <c r="BX70" s="444" t="s">
        <v>874</v>
      </c>
      <c r="BY70" s="444" t="s">
        <v>874</v>
      </c>
      <c r="BZ70" s="444"/>
      <c r="CA70" s="436" t="s">
        <v>874</v>
      </c>
      <c r="CB70" s="723">
        <v>0.66800000000000004</v>
      </c>
      <c r="CC70" s="668" t="s">
        <v>950</v>
      </c>
      <c r="CD70" s="316" t="s">
        <v>514</v>
      </c>
      <c r="CE70" s="316" t="s">
        <v>515</v>
      </c>
      <c r="CF70" s="718">
        <v>0</v>
      </c>
      <c r="CG70" s="316" t="s">
        <v>570</v>
      </c>
      <c r="CH70" s="316" t="s">
        <v>571</v>
      </c>
      <c r="CI70" s="718">
        <v>0.01</v>
      </c>
    </row>
    <row r="71" spans="1:90" ht="15.75" customHeight="1" x14ac:dyDescent="0.2">
      <c r="A71" s="747" t="s">
        <v>18</v>
      </c>
      <c r="B71" s="469" t="s">
        <v>17</v>
      </c>
      <c r="C71" s="718">
        <v>0.4</v>
      </c>
      <c r="D71" s="469" t="s">
        <v>608</v>
      </c>
      <c r="E71" s="469" t="s">
        <v>609</v>
      </c>
      <c r="F71" s="718">
        <v>0.09</v>
      </c>
      <c r="G71" s="469" t="s">
        <v>606</v>
      </c>
      <c r="H71" s="469" t="s">
        <v>607</v>
      </c>
      <c r="I71" s="718">
        <v>0.01</v>
      </c>
      <c r="J71" s="748">
        <f t="shared" si="24"/>
        <v>0.5</v>
      </c>
      <c r="K71" s="718">
        <v>0.4</v>
      </c>
      <c r="L71" s="316" t="s">
        <v>608</v>
      </c>
      <c r="M71" s="316" t="s">
        <v>609</v>
      </c>
      <c r="N71" s="718">
        <v>0.09</v>
      </c>
      <c r="O71" s="316" t="s">
        <v>606</v>
      </c>
      <c r="P71" s="316" t="s">
        <v>607</v>
      </c>
      <c r="Q71" s="718">
        <v>0.01</v>
      </c>
      <c r="R71" s="728">
        <f t="shared" si="25"/>
        <v>0.5</v>
      </c>
      <c r="S71" s="718">
        <v>0.4</v>
      </c>
      <c r="T71" s="316" t="s">
        <v>608</v>
      </c>
      <c r="U71" s="316" t="s">
        <v>609</v>
      </c>
      <c r="V71" s="718">
        <v>0.09</v>
      </c>
      <c r="W71" s="316" t="s">
        <v>606</v>
      </c>
      <c r="X71" s="316" t="s">
        <v>607</v>
      </c>
      <c r="Y71" s="718">
        <v>0.01</v>
      </c>
      <c r="Z71" s="728">
        <f t="shared" si="26"/>
        <v>0.5</v>
      </c>
      <c r="AA71" s="718">
        <v>0.4</v>
      </c>
      <c r="AB71" s="316" t="s">
        <v>608</v>
      </c>
      <c r="AC71" s="316" t="s">
        <v>609</v>
      </c>
      <c r="AD71" s="718">
        <v>0.09</v>
      </c>
      <c r="AE71" s="316" t="s">
        <v>606</v>
      </c>
      <c r="AF71" s="316" t="s">
        <v>607</v>
      </c>
      <c r="AG71" s="718">
        <v>0.01</v>
      </c>
      <c r="AH71" s="728">
        <f t="shared" si="27"/>
        <v>0.5</v>
      </c>
      <c r="AI71" s="718">
        <v>0.4</v>
      </c>
      <c r="AJ71" s="316" t="s">
        <v>608</v>
      </c>
      <c r="AK71" s="316" t="s">
        <v>609</v>
      </c>
      <c r="AL71" s="718">
        <v>0.09</v>
      </c>
      <c r="AM71" s="316" t="s">
        <v>606</v>
      </c>
      <c r="AN71" s="316" t="s">
        <v>607</v>
      </c>
      <c r="AO71" s="718">
        <v>0.01</v>
      </c>
      <c r="AP71" s="728">
        <f t="shared" si="28"/>
        <v>0.5</v>
      </c>
      <c r="AQ71" s="718">
        <v>0.4</v>
      </c>
      <c r="AR71" s="316" t="s">
        <v>608</v>
      </c>
      <c r="AS71" s="316" t="s">
        <v>609</v>
      </c>
      <c r="AT71" s="718">
        <v>0.09</v>
      </c>
      <c r="AU71" s="316" t="s">
        <v>606</v>
      </c>
      <c r="AV71" s="316" t="s">
        <v>607</v>
      </c>
      <c r="AW71" s="718">
        <v>0.01</v>
      </c>
      <c r="AX71" s="463">
        <f t="shared" si="29"/>
        <v>0.5</v>
      </c>
      <c r="AY71" s="661">
        <v>0.4</v>
      </c>
      <c r="AZ71" s="316" t="s">
        <v>608</v>
      </c>
      <c r="BA71" s="316" t="s">
        <v>609</v>
      </c>
      <c r="BB71" s="463">
        <v>0.59</v>
      </c>
      <c r="BC71" s="316" t="s">
        <v>606</v>
      </c>
      <c r="BD71" s="316" t="s">
        <v>607</v>
      </c>
      <c r="BE71" s="463">
        <v>0.01</v>
      </c>
      <c r="BF71" s="728">
        <f t="shared" si="30"/>
        <v>1</v>
      </c>
      <c r="BG71" s="463"/>
      <c r="BH71" s="463">
        <v>0.4</v>
      </c>
      <c r="BI71" s="316" t="s">
        <v>608</v>
      </c>
      <c r="BJ71" s="316" t="s">
        <v>609</v>
      </c>
      <c r="BK71" s="463">
        <v>0.09</v>
      </c>
      <c r="BL71" s="316" t="s">
        <v>606</v>
      </c>
      <c r="BM71" s="316" t="s">
        <v>607</v>
      </c>
      <c r="BN71" s="463">
        <v>0.01</v>
      </c>
      <c r="BO71" s="728">
        <f t="shared" si="31"/>
        <v>0.5</v>
      </c>
      <c r="BP71" s="463">
        <v>0.4</v>
      </c>
      <c r="BQ71" s="316" t="s">
        <v>608</v>
      </c>
      <c r="BR71" s="316" t="s">
        <v>609</v>
      </c>
      <c r="BS71" s="463">
        <v>0.09</v>
      </c>
      <c r="BT71" s="316" t="s">
        <v>606</v>
      </c>
      <c r="BU71" s="316" t="s">
        <v>607</v>
      </c>
      <c r="BV71" s="463">
        <v>0.01</v>
      </c>
      <c r="BW71" s="463">
        <f t="shared" si="32"/>
        <v>0.5</v>
      </c>
      <c r="BX71" s="489" t="s">
        <v>874</v>
      </c>
      <c r="BY71" s="489"/>
      <c r="BZ71" s="489"/>
      <c r="CA71" s="434"/>
      <c r="CB71" s="723">
        <v>0.69399999999999995</v>
      </c>
      <c r="CC71" s="668" t="s">
        <v>950</v>
      </c>
      <c r="CD71" s="316" t="s">
        <v>608</v>
      </c>
      <c r="CE71" s="316" t="s">
        <v>609</v>
      </c>
      <c r="CF71" s="718">
        <v>0.59</v>
      </c>
      <c r="CG71" s="316" t="s">
        <v>606</v>
      </c>
      <c r="CH71" s="316" t="s">
        <v>607</v>
      </c>
      <c r="CI71" s="718">
        <v>0.01</v>
      </c>
    </row>
    <row r="72" spans="1:90" ht="15" x14ac:dyDescent="0.2">
      <c r="A72" s="747" t="s">
        <v>20</v>
      </c>
      <c r="B72" s="998" t="s">
        <v>553</v>
      </c>
      <c r="C72" s="718">
        <v>0.49</v>
      </c>
      <c r="D72" s="469" t="s">
        <v>514</v>
      </c>
      <c r="E72" s="469" t="s">
        <v>515</v>
      </c>
      <c r="F72" s="718">
        <v>0</v>
      </c>
      <c r="G72" s="469" t="s">
        <v>554</v>
      </c>
      <c r="H72" s="469" t="s">
        <v>555</v>
      </c>
      <c r="I72" s="718">
        <v>0.01</v>
      </c>
      <c r="J72" s="748">
        <f t="shared" si="24"/>
        <v>0.5</v>
      </c>
      <c r="K72" s="718">
        <v>0.49</v>
      </c>
      <c r="L72" s="316" t="s">
        <v>514</v>
      </c>
      <c r="M72" s="316" t="s">
        <v>515</v>
      </c>
      <c r="N72" s="718">
        <v>0</v>
      </c>
      <c r="O72" s="316" t="s">
        <v>554</v>
      </c>
      <c r="P72" s="316" t="s">
        <v>555</v>
      </c>
      <c r="Q72" s="718">
        <v>0.01</v>
      </c>
      <c r="R72" s="728">
        <f t="shared" si="25"/>
        <v>0.5</v>
      </c>
      <c r="S72" s="718">
        <v>0.49</v>
      </c>
      <c r="T72" s="316" t="s">
        <v>514</v>
      </c>
      <c r="U72" s="316" t="s">
        <v>515</v>
      </c>
      <c r="V72" s="718">
        <v>0</v>
      </c>
      <c r="W72" s="316" t="s">
        <v>554</v>
      </c>
      <c r="X72" s="316" t="s">
        <v>555</v>
      </c>
      <c r="Y72" s="718">
        <v>0.01</v>
      </c>
      <c r="Z72" s="728">
        <f t="shared" si="26"/>
        <v>0.5</v>
      </c>
      <c r="AA72" s="718">
        <v>0.49</v>
      </c>
      <c r="AB72" s="316" t="s">
        <v>514</v>
      </c>
      <c r="AC72" s="316" t="s">
        <v>515</v>
      </c>
      <c r="AD72" s="718">
        <v>0</v>
      </c>
      <c r="AE72" s="316" t="s">
        <v>554</v>
      </c>
      <c r="AF72" s="316" t="s">
        <v>555</v>
      </c>
      <c r="AG72" s="718">
        <v>0.01</v>
      </c>
      <c r="AH72" s="728">
        <f t="shared" si="27"/>
        <v>0.5</v>
      </c>
      <c r="AI72" s="718">
        <v>0.49</v>
      </c>
      <c r="AJ72" s="316" t="s">
        <v>514</v>
      </c>
      <c r="AK72" s="316" t="s">
        <v>515</v>
      </c>
      <c r="AL72" s="718">
        <v>0</v>
      </c>
      <c r="AM72" s="316" t="s">
        <v>554</v>
      </c>
      <c r="AN72" s="316" t="s">
        <v>555</v>
      </c>
      <c r="AO72" s="718">
        <v>0.01</v>
      </c>
      <c r="AP72" s="728">
        <f t="shared" si="28"/>
        <v>0.5</v>
      </c>
      <c r="AQ72" s="718">
        <v>0.49</v>
      </c>
      <c r="AR72" s="316" t="s">
        <v>514</v>
      </c>
      <c r="AS72" s="316" t="s">
        <v>515</v>
      </c>
      <c r="AT72" s="718">
        <v>0</v>
      </c>
      <c r="AU72" s="316" t="s">
        <v>554</v>
      </c>
      <c r="AV72" s="316" t="s">
        <v>555</v>
      </c>
      <c r="AW72" s="718">
        <v>0.01</v>
      </c>
      <c r="AX72" s="463">
        <f t="shared" si="29"/>
        <v>0.5</v>
      </c>
      <c r="AY72" s="661">
        <v>0.99</v>
      </c>
      <c r="AZ72" s="316" t="s">
        <v>514</v>
      </c>
      <c r="BA72" s="316" t="s">
        <v>515</v>
      </c>
      <c r="BB72" s="463">
        <v>0</v>
      </c>
      <c r="BC72" s="316" t="s">
        <v>554</v>
      </c>
      <c r="BD72" s="316" t="s">
        <v>555</v>
      </c>
      <c r="BE72" s="463">
        <v>0.01</v>
      </c>
      <c r="BF72" s="728">
        <f t="shared" si="30"/>
        <v>1</v>
      </c>
      <c r="BG72" s="463"/>
      <c r="BH72" s="463">
        <v>0.49</v>
      </c>
      <c r="BI72" s="316" t="s">
        <v>514</v>
      </c>
      <c r="BJ72" s="316" t="s">
        <v>515</v>
      </c>
      <c r="BK72" s="463">
        <v>0</v>
      </c>
      <c r="BL72" s="316" t="s">
        <v>554</v>
      </c>
      <c r="BM72" s="316" t="s">
        <v>555</v>
      </c>
      <c r="BN72" s="463">
        <v>0.01</v>
      </c>
      <c r="BO72" s="728">
        <f t="shared" si="31"/>
        <v>0.5</v>
      </c>
      <c r="BP72" s="463">
        <v>0.49</v>
      </c>
      <c r="BQ72" s="316" t="s">
        <v>514</v>
      </c>
      <c r="BR72" s="316" t="s">
        <v>515</v>
      </c>
      <c r="BS72" s="463">
        <v>0</v>
      </c>
      <c r="BT72" s="316" t="s">
        <v>554</v>
      </c>
      <c r="BU72" s="316" t="s">
        <v>555</v>
      </c>
      <c r="BV72" s="463">
        <v>0.01</v>
      </c>
      <c r="BW72" s="463">
        <f t="shared" si="32"/>
        <v>0.5</v>
      </c>
      <c r="BX72" s="444" t="s">
        <v>874</v>
      </c>
      <c r="BY72" s="444"/>
      <c r="BZ72" s="444"/>
      <c r="CA72" s="436" t="s">
        <v>874</v>
      </c>
      <c r="CB72" s="723">
        <v>0.68600000000000005</v>
      </c>
      <c r="CC72" s="668" t="s">
        <v>950</v>
      </c>
      <c r="CD72" s="316" t="s">
        <v>514</v>
      </c>
      <c r="CE72" s="316" t="s">
        <v>515</v>
      </c>
      <c r="CF72" s="718">
        <v>0</v>
      </c>
      <c r="CG72" s="316" t="s">
        <v>554</v>
      </c>
      <c r="CH72" s="316" t="s">
        <v>555</v>
      </c>
      <c r="CI72" s="718">
        <v>0.01</v>
      </c>
    </row>
    <row r="73" spans="1:90" ht="15.75" customHeight="1" x14ac:dyDescent="0.2">
      <c r="A73" s="747" t="s">
        <v>22</v>
      </c>
      <c r="B73" s="469" t="s">
        <v>21</v>
      </c>
      <c r="C73" s="718">
        <v>0.4</v>
      </c>
      <c r="D73" s="469" t="s">
        <v>556</v>
      </c>
      <c r="E73" s="469" t="s">
        <v>557</v>
      </c>
      <c r="F73" s="718">
        <v>0.09</v>
      </c>
      <c r="G73" s="469" t="s">
        <v>554</v>
      </c>
      <c r="H73" s="469" t="s">
        <v>555</v>
      </c>
      <c r="I73" s="718">
        <v>0.01</v>
      </c>
      <c r="J73" s="748">
        <f t="shared" si="24"/>
        <v>0.5</v>
      </c>
      <c r="K73" s="718">
        <v>0.4</v>
      </c>
      <c r="L73" s="316" t="s">
        <v>556</v>
      </c>
      <c r="M73" s="316" t="s">
        <v>557</v>
      </c>
      <c r="N73" s="718">
        <v>0.09</v>
      </c>
      <c r="O73" s="316" t="s">
        <v>554</v>
      </c>
      <c r="P73" s="316" t="s">
        <v>555</v>
      </c>
      <c r="Q73" s="718">
        <v>0.01</v>
      </c>
      <c r="R73" s="728">
        <f t="shared" si="25"/>
        <v>0.5</v>
      </c>
      <c r="S73" s="718">
        <v>0.4</v>
      </c>
      <c r="T73" s="316" t="s">
        <v>556</v>
      </c>
      <c r="U73" s="316" t="s">
        <v>557</v>
      </c>
      <c r="V73" s="718">
        <v>0.09</v>
      </c>
      <c r="W73" s="316" t="s">
        <v>554</v>
      </c>
      <c r="X73" s="316" t="s">
        <v>555</v>
      </c>
      <c r="Y73" s="718">
        <v>0.01</v>
      </c>
      <c r="Z73" s="728">
        <f t="shared" si="26"/>
        <v>0.5</v>
      </c>
      <c r="AA73" s="718">
        <v>0.4</v>
      </c>
      <c r="AB73" s="316" t="s">
        <v>556</v>
      </c>
      <c r="AC73" s="316" t="s">
        <v>557</v>
      </c>
      <c r="AD73" s="718">
        <v>0.09</v>
      </c>
      <c r="AE73" s="316" t="s">
        <v>554</v>
      </c>
      <c r="AF73" s="316" t="s">
        <v>555</v>
      </c>
      <c r="AG73" s="718">
        <v>0.01</v>
      </c>
      <c r="AH73" s="728">
        <f t="shared" ref="AH73:AH78" si="33">+AA73+AD73+AG73</f>
        <v>0.5</v>
      </c>
      <c r="AI73" s="718">
        <v>0.4</v>
      </c>
      <c r="AJ73" s="316" t="s">
        <v>556</v>
      </c>
      <c r="AK73" s="316" t="s">
        <v>557</v>
      </c>
      <c r="AL73" s="718">
        <v>0.09</v>
      </c>
      <c r="AM73" s="316" t="s">
        <v>554</v>
      </c>
      <c r="AN73" s="316" t="s">
        <v>555</v>
      </c>
      <c r="AO73" s="718">
        <v>0.01</v>
      </c>
      <c r="AP73" s="728">
        <f t="shared" si="28"/>
        <v>0.5</v>
      </c>
      <c r="AQ73" s="718">
        <v>0.4</v>
      </c>
      <c r="AR73" s="316" t="s">
        <v>556</v>
      </c>
      <c r="AS73" s="316" t="s">
        <v>557</v>
      </c>
      <c r="AT73" s="718">
        <v>0.09</v>
      </c>
      <c r="AU73" s="316" t="s">
        <v>554</v>
      </c>
      <c r="AV73" s="316" t="s">
        <v>555</v>
      </c>
      <c r="AW73" s="718">
        <v>0.01</v>
      </c>
      <c r="AX73" s="463">
        <f t="shared" si="29"/>
        <v>0.5</v>
      </c>
      <c r="AY73" s="661">
        <v>0.5</v>
      </c>
      <c r="AZ73" s="316" t="s">
        <v>556</v>
      </c>
      <c r="BA73" s="316" t="s">
        <v>557</v>
      </c>
      <c r="BB73" s="463">
        <v>0.49</v>
      </c>
      <c r="BC73" s="316" t="s">
        <v>554</v>
      </c>
      <c r="BD73" s="316" t="s">
        <v>555</v>
      </c>
      <c r="BE73" s="463">
        <v>0.01</v>
      </c>
      <c r="BF73" s="728">
        <f t="shared" si="30"/>
        <v>1</v>
      </c>
      <c r="BG73" s="463"/>
      <c r="BH73" s="463">
        <v>0.4</v>
      </c>
      <c r="BI73" s="316" t="s">
        <v>556</v>
      </c>
      <c r="BJ73" s="316" t="s">
        <v>557</v>
      </c>
      <c r="BK73" s="463">
        <v>0.09</v>
      </c>
      <c r="BL73" s="316" t="s">
        <v>554</v>
      </c>
      <c r="BM73" s="316" t="s">
        <v>555</v>
      </c>
      <c r="BN73" s="463">
        <v>0.01</v>
      </c>
      <c r="BO73" s="728">
        <f t="shared" si="31"/>
        <v>0.5</v>
      </c>
      <c r="BP73" s="463">
        <v>0.4</v>
      </c>
      <c r="BQ73" s="316" t="s">
        <v>556</v>
      </c>
      <c r="BR73" s="316" t="s">
        <v>557</v>
      </c>
      <c r="BS73" s="463">
        <v>0.09</v>
      </c>
      <c r="BT73" s="316" t="s">
        <v>554</v>
      </c>
      <c r="BU73" s="316" t="s">
        <v>555</v>
      </c>
      <c r="BV73" s="463">
        <v>0.01</v>
      </c>
      <c r="BW73" s="463">
        <f t="shared" si="32"/>
        <v>0.5</v>
      </c>
      <c r="BX73" s="444"/>
      <c r="BY73" s="444"/>
      <c r="BZ73" s="444"/>
      <c r="CA73" s="434"/>
      <c r="CB73" s="723">
        <v>0.66300000000000003</v>
      </c>
      <c r="CC73" s="668" t="s">
        <v>950</v>
      </c>
      <c r="CD73" s="316" t="s">
        <v>556</v>
      </c>
      <c r="CE73" s="316" t="s">
        <v>557</v>
      </c>
      <c r="CF73" s="718">
        <v>0.59</v>
      </c>
      <c r="CG73" s="316" t="s">
        <v>554</v>
      </c>
      <c r="CH73" s="316" t="s">
        <v>555</v>
      </c>
      <c r="CI73" s="718">
        <v>0.01</v>
      </c>
    </row>
    <row r="74" spans="1:90" ht="15.75" customHeight="1" x14ac:dyDescent="0.2">
      <c r="A74" s="747" t="s">
        <v>24</v>
      </c>
      <c r="B74" s="469" t="s">
        <v>23</v>
      </c>
      <c r="C74" s="718">
        <v>0.49</v>
      </c>
      <c r="D74" s="469" t="s">
        <v>514</v>
      </c>
      <c r="E74" s="469" t="s">
        <v>666</v>
      </c>
      <c r="F74" s="718">
        <v>0</v>
      </c>
      <c r="G74" s="469" t="s">
        <v>671</v>
      </c>
      <c r="H74" s="469" t="s">
        <v>672</v>
      </c>
      <c r="I74" s="718">
        <v>0.01</v>
      </c>
      <c r="J74" s="748">
        <f t="shared" si="24"/>
        <v>0.5</v>
      </c>
      <c r="K74" s="718">
        <v>0.49</v>
      </c>
      <c r="L74" s="316" t="s">
        <v>514</v>
      </c>
      <c r="M74" s="316" t="s">
        <v>666</v>
      </c>
      <c r="N74" s="718">
        <v>0</v>
      </c>
      <c r="O74" s="316" t="s">
        <v>671</v>
      </c>
      <c r="P74" s="316" t="s">
        <v>672</v>
      </c>
      <c r="Q74" s="718">
        <v>0.01</v>
      </c>
      <c r="R74" s="728">
        <f t="shared" si="25"/>
        <v>0.5</v>
      </c>
      <c r="S74" s="718">
        <v>0.49</v>
      </c>
      <c r="T74" s="316" t="s">
        <v>514</v>
      </c>
      <c r="U74" s="316" t="s">
        <v>666</v>
      </c>
      <c r="V74" s="718">
        <v>0</v>
      </c>
      <c r="W74" s="316" t="s">
        <v>671</v>
      </c>
      <c r="X74" s="316" t="s">
        <v>672</v>
      </c>
      <c r="Y74" s="718">
        <v>0.01</v>
      </c>
      <c r="Z74" s="728">
        <f t="shared" si="26"/>
        <v>0.5</v>
      </c>
      <c r="AA74" s="718">
        <v>0.49</v>
      </c>
      <c r="AB74" s="316" t="s">
        <v>514</v>
      </c>
      <c r="AC74" s="316" t="s">
        <v>666</v>
      </c>
      <c r="AD74" s="718">
        <v>0</v>
      </c>
      <c r="AE74" s="316" t="s">
        <v>671</v>
      </c>
      <c r="AF74" s="316" t="s">
        <v>672</v>
      </c>
      <c r="AG74" s="718">
        <v>0.01</v>
      </c>
      <c r="AH74" s="728">
        <f t="shared" si="33"/>
        <v>0.5</v>
      </c>
      <c r="AI74" s="718">
        <v>0.49</v>
      </c>
      <c r="AJ74" s="316" t="s">
        <v>514</v>
      </c>
      <c r="AK74" s="316" t="s">
        <v>666</v>
      </c>
      <c r="AL74" s="718">
        <v>0</v>
      </c>
      <c r="AM74" s="316" t="s">
        <v>671</v>
      </c>
      <c r="AN74" s="316" t="s">
        <v>672</v>
      </c>
      <c r="AO74" s="718">
        <v>0.01</v>
      </c>
      <c r="AP74" s="728">
        <f t="shared" ref="AP74:AP79" si="34">+AI74+AL74+AO74</f>
        <v>0.5</v>
      </c>
      <c r="AQ74" s="718">
        <v>0.49</v>
      </c>
      <c r="AR74" s="316" t="s">
        <v>514</v>
      </c>
      <c r="AS74" s="316" t="s">
        <v>666</v>
      </c>
      <c r="AT74" s="718">
        <v>0</v>
      </c>
      <c r="AU74" s="316" t="s">
        <v>671</v>
      </c>
      <c r="AV74" s="316" t="s">
        <v>672</v>
      </c>
      <c r="AW74" s="718">
        <v>0.01</v>
      </c>
      <c r="AX74" s="463">
        <f t="shared" ref="AX74:AX79" si="35">+AQ74+AT74+AW74</f>
        <v>0.5</v>
      </c>
      <c r="AY74" s="661">
        <v>0.49</v>
      </c>
      <c r="AZ74" s="316" t="s">
        <v>514</v>
      </c>
      <c r="BA74" s="316" t="s">
        <v>666</v>
      </c>
      <c r="BB74" s="463">
        <v>0</v>
      </c>
      <c r="BC74" s="316" t="s">
        <v>671</v>
      </c>
      <c r="BD74" s="316" t="s">
        <v>672</v>
      </c>
      <c r="BE74" s="463">
        <v>0.01</v>
      </c>
      <c r="BF74" s="728">
        <f t="shared" ref="BF74:BF79" si="36">+AY74+BB74+BE74</f>
        <v>0.5</v>
      </c>
      <c r="BG74" s="463"/>
      <c r="BH74" s="463">
        <v>0.49</v>
      </c>
      <c r="BI74" s="316" t="s">
        <v>514</v>
      </c>
      <c r="BJ74" s="316" t="s">
        <v>666</v>
      </c>
      <c r="BK74" s="463">
        <v>0</v>
      </c>
      <c r="BL74" s="316" t="s">
        <v>671</v>
      </c>
      <c r="BM74" s="316" t="s">
        <v>672</v>
      </c>
      <c r="BN74" s="463">
        <v>0.01</v>
      </c>
      <c r="BO74" s="728">
        <f t="shared" ref="BO74:BO79" si="37">+BH74+BK74+BN74</f>
        <v>0.5</v>
      </c>
      <c r="BP74" s="463">
        <v>0.49</v>
      </c>
      <c r="BQ74" s="316" t="s">
        <v>514</v>
      </c>
      <c r="BR74" s="316" t="s">
        <v>666</v>
      </c>
      <c r="BS74" s="463">
        <v>0</v>
      </c>
      <c r="BT74" s="316" t="s">
        <v>671</v>
      </c>
      <c r="BU74" s="316" t="s">
        <v>672</v>
      </c>
      <c r="BV74" s="463">
        <v>0.01</v>
      </c>
      <c r="BW74" s="463">
        <f t="shared" ref="BW74:BW79" si="38">+BP74+BS74+BV74</f>
        <v>0.5</v>
      </c>
      <c r="BX74" s="446" t="s">
        <v>874</v>
      </c>
      <c r="BZ74" s="446" t="s">
        <v>874</v>
      </c>
      <c r="CA74" s="436" t="s">
        <v>874</v>
      </c>
      <c r="CB74" s="723">
        <v>0.65800000000000003</v>
      </c>
      <c r="CC74" s="668" t="s">
        <v>950</v>
      </c>
      <c r="CD74" s="316" t="s">
        <v>514</v>
      </c>
      <c r="CE74" s="316" t="s">
        <v>666</v>
      </c>
      <c r="CF74" s="718">
        <v>0</v>
      </c>
      <c r="CG74" s="316" t="s">
        <v>671</v>
      </c>
      <c r="CH74" s="316" t="s">
        <v>672</v>
      </c>
      <c r="CI74" s="718">
        <v>0.01</v>
      </c>
    </row>
    <row r="75" spans="1:90" s="544" customFormat="1" ht="15.75" customHeight="1" x14ac:dyDescent="0.2">
      <c r="A75" s="747" t="s">
        <v>1222</v>
      </c>
      <c r="B75" s="469" t="s">
        <v>1227</v>
      </c>
      <c r="C75" s="718">
        <v>0.49</v>
      </c>
      <c r="D75" s="469" t="s">
        <v>514</v>
      </c>
      <c r="E75" s="469" t="s">
        <v>515</v>
      </c>
      <c r="F75" s="718">
        <v>0</v>
      </c>
      <c r="G75" s="469" t="s">
        <v>1329</v>
      </c>
      <c r="H75" s="469" t="s">
        <v>1330</v>
      </c>
      <c r="I75" s="718">
        <v>0.01</v>
      </c>
      <c r="J75" s="748">
        <f t="shared" si="24"/>
        <v>0.5</v>
      </c>
      <c r="K75" s="718">
        <v>0.49</v>
      </c>
      <c r="L75" s="469" t="s">
        <v>514</v>
      </c>
      <c r="M75" s="469" t="s">
        <v>515</v>
      </c>
      <c r="N75" s="718">
        <v>0</v>
      </c>
      <c r="O75" s="316" t="s">
        <v>1329</v>
      </c>
      <c r="P75" s="316" t="s">
        <v>1330</v>
      </c>
      <c r="Q75" s="718">
        <v>0.01</v>
      </c>
      <c r="R75" s="748">
        <f t="shared" si="25"/>
        <v>0.5</v>
      </c>
      <c r="S75" s="718">
        <v>0.49</v>
      </c>
      <c r="T75" s="469" t="s">
        <v>514</v>
      </c>
      <c r="U75" s="469" t="s">
        <v>515</v>
      </c>
      <c r="V75" s="718">
        <v>0</v>
      </c>
      <c r="W75" s="316" t="s">
        <v>1329</v>
      </c>
      <c r="X75" s="316" t="s">
        <v>1330</v>
      </c>
      <c r="Y75" s="718">
        <v>0.01</v>
      </c>
      <c r="Z75" s="748">
        <f t="shared" si="26"/>
        <v>0.5</v>
      </c>
      <c r="AA75" s="718">
        <v>0.49</v>
      </c>
      <c r="AB75" s="469" t="s">
        <v>514</v>
      </c>
      <c r="AC75" s="469" t="s">
        <v>515</v>
      </c>
      <c r="AD75" s="718">
        <v>0</v>
      </c>
      <c r="AE75" s="316" t="s">
        <v>1329</v>
      </c>
      <c r="AF75" s="316" t="s">
        <v>1330</v>
      </c>
      <c r="AG75" s="718">
        <v>0.01</v>
      </c>
      <c r="AH75" s="748">
        <f t="shared" si="33"/>
        <v>0.5</v>
      </c>
      <c r="AI75" s="718">
        <v>0.49</v>
      </c>
      <c r="AJ75" s="469" t="s">
        <v>514</v>
      </c>
      <c r="AK75" s="469" t="s">
        <v>515</v>
      </c>
      <c r="AL75" s="718">
        <v>0</v>
      </c>
      <c r="AM75" s="316" t="s">
        <v>1329</v>
      </c>
      <c r="AN75" s="316" t="s">
        <v>1330</v>
      </c>
      <c r="AO75" s="718">
        <v>0.01</v>
      </c>
      <c r="AP75" s="748">
        <f t="shared" si="34"/>
        <v>0.5</v>
      </c>
      <c r="AQ75" s="718">
        <v>0.49</v>
      </c>
      <c r="AR75" s="469" t="s">
        <v>514</v>
      </c>
      <c r="AS75" s="469" t="s">
        <v>515</v>
      </c>
      <c r="AT75" s="718">
        <v>0</v>
      </c>
      <c r="AU75" s="469" t="s">
        <v>565</v>
      </c>
      <c r="AV75" s="469" t="s">
        <v>566</v>
      </c>
      <c r="AW75" s="718">
        <v>0.01</v>
      </c>
      <c r="AX75" s="718">
        <f t="shared" si="35"/>
        <v>0.5</v>
      </c>
      <c r="AY75" s="749">
        <v>0.49</v>
      </c>
      <c r="AZ75" s="469" t="s">
        <v>567</v>
      </c>
      <c r="BA75" s="469" t="s">
        <v>1247</v>
      </c>
      <c r="BB75" s="718">
        <v>0</v>
      </c>
      <c r="BC75" s="469" t="s">
        <v>565</v>
      </c>
      <c r="BD75" s="469" t="s">
        <v>566</v>
      </c>
      <c r="BE75" s="718">
        <v>0.01</v>
      </c>
      <c r="BF75" s="748">
        <f t="shared" si="36"/>
        <v>0.5</v>
      </c>
      <c r="BG75" s="718"/>
      <c r="BH75" s="718">
        <v>0.49</v>
      </c>
      <c r="BI75" s="469" t="s">
        <v>567</v>
      </c>
      <c r="BJ75" s="469" t="s">
        <v>1247</v>
      </c>
      <c r="BK75" s="718">
        <v>0</v>
      </c>
      <c r="BL75" s="469" t="s">
        <v>565</v>
      </c>
      <c r="BM75" s="469" t="s">
        <v>566</v>
      </c>
      <c r="BN75" s="718">
        <v>0.01</v>
      </c>
      <c r="BO75" s="748">
        <f t="shared" si="37"/>
        <v>0.5</v>
      </c>
      <c r="BP75" s="718">
        <v>0.49</v>
      </c>
      <c r="BQ75" s="469" t="s">
        <v>567</v>
      </c>
      <c r="BR75" s="469" t="s">
        <v>568</v>
      </c>
      <c r="BS75" s="718">
        <v>0</v>
      </c>
      <c r="BT75" s="469" t="s">
        <v>565</v>
      </c>
      <c r="BU75" s="469" t="s">
        <v>566</v>
      </c>
      <c r="BV75" s="718">
        <v>0.01</v>
      </c>
      <c r="BW75" s="718">
        <f t="shared" si="38"/>
        <v>0.5</v>
      </c>
      <c r="BX75" s="449" t="s">
        <v>874</v>
      </c>
      <c r="BY75" s="449"/>
      <c r="BZ75" s="449"/>
      <c r="CA75" s="750" t="s">
        <v>874</v>
      </c>
      <c r="CB75" s="723">
        <v>0.67600000000000005</v>
      </c>
      <c r="CC75" s="751" t="s">
        <v>950</v>
      </c>
      <c r="CD75" s="469" t="s">
        <v>514</v>
      </c>
      <c r="CE75" s="469" t="s">
        <v>515</v>
      </c>
      <c r="CF75" s="718">
        <v>0</v>
      </c>
      <c r="CG75" s="469" t="s">
        <v>565</v>
      </c>
      <c r="CH75" s="469" t="s">
        <v>566</v>
      </c>
      <c r="CI75" s="718">
        <v>0.01</v>
      </c>
      <c r="CK75" s="457"/>
      <c r="CL75" s="457"/>
    </row>
    <row r="76" spans="1:90" ht="15.75" customHeight="1" x14ac:dyDescent="0.2">
      <c r="A76" s="747" t="s">
        <v>34</v>
      </c>
      <c r="B76" s="469" t="s">
        <v>33</v>
      </c>
      <c r="C76" s="718">
        <v>0.4</v>
      </c>
      <c r="D76" s="469" t="s">
        <v>608</v>
      </c>
      <c r="E76" s="469" t="s">
        <v>609</v>
      </c>
      <c r="F76" s="718">
        <v>0.09</v>
      </c>
      <c r="G76" s="469" t="s">
        <v>606</v>
      </c>
      <c r="H76" s="469" t="s">
        <v>607</v>
      </c>
      <c r="I76" s="718">
        <v>0.01</v>
      </c>
      <c r="J76" s="748">
        <f t="shared" si="24"/>
        <v>0.5</v>
      </c>
      <c r="K76" s="718">
        <v>0.4</v>
      </c>
      <c r="L76" s="316" t="s">
        <v>608</v>
      </c>
      <c r="M76" s="316" t="s">
        <v>609</v>
      </c>
      <c r="N76" s="718">
        <v>0.09</v>
      </c>
      <c r="O76" s="316" t="s">
        <v>606</v>
      </c>
      <c r="P76" s="316" t="s">
        <v>607</v>
      </c>
      <c r="Q76" s="718">
        <v>0.01</v>
      </c>
      <c r="R76" s="728">
        <f t="shared" si="25"/>
        <v>0.5</v>
      </c>
      <c r="S76" s="718">
        <v>0.4</v>
      </c>
      <c r="T76" s="316" t="s">
        <v>608</v>
      </c>
      <c r="U76" s="316" t="s">
        <v>609</v>
      </c>
      <c r="V76" s="718">
        <v>0.09</v>
      </c>
      <c r="W76" s="316" t="s">
        <v>606</v>
      </c>
      <c r="X76" s="316" t="s">
        <v>607</v>
      </c>
      <c r="Y76" s="718">
        <v>0.01</v>
      </c>
      <c r="Z76" s="728">
        <f t="shared" si="26"/>
        <v>0.5</v>
      </c>
      <c r="AA76" s="718">
        <v>0.4</v>
      </c>
      <c r="AB76" s="316" t="s">
        <v>608</v>
      </c>
      <c r="AC76" s="316" t="s">
        <v>609</v>
      </c>
      <c r="AD76" s="718">
        <v>0.09</v>
      </c>
      <c r="AE76" s="316" t="s">
        <v>606</v>
      </c>
      <c r="AF76" s="316" t="s">
        <v>607</v>
      </c>
      <c r="AG76" s="718">
        <v>0.01</v>
      </c>
      <c r="AH76" s="728">
        <f t="shared" si="33"/>
        <v>0.5</v>
      </c>
      <c r="AI76" s="718">
        <v>0.4</v>
      </c>
      <c r="AJ76" s="316" t="s">
        <v>608</v>
      </c>
      <c r="AK76" s="316" t="s">
        <v>609</v>
      </c>
      <c r="AL76" s="718">
        <v>0.09</v>
      </c>
      <c r="AM76" s="316" t="s">
        <v>606</v>
      </c>
      <c r="AN76" s="316" t="s">
        <v>607</v>
      </c>
      <c r="AO76" s="718">
        <v>0.01</v>
      </c>
      <c r="AP76" s="728">
        <f t="shared" si="34"/>
        <v>0.5</v>
      </c>
      <c r="AQ76" s="718">
        <v>0.4</v>
      </c>
      <c r="AR76" s="316" t="s">
        <v>608</v>
      </c>
      <c r="AS76" s="316" t="s">
        <v>609</v>
      </c>
      <c r="AT76" s="718">
        <v>0.09</v>
      </c>
      <c r="AU76" s="316" t="s">
        <v>606</v>
      </c>
      <c r="AV76" s="316" t="s">
        <v>607</v>
      </c>
      <c r="AW76" s="718">
        <v>0.01</v>
      </c>
      <c r="AX76" s="463">
        <f t="shared" si="35"/>
        <v>0.5</v>
      </c>
      <c r="AY76" s="661">
        <v>0.4</v>
      </c>
      <c r="AZ76" s="316" t="s">
        <v>608</v>
      </c>
      <c r="BA76" s="316" t="s">
        <v>609</v>
      </c>
      <c r="BB76" s="463">
        <v>0.59</v>
      </c>
      <c r="BC76" s="316" t="s">
        <v>606</v>
      </c>
      <c r="BD76" s="316" t="s">
        <v>607</v>
      </c>
      <c r="BE76" s="463">
        <v>0.01</v>
      </c>
      <c r="BF76" s="728">
        <f t="shared" si="36"/>
        <v>1</v>
      </c>
      <c r="BG76" s="463"/>
      <c r="BH76" s="463">
        <v>0.4</v>
      </c>
      <c r="BI76" s="316" t="s">
        <v>608</v>
      </c>
      <c r="BJ76" s="316" t="s">
        <v>609</v>
      </c>
      <c r="BK76" s="463">
        <v>0.09</v>
      </c>
      <c r="BL76" s="316" t="s">
        <v>606</v>
      </c>
      <c r="BM76" s="316" t="s">
        <v>607</v>
      </c>
      <c r="BN76" s="463">
        <v>0.01</v>
      </c>
      <c r="BO76" s="728">
        <f t="shared" si="37"/>
        <v>0.5</v>
      </c>
      <c r="BP76" s="463">
        <v>0.4</v>
      </c>
      <c r="BQ76" s="316" t="s">
        <v>608</v>
      </c>
      <c r="BR76" s="316" t="s">
        <v>609</v>
      </c>
      <c r="BS76" s="463">
        <v>0.09</v>
      </c>
      <c r="BT76" s="316" t="s">
        <v>606</v>
      </c>
      <c r="BU76" s="316" t="s">
        <v>607</v>
      </c>
      <c r="BV76" s="463">
        <v>0.01</v>
      </c>
      <c r="BW76" s="463">
        <f t="shared" si="38"/>
        <v>0.5</v>
      </c>
      <c r="BX76" s="444"/>
      <c r="BY76" s="444"/>
      <c r="BZ76" s="444"/>
      <c r="CA76" s="434"/>
      <c r="CB76" s="723">
        <v>0.65600000000000003</v>
      </c>
      <c r="CC76" s="668" t="s">
        <v>950</v>
      </c>
      <c r="CD76" s="316" t="s">
        <v>608</v>
      </c>
      <c r="CE76" s="316" t="s">
        <v>609</v>
      </c>
      <c r="CF76" s="718">
        <v>0.59</v>
      </c>
      <c r="CG76" s="316" t="s">
        <v>606</v>
      </c>
      <c r="CH76" s="316" t="s">
        <v>607</v>
      </c>
      <c r="CI76" s="718">
        <v>0.01</v>
      </c>
    </row>
    <row r="77" spans="1:90" ht="15.75" customHeight="1" x14ac:dyDescent="0.2">
      <c r="A77" s="747" t="s">
        <v>36</v>
      </c>
      <c r="B77" s="469" t="s">
        <v>35</v>
      </c>
      <c r="C77" s="718">
        <v>0.99</v>
      </c>
      <c r="D77" s="469" t="s">
        <v>514</v>
      </c>
      <c r="E77" s="469" t="s">
        <v>666</v>
      </c>
      <c r="F77" s="718">
        <v>0</v>
      </c>
      <c r="G77" s="469" t="s">
        <v>675</v>
      </c>
      <c r="H77" s="469" t="s">
        <v>676</v>
      </c>
      <c r="I77" s="718">
        <v>0.01</v>
      </c>
      <c r="J77" s="748">
        <f t="shared" si="24"/>
        <v>1</v>
      </c>
      <c r="K77" s="718">
        <v>0.99</v>
      </c>
      <c r="L77" s="316" t="s">
        <v>514</v>
      </c>
      <c r="M77" s="316" t="s">
        <v>666</v>
      </c>
      <c r="N77" s="718">
        <v>0</v>
      </c>
      <c r="O77" s="316" t="s">
        <v>675</v>
      </c>
      <c r="P77" s="316" t="s">
        <v>676</v>
      </c>
      <c r="Q77" s="718">
        <v>0.01</v>
      </c>
      <c r="R77" s="728">
        <f t="shared" si="25"/>
        <v>1</v>
      </c>
      <c r="S77" s="718">
        <v>0.99</v>
      </c>
      <c r="T77" s="316" t="s">
        <v>514</v>
      </c>
      <c r="U77" s="316" t="s">
        <v>666</v>
      </c>
      <c r="V77" s="718">
        <v>0</v>
      </c>
      <c r="W77" s="316" t="s">
        <v>675</v>
      </c>
      <c r="X77" s="316" t="s">
        <v>676</v>
      </c>
      <c r="Y77" s="718">
        <v>0.01</v>
      </c>
      <c r="Z77" s="728">
        <f t="shared" si="26"/>
        <v>1</v>
      </c>
      <c r="AA77" s="718">
        <v>0.99</v>
      </c>
      <c r="AB77" s="316" t="s">
        <v>514</v>
      </c>
      <c r="AC77" s="316" t="s">
        <v>666</v>
      </c>
      <c r="AD77" s="718">
        <v>0</v>
      </c>
      <c r="AE77" s="316" t="s">
        <v>675</v>
      </c>
      <c r="AF77" s="316" t="s">
        <v>676</v>
      </c>
      <c r="AG77" s="718">
        <v>0.01</v>
      </c>
      <c r="AH77" s="728">
        <f t="shared" si="33"/>
        <v>1</v>
      </c>
      <c r="AI77" s="718">
        <v>0.99</v>
      </c>
      <c r="AJ77" s="316" t="s">
        <v>514</v>
      </c>
      <c r="AK77" s="316" t="s">
        <v>666</v>
      </c>
      <c r="AL77" s="718">
        <v>0</v>
      </c>
      <c r="AM77" s="316" t="s">
        <v>675</v>
      </c>
      <c r="AN77" s="316" t="s">
        <v>676</v>
      </c>
      <c r="AO77" s="718">
        <v>0.01</v>
      </c>
      <c r="AP77" s="728">
        <f t="shared" si="34"/>
        <v>1</v>
      </c>
      <c r="AQ77" s="718">
        <v>0.99</v>
      </c>
      <c r="AR77" s="316" t="s">
        <v>514</v>
      </c>
      <c r="AS77" s="316" t="s">
        <v>666</v>
      </c>
      <c r="AT77" s="718">
        <v>0</v>
      </c>
      <c r="AU77" s="316" t="s">
        <v>675</v>
      </c>
      <c r="AV77" s="316" t="s">
        <v>676</v>
      </c>
      <c r="AW77" s="718">
        <v>0.01</v>
      </c>
      <c r="AX77" s="463">
        <f t="shared" si="35"/>
        <v>1</v>
      </c>
      <c r="AY77" s="661">
        <v>0.99</v>
      </c>
      <c r="AZ77" s="316" t="s">
        <v>514</v>
      </c>
      <c r="BA77" s="316" t="s">
        <v>666</v>
      </c>
      <c r="BB77" s="463">
        <v>0</v>
      </c>
      <c r="BC77" s="316" t="s">
        <v>675</v>
      </c>
      <c r="BD77" s="316" t="s">
        <v>676</v>
      </c>
      <c r="BE77" s="463">
        <v>0.01</v>
      </c>
      <c r="BF77" s="728">
        <f t="shared" si="36"/>
        <v>1</v>
      </c>
      <c r="BG77" s="463"/>
      <c r="BH77" s="463">
        <v>0.99</v>
      </c>
      <c r="BI77" s="316" t="s">
        <v>514</v>
      </c>
      <c r="BJ77" s="316" t="s">
        <v>666</v>
      </c>
      <c r="BK77" s="463">
        <v>0</v>
      </c>
      <c r="BL77" s="316" t="s">
        <v>675</v>
      </c>
      <c r="BM77" s="316" t="s">
        <v>676</v>
      </c>
      <c r="BN77" s="463">
        <v>0.01</v>
      </c>
      <c r="BO77" s="728">
        <f t="shared" si="37"/>
        <v>1</v>
      </c>
      <c r="BP77" s="463">
        <v>0.49</v>
      </c>
      <c r="BQ77" s="316" t="s">
        <v>514</v>
      </c>
      <c r="BR77" s="316" t="s">
        <v>666</v>
      </c>
      <c r="BS77" s="463">
        <v>0</v>
      </c>
      <c r="BT77" s="316" t="s">
        <v>675</v>
      </c>
      <c r="BU77" s="316" t="s">
        <v>676</v>
      </c>
      <c r="BV77" s="463">
        <v>0.01</v>
      </c>
      <c r="BW77" s="463">
        <f t="shared" si="38"/>
        <v>0.5</v>
      </c>
      <c r="BX77" s="444" t="s">
        <v>874</v>
      </c>
      <c r="BY77" s="444"/>
      <c r="BZ77" s="444"/>
      <c r="CA77" s="436" t="s">
        <v>874</v>
      </c>
      <c r="CB77" s="723">
        <v>0.66300000000000003</v>
      </c>
      <c r="CC77" s="668" t="s">
        <v>950</v>
      </c>
      <c r="CD77" s="316" t="s">
        <v>514</v>
      </c>
      <c r="CE77" s="316" t="s">
        <v>666</v>
      </c>
      <c r="CF77" s="718">
        <v>0</v>
      </c>
      <c r="CG77" s="316" t="s">
        <v>675</v>
      </c>
      <c r="CH77" s="316" t="s">
        <v>676</v>
      </c>
      <c r="CI77" s="718">
        <v>0.01</v>
      </c>
    </row>
    <row r="78" spans="1:90" ht="15.75" customHeight="1" x14ac:dyDescent="0.2">
      <c r="A78" s="747" t="s">
        <v>38</v>
      </c>
      <c r="B78" s="998" t="s">
        <v>37</v>
      </c>
      <c r="C78" s="718">
        <v>0.49</v>
      </c>
      <c r="D78" s="469" t="s">
        <v>514</v>
      </c>
      <c r="E78" s="469" t="s">
        <v>515</v>
      </c>
      <c r="F78" s="718">
        <v>0</v>
      </c>
      <c r="G78" s="469" t="s">
        <v>570</v>
      </c>
      <c r="H78" s="469" t="s">
        <v>571</v>
      </c>
      <c r="I78" s="718">
        <v>0.01</v>
      </c>
      <c r="J78" s="748">
        <f t="shared" si="24"/>
        <v>0.5</v>
      </c>
      <c r="K78" s="718">
        <v>0.49</v>
      </c>
      <c r="L78" s="316" t="s">
        <v>514</v>
      </c>
      <c r="M78" s="316" t="s">
        <v>515</v>
      </c>
      <c r="N78" s="718">
        <v>0</v>
      </c>
      <c r="O78" s="316" t="s">
        <v>570</v>
      </c>
      <c r="P78" s="316" t="s">
        <v>571</v>
      </c>
      <c r="Q78" s="718">
        <v>0.01</v>
      </c>
      <c r="R78" s="728">
        <f t="shared" si="25"/>
        <v>0.5</v>
      </c>
      <c r="S78" s="718">
        <v>0.49</v>
      </c>
      <c r="T78" s="316" t="s">
        <v>514</v>
      </c>
      <c r="U78" s="316" t="s">
        <v>515</v>
      </c>
      <c r="V78" s="718">
        <v>0</v>
      </c>
      <c r="W78" s="316" t="s">
        <v>570</v>
      </c>
      <c r="X78" s="316" t="s">
        <v>571</v>
      </c>
      <c r="Y78" s="718">
        <v>0.01</v>
      </c>
      <c r="Z78" s="728">
        <f t="shared" si="26"/>
        <v>0.5</v>
      </c>
      <c r="AA78" s="718">
        <v>0.49</v>
      </c>
      <c r="AB78" s="316" t="s">
        <v>514</v>
      </c>
      <c r="AC78" s="316" t="s">
        <v>515</v>
      </c>
      <c r="AD78" s="718">
        <v>0</v>
      </c>
      <c r="AE78" s="316" t="s">
        <v>570</v>
      </c>
      <c r="AF78" s="316" t="s">
        <v>571</v>
      </c>
      <c r="AG78" s="718">
        <v>0.01</v>
      </c>
      <c r="AH78" s="728">
        <f t="shared" si="33"/>
        <v>0.5</v>
      </c>
      <c r="AI78" s="718">
        <v>0.49</v>
      </c>
      <c r="AJ78" s="316" t="s">
        <v>514</v>
      </c>
      <c r="AK78" s="316" t="s">
        <v>515</v>
      </c>
      <c r="AL78" s="718">
        <v>0</v>
      </c>
      <c r="AM78" s="316" t="s">
        <v>570</v>
      </c>
      <c r="AN78" s="316" t="s">
        <v>571</v>
      </c>
      <c r="AO78" s="718">
        <v>0.01</v>
      </c>
      <c r="AP78" s="728">
        <f t="shared" si="34"/>
        <v>0.5</v>
      </c>
      <c r="AQ78" s="718">
        <v>0.49</v>
      </c>
      <c r="AR78" s="316" t="s">
        <v>514</v>
      </c>
      <c r="AS78" s="316" t="s">
        <v>515</v>
      </c>
      <c r="AT78" s="718">
        <v>0</v>
      </c>
      <c r="AU78" s="316" t="s">
        <v>570</v>
      </c>
      <c r="AV78" s="316" t="s">
        <v>571</v>
      </c>
      <c r="AW78" s="718">
        <v>0.01</v>
      </c>
      <c r="AX78" s="463">
        <f t="shared" si="35"/>
        <v>0.5</v>
      </c>
      <c r="AY78" s="661">
        <v>0.49</v>
      </c>
      <c r="AZ78" s="316" t="s">
        <v>514</v>
      </c>
      <c r="BA78" s="316" t="s">
        <v>515</v>
      </c>
      <c r="BB78" s="463">
        <v>0</v>
      </c>
      <c r="BC78" s="316" t="s">
        <v>570</v>
      </c>
      <c r="BD78" s="316" t="s">
        <v>571</v>
      </c>
      <c r="BE78" s="463">
        <v>0.01</v>
      </c>
      <c r="BF78" s="728">
        <f t="shared" si="36"/>
        <v>0.5</v>
      </c>
      <c r="BG78" s="463"/>
      <c r="BH78" s="463">
        <v>0.49</v>
      </c>
      <c r="BI78" s="316" t="s">
        <v>514</v>
      </c>
      <c r="BJ78" s="316" t="s">
        <v>515</v>
      </c>
      <c r="BK78" s="463">
        <v>0</v>
      </c>
      <c r="BL78" s="316" t="s">
        <v>570</v>
      </c>
      <c r="BM78" s="316" t="s">
        <v>571</v>
      </c>
      <c r="BN78" s="463">
        <v>0.01</v>
      </c>
      <c r="BO78" s="728">
        <f t="shared" si="37"/>
        <v>0.5</v>
      </c>
      <c r="BP78" s="463">
        <v>0.49</v>
      </c>
      <c r="BQ78" s="316" t="s">
        <v>514</v>
      </c>
      <c r="BR78" s="316" t="s">
        <v>515</v>
      </c>
      <c r="BS78" s="463">
        <v>0</v>
      </c>
      <c r="BT78" s="316" t="s">
        <v>570</v>
      </c>
      <c r="BU78" s="316" t="s">
        <v>571</v>
      </c>
      <c r="BV78" s="463">
        <v>0.01</v>
      </c>
      <c r="BW78" s="463">
        <f t="shared" si="38"/>
        <v>0.5</v>
      </c>
      <c r="BX78" s="489" t="s">
        <v>874</v>
      </c>
      <c r="BY78" s="489"/>
      <c r="BZ78" s="489"/>
      <c r="CA78" s="436" t="s">
        <v>874</v>
      </c>
      <c r="CB78" s="723">
        <v>0.64900000000000002</v>
      </c>
      <c r="CC78" s="668" t="s">
        <v>950</v>
      </c>
      <c r="CD78" s="316" t="s">
        <v>514</v>
      </c>
      <c r="CE78" s="316" t="s">
        <v>515</v>
      </c>
      <c r="CF78" s="718">
        <v>0</v>
      </c>
      <c r="CG78" s="316" t="s">
        <v>570</v>
      </c>
      <c r="CH78" s="316" t="s">
        <v>571</v>
      </c>
      <c r="CI78" s="718">
        <v>0.01</v>
      </c>
    </row>
    <row r="79" spans="1:90" ht="15.75" customHeight="1" x14ac:dyDescent="0.2">
      <c r="A79" s="747" t="s">
        <v>40</v>
      </c>
      <c r="B79" s="469" t="s">
        <v>39</v>
      </c>
      <c r="C79" s="718">
        <v>0.3</v>
      </c>
      <c r="D79" s="469" t="s">
        <v>680</v>
      </c>
      <c r="E79" s="469" t="s">
        <v>681</v>
      </c>
      <c r="F79" s="718">
        <v>0.37</v>
      </c>
      <c r="G79" s="469" t="s">
        <v>514</v>
      </c>
      <c r="H79" s="469" t="s">
        <v>514</v>
      </c>
      <c r="I79" s="718">
        <v>0</v>
      </c>
      <c r="J79" s="748">
        <f t="shared" si="24"/>
        <v>0.66999999999999993</v>
      </c>
      <c r="K79" s="718">
        <v>0.3</v>
      </c>
      <c r="L79" s="316" t="s">
        <v>680</v>
      </c>
      <c r="M79" s="316" t="s">
        <v>681</v>
      </c>
      <c r="N79" s="718">
        <v>0.37</v>
      </c>
      <c r="O79" s="316" t="s">
        <v>514</v>
      </c>
      <c r="P79" s="316" t="s">
        <v>514</v>
      </c>
      <c r="Q79" s="718">
        <v>0</v>
      </c>
      <c r="R79" s="728">
        <f t="shared" si="25"/>
        <v>0.66999999999999993</v>
      </c>
      <c r="S79" s="718">
        <v>0.3</v>
      </c>
      <c r="T79" s="316" t="s">
        <v>680</v>
      </c>
      <c r="U79" s="316" t="s">
        <v>681</v>
      </c>
      <c r="V79" s="718">
        <v>0.37</v>
      </c>
      <c r="W79" s="316" t="s">
        <v>514</v>
      </c>
      <c r="X79" s="316" t="s">
        <v>514</v>
      </c>
      <c r="Y79" s="718">
        <v>0</v>
      </c>
      <c r="Z79" s="728">
        <f t="shared" si="26"/>
        <v>0.66999999999999993</v>
      </c>
      <c r="AA79" s="718">
        <v>0.3</v>
      </c>
      <c r="AB79" s="316" t="s">
        <v>680</v>
      </c>
      <c r="AC79" s="316" t="s">
        <v>681</v>
      </c>
      <c r="AD79" s="718">
        <v>0.37</v>
      </c>
      <c r="AE79" s="316" t="s">
        <v>514</v>
      </c>
      <c r="AF79" s="316" t="s">
        <v>514</v>
      </c>
      <c r="AG79" s="718">
        <v>0</v>
      </c>
      <c r="AH79" s="728">
        <f t="shared" ref="AH79:AH84" si="39">+AA79+AD79+AG79</f>
        <v>0.66999999999999993</v>
      </c>
      <c r="AI79" s="718">
        <v>0.3</v>
      </c>
      <c r="AJ79" s="316" t="s">
        <v>680</v>
      </c>
      <c r="AK79" s="316" t="s">
        <v>681</v>
      </c>
      <c r="AL79" s="718">
        <v>0.37</v>
      </c>
      <c r="AM79" s="316" t="s">
        <v>514</v>
      </c>
      <c r="AN79" s="316" t="s">
        <v>514</v>
      </c>
      <c r="AO79" s="718">
        <v>0</v>
      </c>
      <c r="AP79" s="728">
        <f t="shared" si="34"/>
        <v>0.66999999999999993</v>
      </c>
      <c r="AQ79" s="718">
        <v>0.48</v>
      </c>
      <c r="AR79" s="316" t="s">
        <v>680</v>
      </c>
      <c r="AS79" s="316" t="s">
        <v>681</v>
      </c>
      <c r="AT79" s="718">
        <v>0.27</v>
      </c>
      <c r="AU79" s="316" t="s">
        <v>514</v>
      </c>
      <c r="AV79" s="316" t="s">
        <v>514</v>
      </c>
      <c r="AW79" s="718">
        <v>0</v>
      </c>
      <c r="AX79" s="463">
        <f t="shared" si="35"/>
        <v>0.75</v>
      </c>
      <c r="AY79" s="661">
        <v>0.64</v>
      </c>
      <c r="AZ79" s="316" t="s">
        <v>680</v>
      </c>
      <c r="BA79" s="316" t="s">
        <v>681</v>
      </c>
      <c r="BB79" s="463">
        <v>0.36</v>
      </c>
      <c r="BC79" s="316" t="s">
        <v>514</v>
      </c>
      <c r="BD79" s="316" t="s">
        <v>514</v>
      </c>
      <c r="BE79" s="463">
        <v>0</v>
      </c>
      <c r="BF79" s="728">
        <f t="shared" si="36"/>
        <v>1</v>
      </c>
      <c r="BG79" s="463"/>
      <c r="BH79" s="463">
        <v>0.3</v>
      </c>
      <c r="BI79" s="316" t="s">
        <v>680</v>
      </c>
      <c r="BJ79" s="316" t="s">
        <v>681</v>
      </c>
      <c r="BK79" s="463">
        <v>0.37</v>
      </c>
      <c r="BL79" s="316" t="s">
        <v>514</v>
      </c>
      <c r="BM79" s="316" t="s">
        <v>514</v>
      </c>
      <c r="BN79" s="463">
        <v>0</v>
      </c>
      <c r="BO79" s="728">
        <f t="shared" si="37"/>
        <v>0.66999999999999993</v>
      </c>
      <c r="BP79" s="463">
        <v>0.3</v>
      </c>
      <c r="BQ79" s="316" t="s">
        <v>680</v>
      </c>
      <c r="BR79" s="316" t="s">
        <v>681</v>
      </c>
      <c r="BS79" s="463">
        <v>0.2</v>
      </c>
      <c r="BT79" s="316" t="s">
        <v>514</v>
      </c>
      <c r="BU79" s="316" t="s">
        <v>514</v>
      </c>
      <c r="BV79" s="463">
        <v>0</v>
      </c>
      <c r="BW79" s="463">
        <f t="shared" si="38"/>
        <v>0.5</v>
      </c>
      <c r="BX79" s="444"/>
      <c r="BY79" s="444"/>
      <c r="BZ79" s="444"/>
      <c r="CA79" s="436" t="s">
        <v>874</v>
      </c>
      <c r="CB79" s="723">
        <v>0.76200000000000001</v>
      </c>
      <c r="CC79" s="668" t="s">
        <v>950</v>
      </c>
      <c r="CD79" s="316" t="s">
        <v>680</v>
      </c>
      <c r="CE79" s="316" t="s">
        <v>681</v>
      </c>
      <c r="CF79" s="718">
        <v>0.2</v>
      </c>
      <c r="CG79" s="316" t="s">
        <v>514</v>
      </c>
      <c r="CH79" s="316" t="s">
        <v>514</v>
      </c>
      <c r="CI79" s="718">
        <v>0</v>
      </c>
    </row>
    <row r="80" spans="1:90" ht="15" x14ac:dyDescent="0.2">
      <c r="A80" s="747" t="s">
        <v>42</v>
      </c>
      <c r="B80" s="469" t="s">
        <v>41</v>
      </c>
      <c r="C80" s="718">
        <v>0.4</v>
      </c>
      <c r="D80" s="469" t="s">
        <v>539</v>
      </c>
      <c r="E80" s="469" t="s">
        <v>540</v>
      </c>
      <c r="F80" s="718">
        <v>0.09</v>
      </c>
      <c r="G80" s="469" t="s">
        <v>537</v>
      </c>
      <c r="H80" s="469" t="s">
        <v>538</v>
      </c>
      <c r="I80" s="718">
        <v>0.01</v>
      </c>
      <c r="J80" s="748">
        <f t="shared" si="24"/>
        <v>0.5</v>
      </c>
      <c r="K80" s="718">
        <v>0.4</v>
      </c>
      <c r="L80" s="316" t="s">
        <v>539</v>
      </c>
      <c r="M80" s="316" t="s">
        <v>540</v>
      </c>
      <c r="N80" s="718">
        <v>0.09</v>
      </c>
      <c r="O80" s="316" t="s">
        <v>537</v>
      </c>
      <c r="P80" s="316" t="s">
        <v>538</v>
      </c>
      <c r="Q80" s="718">
        <v>0.01</v>
      </c>
      <c r="R80" s="728">
        <f t="shared" si="25"/>
        <v>0.5</v>
      </c>
      <c r="S80" s="718">
        <v>0.4</v>
      </c>
      <c r="T80" s="316" t="s">
        <v>539</v>
      </c>
      <c r="U80" s="316" t="s">
        <v>540</v>
      </c>
      <c r="V80" s="718">
        <v>0.09</v>
      </c>
      <c r="W80" s="316" t="s">
        <v>537</v>
      </c>
      <c r="X80" s="316" t="s">
        <v>538</v>
      </c>
      <c r="Y80" s="718">
        <v>0.01</v>
      </c>
      <c r="Z80" s="728">
        <f t="shared" si="26"/>
        <v>0.5</v>
      </c>
      <c r="AA80" s="718">
        <v>0.4</v>
      </c>
      <c r="AB80" s="316" t="s">
        <v>539</v>
      </c>
      <c r="AC80" s="316" t="s">
        <v>540</v>
      </c>
      <c r="AD80" s="718">
        <v>0.09</v>
      </c>
      <c r="AE80" s="316" t="s">
        <v>537</v>
      </c>
      <c r="AF80" s="316" t="s">
        <v>538</v>
      </c>
      <c r="AG80" s="718">
        <v>0.01</v>
      </c>
      <c r="AH80" s="728">
        <f t="shared" si="39"/>
        <v>0.5</v>
      </c>
      <c r="AI80" s="718">
        <v>0.4</v>
      </c>
      <c r="AJ80" s="316" t="s">
        <v>539</v>
      </c>
      <c r="AK80" s="316" t="s">
        <v>540</v>
      </c>
      <c r="AL80" s="718">
        <v>0.09</v>
      </c>
      <c r="AM80" s="316" t="s">
        <v>537</v>
      </c>
      <c r="AN80" s="316" t="s">
        <v>538</v>
      </c>
      <c r="AO80" s="718">
        <v>0.01</v>
      </c>
      <c r="AP80" s="728">
        <f t="shared" ref="AP80:AP85" si="40">+AI80+AL80+AO80</f>
        <v>0.5</v>
      </c>
      <c r="AQ80" s="718">
        <v>0.4</v>
      </c>
      <c r="AR80" s="316" t="s">
        <v>539</v>
      </c>
      <c r="AS80" s="316" t="s">
        <v>540</v>
      </c>
      <c r="AT80" s="718">
        <v>0.09</v>
      </c>
      <c r="AU80" s="316" t="s">
        <v>537</v>
      </c>
      <c r="AV80" s="316" t="s">
        <v>538</v>
      </c>
      <c r="AW80" s="718">
        <v>0.01</v>
      </c>
      <c r="AX80" s="463">
        <f t="shared" ref="AX80:AX85" si="41">+AQ80+AT80+AW80</f>
        <v>0.5</v>
      </c>
      <c r="AY80" s="661">
        <v>0.4</v>
      </c>
      <c r="AZ80" s="316" t="s">
        <v>539</v>
      </c>
      <c r="BA80" s="316" t="s">
        <v>540</v>
      </c>
      <c r="BB80" s="463">
        <v>0.09</v>
      </c>
      <c r="BC80" s="316" t="s">
        <v>537</v>
      </c>
      <c r="BD80" s="316" t="s">
        <v>538</v>
      </c>
      <c r="BE80" s="463">
        <v>0.01</v>
      </c>
      <c r="BF80" s="728">
        <f t="shared" ref="BF80:BF85" si="42">+AY80+BB80+BE80</f>
        <v>0.5</v>
      </c>
      <c r="BG80" s="463"/>
      <c r="BH80" s="463">
        <v>0.4</v>
      </c>
      <c r="BI80" s="316" t="s">
        <v>539</v>
      </c>
      <c r="BJ80" s="316" t="s">
        <v>540</v>
      </c>
      <c r="BK80" s="463">
        <v>0.09</v>
      </c>
      <c r="BL80" s="316" t="s">
        <v>537</v>
      </c>
      <c r="BM80" s="316" t="s">
        <v>538</v>
      </c>
      <c r="BN80" s="463">
        <v>0.01</v>
      </c>
      <c r="BO80" s="728">
        <f t="shared" ref="BO80:BO85" si="43">+BH80+BK80+BN80</f>
        <v>0.5</v>
      </c>
      <c r="BP80" s="463">
        <v>0.4</v>
      </c>
      <c r="BQ80" s="316" t="s">
        <v>539</v>
      </c>
      <c r="BR80" s="316" t="s">
        <v>540</v>
      </c>
      <c r="BS80" s="463">
        <v>0.09</v>
      </c>
      <c r="BT80" s="316" t="s">
        <v>537</v>
      </c>
      <c r="BU80" s="316" t="s">
        <v>538</v>
      </c>
      <c r="BV80" s="463">
        <v>0.01</v>
      </c>
      <c r="BW80" s="463">
        <f t="shared" ref="BW80:BW85" si="44">+BP80+BS80+BV80</f>
        <v>0.5</v>
      </c>
      <c r="BX80" s="444" t="s">
        <v>874</v>
      </c>
      <c r="BY80" s="444"/>
      <c r="BZ80" s="444"/>
      <c r="CA80" s="434"/>
      <c r="CB80" s="723">
        <v>0.70199999999999996</v>
      </c>
      <c r="CC80" s="668" t="s">
        <v>950</v>
      </c>
      <c r="CD80" s="316" t="s">
        <v>539</v>
      </c>
      <c r="CE80" s="316" t="s">
        <v>540</v>
      </c>
      <c r="CF80" s="718">
        <v>0.59</v>
      </c>
      <c r="CG80" s="316" t="s">
        <v>537</v>
      </c>
      <c r="CH80" s="316" t="s">
        <v>538</v>
      </c>
      <c r="CI80" s="718">
        <v>0.01</v>
      </c>
    </row>
    <row r="81" spans="1:90" ht="15.75" customHeight="1" x14ac:dyDescent="0.2">
      <c r="A81" s="747" t="s">
        <v>44</v>
      </c>
      <c r="B81" s="469" t="s">
        <v>43</v>
      </c>
      <c r="C81" s="718">
        <v>0.4</v>
      </c>
      <c r="D81" s="469" t="s">
        <v>563</v>
      </c>
      <c r="E81" s="469" t="s">
        <v>564</v>
      </c>
      <c r="F81" s="718">
        <v>0.09</v>
      </c>
      <c r="G81" s="469" t="s">
        <v>560</v>
      </c>
      <c r="H81" s="998" t="s">
        <v>561</v>
      </c>
      <c r="I81" s="718">
        <v>0.01</v>
      </c>
      <c r="J81" s="748">
        <f t="shared" si="24"/>
        <v>0.5</v>
      </c>
      <c r="K81" s="718">
        <v>0.4</v>
      </c>
      <c r="L81" s="316" t="s">
        <v>563</v>
      </c>
      <c r="M81" s="316" t="s">
        <v>564</v>
      </c>
      <c r="N81" s="718">
        <v>0.09</v>
      </c>
      <c r="O81" s="316" t="s">
        <v>560</v>
      </c>
      <c r="P81" s="464" t="s">
        <v>561</v>
      </c>
      <c r="Q81" s="718">
        <v>0.01</v>
      </c>
      <c r="R81" s="728">
        <f t="shared" si="25"/>
        <v>0.5</v>
      </c>
      <c r="S81" s="718">
        <v>0.4</v>
      </c>
      <c r="T81" s="316" t="s">
        <v>563</v>
      </c>
      <c r="U81" s="316" t="s">
        <v>564</v>
      </c>
      <c r="V81" s="718">
        <v>0.09</v>
      </c>
      <c r="W81" s="316" t="s">
        <v>560</v>
      </c>
      <c r="X81" s="464" t="s">
        <v>561</v>
      </c>
      <c r="Y81" s="718">
        <v>0.01</v>
      </c>
      <c r="Z81" s="728">
        <f t="shared" si="26"/>
        <v>0.5</v>
      </c>
      <c r="AA81" s="718">
        <v>0.4</v>
      </c>
      <c r="AB81" s="316" t="s">
        <v>563</v>
      </c>
      <c r="AC81" s="316" t="s">
        <v>564</v>
      </c>
      <c r="AD81" s="718">
        <v>0.09</v>
      </c>
      <c r="AE81" s="316" t="s">
        <v>560</v>
      </c>
      <c r="AF81" s="464" t="s">
        <v>561</v>
      </c>
      <c r="AG81" s="718">
        <v>0.01</v>
      </c>
      <c r="AH81" s="728">
        <f t="shared" si="39"/>
        <v>0.5</v>
      </c>
      <c r="AI81" s="718">
        <v>0.4</v>
      </c>
      <c r="AJ81" s="316" t="s">
        <v>563</v>
      </c>
      <c r="AK81" s="316" t="s">
        <v>564</v>
      </c>
      <c r="AL81" s="718">
        <v>0.09</v>
      </c>
      <c r="AM81" s="316" t="s">
        <v>560</v>
      </c>
      <c r="AN81" s="464" t="s">
        <v>561</v>
      </c>
      <c r="AO81" s="718">
        <v>0.01</v>
      </c>
      <c r="AP81" s="728">
        <f t="shared" si="40"/>
        <v>0.5</v>
      </c>
      <c r="AQ81" s="718">
        <v>0.4</v>
      </c>
      <c r="AR81" s="316" t="s">
        <v>563</v>
      </c>
      <c r="AS81" s="316" t="s">
        <v>564</v>
      </c>
      <c r="AT81" s="718">
        <v>0.09</v>
      </c>
      <c r="AU81" s="316" t="s">
        <v>560</v>
      </c>
      <c r="AV81" s="464" t="s">
        <v>561</v>
      </c>
      <c r="AW81" s="718">
        <v>0.01</v>
      </c>
      <c r="AX81" s="463">
        <f t="shared" si="41"/>
        <v>0.5</v>
      </c>
      <c r="AY81" s="661">
        <v>0.4</v>
      </c>
      <c r="AZ81" s="316" t="s">
        <v>563</v>
      </c>
      <c r="BA81" s="316" t="s">
        <v>564</v>
      </c>
      <c r="BB81" s="463">
        <v>0.59</v>
      </c>
      <c r="BC81" s="316" t="s">
        <v>560</v>
      </c>
      <c r="BD81" s="464" t="s">
        <v>561</v>
      </c>
      <c r="BE81" s="463">
        <v>0.01</v>
      </c>
      <c r="BF81" s="728">
        <f t="shared" si="42"/>
        <v>1</v>
      </c>
      <c r="BG81" s="463"/>
      <c r="BH81" s="463">
        <v>0.4</v>
      </c>
      <c r="BI81" s="316" t="s">
        <v>563</v>
      </c>
      <c r="BJ81" s="316" t="s">
        <v>564</v>
      </c>
      <c r="BK81" s="463">
        <v>0.09</v>
      </c>
      <c r="BL81" s="316" t="s">
        <v>560</v>
      </c>
      <c r="BM81" s="464" t="s">
        <v>561</v>
      </c>
      <c r="BN81" s="463">
        <v>0.01</v>
      </c>
      <c r="BO81" s="728">
        <f t="shared" si="43"/>
        <v>0.5</v>
      </c>
      <c r="BP81" s="463">
        <v>0.4</v>
      </c>
      <c r="BQ81" s="316" t="s">
        <v>563</v>
      </c>
      <c r="BR81" s="316" t="s">
        <v>564</v>
      </c>
      <c r="BS81" s="463">
        <v>0.09</v>
      </c>
      <c r="BT81" s="316" t="s">
        <v>560</v>
      </c>
      <c r="BU81" s="464" t="s">
        <v>561</v>
      </c>
      <c r="BV81" s="463">
        <v>0.01</v>
      </c>
      <c r="BW81" s="463">
        <f t="shared" si="44"/>
        <v>0.5</v>
      </c>
      <c r="BX81" s="489" t="s">
        <v>874</v>
      </c>
      <c r="BY81" s="489"/>
      <c r="BZ81" s="489"/>
      <c r="CA81" s="434"/>
      <c r="CB81" s="723">
        <v>0.66600000000000004</v>
      </c>
      <c r="CC81" s="668" t="s">
        <v>950</v>
      </c>
      <c r="CD81" s="316" t="s">
        <v>563</v>
      </c>
      <c r="CE81" s="316" t="s">
        <v>564</v>
      </c>
      <c r="CF81" s="718">
        <v>0.59</v>
      </c>
      <c r="CG81" s="316" t="s">
        <v>560</v>
      </c>
      <c r="CH81" s="464" t="s">
        <v>561</v>
      </c>
      <c r="CI81" s="718">
        <v>0.01</v>
      </c>
    </row>
    <row r="82" spans="1:90" ht="15.75" customHeight="1" x14ac:dyDescent="0.2">
      <c r="A82" s="747" t="s">
        <v>46</v>
      </c>
      <c r="B82" s="469" t="s">
        <v>45</v>
      </c>
      <c r="C82" s="718">
        <v>0.4</v>
      </c>
      <c r="D82" s="469" t="s">
        <v>589</v>
      </c>
      <c r="E82" s="469" t="s">
        <v>590</v>
      </c>
      <c r="F82" s="718">
        <v>0.09</v>
      </c>
      <c r="G82" s="469" t="s">
        <v>2290</v>
      </c>
      <c r="H82" s="469" t="s">
        <v>2291</v>
      </c>
      <c r="I82" s="718">
        <v>0.01</v>
      </c>
      <c r="J82" s="748">
        <f t="shared" si="24"/>
        <v>0.5</v>
      </c>
      <c r="K82" s="718">
        <v>0.4</v>
      </c>
      <c r="L82" s="316" t="s">
        <v>589</v>
      </c>
      <c r="M82" s="316" t="s">
        <v>590</v>
      </c>
      <c r="N82" s="718">
        <v>0.09</v>
      </c>
      <c r="O82" s="316" t="s">
        <v>2290</v>
      </c>
      <c r="P82" s="316" t="s">
        <v>2291</v>
      </c>
      <c r="Q82" s="718">
        <v>0.01</v>
      </c>
      <c r="R82" s="728">
        <f t="shared" si="25"/>
        <v>0.5</v>
      </c>
      <c r="S82" s="718">
        <v>0.4</v>
      </c>
      <c r="T82" s="316" t="s">
        <v>589</v>
      </c>
      <c r="U82" s="316" t="s">
        <v>590</v>
      </c>
      <c r="V82" s="718">
        <v>0.09</v>
      </c>
      <c r="W82" s="316" t="s">
        <v>2290</v>
      </c>
      <c r="X82" s="316" t="s">
        <v>2291</v>
      </c>
      <c r="Y82" s="718">
        <v>0.01</v>
      </c>
      <c r="Z82" s="728">
        <f t="shared" si="26"/>
        <v>0.5</v>
      </c>
      <c r="AA82" s="718">
        <v>0.4</v>
      </c>
      <c r="AB82" s="316" t="s">
        <v>589</v>
      </c>
      <c r="AC82" s="316" t="s">
        <v>590</v>
      </c>
      <c r="AD82" s="718">
        <v>0.09</v>
      </c>
      <c r="AE82" s="316" t="s">
        <v>2290</v>
      </c>
      <c r="AF82" s="316" t="s">
        <v>2291</v>
      </c>
      <c r="AG82" s="718">
        <v>0.01</v>
      </c>
      <c r="AH82" s="728">
        <f t="shared" si="39"/>
        <v>0.5</v>
      </c>
      <c r="AI82" s="718">
        <v>0.4</v>
      </c>
      <c r="AJ82" s="316" t="s">
        <v>589</v>
      </c>
      <c r="AK82" s="316" t="s">
        <v>590</v>
      </c>
      <c r="AL82" s="718">
        <v>0.09</v>
      </c>
      <c r="AM82" s="316" t="s">
        <v>586</v>
      </c>
      <c r="AN82" s="316" t="s">
        <v>587</v>
      </c>
      <c r="AO82" s="718">
        <v>0.01</v>
      </c>
      <c r="AP82" s="728">
        <f t="shared" si="40"/>
        <v>0.5</v>
      </c>
      <c r="AQ82" s="718">
        <v>0.4</v>
      </c>
      <c r="AR82" s="316" t="s">
        <v>589</v>
      </c>
      <c r="AS82" s="316" t="s">
        <v>590</v>
      </c>
      <c r="AT82" s="718">
        <v>0.09</v>
      </c>
      <c r="AU82" s="316" t="s">
        <v>586</v>
      </c>
      <c r="AV82" s="316" t="s">
        <v>587</v>
      </c>
      <c r="AW82" s="718">
        <v>0.01</v>
      </c>
      <c r="AX82" s="463">
        <f t="shared" si="41"/>
        <v>0.5</v>
      </c>
      <c r="AY82" s="661">
        <v>0.4</v>
      </c>
      <c r="AZ82" s="316" t="s">
        <v>589</v>
      </c>
      <c r="BA82" s="316" t="s">
        <v>590</v>
      </c>
      <c r="BB82" s="463">
        <v>0.09</v>
      </c>
      <c r="BC82" s="316" t="s">
        <v>586</v>
      </c>
      <c r="BD82" s="316" t="s">
        <v>587</v>
      </c>
      <c r="BE82" s="463">
        <v>0.01</v>
      </c>
      <c r="BF82" s="728">
        <f t="shared" si="42"/>
        <v>0.5</v>
      </c>
      <c r="BG82" s="463"/>
      <c r="BH82" s="463">
        <v>0.4</v>
      </c>
      <c r="BI82" s="316" t="s">
        <v>589</v>
      </c>
      <c r="BJ82" s="316" t="s">
        <v>590</v>
      </c>
      <c r="BK82" s="463">
        <v>0.09</v>
      </c>
      <c r="BL82" s="316" t="s">
        <v>586</v>
      </c>
      <c r="BM82" s="316" t="s">
        <v>587</v>
      </c>
      <c r="BN82" s="463">
        <v>0.01</v>
      </c>
      <c r="BO82" s="728">
        <f t="shared" si="43"/>
        <v>0.5</v>
      </c>
      <c r="BP82" s="463">
        <v>0.4</v>
      </c>
      <c r="BQ82" s="316" t="s">
        <v>589</v>
      </c>
      <c r="BR82" s="316" t="s">
        <v>590</v>
      </c>
      <c r="BS82" s="463">
        <v>0.09</v>
      </c>
      <c r="BT82" s="316" t="s">
        <v>586</v>
      </c>
      <c r="BU82" s="316" t="s">
        <v>587</v>
      </c>
      <c r="BV82" s="463">
        <v>0.01</v>
      </c>
      <c r="BW82" s="463">
        <f t="shared" si="44"/>
        <v>0.5</v>
      </c>
      <c r="BX82" s="489" t="s">
        <v>874</v>
      </c>
      <c r="BY82" s="489"/>
      <c r="BZ82" s="489"/>
      <c r="CA82" s="434"/>
      <c r="CB82" s="723">
        <v>0.70699999999999996</v>
      </c>
      <c r="CC82" s="668" t="s">
        <v>950</v>
      </c>
      <c r="CD82" s="316" t="s">
        <v>589</v>
      </c>
      <c r="CE82" s="316" t="s">
        <v>590</v>
      </c>
      <c r="CF82" s="718">
        <v>0.59</v>
      </c>
      <c r="CG82" s="316" t="s">
        <v>586</v>
      </c>
      <c r="CH82" s="316" t="s">
        <v>587</v>
      </c>
      <c r="CI82" s="718">
        <v>0.01</v>
      </c>
    </row>
    <row r="83" spans="1:90" ht="15.75" customHeight="1" x14ac:dyDescent="0.2">
      <c r="A83" s="747" t="s">
        <v>48</v>
      </c>
      <c r="B83" s="469" t="s">
        <v>47</v>
      </c>
      <c r="C83" s="718">
        <v>0.4</v>
      </c>
      <c r="D83" s="469" t="s">
        <v>596</v>
      </c>
      <c r="E83" s="469" t="s">
        <v>597</v>
      </c>
      <c r="F83" s="718">
        <v>0.1</v>
      </c>
      <c r="G83" s="469" t="s">
        <v>514</v>
      </c>
      <c r="H83" s="469" t="s">
        <v>552</v>
      </c>
      <c r="I83" s="718">
        <v>0</v>
      </c>
      <c r="J83" s="748">
        <f t="shared" si="24"/>
        <v>0.5</v>
      </c>
      <c r="K83" s="718">
        <v>0.4</v>
      </c>
      <c r="L83" s="316" t="s">
        <v>596</v>
      </c>
      <c r="M83" s="316" t="s">
        <v>597</v>
      </c>
      <c r="N83" s="718">
        <v>0.1</v>
      </c>
      <c r="O83" s="316" t="s">
        <v>514</v>
      </c>
      <c r="P83" s="316" t="s">
        <v>552</v>
      </c>
      <c r="Q83" s="718">
        <v>0</v>
      </c>
      <c r="R83" s="728">
        <f t="shared" si="25"/>
        <v>0.5</v>
      </c>
      <c r="S83" s="718">
        <v>0.4</v>
      </c>
      <c r="T83" s="316" t="s">
        <v>596</v>
      </c>
      <c r="U83" s="316" t="s">
        <v>597</v>
      </c>
      <c r="V83" s="718">
        <v>0.1</v>
      </c>
      <c r="W83" s="316" t="s">
        <v>514</v>
      </c>
      <c r="X83" s="316" t="s">
        <v>552</v>
      </c>
      <c r="Y83" s="718">
        <v>0</v>
      </c>
      <c r="Z83" s="728">
        <f t="shared" si="26"/>
        <v>0.5</v>
      </c>
      <c r="AA83" s="718">
        <v>0.4</v>
      </c>
      <c r="AB83" s="316" t="s">
        <v>596</v>
      </c>
      <c r="AC83" s="316" t="s">
        <v>597</v>
      </c>
      <c r="AD83" s="718">
        <v>0.1</v>
      </c>
      <c r="AE83" s="316" t="s">
        <v>514</v>
      </c>
      <c r="AF83" s="316" t="s">
        <v>552</v>
      </c>
      <c r="AG83" s="718">
        <v>0</v>
      </c>
      <c r="AH83" s="728">
        <f t="shared" si="39"/>
        <v>0.5</v>
      </c>
      <c r="AI83" s="718">
        <v>0.4</v>
      </c>
      <c r="AJ83" s="316" t="s">
        <v>596</v>
      </c>
      <c r="AK83" s="316" t="s">
        <v>597</v>
      </c>
      <c r="AL83" s="718">
        <v>0.1</v>
      </c>
      <c r="AM83" s="316" t="s">
        <v>514</v>
      </c>
      <c r="AN83" s="316" t="s">
        <v>552</v>
      </c>
      <c r="AO83" s="718">
        <v>0</v>
      </c>
      <c r="AP83" s="728">
        <f t="shared" si="40"/>
        <v>0.5</v>
      </c>
      <c r="AQ83" s="718">
        <v>0.35</v>
      </c>
      <c r="AR83" s="316" t="s">
        <v>596</v>
      </c>
      <c r="AS83" s="316" t="s">
        <v>597</v>
      </c>
      <c r="AT83" s="718">
        <v>0.4</v>
      </c>
      <c r="AU83" s="316" t="s">
        <v>514</v>
      </c>
      <c r="AV83" s="316" t="s">
        <v>552</v>
      </c>
      <c r="AW83" s="718">
        <v>0</v>
      </c>
      <c r="AX83" s="463">
        <f t="shared" si="41"/>
        <v>0.75</v>
      </c>
      <c r="AY83" s="661">
        <v>0.4</v>
      </c>
      <c r="AZ83" s="316" t="s">
        <v>596</v>
      </c>
      <c r="BA83" s="316" t="s">
        <v>597</v>
      </c>
      <c r="BB83" s="463">
        <v>0.1</v>
      </c>
      <c r="BC83" s="316" t="s">
        <v>514</v>
      </c>
      <c r="BD83" s="316" t="s">
        <v>552</v>
      </c>
      <c r="BE83" s="463">
        <v>0</v>
      </c>
      <c r="BF83" s="728">
        <f t="shared" si="42"/>
        <v>0.5</v>
      </c>
      <c r="BG83" s="463"/>
      <c r="BH83" s="463">
        <v>0.4</v>
      </c>
      <c r="BI83" s="316" t="s">
        <v>596</v>
      </c>
      <c r="BJ83" s="316" t="s">
        <v>597</v>
      </c>
      <c r="BK83" s="463">
        <v>0.1</v>
      </c>
      <c r="BL83" s="316" t="s">
        <v>514</v>
      </c>
      <c r="BM83" s="316" t="s">
        <v>552</v>
      </c>
      <c r="BN83" s="463">
        <v>0</v>
      </c>
      <c r="BO83" s="728">
        <f t="shared" si="43"/>
        <v>0.5</v>
      </c>
      <c r="BP83" s="463">
        <v>0.4</v>
      </c>
      <c r="BQ83" s="316" t="s">
        <v>596</v>
      </c>
      <c r="BR83" s="316" t="s">
        <v>597</v>
      </c>
      <c r="BS83" s="463">
        <v>0.1</v>
      </c>
      <c r="BT83" s="316" t="s">
        <v>514</v>
      </c>
      <c r="BU83" s="316" t="s">
        <v>552</v>
      </c>
      <c r="BV83" s="463">
        <v>0</v>
      </c>
      <c r="BW83" s="463">
        <f t="shared" si="44"/>
        <v>0.5</v>
      </c>
      <c r="BX83" s="444"/>
      <c r="BY83" s="444"/>
      <c r="BZ83" s="444"/>
      <c r="CA83" s="434"/>
      <c r="CB83" s="723">
        <v>0.71299999999999997</v>
      </c>
      <c r="CC83" s="668" t="s">
        <v>950</v>
      </c>
      <c r="CD83" s="316" t="s">
        <v>596</v>
      </c>
      <c r="CE83" s="316" t="s">
        <v>597</v>
      </c>
      <c r="CF83" s="718">
        <v>0.6</v>
      </c>
      <c r="CG83" s="316" t="s">
        <v>514</v>
      </c>
      <c r="CH83" s="316" t="s">
        <v>552</v>
      </c>
      <c r="CI83" s="718">
        <v>0</v>
      </c>
    </row>
    <row r="84" spans="1:90" ht="15.75" customHeight="1" x14ac:dyDescent="0.2">
      <c r="A84" s="747" t="s">
        <v>50</v>
      </c>
      <c r="B84" s="469" t="s">
        <v>49</v>
      </c>
      <c r="C84" s="718">
        <v>0.4</v>
      </c>
      <c r="D84" s="469" t="s">
        <v>625</v>
      </c>
      <c r="E84" s="469" t="s">
        <v>626</v>
      </c>
      <c r="F84" s="718">
        <v>0.1</v>
      </c>
      <c r="G84" s="469" t="s">
        <v>514</v>
      </c>
      <c r="H84" s="469" t="s">
        <v>552</v>
      </c>
      <c r="I84" s="718">
        <v>0</v>
      </c>
      <c r="J84" s="748">
        <f t="shared" ref="J84:J96" si="45">+C84+F84+I84</f>
        <v>0.5</v>
      </c>
      <c r="K84" s="718">
        <v>0.4</v>
      </c>
      <c r="L84" s="316" t="s">
        <v>625</v>
      </c>
      <c r="M84" s="316" t="s">
        <v>626</v>
      </c>
      <c r="N84" s="718">
        <v>0.1</v>
      </c>
      <c r="O84" s="316" t="s">
        <v>514</v>
      </c>
      <c r="P84" s="316" t="s">
        <v>552</v>
      </c>
      <c r="Q84" s="718">
        <v>0</v>
      </c>
      <c r="R84" s="728">
        <f t="shared" si="25"/>
        <v>0.5</v>
      </c>
      <c r="S84" s="718">
        <v>0.4</v>
      </c>
      <c r="T84" s="316" t="s">
        <v>625</v>
      </c>
      <c r="U84" s="316" t="s">
        <v>626</v>
      </c>
      <c r="V84" s="718">
        <v>0.1</v>
      </c>
      <c r="W84" s="316" t="s">
        <v>514</v>
      </c>
      <c r="X84" s="316" t="s">
        <v>552</v>
      </c>
      <c r="Y84" s="718">
        <v>0</v>
      </c>
      <c r="Z84" s="728">
        <f t="shared" si="26"/>
        <v>0.5</v>
      </c>
      <c r="AA84" s="718">
        <v>0.4</v>
      </c>
      <c r="AB84" s="316" t="s">
        <v>625</v>
      </c>
      <c r="AC84" s="316" t="s">
        <v>626</v>
      </c>
      <c r="AD84" s="718">
        <v>0.1</v>
      </c>
      <c r="AE84" s="316" t="s">
        <v>514</v>
      </c>
      <c r="AF84" s="316" t="s">
        <v>552</v>
      </c>
      <c r="AG84" s="718">
        <v>0</v>
      </c>
      <c r="AH84" s="728">
        <f t="shared" si="39"/>
        <v>0.5</v>
      </c>
      <c r="AI84" s="718">
        <v>0.4</v>
      </c>
      <c r="AJ84" s="316" t="s">
        <v>625</v>
      </c>
      <c r="AK84" s="316" t="s">
        <v>626</v>
      </c>
      <c r="AL84" s="718">
        <v>0.1</v>
      </c>
      <c r="AM84" s="316" t="s">
        <v>514</v>
      </c>
      <c r="AN84" s="316" t="s">
        <v>552</v>
      </c>
      <c r="AO84" s="718">
        <v>0</v>
      </c>
      <c r="AP84" s="728">
        <f t="shared" si="40"/>
        <v>0.5</v>
      </c>
      <c r="AQ84" s="718">
        <v>0.4</v>
      </c>
      <c r="AR84" s="316" t="s">
        <v>625</v>
      </c>
      <c r="AS84" s="316" t="s">
        <v>626</v>
      </c>
      <c r="AT84" s="718">
        <v>0.1</v>
      </c>
      <c r="AU84" s="316" t="s">
        <v>514</v>
      </c>
      <c r="AV84" s="316" t="s">
        <v>552</v>
      </c>
      <c r="AW84" s="718">
        <v>0</v>
      </c>
      <c r="AX84" s="463">
        <f t="shared" si="41"/>
        <v>0.5</v>
      </c>
      <c r="AY84" s="661">
        <v>0.6</v>
      </c>
      <c r="AZ84" s="316" t="s">
        <v>625</v>
      </c>
      <c r="BA84" s="316" t="s">
        <v>626</v>
      </c>
      <c r="BB84" s="463">
        <v>0.4</v>
      </c>
      <c r="BC84" s="316" t="s">
        <v>514</v>
      </c>
      <c r="BD84" s="316" t="s">
        <v>552</v>
      </c>
      <c r="BE84" s="463">
        <v>0</v>
      </c>
      <c r="BF84" s="728">
        <f t="shared" si="42"/>
        <v>1</v>
      </c>
      <c r="BG84" s="463"/>
      <c r="BH84" s="463">
        <v>0.4</v>
      </c>
      <c r="BI84" s="316" t="s">
        <v>625</v>
      </c>
      <c r="BJ84" s="316" t="s">
        <v>626</v>
      </c>
      <c r="BK84" s="463">
        <v>0.1</v>
      </c>
      <c r="BL84" s="316" t="s">
        <v>514</v>
      </c>
      <c r="BM84" s="316" t="s">
        <v>552</v>
      </c>
      <c r="BN84" s="463">
        <v>0</v>
      </c>
      <c r="BO84" s="728">
        <f t="shared" si="43"/>
        <v>0.5</v>
      </c>
      <c r="BP84" s="463">
        <v>0.4</v>
      </c>
      <c r="BQ84" s="316" t="s">
        <v>625</v>
      </c>
      <c r="BR84" s="316" t="s">
        <v>626</v>
      </c>
      <c r="BS84" s="463">
        <v>0.1</v>
      </c>
      <c r="BT84" s="316" t="s">
        <v>514</v>
      </c>
      <c r="BU84" s="316" t="s">
        <v>552</v>
      </c>
      <c r="BV84" s="463">
        <v>0</v>
      </c>
      <c r="BW84" s="463">
        <f t="shared" si="44"/>
        <v>0.5</v>
      </c>
      <c r="BX84" s="444"/>
      <c r="BY84" s="444"/>
      <c r="BZ84" s="444"/>
      <c r="CA84" s="434"/>
      <c r="CB84" s="723">
        <v>0.64600000000000002</v>
      </c>
      <c r="CC84" s="668" t="s">
        <v>950</v>
      </c>
      <c r="CD84" s="316" t="s">
        <v>625</v>
      </c>
      <c r="CE84" s="316" t="s">
        <v>626</v>
      </c>
      <c r="CF84" s="718">
        <v>0.6</v>
      </c>
      <c r="CG84" s="316" t="s">
        <v>514</v>
      </c>
      <c r="CH84" s="316" t="s">
        <v>552</v>
      </c>
      <c r="CI84" s="718">
        <v>0</v>
      </c>
    </row>
    <row r="85" spans="1:90" ht="15" x14ac:dyDescent="0.2">
      <c r="A85" s="747" t="s">
        <v>52</v>
      </c>
      <c r="B85" s="469" t="s">
        <v>598</v>
      </c>
      <c r="C85" s="718">
        <v>0.49</v>
      </c>
      <c r="D85" s="469" t="s">
        <v>514</v>
      </c>
      <c r="E85" s="469" t="s">
        <v>515</v>
      </c>
      <c r="F85" s="718">
        <v>0</v>
      </c>
      <c r="G85" s="469" t="s">
        <v>599</v>
      </c>
      <c r="H85" s="469" t="s">
        <v>600</v>
      </c>
      <c r="I85" s="718">
        <v>0.01</v>
      </c>
      <c r="J85" s="748">
        <f t="shared" si="45"/>
        <v>0.5</v>
      </c>
      <c r="K85" s="718">
        <v>0.49</v>
      </c>
      <c r="L85" s="316" t="s">
        <v>514</v>
      </c>
      <c r="M85" s="316" t="s">
        <v>515</v>
      </c>
      <c r="N85" s="718">
        <v>0</v>
      </c>
      <c r="O85" s="316" t="s">
        <v>599</v>
      </c>
      <c r="P85" s="316" t="s">
        <v>600</v>
      </c>
      <c r="Q85" s="718">
        <v>0.01</v>
      </c>
      <c r="R85" s="728">
        <f t="shared" si="25"/>
        <v>0.5</v>
      </c>
      <c r="S85" s="718">
        <v>0.49</v>
      </c>
      <c r="T85" s="316" t="s">
        <v>514</v>
      </c>
      <c r="U85" s="316" t="s">
        <v>515</v>
      </c>
      <c r="V85" s="718">
        <v>0</v>
      </c>
      <c r="W85" s="316" t="s">
        <v>599</v>
      </c>
      <c r="X85" s="316" t="s">
        <v>600</v>
      </c>
      <c r="Y85" s="718">
        <v>0.01</v>
      </c>
      <c r="Z85" s="728">
        <f t="shared" si="26"/>
        <v>0.5</v>
      </c>
      <c r="AA85" s="718">
        <v>0.49</v>
      </c>
      <c r="AB85" s="316" t="s">
        <v>514</v>
      </c>
      <c r="AC85" s="316" t="s">
        <v>515</v>
      </c>
      <c r="AD85" s="718">
        <v>0</v>
      </c>
      <c r="AE85" s="316" t="s">
        <v>599</v>
      </c>
      <c r="AF85" s="316" t="s">
        <v>600</v>
      </c>
      <c r="AG85" s="718">
        <v>0.01</v>
      </c>
      <c r="AH85" s="728">
        <f t="shared" ref="AH85:AH90" si="46">+AA85+AD85+AG85</f>
        <v>0.5</v>
      </c>
      <c r="AI85" s="718">
        <v>0.49</v>
      </c>
      <c r="AJ85" s="316" t="s">
        <v>514</v>
      </c>
      <c r="AK85" s="316" t="s">
        <v>515</v>
      </c>
      <c r="AL85" s="718">
        <v>0</v>
      </c>
      <c r="AM85" s="316" t="s">
        <v>599</v>
      </c>
      <c r="AN85" s="316" t="s">
        <v>600</v>
      </c>
      <c r="AO85" s="718">
        <v>0.01</v>
      </c>
      <c r="AP85" s="728">
        <f t="shared" si="40"/>
        <v>0.5</v>
      </c>
      <c r="AQ85" s="718">
        <v>0.49</v>
      </c>
      <c r="AR85" s="316" t="s">
        <v>514</v>
      </c>
      <c r="AS85" s="316" t="s">
        <v>515</v>
      </c>
      <c r="AT85" s="718">
        <v>0</v>
      </c>
      <c r="AU85" s="316" t="s">
        <v>599</v>
      </c>
      <c r="AV85" s="316" t="s">
        <v>600</v>
      </c>
      <c r="AW85" s="718">
        <v>0.01</v>
      </c>
      <c r="AX85" s="463">
        <f t="shared" si="41"/>
        <v>0.5</v>
      </c>
      <c r="AY85" s="661">
        <v>0.49</v>
      </c>
      <c r="AZ85" s="316" t="s">
        <v>514</v>
      </c>
      <c r="BA85" s="316" t="s">
        <v>515</v>
      </c>
      <c r="BB85" s="463">
        <v>0</v>
      </c>
      <c r="BC85" s="316" t="s">
        <v>599</v>
      </c>
      <c r="BD85" s="316" t="s">
        <v>600</v>
      </c>
      <c r="BE85" s="463">
        <v>0.01</v>
      </c>
      <c r="BF85" s="728">
        <f t="shared" si="42"/>
        <v>0.5</v>
      </c>
      <c r="BG85" s="463"/>
      <c r="BH85" s="463">
        <v>0.49</v>
      </c>
      <c r="BI85" s="316" t="s">
        <v>514</v>
      </c>
      <c r="BJ85" s="316" t="s">
        <v>515</v>
      </c>
      <c r="BK85" s="463">
        <v>0</v>
      </c>
      <c r="BL85" s="316" t="s">
        <v>599</v>
      </c>
      <c r="BM85" s="316" t="s">
        <v>600</v>
      </c>
      <c r="BN85" s="463">
        <v>0.01</v>
      </c>
      <c r="BO85" s="728">
        <f t="shared" si="43"/>
        <v>0.5</v>
      </c>
      <c r="BP85" s="463">
        <v>0.49</v>
      </c>
      <c r="BQ85" s="316" t="s">
        <v>514</v>
      </c>
      <c r="BR85" s="316" t="s">
        <v>515</v>
      </c>
      <c r="BS85" s="463">
        <v>0</v>
      </c>
      <c r="BT85" s="316" t="s">
        <v>599</v>
      </c>
      <c r="BU85" s="316" t="s">
        <v>600</v>
      </c>
      <c r="BV85" s="463">
        <v>0.01</v>
      </c>
      <c r="BW85" s="463">
        <f t="shared" si="44"/>
        <v>0.5</v>
      </c>
      <c r="BX85" s="444" t="s">
        <v>874</v>
      </c>
      <c r="BY85" s="444" t="s">
        <v>874</v>
      </c>
      <c r="BZ85" s="444"/>
      <c r="CA85" s="436" t="s">
        <v>874</v>
      </c>
      <c r="CB85" s="723">
        <v>0.66</v>
      </c>
      <c r="CC85" s="668" t="s">
        <v>950</v>
      </c>
      <c r="CD85" s="316" t="s">
        <v>514</v>
      </c>
      <c r="CE85" s="316" t="s">
        <v>515</v>
      </c>
      <c r="CF85" s="718">
        <v>0</v>
      </c>
      <c r="CG85" s="316" t="s">
        <v>599</v>
      </c>
      <c r="CH85" s="316" t="s">
        <v>600</v>
      </c>
      <c r="CI85" s="718">
        <v>0.01</v>
      </c>
    </row>
    <row r="86" spans="1:90" ht="15.75" customHeight="1" x14ac:dyDescent="0.2">
      <c r="A86" s="747" t="s">
        <v>56</v>
      </c>
      <c r="B86" s="469" t="s">
        <v>55</v>
      </c>
      <c r="C86" s="718">
        <v>0.4</v>
      </c>
      <c r="D86" s="469" t="s">
        <v>651</v>
      </c>
      <c r="E86" s="469" t="s">
        <v>652</v>
      </c>
      <c r="F86" s="718">
        <v>0.09</v>
      </c>
      <c r="G86" s="469" t="s">
        <v>649</v>
      </c>
      <c r="H86" s="469" t="s">
        <v>1245</v>
      </c>
      <c r="I86" s="718">
        <v>0.01</v>
      </c>
      <c r="J86" s="748">
        <f t="shared" si="45"/>
        <v>0.5</v>
      </c>
      <c r="K86" s="718">
        <v>0.4</v>
      </c>
      <c r="L86" s="316" t="s">
        <v>651</v>
      </c>
      <c r="M86" s="316" t="s">
        <v>652</v>
      </c>
      <c r="N86" s="718">
        <v>0.09</v>
      </c>
      <c r="O86" s="316" t="s">
        <v>649</v>
      </c>
      <c r="P86" s="316" t="s">
        <v>1245</v>
      </c>
      <c r="Q86" s="718">
        <v>0.01</v>
      </c>
      <c r="R86" s="728">
        <f t="shared" si="25"/>
        <v>0.5</v>
      </c>
      <c r="S86" s="718">
        <v>0.4</v>
      </c>
      <c r="T86" s="316" t="s">
        <v>651</v>
      </c>
      <c r="U86" s="316" t="s">
        <v>652</v>
      </c>
      <c r="V86" s="718">
        <v>0.09</v>
      </c>
      <c r="W86" s="316" t="s">
        <v>649</v>
      </c>
      <c r="X86" s="316" t="s">
        <v>1245</v>
      </c>
      <c r="Y86" s="718">
        <v>0.01</v>
      </c>
      <c r="Z86" s="728">
        <f t="shared" si="26"/>
        <v>0.5</v>
      </c>
      <c r="AA86" s="718">
        <v>0.4</v>
      </c>
      <c r="AB86" s="316" t="s">
        <v>651</v>
      </c>
      <c r="AC86" s="316" t="s">
        <v>652</v>
      </c>
      <c r="AD86" s="718">
        <v>0.09</v>
      </c>
      <c r="AE86" s="316" t="s">
        <v>649</v>
      </c>
      <c r="AF86" s="316" t="s">
        <v>1245</v>
      </c>
      <c r="AG86" s="718">
        <v>0.01</v>
      </c>
      <c r="AH86" s="728">
        <f t="shared" si="46"/>
        <v>0.5</v>
      </c>
      <c r="AI86" s="718">
        <v>0.4</v>
      </c>
      <c r="AJ86" s="316" t="s">
        <v>651</v>
      </c>
      <c r="AK86" s="316" t="s">
        <v>652</v>
      </c>
      <c r="AL86" s="718">
        <v>0.09</v>
      </c>
      <c r="AM86" s="316" t="s">
        <v>649</v>
      </c>
      <c r="AN86" s="316" t="s">
        <v>1245</v>
      </c>
      <c r="AO86" s="718">
        <v>0.01</v>
      </c>
      <c r="AP86" s="728">
        <f t="shared" ref="AP86:AP91" si="47">+AI86+AL86+AO86</f>
        <v>0.5</v>
      </c>
      <c r="AQ86" s="718">
        <v>0.4</v>
      </c>
      <c r="AR86" s="316" t="s">
        <v>651</v>
      </c>
      <c r="AS86" s="316" t="s">
        <v>652</v>
      </c>
      <c r="AT86" s="718">
        <v>0.33999999999999997</v>
      </c>
      <c r="AU86" s="316" t="s">
        <v>649</v>
      </c>
      <c r="AV86" s="316" t="s">
        <v>1245</v>
      </c>
      <c r="AW86" s="718">
        <v>0.01</v>
      </c>
      <c r="AX86" s="463">
        <f t="shared" ref="AX86:AX91" si="48">+AQ86+AT86+AW86</f>
        <v>0.75</v>
      </c>
      <c r="AY86" s="661">
        <v>0.4</v>
      </c>
      <c r="AZ86" s="316" t="s">
        <v>651</v>
      </c>
      <c r="BA86" s="316" t="s">
        <v>652</v>
      </c>
      <c r="BB86" s="463">
        <v>0.09</v>
      </c>
      <c r="BC86" s="316" t="s">
        <v>649</v>
      </c>
      <c r="BD86" s="316" t="s">
        <v>650</v>
      </c>
      <c r="BE86" s="463">
        <v>0.01</v>
      </c>
      <c r="BF86" s="728">
        <f t="shared" ref="BF86:BF91" si="49">+AY86+BB86+BE86</f>
        <v>0.5</v>
      </c>
      <c r="BG86" s="463"/>
      <c r="BH86" s="463">
        <v>0.4</v>
      </c>
      <c r="BI86" s="316" t="s">
        <v>651</v>
      </c>
      <c r="BJ86" s="316" t="s">
        <v>652</v>
      </c>
      <c r="BK86" s="463">
        <v>0.09</v>
      </c>
      <c r="BL86" s="316" t="s">
        <v>649</v>
      </c>
      <c r="BM86" s="316" t="s">
        <v>650</v>
      </c>
      <c r="BN86" s="463">
        <v>0.01</v>
      </c>
      <c r="BO86" s="728">
        <f t="shared" ref="BO86:BO91" si="50">+BH86+BK86+BN86</f>
        <v>0.5</v>
      </c>
      <c r="BP86" s="463">
        <v>0.4</v>
      </c>
      <c r="BQ86" s="316" t="s">
        <v>651</v>
      </c>
      <c r="BR86" s="316" t="s">
        <v>652</v>
      </c>
      <c r="BS86" s="463">
        <v>0.09</v>
      </c>
      <c r="BT86" s="316" t="s">
        <v>649</v>
      </c>
      <c r="BU86" s="316" t="s">
        <v>650</v>
      </c>
      <c r="BV86" s="463">
        <v>0.01</v>
      </c>
      <c r="BW86" s="463">
        <f t="shared" ref="BW86:BW91" si="51">+BP86+BS86+BV86</f>
        <v>0.5</v>
      </c>
      <c r="BX86" s="444"/>
      <c r="BY86" s="444"/>
      <c r="BZ86" s="444"/>
      <c r="CA86" s="434"/>
      <c r="CB86" s="723">
        <v>0.68700000000000006</v>
      </c>
      <c r="CC86" s="668" t="s">
        <v>950</v>
      </c>
      <c r="CD86" s="316" t="s">
        <v>651</v>
      </c>
      <c r="CE86" s="316" t="s">
        <v>652</v>
      </c>
      <c r="CF86" s="718">
        <v>0.59</v>
      </c>
      <c r="CG86" s="316" t="s">
        <v>649</v>
      </c>
      <c r="CH86" s="316" t="s">
        <v>650</v>
      </c>
      <c r="CI86" s="718">
        <v>0.01</v>
      </c>
    </row>
    <row r="87" spans="1:90" s="544" customFormat="1" ht="15.75" customHeight="1" x14ac:dyDescent="0.2">
      <c r="A87" s="747" t="s">
        <v>1224</v>
      </c>
      <c r="B87" s="469" t="s">
        <v>1223</v>
      </c>
      <c r="C87" s="718">
        <v>0.4</v>
      </c>
      <c r="D87" s="469" t="s">
        <v>653</v>
      </c>
      <c r="E87" s="469" t="s">
        <v>654</v>
      </c>
      <c r="F87" s="718">
        <v>0.1</v>
      </c>
      <c r="G87" s="469" t="s">
        <v>514</v>
      </c>
      <c r="H87" s="469" t="s">
        <v>552</v>
      </c>
      <c r="I87" s="718">
        <v>0</v>
      </c>
      <c r="J87" s="748">
        <f t="shared" si="45"/>
        <v>0.5</v>
      </c>
      <c r="K87" s="718">
        <v>0.4</v>
      </c>
      <c r="L87" s="469" t="s">
        <v>653</v>
      </c>
      <c r="M87" s="469" t="s">
        <v>654</v>
      </c>
      <c r="N87" s="718">
        <v>0.1</v>
      </c>
      <c r="O87" s="469" t="s">
        <v>514</v>
      </c>
      <c r="P87" s="469" t="s">
        <v>552</v>
      </c>
      <c r="Q87" s="718">
        <v>0</v>
      </c>
      <c r="R87" s="748">
        <f t="shared" si="25"/>
        <v>0.5</v>
      </c>
      <c r="S87" s="718">
        <v>0.4</v>
      </c>
      <c r="T87" s="469" t="s">
        <v>653</v>
      </c>
      <c r="U87" s="469" t="s">
        <v>654</v>
      </c>
      <c r="V87" s="718">
        <v>0.1</v>
      </c>
      <c r="W87" s="469" t="s">
        <v>514</v>
      </c>
      <c r="X87" s="469" t="s">
        <v>552</v>
      </c>
      <c r="Y87" s="718">
        <v>0</v>
      </c>
      <c r="Z87" s="748">
        <f t="shared" si="26"/>
        <v>0.5</v>
      </c>
      <c r="AA87" s="718">
        <v>0.4</v>
      </c>
      <c r="AB87" s="469" t="s">
        <v>653</v>
      </c>
      <c r="AC87" s="469" t="s">
        <v>654</v>
      </c>
      <c r="AD87" s="718">
        <v>0.1</v>
      </c>
      <c r="AE87" s="469" t="s">
        <v>514</v>
      </c>
      <c r="AF87" s="469" t="s">
        <v>552</v>
      </c>
      <c r="AG87" s="718">
        <v>0</v>
      </c>
      <c r="AH87" s="748">
        <f t="shared" si="46"/>
        <v>0.5</v>
      </c>
      <c r="AI87" s="718">
        <v>0.4</v>
      </c>
      <c r="AJ87" s="469" t="s">
        <v>653</v>
      </c>
      <c r="AK87" s="469" t="s">
        <v>654</v>
      </c>
      <c r="AL87" s="718">
        <v>0.1</v>
      </c>
      <c r="AM87" s="469" t="s">
        <v>514</v>
      </c>
      <c r="AN87" s="469" t="s">
        <v>552</v>
      </c>
      <c r="AO87" s="718">
        <v>0</v>
      </c>
      <c r="AP87" s="748">
        <f t="shared" si="47"/>
        <v>0.5</v>
      </c>
      <c r="AQ87" s="718">
        <v>0.4</v>
      </c>
      <c r="AR87" s="469" t="s">
        <v>653</v>
      </c>
      <c r="AS87" s="469" t="s">
        <v>654</v>
      </c>
      <c r="AT87" s="718">
        <v>0.1</v>
      </c>
      <c r="AU87" s="469" t="s">
        <v>514</v>
      </c>
      <c r="AV87" s="469" t="s">
        <v>552</v>
      </c>
      <c r="AW87" s="718">
        <v>0</v>
      </c>
      <c r="AX87" s="718">
        <f t="shared" si="48"/>
        <v>0.5</v>
      </c>
      <c r="AY87" s="749">
        <v>0.8</v>
      </c>
      <c r="AZ87" s="469" t="s">
        <v>653</v>
      </c>
      <c r="BA87" s="469" t="s">
        <v>654</v>
      </c>
      <c r="BB87" s="718">
        <v>0.2</v>
      </c>
      <c r="BC87" s="469" t="s">
        <v>514</v>
      </c>
      <c r="BD87" s="469" t="s">
        <v>552</v>
      </c>
      <c r="BE87" s="718">
        <v>0</v>
      </c>
      <c r="BF87" s="748">
        <f t="shared" si="49"/>
        <v>1</v>
      </c>
      <c r="BG87" s="718"/>
      <c r="BH87" s="718">
        <v>0.4</v>
      </c>
      <c r="BI87" s="469" t="s">
        <v>653</v>
      </c>
      <c r="BJ87" s="469" t="s">
        <v>654</v>
      </c>
      <c r="BK87" s="718">
        <v>0.1</v>
      </c>
      <c r="BL87" s="469" t="s">
        <v>514</v>
      </c>
      <c r="BM87" s="469" t="s">
        <v>552</v>
      </c>
      <c r="BN87" s="718">
        <v>0</v>
      </c>
      <c r="BO87" s="748">
        <f t="shared" si="50"/>
        <v>0.5</v>
      </c>
      <c r="BP87" s="718">
        <v>0.4</v>
      </c>
      <c r="BQ87" s="469" t="s">
        <v>653</v>
      </c>
      <c r="BR87" s="469" t="s">
        <v>654</v>
      </c>
      <c r="BS87" s="718">
        <v>0.1</v>
      </c>
      <c r="BT87" s="469" t="s">
        <v>514</v>
      </c>
      <c r="BU87" s="469" t="s">
        <v>552</v>
      </c>
      <c r="BV87" s="718">
        <v>0</v>
      </c>
      <c r="BW87" s="718">
        <f t="shared" si="51"/>
        <v>0.5</v>
      </c>
      <c r="BX87" s="752" t="s">
        <v>874</v>
      </c>
      <c r="BY87" s="752" t="s">
        <v>874</v>
      </c>
      <c r="BZ87" s="752"/>
      <c r="CA87" s="753"/>
      <c r="CB87" s="723">
        <v>0.64100000000000001</v>
      </c>
      <c r="CC87" s="751" t="s">
        <v>950</v>
      </c>
      <c r="CD87" s="469" t="s">
        <v>653</v>
      </c>
      <c r="CE87" s="469" t="s">
        <v>654</v>
      </c>
      <c r="CF87" s="718">
        <v>0.6</v>
      </c>
      <c r="CG87" s="469" t="s">
        <v>514</v>
      </c>
      <c r="CH87" s="469" t="s">
        <v>552</v>
      </c>
      <c r="CI87" s="718">
        <v>0</v>
      </c>
      <c r="CK87" s="457"/>
      <c r="CL87" s="457"/>
    </row>
    <row r="88" spans="1:90" ht="15.75" customHeight="1" x14ac:dyDescent="0.2">
      <c r="A88" s="747" t="s">
        <v>58</v>
      </c>
      <c r="B88" s="469" t="s">
        <v>57</v>
      </c>
      <c r="C88" s="718">
        <v>0.4</v>
      </c>
      <c r="D88" s="469" t="s">
        <v>575</v>
      </c>
      <c r="E88" s="469" t="s">
        <v>576</v>
      </c>
      <c r="F88" s="718">
        <v>0.09</v>
      </c>
      <c r="G88" s="469" t="s">
        <v>573</v>
      </c>
      <c r="H88" s="469" t="s">
        <v>574</v>
      </c>
      <c r="I88" s="718">
        <v>0.01</v>
      </c>
      <c r="J88" s="748">
        <f t="shared" si="45"/>
        <v>0.5</v>
      </c>
      <c r="K88" s="718">
        <v>0.4</v>
      </c>
      <c r="L88" s="316" t="s">
        <v>575</v>
      </c>
      <c r="M88" s="316" t="s">
        <v>576</v>
      </c>
      <c r="N88" s="718">
        <v>0.09</v>
      </c>
      <c r="O88" s="316" t="s">
        <v>573</v>
      </c>
      <c r="P88" s="316" t="s">
        <v>574</v>
      </c>
      <c r="Q88" s="718">
        <v>0.01</v>
      </c>
      <c r="R88" s="728">
        <f t="shared" si="25"/>
        <v>0.5</v>
      </c>
      <c r="S88" s="718">
        <v>0.4</v>
      </c>
      <c r="T88" s="316" t="s">
        <v>575</v>
      </c>
      <c r="U88" s="316" t="s">
        <v>576</v>
      </c>
      <c r="V88" s="718">
        <v>0.09</v>
      </c>
      <c r="W88" s="316" t="s">
        <v>573</v>
      </c>
      <c r="X88" s="316" t="s">
        <v>574</v>
      </c>
      <c r="Y88" s="718">
        <v>0.01</v>
      </c>
      <c r="Z88" s="728">
        <f t="shared" si="26"/>
        <v>0.5</v>
      </c>
      <c r="AA88" s="718">
        <v>0.4</v>
      </c>
      <c r="AB88" s="316" t="s">
        <v>575</v>
      </c>
      <c r="AC88" s="316" t="s">
        <v>576</v>
      </c>
      <c r="AD88" s="718">
        <v>0.09</v>
      </c>
      <c r="AE88" s="316" t="s">
        <v>573</v>
      </c>
      <c r="AF88" s="316" t="s">
        <v>574</v>
      </c>
      <c r="AG88" s="718">
        <v>0.01</v>
      </c>
      <c r="AH88" s="728">
        <f t="shared" si="46"/>
        <v>0.5</v>
      </c>
      <c r="AI88" s="718">
        <v>0.4</v>
      </c>
      <c r="AJ88" s="316" t="s">
        <v>575</v>
      </c>
      <c r="AK88" s="316" t="s">
        <v>576</v>
      </c>
      <c r="AL88" s="718">
        <v>0.09</v>
      </c>
      <c r="AM88" s="316" t="s">
        <v>573</v>
      </c>
      <c r="AN88" s="316" t="s">
        <v>574</v>
      </c>
      <c r="AO88" s="718">
        <v>0.01</v>
      </c>
      <c r="AP88" s="728">
        <f t="shared" si="47"/>
        <v>0.5</v>
      </c>
      <c r="AQ88" s="718">
        <v>0.44</v>
      </c>
      <c r="AR88" s="316" t="s">
        <v>575</v>
      </c>
      <c r="AS88" s="316" t="s">
        <v>576</v>
      </c>
      <c r="AT88" s="718">
        <v>0.26</v>
      </c>
      <c r="AU88" s="316" t="s">
        <v>573</v>
      </c>
      <c r="AV88" s="316" t="s">
        <v>574</v>
      </c>
      <c r="AW88" s="718">
        <v>0.05</v>
      </c>
      <c r="AX88" s="463">
        <f t="shared" si="48"/>
        <v>0.75</v>
      </c>
      <c r="AY88" s="661">
        <v>0.4</v>
      </c>
      <c r="AZ88" s="316" t="s">
        <v>575</v>
      </c>
      <c r="BA88" s="316" t="s">
        <v>576</v>
      </c>
      <c r="BB88" s="463">
        <v>0.09</v>
      </c>
      <c r="BC88" s="316" t="s">
        <v>573</v>
      </c>
      <c r="BD88" s="316" t="s">
        <v>574</v>
      </c>
      <c r="BE88" s="463">
        <v>0.01</v>
      </c>
      <c r="BF88" s="728">
        <f t="shared" si="49"/>
        <v>0.5</v>
      </c>
      <c r="BG88" s="463"/>
      <c r="BH88" s="463">
        <v>0.4</v>
      </c>
      <c r="BI88" s="316" t="s">
        <v>575</v>
      </c>
      <c r="BJ88" s="316" t="s">
        <v>576</v>
      </c>
      <c r="BK88" s="463">
        <v>0.09</v>
      </c>
      <c r="BL88" s="316" t="s">
        <v>573</v>
      </c>
      <c r="BM88" s="316" t="s">
        <v>574</v>
      </c>
      <c r="BN88" s="463">
        <v>0.01</v>
      </c>
      <c r="BO88" s="728">
        <f t="shared" si="50"/>
        <v>0.5</v>
      </c>
      <c r="BP88" s="463">
        <v>0.4</v>
      </c>
      <c r="BQ88" s="316" t="s">
        <v>575</v>
      </c>
      <c r="BR88" s="316" t="s">
        <v>576</v>
      </c>
      <c r="BS88" s="463">
        <v>0.09</v>
      </c>
      <c r="BT88" s="316" t="s">
        <v>573</v>
      </c>
      <c r="BU88" s="316" t="s">
        <v>574</v>
      </c>
      <c r="BV88" s="463">
        <v>0.01</v>
      </c>
      <c r="BW88" s="463">
        <f t="shared" si="51"/>
        <v>0.5</v>
      </c>
      <c r="BX88" s="444"/>
      <c r="BY88" s="444"/>
      <c r="BZ88" s="444"/>
      <c r="CA88" s="434"/>
      <c r="CB88" s="723">
        <v>0.69899999999999995</v>
      </c>
      <c r="CC88" s="668" t="s">
        <v>950</v>
      </c>
      <c r="CD88" s="316" t="s">
        <v>575</v>
      </c>
      <c r="CE88" s="316" t="s">
        <v>576</v>
      </c>
      <c r="CF88" s="718">
        <v>0.59</v>
      </c>
      <c r="CG88" s="316" t="s">
        <v>573</v>
      </c>
      <c r="CH88" s="316" t="s">
        <v>574</v>
      </c>
      <c r="CI88" s="718">
        <v>0.01</v>
      </c>
    </row>
    <row r="89" spans="1:90" ht="15.75" customHeight="1" x14ac:dyDescent="0.2">
      <c r="A89" s="747" t="s">
        <v>60</v>
      </c>
      <c r="B89" s="469" t="s">
        <v>59</v>
      </c>
      <c r="C89" s="718">
        <v>0.4</v>
      </c>
      <c r="D89" s="469" t="s">
        <v>589</v>
      </c>
      <c r="E89" s="469" t="s">
        <v>590</v>
      </c>
      <c r="F89" s="718">
        <v>0.09</v>
      </c>
      <c r="G89" s="469" t="s">
        <v>2290</v>
      </c>
      <c r="H89" s="469" t="s">
        <v>2291</v>
      </c>
      <c r="I89" s="718">
        <v>0.01</v>
      </c>
      <c r="J89" s="748">
        <f t="shared" si="45"/>
        <v>0.5</v>
      </c>
      <c r="K89" s="718">
        <v>0.4</v>
      </c>
      <c r="L89" s="316" t="s">
        <v>589</v>
      </c>
      <c r="M89" s="316" t="s">
        <v>590</v>
      </c>
      <c r="N89" s="718">
        <v>0.09</v>
      </c>
      <c r="O89" s="316" t="s">
        <v>2290</v>
      </c>
      <c r="P89" s="316" t="s">
        <v>2291</v>
      </c>
      <c r="Q89" s="718">
        <v>0.01</v>
      </c>
      <c r="R89" s="728">
        <f t="shared" si="25"/>
        <v>0.5</v>
      </c>
      <c r="S89" s="718">
        <v>0.4</v>
      </c>
      <c r="T89" s="316" t="s">
        <v>589</v>
      </c>
      <c r="U89" s="316" t="s">
        <v>590</v>
      </c>
      <c r="V89" s="718">
        <v>0.09</v>
      </c>
      <c r="W89" s="316" t="s">
        <v>2290</v>
      </c>
      <c r="X89" s="316" t="s">
        <v>2291</v>
      </c>
      <c r="Y89" s="718">
        <v>0.01</v>
      </c>
      <c r="Z89" s="728">
        <f t="shared" si="26"/>
        <v>0.5</v>
      </c>
      <c r="AA89" s="718">
        <v>0.4</v>
      </c>
      <c r="AB89" s="316" t="s">
        <v>589</v>
      </c>
      <c r="AC89" s="316" t="s">
        <v>590</v>
      </c>
      <c r="AD89" s="718">
        <v>0.09</v>
      </c>
      <c r="AE89" s="316" t="s">
        <v>2290</v>
      </c>
      <c r="AF89" s="316" t="s">
        <v>2291</v>
      </c>
      <c r="AG89" s="718">
        <v>0.01</v>
      </c>
      <c r="AH89" s="728">
        <f t="shared" si="46"/>
        <v>0.5</v>
      </c>
      <c r="AI89" s="718">
        <v>0.4</v>
      </c>
      <c r="AJ89" s="316" t="s">
        <v>589</v>
      </c>
      <c r="AK89" s="316" t="s">
        <v>590</v>
      </c>
      <c r="AL89" s="718">
        <v>0.09</v>
      </c>
      <c r="AM89" s="316" t="s">
        <v>586</v>
      </c>
      <c r="AN89" s="316" t="s">
        <v>587</v>
      </c>
      <c r="AO89" s="718">
        <v>0.01</v>
      </c>
      <c r="AP89" s="728">
        <f t="shared" si="47"/>
        <v>0.5</v>
      </c>
      <c r="AQ89" s="718">
        <v>0.4</v>
      </c>
      <c r="AR89" s="316" t="s">
        <v>589</v>
      </c>
      <c r="AS89" s="316" t="s">
        <v>590</v>
      </c>
      <c r="AT89" s="718">
        <v>0.09</v>
      </c>
      <c r="AU89" s="316" t="s">
        <v>586</v>
      </c>
      <c r="AV89" s="316" t="s">
        <v>587</v>
      </c>
      <c r="AW89" s="718">
        <v>0.01</v>
      </c>
      <c r="AX89" s="463">
        <f t="shared" si="48"/>
        <v>0.5</v>
      </c>
      <c r="AY89" s="661">
        <v>0.4</v>
      </c>
      <c r="AZ89" s="316" t="s">
        <v>589</v>
      </c>
      <c r="BA89" s="316" t="s">
        <v>590</v>
      </c>
      <c r="BB89" s="463">
        <v>0.09</v>
      </c>
      <c r="BC89" s="316" t="s">
        <v>586</v>
      </c>
      <c r="BD89" s="316" t="s">
        <v>587</v>
      </c>
      <c r="BE89" s="463">
        <v>0.01</v>
      </c>
      <c r="BF89" s="728">
        <f t="shared" si="49"/>
        <v>0.5</v>
      </c>
      <c r="BG89" s="463"/>
      <c r="BH89" s="463">
        <v>0.4</v>
      </c>
      <c r="BI89" s="316" t="s">
        <v>589</v>
      </c>
      <c r="BJ89" s="316" t="s">
        <v>590</v>
      </c>
      <c r="BK89" s="463">
        <v>0.09</v>
      </c>
      <c r="BL89" s="316" t="s">
        <v>586</v>
      </c>
      <c r="BM89" s="316" t="s">
        <v>587</v>
      </c>
      <c r="BN89" s="463">
        <v>0.01</v>
      </c>
      <c r="BO89" s="728">
        <f t="shared" si="50"/>
        <v>0.5</v>
      </c>
      <c r="BP89" s="463">
        <v>0.4</v>
      </c>
      <c r="BQ89" s="316" t="s">
        <v>589</v>
      </c>
      <c r="BR89" s="316" t="s">
        <v>590</v>
      </c>
      <c r="BS89" s="463">
        <v>0.09</v>
      </c>
      <c r="BT89" s="316" t="s">
        <v>586</v>
      </c>
      <c r="BU89" s="316" t="s">
        <v>587</v>
      </c>
      <c r="BV89" s="463">
        <v>0.01</v>
      </c>
      <c r="BW89" s="463">
        <f t="shared" si="51"/>
        <v>0.5</v>
      </c>
      <c r="BX89" s="444" t="s">
        <v>874</v>
      </c>
      <c r="BY89" s="444"/>
      <c r="BZ89" s="444"/>
      <c r="CA89" s="434"/>
      <c r="CB89" s="723">
        <v>0.72099999999999997</v>
      </c>
      <c r="CC89" s="668" t="s">
        <v>950</v>
      </c>
      <c r="CD89" s="316" t="s">
        <v>589</v>
      </c>
      <c r="CE89" s="316" t="s">
        <v>590</v>
      </c>
      <c r="CF89" s="718">
        <v>0.59</v>
      </c>
      <c r="CG89" s="316" t="s">
        <v>586</v>
      </c>
      <c r="CH89" s="316" t="s">
        <v>587</v>
      </c>
      <c r="CI89" s="718">
        <v>0.01</v>
      </c>
    </row>
    <row r="90" spans="1:90" ht="15.75" customHeight="1" x14ac:dyDescent="0.2">
      <c r="A90" s="747" t="s">
        <v>62</v>
      </c>
      <c r="B90" s="469" t="s">
        <v>61</v>
      </c>
      <c r="C90" s="718">
        <v>0.4</v>
      </c>
      <c r="D90" s="469" t="s">
        <v>655</v>
      </c>
      <c r="E90" s="469" t="s">
        <v>656</v>
      </c>
      <c r="F90" s="718">
        <v>0.1</v>
      </c>
      <c r="G90" s="469" t="s">
        <v>514</v>
      </c>
      <c r="H90" s="469" t="s">
        <v>552</v>
      </c>
      <c r="I90" s="718">
        <v>0</v>
      </c>
      <c r="J90" s="748">
        <f t="shared" si="45"/>
        <v>0.5</v>
      </c>
      <c r="K90" s="718">
        <v>0.4</v>
      </c>
      <c r="L90" s="316" t="s">
        <v>655</v>
      </c>
      <c r="M90" s="316" t="s">
        <v>656</v>
      </c>
      <c r="N90" s="718">
        <v>0.1</v>
      </c>
      <c r="O90" s="316" t="s">
        <v>514</v>
      </c>
      <c r="P90" s="316" t="s">
        <v>552</v>
      </c>
      <c r="Q90" s="718">
        <v>0</v>
      </c>
      <c r="R90" s="728">
        <f t="shared" si="25"/>
        <v>0.5</v>
      </c>
      <c r="S90" s="718">
        <v>0.4</v>
      </c>
      <c r="T90" s="316" t="s">
        <v>655</v>
      </c>
      <c r="U90" s="316" t="s">
        <v>656</v>
      </c>
      <c r="V90" s="718">
        <v>0.1</v>
      </c>
      <c r="W90" s="316" t="s">
        <v>514</v>
      </c>
      <c r="X90" s="316" t="s">
        <v>552</v>
      </c>
      <c r="Y90" s="718">
        <v>0</v>
      </c>
      <c r="Z90" s="728">
        <f t="shared" si="26"/>
        <v>0.5</v>
      </c>
      <c r="AA90" s="718">
        <v>0.4</v>
      </c>
      <c r="AB90" s="316" t="s">
        <v>655</v>
      </c>
      <c r="AC90" s="316" t="s">
        <v>656</v>
      </c>
      <c r="AD90" s="718">
        <v>0.1</v>
      </c>
      <c r="AE90" s="316" t="s">
        <v>514</v>
      </c>
      <c r="AF90" s="316" t="s">
        <v>552</v>
      </c>
      <c r="AG90" s="718">
        <v>0</v>
      </c>
      <c r="AH90" s="728">
        <f t="shared" si="46"/>
        <v>0.5</v>
      </c>
      <c r="AI90" s="718">
        <v>0.4</v>
      </c>
      <c r="AJ90" s="316" t="s">
        <v>655</v>
      </c>
      <c r="AK90" s="316" t="s">
        <v>656</v>
      </c>
      <c r="AL90" s="718">
        <v>0.1</v>
      </c>
      <c r="AM90" s="316" t="s">
        <v>514</v>
      </c>
      <c r="AN90" s="316" t="s">
        <v>552</v>
      </c>
      <c r="AO90" s="718">
        <v>0</v>
      </c>
      <c r="AP90" s="728">
        <f t="shared" si="47"/>
        <v>0.5</v>
      </c>
      <c r="AQ90" s="718">
        <v>0.4</v>
      </c>
      <c r="AR90" s="316" t="s">
        <v>655</v>
      </c>
      <c r="AS90" s="316" t="s">
        <v>656</v>
      </c>
      <c r="AT90" s="718">
        <v>0.1</v>
      </c>
      <c r="AU90" s="316" t="s">
        <v>514</v>
      </c>
      <c r="AV90" s="316" t="s">
        <v>552</v>
      </c>
      <c r="AW90" s="718">
        <v>0</v>
      </c>
      <c r="AX90" s="463">
        <f t="shared" si="48"/>
        <v>0.5</v>
      </c>
      <c r="AY90" s="661">
        <v>0.3</v>
      </c>
      <c r="AZ90" s="316" t="s">
        <v>655</v>
      </c>
      <c r="BA90" s="316" t="s">
        <v>656</v>
      </c>
      <c r="BB90" s="463">
        <v>0.7</v>
      </c>
      <c r="BC90" s="316" t="s">
        <v>514</v>
      </c>
      <c r="BD90" s="316" t="s">
        <v>552</v>
      </c>
      <c r="BE90" s="463">
        <v>0</v>
      </c>
      <c r="BF90" s="728">
        <f t="shared" si="49"/>
        <v>1</v>
      </c>
      <c r="BG90" s="463"/>
      <c r="BH90" s="463">
        <v>0.4</v>
      </c>
      <c r="BI90" s="316" t="s">
        <v>655</v>
      </c>
      <c r="BJ90" s="316" t="s">
        <v>656</v>
      </c>
      <c r="BK90" s="463">
        <v>0.1</v>
      </c>
      <c r="BL90" s="316" t="s">
        <v>514</v>
      </c>
      <c r="BM90" s="316" t="s">
        <v>552</v>
      </c>
      <c r="BN90" s="463">
        <v>0</v>
      </c>
      <c r="BO90" s="728">
        <f t="shared" si="50"/>
        <v>0.5</v>
      </c>
      <c r="BP90" s="463">
        <v>0.4</v>
      </c>
      <c r="BQ90" s="316" t="s">
        <v>655</v>
      </c>
      <c r="BR90" s="316" t="s">
        <v>656</v>
      </c>
      <c r="BS90" s="463">
        <v>0.1</v>
      </c>
      <c r="BT90" s="316" t="s">
        <v>514</v>
      </c>
      <c r="BU90" s="316" t="s">
        <v>552</v>
      </c>
      <c r="BV90" s="463">
        <v>0</v>
      </c>
      <c r="BW90" s="463">
        <f t="shared" si="51"/>
        <v>0.5</v>
      </c>
      <c r="CA90" s="434"/>
      <c r="CB90" s="723">
        <v>0.751</v>
      </c>
      <c r="CC90" s="668" t="s">
        <v>950</v>
      </c>
      <c r="CD90" s="316" t="s">
        <v>655</v>
      </c>
      <c r="CE90" s="316" t="s">
        <v>656</v>
      </c>
      <c r="CF90" s="718">
        <v>0.6</v>
      </c>
      <c r="CG90" s="316" t="s">
        <v>514</v>
      </c>
      <c r="CH90" s="316" t="s">
        <v>552</v>
      </c>
      <c r="CI90" s="718">
        <v>0</v>
      </c>
    </row>
    <row r="91" spans="1:90" ht="15.75" customHeight="1" x14ac:dyDescent="0.2">
      <c r="A91" s="747" t="s">
        <v>64</v>
      </c>
      <c r="B91" s="469" t="s">
        <v>63</v>
      </c>
      <c r="C91" s="718">
        <v>0.3</v>
      </c>
      <c r="D91" s="469" t="s">
        <v>680</v>
      </c>
      <c r="E91" s="469" t="s">
        <v>681</v>
      </c>
      <c r="F91" s="718">
        <v>0.37</v>
      </c>
      <c r="G91" s="469" t="s">
        <v>514</v>
      </c>
      <c r="H91" s="469" t="s">
        <v>514</v>
      </c>
      <c r="I91" s="718">
        <v>0</v>
      </c>
      <c r="J91" s="748">
        <f t="shared" si="45"/>
        <v>0.66999999999999993</v>
      </c>
      <c r="K91" s="718">
        <v>0.3</v>
      </c>
      <c r="L91" s="316" t="s">
        <v>680</v>
      </c>
      <c r="M91" s="316" t="s">
        <v>681</v>
      </c>
      <c r="N91" s="718">
        <v>0.37</v>
      </c>
      <c r="O91" s="316" t="s">
        <v>514</v>
      </c>
      <c r="P91" s="316" t="s">
        <v>514</v>
      </c>
      <c r="Q91" s="718">
        <v>0</v>
      </c>
      <c r="R91" s="728">
        <f t="shared" si="25"/>
        <v>0.66999999999999993</v>
      </c>
      <c r="S91" s="718">
        <v>0.3</v>
      </c>
      <c r="T91" s="316" t="s">
        <v>680</v>
      </c>
      <c r="U91" s="316" t="s">
        <v>681</v>
      </c>
      <c r="V91" s="718">
        <v>0.37</v>
      </c>
      <c r="W91" s="316" t="s">
        <v>514</v>
      </c>
      <c r="X91" s="316" t="s">
        <v>514</v>
      </c>
      <c r="Y91" s="718">
        <v>0</v>
      </c>
      <c r="Z91" s="728">
        <f t="shared" si="26"/>
        <v>0.66999999999999993</v>
      </c>
      <c r="AA91" s="718">
        <v>0.3</v>
      </c>
      <c r="AB91" s="316" t="s">
        <v>680</v>
      </c>
      <c r="AC91" s="316" t="s">
        <v>681</v>
      </c>
      <c r="AD91" s="718">
        <v>0.37</v>
      </c>
      <c r="AE91" s="316" t="s">
        <v>514</v>
      </c>
      <c r="AF91" s="316" t="s">
        <v>514</v>
      </c>
      <c r="AG91" s="718">
        <v>0</v>
      </c>
      <c r="AH91" s="728">
        <f t="shared" ref="AH91:AH96" si="52">+AA91+AD91+AG91</f>
        <v>0.66999999999999993</v>
      </c>
      <c r="AI91" s="718">
        <v>0.3</v>
      </c>
      <c r="AJ91" s="316" t="s">
        <v>680</v>
      </c>
      <c r="AK91" s="316" t="s">
        <v>681</v>
      </c>
      <c r="AL91" s="718">
        <v>0.37</v>
      </c>
      <c r="AM91" s="316" t="s">
        <v>514</v>
      </c>
      <c r="AN91" s="316" t="s">
        <v>514</v>
      </c>
      <c r="AO91" s="718">
        <v>0</v>
      </c>
      <c r="AP91" s="728">
        <f t="shared" si="47"/>
        <v>0.66999999999999993</v>
      </c>
      <c r="AQ91" s="718">
        <v>0.48</v>
      </c>
      <c r="AR91" s="316" t="s">
        <v>680</v>
      </c>
      <c r="AS91" s="316" t="s">
        <v>681</v>
      </c>
      <c r="AT91" s="718">
        <v>0.27</v>
      </c>
      <c r="AU91" s="316" t="s">
        <v>514</v>
      </c>
      <c r="AV91" s="316" t="s">
        <v>514</v>
      </c>
      <c r="AW91" s="718">
        <v>0</v>
      </c>
      <c r="AX91" s="463">
        <f t="shared" si="48"/>
        <v>0.75</v>
      </c>
      <c r="AY91" s="661">
        <v>0.64</v>
      </c>
      <c r="AZ91" s="316" t="s">
        <v>680</v>
      </c>
      <c r="BA91" s="316" t="s">
        <v>681</v>
      </c>
      <c r="BB91" s="463">
        <v>0.36</v>
      </c>
      <c r="BC91" s="316" t="s">
        <v>514</v>
      </c>
      <c r="BD91" s="316" t="s">
        <v>514</v>
      </c>
      <c r="BE91" s="463">
        <v>0</v>
      </c>
      <c r="BF91" s="728">
        <f t="shared" si="49"/>
        <v>1</v>
      </c>
      <c r="BG91" s="463"/>
      <c r="BH91" s="463">
        <v>0.3</v>
      </c>
      <c r="BI91" s="316" t="s">
        <v>680</v>
      </c>
      <c r="BJ91" s="316" t="s">
        <v>681</v>
      </c>
      <c r="BK91" s="463">
        <v>0.37</v>
      </c>
      <c r="BL91" s="316" t="s">
        <v>514</v>
      </c>
      <c r="BM91" s="316" t="s">
        <v>514</v>
      </c>
      <c r="BN91" s="463">
        <v>0</v>
      </c>
      <c r="BO91" s="728">
        <f t="shared" si="50"/>
        <v>0.66999999999999993</v>
      </c>
      <c r="BP91" s="463">
        <v>0.3</v>
      </c>
      <c r="BQ91" s="316" t="s">
        <v>680</v>
      </c>
      <c r="BR91" s="316" t="s">
        <v>681</v>
      </c>
      <c r="BS91" s="463">
        <v>0.2</v>
      </c>
      <c r="BT91" s="316" t="s">
        <v>514</v>
      </c>
      <c r="BU91" s="316" t="s">
        <v>514</v>
      </c>
      <c r="BV91" s="463">
        <v>0</v>
      </c>
      <c r="BW91" s="463">
        <f t="shared" si="51"/>
        <v>0.5</v>
      </c>
      <c r="BX91" s="444"/>
      <c r="BY91" s="444"/>
      <c r="BZ91" s="444"/>
      <c r="CA91" s="436" t="s">
        <v>874</v>
      </c>
      <c r="CB91" s="723">
        <v>0.754</v>
      </c>
      <c r="CC91" s="668" t="s">
        <v>950</v>
      </c>
      <c r="CD91" s="316" t="s">
        <v>680</v>
      </c>
      <c r="CE91" s="316" t="s">
        <v>681</v>
      </c>
      <c r="CF91" s="718">
        <v>0.2</v>
      </c>
      <c r="CG91" s="316" t="s">
        <v>514</v>
      </c>
      <c r="CH91" s="316" t="s">
        <v>514</v>
      </c>
      <c r="CI91" s="718">
        <v>0</v>
      </c>
    </row>
    <row r="92" spans="1:90" ht="15.75" customHeight="1" x14ac:dyDescent="0.2">
      <c r="A92" s="747" t="s">
        <v>66</v>
      </c>
      <c r="B92" s="469" t="s">
        <v>65</v>
      </c>
      <c r="C92" s="718">
        <v>0.4</v>
      </c>
      <c r="D92" s="469" t="s">
        <v>581</v>
      </c>
      <c r="E92" s="469" t="s">
        <v>582</v>
      </c>
      <c r="F92" s="718">
        <v>0.09</v>
      </c>
      <c r="G92" s="469" t="s">
        <v>578</v>
      </c>
      <c r="H92" s="469" t="s">
        <v>1244</v>
      </c>
      <c r="I92" s="718">
        <v>0.01</v>
      </c>
      <c r="J92" s="748">
        <f t="shared" si="45"/>
        <v>0.5</v>
      </c>
      <c r="K92" s="718">
        <v>0.4</v>
      </c>
      <c r="L92" s="316" t="s">
        <v>581</v>
      </c>
      <c r="M92" s="316" t="s">
        <v>582</v>
      </c>
      <c r="N92" s="718">
        <v>0.09</v>
      </c>
      <c r="O92" s="316" t="s">
        <v>578</v>
      </c>
      <c r="P92" s="316" t="s">
        <v>1244</v>
      </c>
      <c r="Q92" s="718">
        <v>0.01</v>
      </c>
      <c r="R92" s="728">
        <f t="shared" si="25"/>
        <v>0.5</v>
      </c>
      <c r="S92" s="718">
        <v>0.4</v>
      </c>
      <c r="T92" s="316" t="s">
        <v>581</v>
      </c>
      <c r="U92" s="316" t="s">
        <v>582</v>
      </c>
      <c r="V92" s="718">
        <v>0.09</v>
      </c>
      <c r="W92" s="316" t="s">
        <v>578</v>
      </c>
      <c r="X92" s="316" t="s">
        <v>1244</v>
      </c>
      <c r="Y92" s="718">
        <v>0.01</v>
      </c>
      <c r="Z92" s="728">
        <f t="shared" si="26"/>
        <v>0.5</v>
      </c>
      <c r="AA92" s="718">
        <v>0.4</v>
      </c>
      <c r="AB92" s="316" t="s">
        <v>581</v>
      </c>
      <c r="AC92" s="316" t="s">
        <v>582</v>
      </c>
      <c r="AD92" s="718">
        <v>0.09</v>
      </c>
      <c r="AE92" s="316" t="s">
        <v>578</v>
      </c>
      <c r="AF92" s="316" t="s">
        <v>1244</v>
      </c>
      <c r="AG92" s="718">
        <v>0.01</v>
      </c>
      <c r="AH92" s="728">
        <f t="shared" si="52"/>
        <v>0.5</v>
      </c>
      <c r="AI92" s="718">
        <v>0.4</v>
      </c>
      <c r="AJ92" s="316" t="s">
        <v>581</v>
      </c>
      <c r="AK92" s="316" t="s">
        <v>582</v>
      </c>
      <c r="AL92" s="718">
        <v>0.09</v>
      </c>
      <c r="AM92" s="316" t="s">
        <v>578</v>
      </c>
      <c r="AN92" s="316" t="s">
        <v>1244</v>
      </c>
      <c r="AO92" s="718">
        <v>0.01</v>
      </c>
      <c r="AP92" s="728">
        <f t="shared" ref="AP92:AP97" si="53">+AI92+AL92+AO92</f>
        <v>0.5</v>
      </c>
      <c r="AQ92" s="718">
        <v>0.4</v>
      </c>
      <c r="AR92" s="316" t="s">
        <v>581</v>
      </c>
      <c r="AS92" s="316" t="s">
        <v>582</v>
      </c>
      <c r="AT92" s="718">
        <v>0.09</v>
      </c>
      <c r="AU92" s="316" t="s">
        <v>578</v>
      </c>
      <c r="AV92" s="316" t="s">
        <v>1244</v>
      </c>
      <c r="AW92" s="718">
        <v>0.01</v>
      </c>
      <c r="AX92" s="463">
        <f t="shared" ref="AX92:AX97" si="54">+AQ92+AT92+AW92</f>
        <v>0.5</v>
      </c>
      <c r="AY92" s="661">
        <v>0.4</v>
      </c>
      <c r="AZ92" s="316" t="s">
        <v>581</v>
      </c>
      <c r="BA92" s="316" t="s">
        <v>582</v>
      </c>
      <c r="BB92" s="463">
        <v>0.09</v>
      </c>
      <c r="BC92" s="316" t="s">
        <v>578</v>
      </c>
      <c r="BD92" s="316" t="s">
        <v>579</v>
      </c>
      <c r="BE92" s="463">
        <v>0.01</v>
      </c>
      <c r="BF92" s="728">
        <f t="shared" ref="BF92:BF97" si="55">+AY92+BB92+BE92</f>
        <v>0.5</v>
      </c>
      <c r="BG92" s="463"/>
      <c r="BH92" s="463">
        <v>0.4</v>
      </c>
      <c r="BI92" s="316" t="s">
        <v>581</v>
      </c>
      <c r="BJ92" s="316" t="s">
        <v>582</v>
      </c>
      <c r="BK92" s="463">
        <v>0.09</v>
      </c>
      <c r="BL92" s="316" t="s">
        <v>578</v>
      </c>
      <c r="BM92" s="316" t="s">
        <v>579</v>
      </c>
      <c r="BN92" s="463">
        <v>0.01</v>
      </c>
      <c r="BO92" s="728">
        <f t="shared" ref="BO92:BO97" si="56">+BH92+BK92+BN92</f>
        <v>0.5</v>
      </c>
      <c r="BP92" s="463">
        <v>0.4</v>
      </c>
      <c r="BQ92" s="316" t="s">
        <v>581</v>
      </c>
      <c r="BR92" s="316" t="s">
        <v>582</v>
      </c>
      <c r="BS92" s="463">
        <v>0.09</v>
      </c>
      <c r="BT92" s="316" t="s">
        <v>578</v>
      </c>
      <c r="BU92" s="316" t="s">
        <v>579</v>
      </c>
      <c r="BV92" s="463">
        <v>0.01</v>
      </c>
      <c r="BW92" s="463">
        <f t="shared" ref="BW92:BW97" si="57">+BP92+BS92+BV92</f>
        <v>0.5</v>
      </c>
      <c r="BX92" s="444"/>
      <c r="BY92" s="444"/>
      <c r="BZ92" s="444"/>
      <c r="CA92" s="434"/>
      <c r="CB92" s="723">
        <v>0.72599999999999998</v>
      </c>
      <c r="CC92" s="668" t="s">
        <v>950</v>
      </c>
      <c r="CD92" s="316" t="s">
        <v>581</v>
      </c>
      <c r="CE92" s="316" t="s">
        <v>582</v>
      </c>
      <c r="CF92" s="718">
        <v>0.59</v>
      </c>
      <c r="CG92" s="316" t="s">
        <v>578</v>
      </c>
      <c r="CH92" s="316" t="s">
        <v>579</v>
      </c>
      <c r="CI92" s="718">
        <v>0.01</v>
      </c>
    </row>
    <row r="93" spans="1:90" ht="15.75" customHeight="1" x14ac:dyDescent="0.2">
      <c r="A93" s="747" t="s">
        <v>68</v>
      </c>
      <c r="B93" s="469" t="s">
        <v>67</v>
      </c>
      <c r="C93" s="718">
        <v>0.4</v>
      </c>
      <c r="D93" s="469" t="s">
        <v>655</v>
      </c>
      <c r="E93" s="469" t="s">
        <v>656</v>
      </c>
      <c r="F93" s="718">
        <v>0.1</v>
      </c>
      <c r="G93" s="469" t="s">
        <v>514</v>
      </c>
      <c r="H93" s="469" t="s">
        <v>552</v>
      </c>
      <c r="I93" s="718">
        <v>0</v>
      </c>
      <c r="J93" s="748">
        <f t="shared" si="45"/>
        <v>0.5</v>
      </c>
      <c r="K93" s="718">
        <v>0.4</v>
      </c>
      <c r="L93" s="316" t="s">
        <v>655</v>
      </c>
      <c r="M93" s="316" t="s">
        <v>656</v>
      </c>
      <c r="N93" s="718">
        <v>0.1</v>
      </c>
      <c r="O93" s="316" t="s">
        <v>514</v>
      </c>
      <c r="P93" s="316" t="s">
        <v>552</v>
      </c>
      <c r="Q93" s="718">
        <v>0</v>
      </c>
      <c r="R93" s="728">
        <f t="shared" si="25"/>
        <v>0.5</v>
      </c>
      <c r="S93" s="718">
        <v>0.4</v>
      </c>
      <c r="T93" s="316" t="s">
        <v>655</v>
      </c>
      <c r="U93" s="316" t="s">
        <v>656</v>
      </c>
      <c r="V93" s="718">
        <v>0.1</v>
      </c>
      <c r="W93" s="316" t="s">
        <v>514</v>
      </c>
      <c r="X93" s="316" t="s">
        <v>552</v>
      </c>
      <c r="Y93" s="718">
        <v>0</v>
      </c>
      <c r="Z93" s="728">
        <f t="shared" si="26"/>
        <v>0.5</v>
      </c>
      <c r="AA93" s="718">
        <v>0.4</v>
      </c>
      <c r="AB93" s="316" t="s">
        <v>655</v>
      </c>
      <c r="AC93" s="316" t="s">
        <v>656</v>
      </c>
      <c r="AD93" s="718">
        <v>0.1</v>
      </c>
      <c r="AE93" s="316" t="s">
        <v>514</v>
      </c>
      <c r="AF93" s="316" t="s">
        <v>552</v>
      </c>
      <c r="AG93" s="718">
        <v>0</v>
      </c>
      <c r="AH93" s="728">
        <f t="shared" si="52"/>
        <v>0.5</v>
      </c>
      <c r="AI93" s="718">
        <v>0.4</v>
      </c>
      <c r="AJ93" s="316" t="s">
        <v>655</v>
      </c>
      <c r="AK93" s="316" t="s">
        <v>656</v>
      </c>
      <c r="AL93" s="718">
        <v>0.1</v>
      </c>
      <c r="AM93" s="316" t="s">
        <v>514</v>
      </c>
      <c r="AN93" s="316" t="s">
        <v>552</v>
      </c>
      <c r="AO93" s="718">
        <v>0</v>
      </c>
      <c r="AP93" s="728">
        <f t="shared" si="53"/>
        <v>0.5</v>
      </c>
      <c r="AQ93" s="718">
        <v>0.4</v>
      </c>
      <c r="AR93" s="316" t="s">
        <v>655</v>
      </c>
      <c r="AS93" s="316" t="s">
        <v>656</v>
      </c>
      <c r="AT93" s="718">
        <v>0.1</v>
      </c>
      <c r="AU93" s="316" t="s">
        <v>514</v>
      </c>
      <c r="AV93" s="316" t="s">
        <v>552</v>
      </c>
      <c r="AW93" s="718">
        <v>0</v>
      </c>
      <c r="AX93" s="463">
        <f t="shared" si="54"/>
        <v>0.5</v>
      </c>
      <c r="AY93" s="661">
        <v>0.3</v>
      </c>
      <c r="AZ93" s="316" t="s">
        <v>655</v>
      </c>
      <c r="BA93" s="316" t="s">
        <v>656</v>
      </c>
      <c r="BB93" s="463">
        <v>0.7</v>
      </c>
      <c r="BC93" s="316" t="s">
        <v>514</v>
      </c>
      <c r="BD93" s="316" t="s">
        <v>552</v>
      </c>
      <c r="BE93" s="463">
        <v>0</v>
      </c>
      <c r="BF93" s="728">
        <f t="shared" si="55"/>
        <v>1</v>
      </c>
      <c r="BG93" s="463"/>
      <c r="BH93" s="463">
        <v>0.4</v>
      </c>
      <c r="BI93" s="316" t="s">
        <v>655</v>
      </c>
      <c r="BJ93" s="316" t="s">
        <v>656</v>
      </c>
      <c r="BK93" s="463">
        <v>0.1</v>
      </c>
      <c r="BL93" s="316" t="s">
        <v>514</v>
      </c>
      <c r="BM93" s="316" t="s">
        <v>552</v>
      </c>
      <c r="BN93" s="463">
        <v>0</v>
      </c>
      <c r="BO93" s="728">
        <f t="shared" si="56"/>
        <v>0.5</v>
      </c>
      <c r="BP93" s="463">
        <v>0.4</v>
      </c>
      <c r="BQ93" s="316" t="s">
        <v>655</v>
      </c>
      <c r="BR93" s="316" t="s">
        <v>656</v>
      </c>
      <c r="BS93" s="463">
        <v>0.1</v>
      </c>
      <c r="BT93" s="316" t="s">
        <v>514</v>
      </c>
      <c r="BU93" s="316" t="s">
        <v>552</v>
      </c>
      <c r="BV93" s="463">
        <v>0</v>
      </c>
      <c r="BW93" s="463">
        <f t="shared" si="57"/>
        <v>0.5</v>
      </c>
      <c r="BX93" s="444"/>
      <c r="BY93" s="444"/>
      <c r="BZ93" s="444"/>
      <c r="CA93" s="434"/>
      <c r="CB93" s="723">
        <v>0.746</v>
      </c>
      <c r="CC93" s="668" t="s">
        <v>950</v>
      </c>
      <c r="CD93" s="316" t="s">
        <v>655</v>
      </c>
      <c r="CE93" s="316" t="s">
        <v>656</v>
      </c>
      <c r="CF93" s="718">
        <v>0.6</v>
      </c>
      <c r="CG93" s="316" t="s">
        <v>514</v>
      </c>
      <c r="CH93" s="316" t="s">
        <v>552</v>
      </c>
      <c r="CI93" s="718">
        <v>0</v>
      </c>
    </row>
    <row r="94" spans="1:90" ht="15.75" customHeight="1" x14ac:dyDescent="0.2">
      <c r="A94" s="747" t="s">
        <v>70</v>
      </c>
      <c r="B94" s="469" t="s">
        <v>69</v>
      </c>
      <c r="C94" s="718">
        <v>0.4</v>
      </c>
      <c r="D94" s="469" t="s">
        <v>556</v>
      </c>
      <c r="E94" s="469" t="s">
        <v>557</v>
      </c>
      <c r="F94" s="718">
        <v>0.09</v>
      </c>
      <c r="G94" s="469" t="s">
        <v>554</v>
      </c>
      <c r="H94" s="469" t="s">
        <v>555</v>
      </c>
      <c r="I94" s="718">
        <v>0.01</v>
      </c>
      <c r="J94" s="748">
        <f t="shared" si="45"/>
        <v>0.5</v>
      </c>
      <c r="K94" s="718">
        <v>0.4</v>
      </c>
      <c r="L94" s="316" t="s">
        <v>556</v>
      </c>
      <c r="M94" s="316" t="s">
        <v>557</v>
      </c>
      <c r="N94" s="718">
        <v>0.09</v>
      </c>
      <c r="O94" s="316" t="s">
        <v>554</v>
      </c>
      <c r="P94" s="316" t="s">
        <v>555</v>
      </c>
      <c r="Q94" s="718">
        <v>0.01</v>
      </c>
      <c r="R94" s="728">
        <f t="shared" si="25"/>
        <v>0.5</v>
      </c>
      <c r="S94" s="718">
        <v>0.4</v>
      </c>
      <c r="T94" s="316" t="s">
        <v>556</v>
      </c>
      <c r="U94" s="316" t="s">
        <v>557</v>
      </c>
      <c r="V94" s="718">
        <v>0.09</v>
      </c>
      <c r="W94" s="316" t="s">
        <v>554</v>
      </c>
      <c r="X94" s="316" t="s">
        <v>555</v>
      </c>
      <c r="Y94" s="718">
        <v>0.01</v>
      </c>
      <c r="Z94" s="728">
        <f t="shared" si="26"/>
        <v>0.5</v>
      </c>
      <c r="AA94" s="718">
        <v>0.4</v>
      </c>
      <c r="AB94" s="316" t="s">
        <v>556</v>
      </c>
      <c r="AC94" s="316" t="s">
        <v>557</v>
      </c>
      <c r="AD94" s="718">
        <v>0.09</v>
      </c>
      <c r="AE94" s="316" t="s">
        <v>554</v>
      </c>
      <c r="AF94" s="316" t="s">
        <v>555</v>
      </c>
      <c r="AG94" s="718">
        <v>0.01</v>
      </c>
      <c r="AH94" s="728">
        <f t="shared" si="52"/>
        <v>0.5</v>
      </c>
      <c r="AI94" s="718">
        <v>0.4</v>
      </c>
      <c r="AJ94" s="316" t="s">
        <v>556</v>
      </c>
      <c r="AK94" s="316" t="s">
        <v>557</v>
      </c>
      <c r="AL94" s="718">
        <v>0.09</v>
      </c>
      <c r="AM94" s="316" t="s">
        <v>554</v>
      </c>
      <c r="AN94" s="316" t="s">
        <v>555</v>
      </c>
      <c r="AO94" s="718">
        <v>0.01</v>
      </c>
      <c r="AP94" s="728">
        <f t="shared" si="53"/>
        <v>0.5</v>
      </c>
      <c r="AQ94" s="718">
        <v>0.4</v>
      </c>
      <c r="AR94" s="316" t="s">
        <v>556</v>
      </c>
      <c r="AS94" s="316" t="s">
        <v>557</v>
      </c>
      <c r="AT94" s="718">
        <v>0.09</v>
      </c>
      <c r="AU94" s="316" t="s">
        <v>554</v>
      </c>
      <c r="AV94" s="316" t="s">
        <v>555</v>
      </c>
      <c r="AW94" s="718">
        <v>0.01</v>
      </c>
      <c r="AX94" s="463">
        <f t="shared" si="54"/>
        <v>0.5</v>
      </c>
      <c r="AY94" s="661">
        <v>0.5</v>
      </c>
      <c r="AZ94" s="316" t="s">
        <v>556</v>
      </c>
      <c r="BA94" s="316" t="s">
        <v>557</v>
      </c>
      <c r="BB94" s="463">
        <v>0.49</v>
      </c>
      <c r="BC94" s="316" t="s">
        <v>554</v>
      </c>
      <c r="BD94" s="316" t="s">
        <v>555</v>
      </c>
      <c r="BE94" s="463">
        <v>0.01</v>
      </c>
      <c r="BF94" s="728">
        <f t="shared" si="55"/>
        <v>1</v>
      </c>
      <c r="BG94" s="463"/>
      <c r="BH94" s="463">
        <v>0.4</v>
      </c>
      <c r="BI94" s="316" t="s">
        <v>556</v>
      </c>
      <c r="BJ94" s="316" t="s">
        <v>557</v>
      </c>
      <c r="BK94" s="463">
        <v>0.09</v>
      </c>
      <c r="BL94" s="316" t="s">
        <v>554</v>
      </c>
      <c r="BM94" s="316" t="s">
        <v>555</v>
      </c>
      <c r="BN94" s="463">
        <v>0.01</v>
      </c>
      <c r="BO94" s="728">
        <f t="shared" si="56"/>
        <v>0.5</v>
      </c>
      <c r="BP94" s="463">
        <v>0.4</v>
      </c>
      <c r="BQ94" s="316" t="s">
        <v>556</v>
      </c>
      <c r="BR94" s="316" t="s">
        <v>557</v>
      </c>
      <c r="BS94" s="463">
        <v>0.09</v>
      </c>
      <c r="BT94" s="316" t="s">
        <v>554</v>
      </c>
      <c r="BU94" s="316" t="s">
        <v>555</v>
      </c>
      <c r="BV94" s="463">
        <v>0.01</v>
      </c>
      <c r="BW94" s="463">
        <f t="shared" si="57"/>
        <v>0.5</v>
      </c>
      <c r="BX94" s="444"/>
      <c r="BY94" s="444"/>
      <c r="BZ94" s="444"/>
      <c r="CA94" s="434"/>
      <c r="CB94" s="723">
        <v>0.67700000000000005</v>
      </c>
      <c r="CC94" s="668" t="s">
        <v>950</v>
      </c>
      <c r="CD94" s="316" t="s">
        <v>556</v>
      </c>
      <c r="CE94" s="316" t="s">
        <v>557</v>
      </c>
      <c r="CF94" s="718">
        <v>0.59</v>
      </c>
      <c r="CG94" s="316" t="s">
        <v>554</v>
      </c>
      <c r="CH94" s="316" t="s">
        <v>555</v>
      </c>
      <c r="CI94" s="718">
        <v>0.01</v>
      </c>
    </row>
    <row r="95" spans="1:90" ht="15.75" customHeight="1" x14ac:dyDescent="0.2">
      <c r="A95" s="747" t="s">
        <v>72</v>
      </c>
      <c r="B95" s="469" t="s">
        <v>71</v>
      </c>
      <c r="C95" s="718">
        <v>0.4</v>
      </c>
      <c r="D95" s="469" t="s">
        <v>563</v>
      </c>
      <c r="E95" s="469" t="s">
        <v>564</v>
      </c>
      <c r="F95" s="718">
        <v>0.09</v>
      </c>
      <c r="G95" s="469" t="s">
        <v>560</v>
      </c>
      <c r="H95" s="469" t="s">
        <v>561</v>
      </c>
      <c r="I95" s="718">
        <v>0.01</v>
      </c>
      <c r="J95" s="748">
        <f t="shared" si="45"/>
        <v>0.5</v>
      </c>
      <c r="K95" s="718">
        <v>0.4</v>
      </c>
      <c r="L95" s="316" t="s">
        <v>563</v>
      </c>
      <c r="M95" s="316" t="s">
        <v>564</v>
      </c>
      <c r="N95" s="718">
        <v>0.09</v>
      </c>
      <c r="O95" s="316" t="s">
        <v>560</v>
      </c>
      <c r="P95" s="316" t="s">
        <v>561</v>
      </c>
      <c r="Q95" s="718">
        <v>0.01</v>
      </c>
      <c r="R95" s="728">
        <f t="shared" si="25"/>
        <v>0.5</v>
      </c>
      <c r="S95" s="718">
        <v>0.4</v>
      </c>
      <c r="T95" s="316" t="s">
        <v>563</v>
      </c>
      <c r="U95" s="316" t="s">
        <v>564</v>
      </c>
      <c r="V95" s="718">
        <v>0.09</v>
      </c>
      <c r="W95" s="316" t="s">
        <v>560</v>
      </c>
      <c r="X95" s="316" t="s">
        <v>561</v>
      </c>
      <c r="Y95" s="718">
        <v>0.01</v>
      </c>
      <c r="Z95" s="728">
        <f t="shared" si="26"/>
        <v>0.5</v>
      </c>
      <c r="AA95" s="718">
        <v>0.4</v>
      </c>
      <c r="AB95" s="316" t="s">
        <v>563</v>
      </c>
      <c r="AC95" s="316" t="s">
        <v>564</v>
      </c>
      <c r="AD95" s="718">
        <v>0.09</v>
      </c>
      <c r="AE95" s="316" t="s">
        <v>560</v>
      </c>
      <c r="AF95" s="316" t="s">
        <v>561</v>
      </c>
      <c r="AG95" s="718">
        <v>0.01</v>
      </c>
      <c r="AH95" s="728">
        <f t="shared" si="52"/>
        <v>0.5</v>
      </c>
      <c r="AI95" s="718">
        <v>0.4</v>
      </c>
      <c r="AJ95" s="316" t="s">
        <v>563</v>
      </c>
      <c r="AK95" s="316" t="s">
        <v>564</v>
      </c>
      <c r="AL95" s="718">
        <v>0.09</v>
      </c>
      <c r="AM95" s="316" t="s">
        <v>560</v>
      </c>
      <c r="AN95" s="316" t="s">
        <v>561</v>
      </c>
      <c r="AO95" s="718">
        <v>0.01</v>
      </c>
      <c r="AP95" s="728">
        <f t="shared" si="53"/>
        <v>0.5</v>
      </c>
      <c r="AQ95" s="718">
        <v>0.4</v>
      </c>
      <c r="AR95" s="316" t="s">
        <v>563</v>
      </c>
      <c r="AS95" s="316" t="s">
        <v>564</v>
      </c>
      <c r="AT95" s="718">
        <v>0.09</v>
      </c>
      <c r="AU95" s="316" t="s">
        <v>560</v>
      </c>
      <c r="AV95" s="316" t="s">
        <v>561</v>
      </c>
      <c r="AW95" s="718">
        <v>0.01</v>
      </c>
      <c r="AX95" s="463">
        <f t="shared" si="54"/>
        <v>0.5</v>
      </c>
      <c r="AY95" s="661">
        <v>0.4</v>
      </c>
      <c r="AZ95" s="316" t="s">
        <v>563</v>
      </c>
      <c r="BA95" s="316" t="s">
        <v>564</v>
      </c>
      <c r="BB95" s="463">
        <v>0.59</v>
      </c>
      <c r="BC95" s="316" t="s">
        <v>560</v>
      </c>
      <c r="BD95" s="316" t="s">
        <v>561</v>
      </c>
      <c r="BE95" s="463">
        <v>0.01</v>
      </c>
      <c r="BF95" s="728">
        <f t="shared" si="55"/>
        <v>1</v>
      </c>
      <c r="BG95" s="463"/>
      <c r="BH95" s="463">
        <v>0.4</v>
      </c>
      <c r="BI95" s="316" t="s">
        <v>563</v>
      </c>
      <c r="BJ95" s="316" t="s">
        <v>564</v>
      </c>
      <c r="BK95" s="463">
        <v>0.09</v>
      </c>
      <c r="BL95" s="316" t="s">
        <v>560</v>
      </c>
      <c r="BM95" s="316" t="s">
        <v>561</v>
      </c>
      <c r="BN95" s="463">
        <v>0.01</v>
      </c>
      <c r="BO95" s="728">
        <f t="shared" si="56"/>
        <v>0.5</v>
      </c>
      <c r="BP95" s="463">
        <v>0.4</v>
      </c>
      <c r="BQ95" s="316" t="s">
        <v>563</v>
      </c>
      <c r="BR95" s="316" t="s">
        <v>564</v>
      </c>
      <c r="BS95" s="463">
        <v>0.09</v>
      </c>
      <c r="BT95" s="316" t="s">
        <v>560</v>
      </c>
      <c r="BU95" s="316" t="s">
        <v>561</v>
      </c>
      <c r="BV95" s="463">
        <v>0.01</v>
      </c>
      <c r="BW95" s="463">
        <f t="shared" si="57"/>
        <v>0.5</v>
      </c>
      <c r="BX95" s="444"/>
      <c r="BY95" s="444"/>
      <c r="BZ95" s="444"/>
      <c r="CA95" s="434"/>
      <c r="CB95" s="723">
        <v>0.71299999999999997</v>
      </c>
      <c r="CC95" s="668" t="s">
        <v>950</v>
      </c>
      <c r="CD95" s="316" t="s">
        <v>563</v>
      </c>
      <c r="CE95" s="316" t="s">
        <v>564</v>
      </c>
      <c r="CF95" s="718">
        <v>0.59</v>
      </c>
      <c r="CG95" s="316" t="s">
        <v>560</v>
      </c>
      <c r="CH95" s="316" t="s">
        <v>561</v>
      </c>
      <c r="CI95" s="718">
        <v>0.01</v>
      </c>
    </row>
    <row r="96" spans="1:90" ht="15" x14ac:dyDescent="0.2">
      <c r="A96" s="747" t="s">
        <v>74</v>
      </c>
      <c r="B96" s="469" t="s">
        <v>73</v>
      </c>
      <c r="C96" s="718">
        <v>0.4</v>
      </c>
      <c r="D96" s="469" t="s">
        <v>589</v>
      </c>
      <c r="E96" s="469" t="s">
        <v>590</v>
      </c>
      <c r="F96" s="718">
        <v>0.09</v>
      </c>
      <c r="G96" s="469" t="s">
        <v>2290</v>
      </c>
      <c r="H96" s="469" t="s">
        <v>2291</v>
      </c>
      <c r="I96" s="718">
        <v>0.01</v>
      </c>
      <c r="J96" s="748">
        <f t="shared" si="45"/>
        <v>0.5</v>
      </c>
      <c r="K96" s="718">
        <v>0.4</v>
      </c>
      <c r="L96" s="316" t="s">
        <v>589</v>
      </c>
      <c r="M96" s="316" t="s">
        <v>590</v>
      </c>
      <c r="N96" s="718">
        <v>0.09</v>
      </c>
      <c r="O96" s="316" t="s">
        <v>2290</v>
      </c>
      <c r="P96" s="316" t="s">
        <v>2291</v>
      </c>
      <c r="Q96" s="718">
        <v>0.01</v>
      </c>
      <c r="R96" s="728">
        <f t="shared" si="25"/>
        <v>0.5</v>
      </c>
      <c r="S96" s="718">
        <v>0.4</v>
      </c>
      <c r="T96" s="316" t="s">
        <v>589</v>
      </c>
      <c r="U96" s="316" t="s">
        <v>590</v>
      </c>
      <c r="V96" s="718">
        <v>0.09</v>
      </c>
      <c r="W96" s="316" t="s">
        <v>2290</v>
      </c>
      <c r="X96" s="316" t="s">
        <v>2291</v>
      </c>
      <c r="Y96" s="718">
        <v>0.01</v>
      </c>
      <c r="Z96" s="728">
        <f t="shared" si="26"/>
        <v>0.5</v>
      </c>
      <c r="AA96" s="718">
        <v>0.4</v>
      </c>
      <c r="AB96" s="316" t="s">
        <v>589</v>
      </c>
      <c r="AC96" s="316" t="s">
        <v>590</v>
      </c>
      <c r="AD96" s="718">
        <v>0.09</v>
      </c>
      <c r="AE96" s="316" t="s">
        <v>2290</v>
      </c>
      <c r="AF96" s="316" t="s">
        <v>2291</v>
      </c>
      <c r="AG96" s="718">
        <v>0.01</v>
      </c>
      <c r="AH96" s="728">
        <f t="shared" si="52"/>
        <v>0.5</v>
      </c>
      <c r="AI96" s="718">
        <v>0.4</v>
      </c>
      <c r="AJ96" s="316" t="s">
        <v>589</v>
      </c>
      <c r="AK96" s="316" t="s">
        <v>590</v>
      </c>
      <c r="AL96" s="718">
        <v>0.09</v>
      </c>
      <c r="AM96" s="316" t="s">
        <v>586</v>
      </c>
      <c r="AN96" s="316" t="s">
        <v>587</v>
      </c>
      <c r="AO96" s="718">
        <v>0.01</v>
      </c>
      <c r="AP96" s="728">
        <f t="shared" si="53"/>
        <v>0.5</v>
      </c>
      <c r="AQ96" s="718">
        <v>0.4</v>
      </c>
      <c r="AR96" s="316" t="s">
        <v>589</v>
      </c>
      <c r="AS96" s="316" t="s">
        <v>590</v>
      </c>
      <c r="AT96" s="718">
        <v>0.09</v>
      </c>
      <c r="AU96" s="316" t="s">
        <v>586</v>
      </c>
      <c r="AV96" s="316" t="s">
        <v>587</v>
      </c>
      <c r="AW96" s="718">
        <v>0.01</v>
      </c>
      <c r="AX96" s="463">
        <f t="shared" si="54"/>
        <v>0.5</v>
      </c>
      <c r="AY96" s="661">
        <v>0.4</v>
      </c>
      <c r="AZ96" s="316" t="s">
        <v>589</v>
      </c>
      <c r="BA96" s="316" t="s">
        <v>590</v>
      </c>
      <c r="BB96" s="463">
        <v>0.09</v>
      </c>
      <c r="BC96" s="316" t="s">
        <v>586</v>
      </c>
      <c r="BD96" s="316" t="s">
        <v>587</v>
      </c>
      <c r="BE96" s="463">
        <v>0.01</v>
      </c>
      <c r="BF96" s="728">
        <f t="shared" si="55"/>
        <v>0.5</v>
      </c>
      <c r="BG96" s="463"/>
      <c r="BH96" s="463">
        <v>0.4</v>
      </c>
      <c r="BI96" s="316" t="s">
        <v>589</v>
      </c>
      <c r="BJ96" s="316" t="s">
        <v>590</v>
      </c>
      <c r="BK96" s="463">
        <v>0.09</v>
      </c>
      <c r="BL96" s="316" t="s">
        <v>586</v>
      </c>
      <c r="BM96" s="316" t="s">
        <v>587</v>
      </c>
      <c r="BN96" s="463">
        <v>0.01</v>
      </c>
      <c r="BO96" s="728">
        <f t="shared" si="56"/>
        <v>0.5</v>
      </c>
      <c r="BP96" s="463">
        <v>0.4</v>
      </c>
      <c r="BQ96" s="316" t="s">
        <v>589</v>
      </c>
      <c r="BR96" s="316" t="s">
        <v>590</v>
      </c>
      <c r="BS96" s="463">
        <v>0.09</v>
      </c>
      <c r="BT96" s="316" t="s">
        <v>586</v>
      </c>
      <c r="BU96" s="316" t="s">
        <v>587</v>
      </c>
      <c r="BV96" s="463">
        <v>0.01</v>
      </c>
      <c r="BW96" s="463">
        <f t="shared" si="57"/>
        <v>0.5</v>
      </c>
      <c r="BX96" s="444" t="s">
        <v>874</v>
      </c>
      <c r="BY96" s="444"/>
      <c r="BZ96" s="444"/>
      <c r="CA96" s="434"/>
      <c r="CB96" s="723">
        <v>0.71799999999999997</v>
      </c>
      <c r="CC96" s="668" t="s">
        <v>950</v>
      </c>
      <c r="CD96" s="316" t="s">
        <v>589</v>
      </c>
      <c r="CE96" s="316" t="s">
        <v>590</v>
      </c>
      <c r="CF96" s="718">
        <v>0.59</v>
      </c>
      <c r="CG96" s="316" t="s">
        <v>586</v>
      </c>
      <c r="CH96" s="316" t="s">
        <v>587</v>
      </c>
      <c r="CI96" s="718">
        <v>0.01</v>
      </c>
    </row>
    <row r="97" spans="1:87" ht="15.75" customHeight="1" x14ac:dyDescent="0.2">
      <c r="A97" s="747" t="s">
        <v>76</v>
      </c>
      <c r="B97" s="469" t="s">
        <v>75</v>
      </c>
      <c r="C97" s="718">
        <v>0.4</v>
      </c>
      <c r="D97" s="469" t="s">
        <v>539</v>
      </c>
      <c r="E97" s="469" t="s">
        <v>540</v>
      </c>
      <c r="F97" s="718">
        <v>0.09</v>
      </c>
      <c r="G97" s="469" t="s">
        <v>537</v>
      </c>
      <c r="H97" s="469" t="s">
        <v>538</v>
      </c>
      <c r="I97" s="718">
        <v>0.01</v>
      </c>
      <c r="J97" s="748">
        <f>+C97+F97+I97</f>
        <v>0.5</v>
      </c>
      <c r="K97" s="718">
        <v>0.4</v>
      </c>
      <c r="L97" s="316" t="s">
        <v>539</v>
      </c>
      <c r="M97" s="316" t="s">
        <v>540</v>
      </c>
      <c r="N97" s="718">
        <v>0.09</v>
      </c>
      <c r="O97" s="316" t="s">
        <v>537</v>
      </c>
      <c r="P97" s="316" t="s">
        <v>538</v>
      </c>
      <c r="Q97" s="718">
        <v>0.01</v>
      </c>
      <c r="R97" s="728">
        <f>+K97+N97+Q97</f>
        <v>0.5</v>
      </c>
      <c r="S97" s="718">
        <v>0.4</v>
      </c>
      <c r="T97" s="316" t="s">
        <v>539</v>
      </c>
      <c r="U97" s="316" t="s">
        <v>540</v>
      </c>
      <c r="V97" s="718">
        <v>0.09</v>
      </c>
      <c r="W97" s="316" t="s">
        <v>537</v>
      </c>
      <c r="X97" s="316" t="s">
        <v>538</v>
      </c>
      <c r="Y97" s="718">
        <v>0.01</v>
      </c>
      <c r="Z97" s="728">
        <f>+S97+V97+Y97</f>
        <v>0.5</v>
      </c>
      <c r="AA97" s="718">
        <v>0.4</v>
      </c>
      <c r="AB97" s="316" t="s">
        <v>539</v>
      </c>
      <c r="AC97" s="316" t="s">
        <v>540</v>
      </c>
      <c r="AD97" s="718">
        <v>0.09</v>
      </c>
      <c r="AE97" s="316" t="s">
        <v>537</v>
      </c>
      <c r="AF97" s="316" t="s">
        <v>538</v>
      </c>
      <c r="AG97" s="718">
        <v>0.01</v>
      </c>
      <c r="AH97" s="728">
        <f>+AA97+AD97+AG97</f>
        <v>0.5</v>
      </c>
      <c r="AI97" s="718">
        <v>0.4</v>
      </c>
      <c r="AJ97" s="316" t="s">
        <v>539</v>
      </c>
      <c r="AK97" s="316" t="s">
        <v>540</v>
      </c>
      <c r="AL97" s="718">
        <v>0.09</v>
      </c>
      <c r="AM97" s="316" t="s">
        <v>537</v>
      </c>
      <c r="AN97" s="316" t="s">
        <v>538</v>
      </c>
      <c r="AO97" s="718">
        <v>0.01</v>
      </c>
      <c r="AP97" s="728">
        <f t="shared" si="53"/>
        <v>0.5</v>
      </c>
      <c r="AQ97" s="718">
        <v>0.4</v>
      </c>
      <c r="AR97" s="316" t="s">
        <v>539</v>
      </c>
      <c r="AS97" s="316" t="s">
        <v>540</v>
      </c>
      <c r="AT97" s="718">
        <v>0.09</v>
      </c>
      <c r="AU97" s="316" t="s">
        <v>537</v>
      </c>
      <c r="AV97" s="316" t="s">
        <v>538</v>
      </c>
      <c r="AW97" s="718">
        <v>0.01</v>
      </c>
      <c r="AX97" s="463">
        <f t="shared" si="54"/>
        <v>0.5</v>
      </c>
      <c r="AY97" s="661">
        <v>0.4</v>
      </c>
      <c r="AZ97" s="316" t="s">
        <v>539</v>
      </c>
      <c r="BA97" s="316" t="s">
        <v>540</v>
      </c>
      <c r="BB97" s="463">
        <v>0.09</v>
      </c>
      <c r="BC97" s="316" t="s">
        <v>537</v>
      </c>
      <c r="BD97" s="316" t="s">
        <v>538</v>
      </c>
      <c r="BE97" s="463">
        <v>0.01</v>
      </c>
      <c r="BF97" s="728">
        <f t="shared" si="55"/>
        <v>0.5</v>
      </c>
      <c r="BG97" s="463"/>
      <c r="BH97" s="463">
        <v>0.4</v>
      </c>
      <c r="BI97" s="316" t="s">
        <v>539</v>
      </c>
      <c r="BJ97" s="316" t="s">
        <v>540</v>
      </c>
      <c r="BK97" s="463">
        <v>0.09</v>
      </c>
      <c r="BL97" s="316" t="s">
        <v>537</v>
      </c>
      <c r="BM97" s="316" t="s">
        <v>538</v>
      </c>
      <c r="BN97" s="463">
        <v>0.01</v>
      </c>
      <c r="BO97" s="728">
        <f t="shared" si="56"/>
        <v>0.5</v>
      </c>
      <c r="BP97" s="463">
        <v>0.4</v>
      </c>
      <c r="BQ97" s="316" t="s">
        <v>539</v>
      </c>
      <c r="BR97" s="316" t="s">
        <v>540</v>
      </c>
      <c r="BS97" s="463">
        <v>0.09</v>
      </c>
      <c r="BT97" s="316" t="s">
        <v>537</v>
      </c>
      <c r="BU97" s="316" t="s">
        <v>538</v>
      </c>
      <c r="BV97" s="463">
        <v>0.01</v>
      </c>
      <c r="BW97" s="463">
        <f t="shared" si="57"/>
        <v>0.5</v>
      </c>
      <c r="BX97" s="444"/>
      <c r="BY97" s="444"/>
      <c r="BZ97" s="444"/>
      <c r="CA97" s="434"/>
      <c r="CB97" s="723">
        <v>0.66800000000000004</v>
      </c>
      <c r="CC97" s="668" t="s">
        <v>950</v>
      </c>
      <c r="CD97" s="316" t="s">
        <v>539</v>
      </c>
      <c r="CE97" s="316" t="s">
        <v>540</v>
      </c>
      <c r="CF97" s="718">
        <v>0.59</v>
      </c>
      <c r="CG97" s="316" t="s">
        <v>537</v>
      </c>
      <c r="CH97" s="316" t="s">
        <v>538</v>
      </c>
      <c r="CI97" s="718">
        <v>0.01</v>
      </c>
    </row>
    <row r="98" spans="1:87" ht="15.75" customHeight="1" x14ac:dyDescent="0.2">
      <c r="A98" s="747" t="s">
        <v>319</v>
      </c>
      <c r="B98" s="469" t="s">
        <v>1205</v>
      </c>
      <c r="C98" s="718">
        <v>0.4</v>
      </c>
      <c r="D98" s="469" t="s">
        <v>608</v>
      </c>
      <c r="E98" s="469" t="s">
        <v>609</v>
      </c>
      <c r="F98" s="718">
        <v>0.09</v>
      </c>
      <c r="G98" s="469" t="s">
        <v>606</v>
      </c>
      <c r="H98" s="469" t="s">
        <v>607</v>
      </c>
      <c r="I98" s="718">
        <v>0.01</v>
      </c>
      <c r="J98" s="748">
        <f t="shared" ref="J98:J100" si="58">+C98+F98+I98</f>
        <v>0.5</v>
      </c>
      <c r="K98" s="718">
        <v>0.4</v>
      </c>
      <c r="L98" s="316" t="s">
        <v>608</v>
      </c>
      <c r="M98" s="316" t="s">
        <v>609</v>
      </c>
      <c r="N98" s="718">
        <v>0.09</v>
      </c>
      <c r="O98" s="316" t="s">
        <v>606</v>
      </c>
      <c r="P98" s="316" t="s">
        <v>607</v>
      </c>
      <c r="Q98" s="718">
        <v>0.01</v>
      </c>
      <c r="R98" s="728">
        <f t="shared" ref="R98:R100" si="59">+K98+N98+Q98</f>
        <v>0.5</v>
      </c>
      <c r="S98" s="718">
        <v>0.4</v>
      </c>
      <c r="T98" s="316" t="s">
        <v>608</v>
      </c>
      <c r="U98" s="316" t="s">
        <v>609</v>
      </c>
      <c r="V98" s="718">
        <v>0.09</v>
      </c>
      <c r="W98" s="316" t="s">
        <v>606</v>
      </c>
      <c r="X98" s="316" t="s">
        <v>607</v>
      </c>
      <c r="Y98" s="718">
        <v>0.01</v>
      </c>
      <c r="Z98" s="728">
        <f t="shared" ref="Z98:Z100" si="60">+S98+V98+Y98</f>
        <v>0.5</v>
      </c>
      <c r="AA98" s="718">
        <v>0.4</v>
      </c>
      <c r="AB98" s="316" t="s">
        <v>608</v>
      </c>
      <c r="AC98" s="316" t="s">
        <v>609</v>
      </c>
      <c r="AD98" s="718">
        <v>0.09</v>
      </c>
      <c r="AE98" s="316" t="s">
        <v>606</v>
      </c>
      <c r="AF98" s="316" t="s">
        <v>607</v>
      </c>
      <c r="AG98" s="718">
        <v>0.01</v>
      </c>
      <c r="AH98" s="728">
        <f t="shared" ref="AH98:AH100" si="61">+AA98+AD98+AG98</f>
        <v>0.5</v>
      </c>
      <c r="AI98" s="718">
        <v>0.4</v>
      </c>
      <c r="AJ98" s="316" t="s">
        <v>608</v>
      </c>
      <c r="AK98" s="316" t="s">
        <v>609</v>
      </c>
      <c r="AL98" s="718">
        <v>0.09</v>
      </c>
      <c r="AM98" s="316" t="s">
        <v>606</v>
      </c>
      <c r="AN98" s="316" t="s">
        <v>607</v>
      </c>
      <c r="AO98" s="718">
        <v>0.01</v>
      </c>
      <c r="AP98" s="728">
        <f t="shared" ref="AP98:AP103" si="62">+AI98+AL98+AO98</f>
        <v>0.5</v>
      </c>
      <c r="AQ98" s="718">
        <v>0.4</v>
      </c>
      <c r="AR98" s="316" t="s">
        <v>608</v>
      </c>
      <c r="AS98" s="316" t="s">
        <v>609</v>
      </c>
      <c r="AT98" s="718">
        <v>0.09</v>
      </c>
      <c r="AU98" s="316" t="s">
        <v>606</v>
      </c>
      <c r="AV98" s="316" t="s">
        <v>607</v>
      </c>
      <c r="AW98" s="718">
        <v>0.01</v>
      </c>
      <c r="AX98" s="463">
        <f t="shared" ref="AX98:AX103" si="63">+AQ98+AT98+AW98</f>
        <v>0.5</v>
      </c>
      <c r="AY98" s="661">
        <v>0.4</v>
      </c>
      <c r="AZ98" s="316" t="s">
        <v>608</v>
      </c>
      <c r="BA98" s="316" t="s">
        <v>609</v>
      </c>
      <c r="BB98" s="463">
        <v>0.59</v>
      </c>
      <c r="BC98" s="316" t="s">
        <v>606</v>
      </c>
      <c r="BD98" s="316" t="s">
        <v>607</v>
      </c>
      <c r="BE98" s="463">
        <v>0.01</v>
      </c>
      <c r="BF98" s="728">
        <f t="shared" ref="BF98:BF103" si="64">+AY98+BB98+BE98</f>
        <v>1</v>
      </c>
      <c r="BG98" s="463"/>
      <c r="BH98" s="463">
        <v>0.4</v>
      </c>
      <c r="BI98" s="316" t="s">
        <v>608</v>
      </c>
      <c r="BJ98" s="316" t="s">
        <v>609</v>
      </c>
      <c r="BK98" s="463">
        <v>0.09</v>
      </c>
      <c r="BL98" s="316" t="s">
        <v>606</v>
      </c>
      <c r="BM98" s="316" t="s">
        <v>607</v>
      </c>
      <c r="BN98" s="463">
        <v>0.01</v>
      </c>
      <c r="BO98" s="728">
        <f t="shared" ref="BO98:BO103" si="65">+BH98+BK98+BN98</f>
        <v>0.5</v>
      </c>
      <c r="BP98" s="463">
        <v>0.4</v>
      </c>
      <c r="BQ98" s="316" t="s">
        <v>608</v>
      </c>
      <c r="BR98" s="316" t="s">
        <v>609</v>
      </c>
      <c r="BS98" s="463">
        <v>0.09</v>
      </c>
      <c r="BT98" s="316" t="s">
        <v>606</v>
      </c>
      <c r="BU98" s="316" t="s">
        <v>607</v>
      </c>
      <c r="BV98" s="463">
        <v>0.01</v>
      </c>
      <c r="BW98" s="463">
        <f t="shared" ref="BW98:BW103" si="66">+BP98+BS98+BV98</f>
        <v>0.5</v>
      </c>
      <c r="BX98" s="444"/>
      <c r="BY98" s="444"/>
      <c r="BZ98" s="444"/>
      <c r="CA98" s="434"/>
      <c r="CB98" s="723">
        <v>0.66200000000000003</v>
      </c>
      <c r="CC98" s="668" t="s">
        <v>950</v>
      </c>
      <c r="CD98" s="316" t="s">
        <v>608</v>
      </c>
      <c r="CE98" s="316" t="s">
        <v>609</v>
      </c>
      <c r="CF98" s="718">
        <v>0.59</v>
      </c>
      <c r="CG98" s="316" t="s">
        <v>606</v>
      </c>
      <c r="CH98" s="316" t="s">
        <v>607</v>
      </c>
      <c r="CI98" s="718">
        <v>0.01</v>
      </c>
    </row>
    <row r="99" spans="1:87" ht="15" x14ac:dyDescent="0.2">
      <c r="A99" s="747" t="s">
        <v>78</v>
      </c>
      <c r="B99" s="469" t="s">
        <v>77</v>
      </c>
      <c r="C99" s="718">
        <v>0.4</v>
      </c>
      <c r="D99" s="469" t="s">
        <v>583</v>
      </c>
      <c r="E99" s="469" t="s">
        <v>584</v>
      </c>
      <c r="F99" s="718">
        <v>0.1</v>
      </c>
      <c r="G99" s="469" t="s">
        <v>514</v>
      </c>
      <c r="H99" s="469" t="s">
        <v>552</v>
      </c>
      <c r="I99" s="718">
        <v>0</v>
      </c>
      <c r="J99" s="748">
        <f t="shared" si="58"/>
        <v>0.5</v>
      </c>
      <c r="K99" s="718">
        <v>0.4</v>
      </c>
      <c r="L99" s="316" t="s">
        <v>583</v>
      </c>
      <c r="M99" s="316" t="s">
        <v>584</v>
      </c>
      <c r="N99" s="718">
        <v>0.1</v>
      </c>
      <c r="O99" s="316" t="s">
        <v>514</v>
      </c>
      <c r="P99" s="316" t="s">
        <v>552</v>
      </c>
      <c r="Q99" s="718">
        <v>0</v>
      </c>
      <c r="R99" s="728">
        <f t="shared" si="59"/>
        <v>0.5</v>
      </c>
      <c r="S99" s="718">
        <v>0.4</v>
      </c>
      <c r="T99" s="316" t="s">
        <v>583</v>
      </c>
      <c r="U99" s="316" t="s">
        <v>584</v>
      </c>
      <c r="V99" s="718">
        <v>0.1</v>
      </c>
      <c r="W99" s="316" t="s">
        <v>514</v>
      </c>
      <c r="X99" s="316" t="s">
        <v>552</v>
      </c>
      <c r="Y99" s="718">
        <v>0</v>
      </c>
      <c r="Z99" s="728">
        <f t="shared" si="60"/>
        <v>0.5</v>
      </c>
      <c r="AA99" s="718">
        <v>0.4</v>
      </c>
      <c r="AB99" s="316" t="s">
        <v>583</v>
      </c>
      <c r="AC99" s="316" t="s">
        <v>584</v>
      </c>
      <c r="AD99" s="718">
        <v>0.1</v>
      </c>
      <c r="AE99" s="316" t="s">
        <v>514</v>
      </c>
      <c r="AF99" s="316" t="s">
        <v>552</v>
      </c>
      <c r="AG99" s="718">
        <v>0</v>
      </c>
      <c r="AH99" s="728">
        <f t="shared" si="61"/>
        <v>0.5</v>
      </c>
      <c r="AI99" s="718">
        <v>0.4</v>
      </c>
      <c r="AJ99" s="316" t="s">
        <v>583</v>
      </c>
      <c r="AK99" s="316" t="s">
        <v>584</v>
      </c>
      <c r="AL99" s="718">
        <v>0.1</v>
      </c>
      <c r="AM99" s="316" t="s">
        <v>514</v>
      </c>
      <c r="AN99" s="316" t="s">
        <v>552</v>
      </c>
      <c r="AO99" s="718">
        <v>0</v>
      </c>
      <c r="AP99" s="728">
        <f t="shared" si="62"/>
        <v>0.5</v>
      </c>
      <c r="AQ99" s="718">
        <v>0.4</v>
      </c>
      <c r="AR99" s="316" t="s">
        <v>583</v>
      </c>
      <c r="AS99" s="316" t="s">
        <v>584</v>
      </c>
      <c r="AT99" s="718">
        <v>0.1</v>
      </c>
      <c r="AU99" s="316" t="s">
        <v>514</v>
      </c>
      <c r="AV99" s="316" t="s">
        <v>552</v>
      </c>
      <c r="AW99" s="718">
        <v>0</v>
      </c>
      <c r="AX99" s="463">
        <f t="shared" si="63"/>
        <v>0.5</v>
      </c>
      <c r="AY99" s="661">
        <v>0.5</v>
      </c>
      <c r="AZ99" s="316" t="s">
        <v>583</v>
      </c>
      <c r="BA99" s="316" t="s">
        <v>584</v>
      </c>
      <c r="BB99" s="463">
        <v>0.5</v>
      </c>
      <c r="BC99" s="316" t="s">
        <v>514</v>
      </c>
      <c r="BD99" s="316" t="s">
        <v>552</v>
      </c>
      <c r="BE99" s="463">
        <v>0</v>
      </c>
      <c r="BF99" s="728">
        <f t="shared" si="64"/>
        <v>1</v>
      </c>
      <c r="BG99" s="463"/>
      <c r="BH99" s="463">
        <v>0.4</v>
      </c>
      <c r="BI99" s="316" t="s">
        <v>583</v>
      </c>
      <c r="BJ99" s="316" t="s">
        <v>584</v>
      </c>
      <c r="BK99" s="463">
        <v>0.1</v>
      </c>
      <c r="BL99" s="316" t="s">
        <v>514</v>
      </c>
      <c r="BM99" s="316" t="s">
        <v>552</v>
      </c>
      <c r="BN99" s="463">
        <v>0</v>
      </c>
      <c r="BO99" s="728">
        <f t="shared" si="65"/>
        <v>0.5</v>
      </c>
      <c r="BP99" s="463">
        <v>0.4</v>
      </c>
      <c r="BQ99" s="316" t="s">
        <v>583</v>
      </c>
      <c r="BR99" s="316" t="s">
        <v>584</v>
      </c>
      <c r="BS99" s="463">
        <v>0.1</v>
      </c>
      <c r="BT99" s="316" t="s">
        <v>514</v>
      </c>
      <c r="BU99" s="316" t="s">
        <v>552</v>
      </c>
      <c r="BV99" s="463">
        <v>0</v>
      </c>
      <c r="BW99" s="463">
        <f t="shared" si="66"/>
        <v>0.5</v>
      </c>
      <c r="BX99" s="444"/>
      <c r="BY99" s="444"/>
      <c r="BZ99" s="444"/>
      <c r="CA99" s="434"/>
      <c r="CB99" s="723">
        <v>0.623</v>
      </c>
      <c r="CC99" s="668" t="s">
        <v>950</v>
      </c>
      <c r="CD99" s="316" t="s">
        <v>583</v>
      </c>
      <c r="CE99" s="316" t="s">
        <v>584</v>
      </c>
      <c r="CF99" s="718">
        <v>0.6</v>
      </c>
      <c r="CG99" s="316" t="s">
        <v>514</v>
      </c>
      <c r="CH99" s="316" t="s">
        <v>552</v>
      </c>
      <c r="CI99" s="718">
        <v>0</v>
      </c>
    </row>
    <row r="100" spans="1:87" ht="15" x14ac:dyDescent="0.2">
      <c r="A100" s="747" t="s">
        <v>80</v>
      </c>
      <c r="B100" s="469" t="s">
        <v>79</v>
      </c>
      <c r="C100" s="718">
        <v>0.4</v>
      </c>
      <c r="D100" s="469" t="s">
        <v>615</v>
      </c>
      <c r="E100" s="469" t="s">
        <v>616</v>
      </c>
      <c r="F100" s="718">
        <v>0.09</v>
      </c>
      <c r="G100" s="469" t="s">
        <v>612</v>
      </c>
      <c r="H100" s="469" t="s">
        <v>613</v>
      </c>
      <c r="I100" s="718">
        <v>0.01</v>
      </c>
      <c r="J100" s="748">
        <f t="shared" si="58"/>
        <v>0.5</v>
      </c>
      <c r="K100" s="718">
        <v>0.4</v>
      </c>
      <c r="L100" s="316" t="s">
        <v>615</v>
      </c>
      <c r="M100" s="316" t="s">
        <v>616</v>
      </c>
      <c r="N100" s="718">
        <v>0.09</v>
      </c>
      <c r="O100" s="316" t="s">
        <v>612</v>
      </c>
      <c r="P100" s="316" t="s">
        <v>613</v>
      </c>
      <c r="Q100" s="718">
        <v>0.01</v>
      </c>
      <c r="R100" s="728">
        <f t="shared" si="59"/>
        <v>0.5</v>
      </c>
      <c r="S100" s="718">
        <v>0.4</v>
      </c>
      <c r="T100" s="316" t="s">
        <v>615</v>
      </c>
      <c r="U100" s="316" t="s">
        <v>616</v>
      </c>
      <c r="V100" s="718">
        <v>0.09</v>
      </c>
      <c r="W100" s="316" t="s">
        <v>612</v>
      </c>
      <c r="X100" s="316" t="s">
        <v>613</v>
      </c>
      <c r="Y100" s="718">
        <v>0.01</v>
      </c>
      <c r="Z100" s="728">
        <f t="shared" si="60"/>
        <v>0.5</v>
      </c>
      <c r="AA100" s="718">
        <v>0.4</v>
      </c>
      <c r="AB100" s="316" t="s">
        <v>615</v>
      </c>
      <c r="AC100" s="316" t="s">
        <v>616</v>
      </c>
      <c r="AD100" s="718">
        <v>0.09</v>
      </c>
      <c r="AE100" s="316" t="s">
        <v>612</v>
      </c>
      <c r="AF100" s="316" t="s">
        <v>613</v>
      </c>
      <c r="AG100" s="718">
        <v>0.01</v>
      </c>
      <c r="AH100" s="728">
        <f t="shared" si="61"/>
        <v>0.5</v>
      </c>
      <c r="AI100" s="718">
        <v>0.4</v>
      </c>
      <c r="AJ100" s="316" t="s">
        <v>615</v>
      </c>
      <c r="AK100" s="316" t="s">
        <v>616</v>
      </c>
      <c r="AL100" s="718">
        <v>0.09</v>
      </c>
      <c r="AM100" s="316" t="s">
        <v>612</v>
      </c>
      <c r="AN100" s="316" t="s">
        <v>613</v>
      </c>
      <c r="AO100" s="718">
        <v>0.01</v>
      </c>
      <c r="AP100" s="728">
        <f t="shared" si="62"/>
        <v>0.5</v>
      </c>
      <c r="AQ100" s="718">
        <v>0.56000000000000005</v>
      </c>
      <c r="AR100" s="316" t="s">
        <v>615</v>
      </c>
      <c r="AS100" s="316" t="s">
        <v>616</v>
      </c>
      <c r="AT100" s="718">
        <v>0.17499999999999999</v>
      </c>
      <c r="AU100" s="316" t="s">
        <v>612</v>
      </c>
      <c r="AV100" s="316" t="s">
        <v>613</v>
      </c>
      <c r="AW100" s="718">
        <v>1.4999999999999999E-2</v>
      </c>
      <c r="AX100" s="463">
        <f t="shared" si="63"/>
        <v>0.75000000000000011</v>
      </c>
      <c r="AY100" s="661">
        <v>0.4</v>
      </c>
      <c r="AZ100" s="316" t="s">
        <v>615</v>
      </c>
      <c r="BA100" s="316" t="s">
        <v>616</v>
      </c>
      <c r="BB100" s="463">
        <v>0.09</v>
      </c>
      <c r="BC100" s="316" t="s">
        <v>612</v>
      </c>
      <c r="BD100" s="316" t="s">
        <v>613</v>
      </c>
      <c r="BE100" s="463">
        <v>0.01</v>
      </c>
      <c r="BF100" s="728">
        <f t="shared" si="64"/>
        <v>0.5</v>
      </c>
      <c r="BG100" s="463"/>
      <c r="BH100" s="463">
        <v>0.4</v>
      </c>
      <c r="BI100" s="316" t="s">
        <v>615</v>
      </c>
      <c r="BJ100" s="316" t="s">
        <v>616</v>
      </c>
      <c r="BK100" s="463">
        <v>0.09</v>
      </c>
      <c r="BL100" s="316" t="s">
        <v>612</v>
      </c>
      <c r="BM100" s="316" t="s">
        <v>613</v>
      </c>
      <c r="BN100" s="463">
        <v>0.01</v>
      </c>
      <c r="BO100" s="728">
        <f t="shared" si="65"/>
        <v>0.5</v>
      </c>
      <c r="BP100" s="463">
        <v>0.4</v>
      </c>
      <c r="BQ100" s="316" t="s">
        <v>615</v>
      </c>
      <c r="BR100" s="316" t="s">
        <v>616</v>
      </c>
      <c r="BS100" s="463">
        <v>0.09</v>
      </c>
      <c r="BT100" s="316" t="s">
        <v>612</v>
      </c>
      <c r="BU100" s="316" t="s">
        <v>613</v>
      </c>
      <c r="BV100" s="463">
        <v>0.01</v>
      </c>
      <c r="BW100" s="463">
        <f t="shared" si="66"/>
        <v>0.5</v>
      </c>
      <c r="BX100" s="444" t="s">
        <v>874</v>
      </c>
      <c r="BY100" s="444"/>
      <c r="BZ100" s="444"/>
      <c r="CA100" s="434"/>
      <c r="CB100" s="723">
        <v>0.66500000000000004</v>
      </c>
      <c r="CC100" s="668" t="s">
        <v>874</v>
      </c>
      <c r="CD100" s="316" t="s">
        <v>615</v>
      </c>
      <c r="CE100" s="316" t="s">
        <v>616</v>
      </c>
      <c r="CF100" s="718">
        <v>0.59</v>
      </c>
      <c r="CG100" s="316" t="s">
        <v>612</v>
      </c>
      <c r="CH100" s="316" t="s">
        <v>613</v>
      </c>
      <c r="CI100" s="718">
        <v>0.01</v>
      </c>
    </row>
    <row r="101" spans="1:87" ht="15.75" customHeight="1" x14ac:dyDescent="0.2">
      <c r="A101" s="747" t="s">
        <v>82</v>
      </c>
      <c r="B101" s="469" t="s">
        <v>81</v>
      </c>
      <c r="C101" s="718">
        <v>0.49</v>
      </c>
      <c r="D101" s="469" t="s">
        <v>514</v>
      </c>
      <c r="E101" s="469" t="s">
        <v>666</v>
      </c>
      <c r="F101" s="718">
        <v>0</v>
      </c>
      <c r="G101" s="469" t="s">
        <v>673</v>
      </c>
      <c r="H101" s="469" t="s">
        <v>674</v>
      </c>
      <c r="I101" s="718">
        <v>0.01</v>
      </c>
      <c r="J101" s="748">
        <f>+C101+F101+I101</f>
        <v>0.5</v>
      </c>
      <c r="K101" s="718">
        <v>0.49</v>
      </c>
      <c r="L101" s="316" t="s">
        <v>514</v>
      </c>
      <c r="M101" s="316" t="s">
        <v>666</v>
      </c>
      <c r="N101" s="718">
        <v>0</v>
      </c>
      <c r="O101" s="316" t="s">
        <v>673</v>
      </c>
      <c r="P101" s="316" t="s">
        <v>674</v>
      </c>
      <c r="Q101" s="718">
        <v>0.01</v>
      </c>
      <c r="R101" s="728">
        <f>+K101+N101+Q101</f>
        <v>0.5</v>
      </c>
      <c r="S101" s="718">
        <v>0.49</v>
      </c>
      <c r="T101" s="316" t="s">
        <v>514</v>
      </c>
      <c r="U101" s="316" t="s">
        <v>666</v>
      </c>
      <c r="V101" s="718">
        <v>0</v>
      </c>
      <c r="W101" s="316" t="s">
        <v>673</v>
      </c>
      <c r="X101" s="316" t="s">
        <v>674</v>
      </c>
      <c r="Y101" s="718">
        <v>0.01</v>
      </c>
      <c r="Z101" s="728">
        <f>+S101+V101+Y101</f>
        <v>0.5</v>
      </c>
      <c r="AA101" s="718">
        <v>0.49</v>
      </c>
      <c r="AB101" s="316" t="s">
        <v>514</v>
      </c>
      <c r="AC101" s="316" t="s">
        <v>666</v>
      </c>
      <c r="AD101" s="718">
        <v>0</v>
      </c>
      <c r="AE101" s="316" t="s">
        <v>673</v>
      </c>
      <c r="AF101" s="316" t="s">
        <v>674</v>
      </c>
      <c r="AG101" s="718">
        <v>0.01</v>
      </c>
      <c r="AH101" s="728">
        <f>+AA101+AD101+AG101</f>
        <v>0.5</v>
      </c>
      <c r="AI101" s="718">
        <v>0.49</v>
      </c>
      <c r="AJ101" s="316" t="s">
        <v>514</v>
      </c>
      <c r="AK101" s="316" t="s">
        <v>666</v>
      </c>
      <c r="AL101" s="718">
        <v>0</v>
      </c>
      <c r="AM101" s="316" t="s">
        <v>673</v>
      </c>
      <c r="AN101" s="316" t="s">
        <v>674</v>
      </c>
      <c r="AO101" s="718">
        <v>0.01</v>
      </c>
      <c r="AP101" s="728">
        <f t="shared" si="62"/>
        <v>0.5</v>
      </c>
      <c r="AQ101" s="718">
        <v>0.49</v>
      </c>
      <c r="AR101" s="316" t="s">
        <v>514</v>
      </c>
      <c r="AS101" s="316" t="s">
        <v>666</v>
      </c>
      <c r="AT101" s="718">
        <v>0</v>
      </c>
      <c r="AU101" s="316" t="s">
        <v>673</v>
      </c>
      <c r="AV101" s="316" t="s">
        <v>674</v>
      </c>
      <c r="AW101" s="718">
        <v>0.01</v>
      </c>
      <c r="AX101" s="463">
        <f t="shared" si="63"/>
        <v>0.5</v>
      </c>
      <c r="AY101" s="661">
        <v>0.49</v>
      </c>
      <c r="AZ101" s="316" t="s">
        <v>514</v>
      </c>
      <c r="BA101" s="316" t="s">
        <v>666</v>
      </c>
      <c r="BB101" s="463">
        <v>0</v>
      </c>
      <c r="BC101" s="316" t="s">
        <v>673</v>
      </c>
      <c r="BD101" s="316" t="s">
        <v>674</v>
      </c>
      <c r="BE101" s="463">
        <v>0.01</v>
      </c>
      <c r="BF101" s="728">
        <f t="shared" si="64"/>
        <v>0.5</v>
      </c>
      <c r="BG101" s="463"/>
      <c r="BH101" s="463">
        <v>0.49</v>
      </c>
      <c r="BI101" s="316" t="s">
        <v>514</v>
      </c>
      <c r="BJ101" s="316" t="s">
        <v>666</v>
      </c>
      <c r="BK101" s="463">
        <v>0</v>
      </c>
      <c r="BL101" s="316" t="s">
        <v>673</v>
      </c>
      <c r="BM101" s="316" t="s">
        <v>674</v>
      </c>
      <c r="BN101" s="463">
        <v>0.01</v>
      </c>
      <c r="BO101" s="728">
        <f t="shared" si="65"/>
        <v>0.5</v>
      </c>
      <c r="BP101" s="463">
        <v>0.49</v>
      </c>
      <c r="BQ101" s="316" t="s">
        <v>514</v>
      </c>
      <c r="BR101" s="316" t="s">
        <v>666</v>
      </c>
      <c r="BS101" s="463">
        <v>0</v>
      </c>
      <c r="BT101" s="316" t="s">
        <v>673</v>
      </c>
      <c r="BU101" s="316" t="s">
        <v>674</v>
      </c>
      <c r="BV101" s="463">
        <v>0.01</v>
      </c>
      <c r="BW101" s="463">
        <f t="shared" si="66"/>
        <v>0.5</v>
      </c>
      <c r="BX101" s="444" t="s">
        <v>874</v>
      </c>
      <c r="BY101" s="444"/>
      <c r="BZ101" s="444"/>
      <c r="CA101" s="436" t="s">
        <v>874</v>
      </c>
      <c r="CB101" s="723">
        <v>0.67500000000000004</v>
      </c>
      <c r="CC101" s="668" t="s">
        <v>950</v>
      </c>
      <c r="CD101" s="316" t="s">
        <v>514</v>
      </c>
      <c r="CE101" s="316" t="s">
        <v>666</v>
      </c>
      <c r="CF101" s="718">
        <v>0</v>
      </c>
      <c r="CG101" s="316" t="s">
        <v>673</v>
      </c>
      <c r="CH101" s="316" t="s">
        <v>674</v>
      </c>
      <c r="CI101" s="718">
        <v>0.01</v>
      </c>
    </row>
    <row r="102" spans="1:87" ht="15.75" customHeight="1" x14ac:dyDescent="0.2">
      <c r="A102" s="747" t="s">
        <v>84</v>
      </c>
      <c r="B102" s="469" t="s">
        <v>83</v>
      </c>
      <c r="C102" s="718">
        <v>0.4</v>
      </c>
      <c r="D102" s="469" t="s">
        <v>639</v>
      </c>
      <c r="E102" s="469" t="s">
        <v>640</v>
      </c>
      <c r="F102" s="718">
        <v>0.09</v>
      </c>
      <c r="G102" s="469" t="s">
        <v>637</v>
      </c>
      <c r="H102" s="469" t="s">
        <v>638</v>
      </c>
      <c r="I102" s="718">
        <v>0.01</v>
      </c>
      <c r="J102" s="748">
        <f t="shared" ref="J102:J162" si="67">+C102+F102+I102</f>
        <v>0.5</v>
      </c>
      <c r="K102" s="718">
        <v>0.4</v>
      </c>
      <c r="L102" s="316" t="s">
        <v>639</v>
      </c>
      <c r="M102" s="316" t="s">
        <v>640</v>
      </c>
      <c r="N102" s="718">
        <v>0.09</v>
      </c>
      <c r="O102" s="316" t="s">
        <v>637</v>
      </c>
      <c r="P102" s="316" t="s">
        <v>638</v>
      </c>
      <c r="Q102" s="718">
        <v>0.01</v>
      </c>
      <c r="R102" s="728">
        <f t="shared" ref="R102:R165" si="68">+K102+N102+Q102</f>
        <v>0.5</v>
      </c>
      <c r="S102" s="718">
        <v>0.4</v>
      </c>
      <c r="T102" s="316" t="s">
        <v>639</v>
      </c>
      <c r="U102" s="316" t="s">
        <v>640</v>
      </c>
      <c r="V102" s="718">
        <v>0.09</v>
      </c>
      <c r="W102" s="316" t="s">
        <v>637</v>
      </c>
      <c r="X102" s="316" t="s">
        <v>638</v>
      </c>
      <c r="Y102" s="718">
        <v>0.01</v>
      </c>
      <c r="Z102" s="728">
        <f t="shared" ref="Z102:Z103" si="69">+S102+V102+Y102</f>
        <v>0.5</v>
      </c>
      <c r="AA102" s="718">
        <v>0.4</v>
      </c>
      <c r="AB102" s="316" t="s">
        <v>639</v>
      </c>
      <c r="AC102" s="316" t="s">
        <v>640</v>
      </c>
      <c r="AD102" s="718">
        <v>0.09</v>
      </c>
      <c r="AE102" s="316" t="s">
        <v>637</v>
      </c>
      <c r="AF102" s="316" t="s">
        <v>638</v>
      </c>
      <c r="AG102" s="718">
        <v>0.01</v>
      </c>
      <c r="AH102" s="728">
        <f t="shared" ref="AH102:AH105" si="70">+AA102+AD102+AG102</f>
        <v>0.5</v>
      </c>
      <c r="AI102" s="718">
        <v>0.4</v>
      </c>
      <c r="AJ102" s="316" t="s">
        <v>639</v>
      </c>
      <c r="AK102" s="316" t="s">
        <v>640</v>
      </c>
      <c r="AL102" s="718">
        <v>0.09</v>
      </c>
      <c r="AM102" s="316" t="s">
        <v>637</v>
      </c>
      <c r="AN102" s="316" t="s">
        <v>638</v>
      </c>
      <c r="AO102" s="718">
        <v>0.01</v>
      </c>
      <c r="AP102" s="728">
        <f t="shared" si="62"/>
        <v>0.5</v>
      </c>
      <c r="AQ102" s="718">
        <v>0.4</v>
      </c>
      <c r="AR102" s="316" t="s">
        <v>639</v>
      </c>
      <c r="AS102" s="316" t="s">
        <v>640</v>
      </c>
      <c r="AT102" s="718">
        <v>0.09</v>
      </c>
      <c r="AU102" s="316" t="s">
        <v>637</v>
      </c>
      <c r="AV102" s="316" t="s">
        <v>638</v>
      </c>
      <c r="AW102" s="718">
        <v>0.01</v>
      </c>
      <c r="AX102" s="463">
        <f t="shared" si="63"/>
        <v>0.5</v>
      </c>
      <c r="AY102" s="661">
        <v>0.4</v>
      </c>
      <c r="AZ102" s="316" t="s">
        <v>639</v>
      </c>
      <c r="BA102" s="316" t="s">
        <v>640</v>
      </c>
      <c r="BB102" s="463">
        <v>0.09</v>
      </c>
      <c r="BC102" s="316" t="s">
        <v>637</v>
      </c>
      <c r="BD102" s="316" t="s">
        <v>638</v>
      </c>
      <c r="BE102" s="463">
        <v>0.01</v>
      </c>
      <c r="BF102" s="728">
        <f t="shared" si="64"/>
        <v>0.5</v>
      </c>
      <c r="BG102" s="463"/>
      <c r="BH102" s="463">
        <v>0.4</v>
      </c>
      <c r="BI102" s="316" t="s">
        <v>639</v>
      </c>
      <c r="BJ102" s="316" t="s">
        <v>640</v>
      </c>
      <c r="BK102" s="463">
        <v>0.09</v>
      </c>
      <c r="BL102" s="316" t="s">
        <v>637</v>
      </c>
      <c r="BM102" s="316" t="s">
        <v>638</v>
      </c>
      <c r="BN102" s="463">
        <v>0.01</v>
      </c>
      <c r="BO102" s="728">
        <f t="shared" si="65"/>
        <v>0.5</v>
      </c>
      <c r="BP102" s="463">
        <v>0.4</v>
      </c>
      <c r="BQ102" s="316" t="s">
        <v>639</v>
      </c>
      <c r="BR102" s="316" t="s">
        <v>640</v>
      </c>
      <c r="BS102" s="463">
        <v>0.09</v>
      </c>
      <c r="BT102" s="316" t="s">
        <v>637</v>
      </c>
      <c r="BU102" s="316" t="s">
        <v>638</v>
      </c>
      <c r="BV102" s="463">
        <v>0.01</v>
      </c>
      <c r="BW102" s="463">
        <f t="shared" si="66"/>
        <v>0.5</v>
      </c>
      <c r="CA102" s="434"/>
      <c r="CB102" s="723">
        <v>0.69099999999999995</v>
      </c>
      <c r="CC102" s="668" t="s">
        <v>950</v>
      </c>
      <c r="CD102" s="316" t="s">
        <v>639</v>
      </c>
      <c r="CE102" s="316" t="s">
        <v>640</v>
      </c>
      <c r="CF102" s="718">
        <v>0.59</v>
      </c>
      <c r="CG102" s="316" t="s">
        <v>637</v>
      </c>
      <c r="CH102" s="316" t="s">
        <v>638</v>
      </c>
      <c r="CI102" s="718">
        <v>0.01</v>
      </c>
    </row>
    <row r="103" spans="1:87" ht="15" x14ac:dyDescent="0.2">
      <c r="A103" s="747" t="s">
        <v>86</v>
      </c>
      <c r="B103" s="469" t="s">
        <v>85</v>
      </c>
      <c r="C103" s="718">
        <v>0.4</v>
      </c>
      <c r="D103" s="469" t="s">
        <v>583</v>
      </c>
      <c r="E103" s="469" t="s">
        <v>584</v>
      </c>
      <c r="F103" s="718">
        <v>0.1</v>
      </c>
      <c r="G103" s="469" t="s">
        <v>514</v>
      </c>
      <c r="H103" s="469" t="s">
        <v>552</v>
      </c>
      <c r="I103" s="718">
        <v>0</v>
      </c>
      <c r="J103" s="748">
        <f t="shared" si="67"/>
        <v>0.5</v>
      </c>
      <c r="K103" s="718">
        <v>0.4</v>
      </c>
      <c r="L103" s="316" t="s">
        <v>583</v>
      </c>
      <c r="M103" s="316" t="s">
        <v>584</v>
      </c>
      <c r="N103" s="718">
        <v>0.1</v>
      </c>
      <c r="O103" s="316" t="s">
        <v>514</v>
      </c>
      <c r="P103" s="316" t="s">
        <v>552</v>
      </c>
      <c r="Q103" s="718">
        <v>0</v>
      </c>
      <c r="R103" s="728">
        <f t="shared" si="68"/>
        <v>0.5</v>
      </c>
      <c r="S103" s="718">
        <v>0.4</v>
      </c>
      <c r="T103" s="316" t="s">
        <v>583</v>
      </c>
      <c r="U103" s="316" t="s">
        <v>584</v>
      </c>
      <c r="V103" s="718">
        <v>0.1</v>
      </c>
      <c r="W103" s="316" t="s">
        <v>514</v>
      </c>
      <c r="X103" s="316" t="s">
        <v>552</v>
      </c>
      <c r="Y103" s="718">
        <v>0</v>
      </c>
      <c r="Z103" s="728">
        <f t="shared" si="69"/>
        <v>0.5</v>
      </c>
      <c r="AA103" s="718">
        <v>0.4</v>
      </c>
      <c r="AB103" s="316" t="s">
        <v>583</v>
      </c>
      <c r="AC103" s="316" t="s">
        <v>584</v>
      </c>
      <c r="AD103" s="718">
        <v>0.1</v>
      </c>
      <c r="AE103" s="316" t="s">
        <v>514</v>
      </c>
      <c r="AF103" s="316" t="s">
        <v>552</v>
      </c>
      <c r="AG103" s="718">
        <v>0</v>
      </c>
      <c r="AH103" s="728">
        <f t="shared" si="70"/>
        <v>0.5</v>
      </c>
      <c r="AI103" s="718">
        <v>0.4</v>
      </c>
      <c r="AJ103" s="316" t="s">
        <v>583</v>
      </c>
      <c r="AK103" s="316" t="s">
        <v>584</v>
      </c>
      <c r="AL103" s="718">
        <v>0.1</v>
      </c>
      <c r="AM103" s="316" t="s">
        <v>514</v>
      </c>
      <c r="AN103" s="316" t="s">
        <v>552</v>
      </c>
      <c r="AO103" s="718">
        <v>0</v>
      </c>
      <c r="AP103" s="728">
        <f t="shared" si="62"/>
        <v>0.5</v>
      </c>
      <c r="AQ103" s="718">
        <v>0.4</v>
      </c>
      <c r="AR103" s="316" t="s">
        <v>583</v>
      </c>
      <c r="AS103" s="316" t="s">
        <v>584</v>
      </c>
      <c r="AT103" s="718">
        <v>0.1</v>
      </c>
      <c r="AU103" s="316" t="s">
        <v>514</v>
      </c>
      <c r="AV103" s="316" t="s">
        <v>552</v>
      </c>
      <c r="AW103" s="718">
        <v>0</v>
      </c>
      <c r="AX103" s="463">
        <f t="shared" si="63"/>
        <v>0.5</v>
      </c>
      <c r="AY103" s="661">
        <v>0.5</v>
      </c>
      <c r="AZ103" s="316" t="s">
        <v>583</v>
      </c>
      <c r="BA103" s="316" t="s">
        <v>584</v>
      </c>
      <c r="BB103" s="463">
        <v>0.5</v>
      </c>
      <c r="BC103" s="316" t="s">
        <v>514</v>
      </c>
      <c r="BD103" s="316" t="s">
        <v>552</v>
      </c>
      <c r="BE103" s="463">
        <v>0</v>
      </c>
      <c r="BF103" s="728">
        <f t="shared" si="64"/>
        <v>1</v>
      </c>
      <c r="BG103" s="463"/>
      <c r="BH103" s="463">
        <v>0.4</v>
      </c>
      <c r="BI103" s="316" t="s">
        <v>583</v>
      </c>
      <c r="BJ103" s="316" t="s">
        <v>584</v>
      </c>
      <c r="BK103" s="463">
        <v>0.1</v>
      </c>
      <c r="BL103" s="316" t="s">
        <v>514</v>
      </c>
      <c r="BM103" s="316" t="s">
        <v>552</v>
      </c>
      <c r="BN103" s="463">
        <v>0</v>
      </c>
      <c r="BO103" s="728">
        <f t="shared" si="65"/>
        <v>0.5</v>
      </c>
      <c r="BP103" s="463">
        <v>0.4</v>
      </c>
      <c r="BQ103" s="316" t="s">
        <v>583</v>
      </c>
      <c r="BR103" s="316" t="s">
        <v>584</v>
      </c>
      <c r="BS103" s="463">
        <v>0.1</v>
      </c>
      <c r="BT103" s="316" t="s">
        <v>514</v>
      </c>
      <c r="BU103" s="316" t="s">
        <v>552</v>
      </c>
      <c r="BV103" s="463">
        <v>0</v>
      </c>
      <c r="BW103" s="463">
        <f t="shared" si="66"/>
        <v>0.5</v>
      </c>
      <c r="BX103" s="444"/>
      <c r="BY103" s="444"/>
      <c r="BZ103" s="444"/>
      <c r="CA103" s="434"/>
      <c r="CB103" s="723">
        <v>0.67800000000000005</v>
      </c>
      <c r="CC103" s="668" t="s">
        <v>950</v>
      </c>
      <c r="CD103" s="316" t="s">
        <v>583</v>
      </c>
      <c r="CE103" s="316" t="s">
        <v>584</v>
      </c>
      <c r="CF103" s="718">
        <v>0.6</v>
      </c>
      <c r="CG103" s="316" t="s">
        <v>514</v>
      </c>
      <c r="CH103" s="316" t="s">
        <v>552</v>
      </c>
      <c r="CI103" s="718">
        <v>0</v>
      </c>
    </row>
    <row r="104" spans="1:87" ht="15.75" customHeight="1" x14ac:dyDescent="0.2">
      <c r="A104" s="747" t="s">
        <v>88</v>
      </c>
      <c r="B104" s="469" t="s">
        <v>87</v>
      </c>
      <c r="C104" s="718">
        <v>0.4</v>
      </c>
      <c r="D104" s="469" t="s">
        <v>589</v>
      </c>
      <c r="E104" s="469" t="s">
        <v>590</v>
      </c>
      <c r="F104" s="718">
        <v>0.09</v>
      </c>
      <c r="G104" s="469" t="s">
        <v>2290</v>
      </c>
      <c r="H104" s="469" t="s">
        <v>2291</v>
      </c>
      <c r="I104" s="718">
        <v>0.01</v>
      </c>
      <c r="J104" s="748">
        <f t="shared" si="67"/>
        <v>0.5</v>
      </c>
      <c r="K104" s="718">
        <v>0.4</v>
      </c>
      <c r="L104" s="316" t="s">
        <v>589</v>
      </c>
      <c r="M104" s="316" t="s">
        <v>590</v>
      </c>
      <c r="N104" s="718">
        <v>0.09</v>
      </c>
      <c r="O104" s="316" t="s">
        <v>2290</v>
      </c>
      <c r="P104" s="316" t="s">
        <v>2291</v>
      </c>
      <c r="Q104" s="718">
        <v>0.01</v>
      </c>
      <c r="R104" s="728">
        <f t="shared" si="68"/>
        <v>0.5</v>
      </c>
      <c r="S104" s="718">
        <v>0.4</v>
      </c>
      <c r="T104" s="316" t="s">
        <v>589</v>
      </c>
      <c r="U104" s="316" t="s">
        <v>590</v>
      </c>
      <c r="V104" s="718">
        <v>0.09</v>
      </c>
      <c r="W104" s="316" t="s">
        <v>2290</v>
      </c>
      <c r="X104" s="316" t="s">
        <v>2291</v>
      </c>
      <c r="Y104" s="718">
        <v>0.01</v>
      </c>
      <c r="Z104" s="728">
        <f t="shared" ref="Z104:Z107" si="71">+S104+V104+Y104</f>
        <v>0.5</v>
      </c>
      <c r="AA104" s="718">
        <v>0.4</v>
      </c>
      <c r="AB104" s="316" t="s">
        <v>589</v>
      </c>
      <c r="AC104" s="316" t="s">
        <v>590</v>
      </c>
      <c r="AD104" s="718">
        <v>0.09</v>
      </c>
      <c r="AE104" s="316" t="s">
        <v>2290</v>
      </c>
      <c r="AF104" s="316" t="s">
        <v>2291</v>
      </c>
      <c r="AG104" s="718">
        <v>0.01</v>
      </c>
      <c r="AH104" s="728">
        <f t="shared" si="70"/>
        <v>0.5</v>
      </c>
      <c r="AI104" s="718">
        <v>0.4</v>
      </c>
      <c r="AJ104" s="316" t="s">
        <v>589</v>
      </c>
      <c r="AK104" s="316" t="s">
        <v>590</v>
      </c>
      <c r="AL104" s="718">
        <v>0.09</v>
      </c>
      <c r="AM104" s="316" t="s">
        <v>586</v>
      </c>
      <c r="AN104" s="316" t="s">
        <v>587</v>
      </c>
      <c r="AO104" s="718">
        <v>0.01</v>
      </c>
      <c r="AP104" s="728">
        <f t="shared" ref="AP104:AP109" si="72">+AI104+AL104+AO104</f>
        <v>0.5</v>
      </c>
      <c r="AQ104" s="718">
        <v>0.4</v>
      </c>
      <c r="AR104" s="316" t="s">
        <v>589</v>
      </c>
      <c r="AS104" s="316" t="s">
        <v>590</v>
      </c>
      <c r="AT104" s="718">
        <v>0.09</v>
      </c>
      <c r="AU104" s="316" t="s">
        <v>586</v>
      </c>
      <c r="AV104" s="316" t="s">
        <v>587</v>
      </c>
      <c r="AW104" s="718">
        <v>0.01</v>
      </c>
      <c r="AX104" s="463">
        <f t="shared" ref="AX104:AX109" si="73">+AQ104+AT104+AW104</f>
        <v>0.5</v>
      </c>
      <c r="AY104" s="661">
        <v>0.4</v>
      </c>
      <c r="AZ104" s="316" t="s">
        <v>589</v>
      </c>
      <c r="BA104" s="316" t="s">
        <v>590</v>
      </c>
      <c r="BB104" s="463">
        <v>0.09</v>
      </c>
      <c r="BC104" s="316" t="s">
        <v>586</v>
      </c>
      <c r="BD104" s="316" t="s">
        <v>587</v>
      </c>
      <c r="BE104" s="463">
        <v>0.01</v>
      </c>
      <c r="BF104" s="728">
        <f t="shared" ref="BF104:BF109" si="74">+AY104+BB104+BE104</f>
        <v>0.5</v>
      </c>
      <c r="BG104" s="463"/>
      <c r="BH104" s="463">
        <v>0.4</v>
      </c>
      <c r="BI104" s="316" t="s">
        <v>589</v>
      </c>
      <c r="BJ104" s="316" t="s">
        <v>590</v>
      </c>
      <c r="BK104" s="463">
        <v>0.09</v>
      </c>
      <c r="BL104" s="316" t="s">
        <v>586</v>
      </c>
      <c r="BM104" s="316" t="s">
        <v>587</v>
      </c>
      <c r="BN104" s="463">
        <v>0.01</v>
      </c>
      <c r="BO104" s="728">
        <f t="shared" ref="BO104:BO109" si="75">+BH104+BK104+BN104</f>
        <v>0.5</v>
      </c>
      <c r="BP104" s="463">
        <v>0.4</v>
      </c>
      <c r="BQ104" s="316" t="s">
        <v>589</v>
      </c>
      <c r="BR104" s="316" t="s">
        <v>590</v>
      </c>
      <c r="BS104" s="463">
        <v>0.09</v>
      </c>
      <c r="BT104" s="316" t="s">
        <v>586</v>
      </c>
      <c r="BU104" s="316" t="s">
        <v>587</v>
      </c>
      <c r="BV104" s="463">
        <v>0.01</v>
      </c>
      <c r="BW104" s="463">
        <f t="shared" ref="BW104:BW109" si="76">+BP104+BS104+BV104</f>
        <v>0.5</v>
      </c>
      <c r="BX104" s="444" t="s">
        <v>874</v>
      </c>
      <c r="BY104" s="444"/>
      <c r="BZ104" s="444"/>
      <c r="CA104" s="434"/>
      <c r="CB104" s="723">
        <v>0.67700000000000005</v>
      </c>
      <c r="CC104" s="668" t="s">
        <v>950</v>
      </c>
      <c r="CD104" s="316" t="s">
        <v>589</v>
      </c>
      <c r="CE104" s="316" t="s">
        <v>590</v>
      </c>
      <c r="CF104" s="718">
        <v>0.59</v>
      </c>
      <c r="CG104" s="316" t="s">
        <v>586</v>
      </c>
      <c r="CH104" s="316" t="s">
        <v>587</v>
      </c>
      <c r="CI104" s="718">
        <v>0.01</v>
      </c>
    </row>
    <row r="105" spans="1:87" ht="15" x14ac:dyDescent="0.2">
      <c r="A105" s="747" t="s">
        <v>90</v>
      </c>
      <c r="B105" s="469" t="s">
        <v>89</v>
      </c>
      <c r="C105" s="718">
        <v>0.4</v>
      </c>
      <c r="D105" s="469" t="s">
        <v>608</v>
      </c>
      <c r="E105" s="469" t="s">
        <v>609</v>
      </c>
      <c r="F105" s="718">
        <v>0.09</v>
      </c>
      <c r="G105" s="469" t="s">
        <v>606</v>
      </c>
      <c r="H105" s="469" t="s">
        <v>607</v>
      </c>
      <c r="I105" s="718">
        <v>0.01</v>
      </c>
      <c r="J105" s="748">
        <f t="shared" si="67"/>
        <v>0.5</v>
      </c>
      <c r="K105" s="718">
        <v>0.4</v>
      </c>
      <c r="L105" s="316" t="s">
        <v>608</v>
      </c>
      <c r="M105" s="316" t="s">
        <v>609</v>
      </c>
      <c r="N105" s="718">
        <v>0.09</v>
      </c>
      <c r="O105" s="316" t="s">
        <v>606</v>
      </c>
      <c r="P105" s="316" t="s">
        <v>607</v>
      </c>
      <c r="Q105" s="718">
        <v>0.01</v>
      </c>
      <c r="R105" s="728">
        <f t="shared" si="68"/>
        <v>0.5</v>
      </c>
      <c r="S105" s="718">
        <v>0.4</v>
      </c>
      <c r="T105" s="316" t="s">
        <v>608</v>
      </c>
      <c r="U105" s="316" t="s">
        <v>609</v>
      </c>
      <c r="V105" s="718">
        <v>0.09</v>
      </c>
      <c r="W105" s="316" t="s">
        <v>606</v>
      </c>
      <c r="X105" s="316" t="s">
        <v>607</v>
      </c>
      <c r="Y105" s="718">
        <v>0.01</v>
      </c>
      <c r="Z105" s="728">
        <f t="shared" si="71"/>
        <v>0.5</v>
      </c>
      <c r="AA105" s="718">
        <v>0.4</v>
      </c>
      <c r="AB105" s="316" t="s">
        <v>608</v>
      </c>
      <c r="AC105" s="316" t="s">
        <v>609</v>
      </c>
      <c r="AD105" s="718">
        <v>0.09</v>
      </c>
      <c r="AE105" s="316" t="s">
        <v>606</v>
      </c>
      <c r="AF105" s="316" t="s">
        <v>607</v>
      </c>
      <c r="AG105" s="718">
        <v>0.01</v>
      </c>
      <c r="AH105" s="728">
        <f t="shared" si="70"/>
        <v>0.5</v>
      </c>
      <c r="AI105" s="718">
        <v>0.4</v>
      </c>
      <c r="AJ105" s="316" t="s">
        <v>608</v>
      </c>
      <c r="AK105" s="316" t="s">
        <v>609</v>
      </c>
      <c r="AL105" s="718">
        <v>0.09</v>
      </c>
      <c r="AM105" s="316" t="s">
        <v>606</v>
      </c>
      <c r="AN105" s="316" t="s">
        <v>607</v>
      </c>
      <c r="AO105" s="718">
        <v>0.01</v>
      </c>
      <c r="AP105" s="728">
        <f t="shared" si="72"/>
        <v>0.5</v>
      </c>
      <c r="AQ105" s="718">
        <v>0.4</v>
      </c>
      <c r="AR105" s="316" t="s">
        <v>608</v>
      </c>
      <c r="AS105" s="316" t="s">
        <v>609</v>
      </c>
      <c r="AT105" s="718">
        <v>0.09</v>
      </c>
      <c r="AU105" s="316" t="s">
        <v>606</v>
      </c>
      <c r="AV105" s="316" t="s">
        <v>607</v>
      </c>
      <c r="AW105" s="718">
        <v>0.01</v>
      </c>
      <c r="AX105" s="463">
        <f t="shared" si="73"/>
        <v>0.5</v>
      </c>
      <c r="AY105" s="661">
        <v>0.4</v>
      </c>
      <c r="AZ105" s="316" t="s">
        <v>608</v>
      </c>
      <c r="BA105" s="316" t="s">
        <v>609</v>
      </c>
      <c r="BB105" s="463">
        <v>0.59</v>
      </c>
      <c r="BC105" s="316" t="s">
        <v>606</v>
      </c>
      <c r="BD105" s="316" t="s">
        <v>607</v>
      </c>
      <c r="BE105" s="463">
        <v>0.01</v>
      </c>
      <c r="BF105" s="728">
        <f t="shared" si="74"/>
        <v>1</v>
      </c>
      <c r="BG105" s="463"/>
      <c r="BH105" s="463">
        <v>0.4</v>
      </c>
      <c r="BI105" s="316" t="s">
        <v>608</v>
      </c>
      <c r="BJ105" s="316" t="s">
        <v>609</v>
      </c>
      <c r="BK105" s="463">
        <v>0.09</v>
      </c>
      <c r="BL105" s="316" t="s">
        <v>606</v>
      </c>
      <c r="BM105" s="316" t="s">
        <v>607</v>
      </c>
      <c r="BN105" s="463">
        <v>0.01</v>
      </c>
      <c r="BO105" s="728">
        <f t="shared" si="75"/>
        <v>0.5</v>
      </c>
      <c r="BP105" s="463">
        <v>0.4</v>
      </c>
      <c r="BQ105" s="316" t="s">
        <v>608</v>
      </c>
      <c r="BR105" s="316" t="s">
        <v>609</v>
      </c>
      <c r="BS105" s="463">
        <v>0.09</v>
      </c>
      <c r="BT105" s="316" t="s">
        <v>606</v>
      </c>
      <c r="BU105" s="316" t="s">
        <v>607</v>
      </c>
      <c r="BV105" s="463">
        <v>0.01</v>
      </c>
      <c r="BW105" s="463">
        <f t="shared" si="76"/>
        <v>0.5</v>
      </c>
      <c r="BX105" s="489" t="s">
        <v>874</v>
      </c>
      <c r="BY105" s="489"/>
      <c r="BZ105" s="489"/>
      <c r="CA105" s="434"/>
      <c r="CB105" s="723">
        <v>0.70599999999999996</v>
      </c>
      <c r="CC105" s="668" t="s">
        <v>950</v>
      </c>
      <c r="CD105" s="316" t="s">
        <v>608</v>
      </c>
      <c r="CE105" s="316" t="s">
        <v>609</v>
      </c>
      <c r="CF105" s="718">
        <v>0.59</v>
      </c>
      <c r="CG105" s="316" t="s">
        <v>606</v>
      </c>
      <c r="CH105" s="316" t="s">
        <v>607</v>
      </c>
      <c r="CI105" s="718">
        <v>0.01</v>
      </c>
    </row>
    <row r="106" spans="1:87" ht="15.75" customHeight="1" x14ac:dyDescent="0.2">
      <c r="A106" s="747" t="s">
        <v>92</v>
      </c>
      <c r="B106" s="469" t="s">
        <v>91</v>
      </c>
      <c r="C106" s="718">
        <v>0.4</v>
      </c>
      <c r="D106" s="469" t="s">
        <v>627</v>
      </c>
      <c r="E106" s="469" t="s">
        <v>628</v>
      </c>
      <c r="F106" s="718">
        <v>0.1</v>
      </c>
      <c r="G106" s="469" t="s">
        <v>514</v>
      </c>
      <c r="H106" s="469" t="s">
        <v>552</v>
      </c>
      <c r="I106" s="718">
        <v>0</v>
      </c>
      <c r="J106" s="748">
        <f t="shared" si="67"/>
        <v>0.5</v>
      </c>
      <c r="K106" s="718">
        <v>0.4</v>
      </c>
      <c r="L106" s="316" t="s">
        <v>627</v>
      </c>
      <c r="M106" s="316" t="s">
        <v>628</v>
      </c>
      <c r="N106" s="718">
        <v>0.1</v>
      </c>
      <c r="O106" s="316" t="s">
        <v>514</v>
      </c>
      <c r="P106" s="316" t="s">
        <v>552</v>
      </c>
      <c r="Q106" s="718">
        <v>0</v>
      </c>
      <c r="R106" s="728">
        <f t="shared" si="68"/>
        <v>0.5</v>
      </c>
      <c r="S106" s="718">
        <v>0.4</v>
      </c>
      <c r="T106" s="316" t="s">
        <v>627</v>
      </c>
      <c r="U106" s="316" t="s">
        <v>628</v>
      </c>
      <c r="V106" s="718">
        <v>0.1</v>
      </c>
      <c r="W106" s="316" t="s">
        <v>514</v>
      </c>
      <c r="X106" s="316" t="s">
        <v>552</v>
      </c>
      <c r="Y106" s="718">
        <v>0</v>
      </c>
      <c r="Z106" s="728">
        <f t="shared" si="71"/>
        <v>0.5</v>
      </c>
      <c r="AA106" s="718">
        <v>0.4</v>
      </c>
      <c r="AB106" s="316" t="s">
        <v>627</v>
      </c>
      <c r="AC106" s="316" t="s">
        <v>628</v>
      </c>
      <c r="AD106" s="718">
        <v>0.1</v>
      </c>
      <c r="AE106" s="316" t="s">
        <v>514</v>
      </c>
      <c r="AF106" s="316" t="s">
        <v>552</v>
      </c>
      <c r="AG106" s="718">
        <v>0</v>
      </c>
      <c r="AH106" s="728">
        <f t="shared" ref="AH106:AH111" si="77">+AA106+AD106+AG106</f>
        <v>0.5</v>
      </c>
      <c r="AI106" s="718">
        <v>0.4</v>
      </c>
      <c r="AJ106" s="316" t="s">
        <v>627</v>
      </c>
      <c r="AK106" s="316" t="s">
        <v>628</v>
      </c>
      <c r="AL106" s="718">
        <v>0.1</v>
      </c>
      <c r="AM106" s="316" t="s">
        <v>514</v>
      </c>
      <c r="AN106" s="316" t="s">
        <v>552</v>
      </c>
      <c r="AO106" s="718">
        <v>0</v>
      </c>
      <c r="AP106" s="728">
        <f t="shared" si="72"/>
        <v>0.5</v>
      </c>
      <c r="AQ106" s="718">
        <v>0.42499999999999999</v>
      </c>
      <c r="AR106" s="316" t="s">
        <v>627</v>
      </c>
      <c r="AS106" s="316" t="s">
        <v>628</v>
      </c>
      <c r="AT106" s="718">
        <v>0.32500000000000001</v>
      </c>
      <c r="AU106" s="316" t="s">
        <v>514</v>
      </c>
      <c r="AV106" s="316" t="s">
        <v>552</v>
      </c>
      <c r="AW106" s="718">
        <v>0</v>
      </c>
      <c r="AX106" s="463">
        <f t="shared" si="73"/>
        <v>0.75</v>
      </c>
      <c r="AY106" s="661">
        <v>0.4</v>
      </c>
      <c r="AZ106" s="316" t="s">
        <v>627</v>
      </c>
      <c r="BA106" s="316" t="s">
        <v>628</v>
      </c>
      <c r="BB106" s="463">
        <v>0.1</v>
      </c>
      <c r="BC106" s="316" t="s">
        <v>514</v>
      </c>
      <c r="BD106" s="316" t="s">
        <v>552</v>
      </c>
      <c r="BE106" s="463">
        <v>0</v>
      </c>
      <c r="BF106" s="728">
        <f t="shared" si="74"/>
        <v>0.5</v>
      </c>
      <c r="BG106" s="463"/>
      <c r="BH106" s="463">
        <v>0.4</v>
      </c>
      <c r="BI106" s="316" t="s">
        <v>627</v>
      </c>
      <c r="BJ106" s="316" t="s">
        <v>628</v>
      </c>
      <c r="BK106" s="463">
        <v>0.1</v>
      </c>
      <c r="BL106" s="316" t="s">
        <v>514</v>
      </c>
      <c r="BM106" s="316" t="s">
        <v>552</v>
      </c>
      <c r="BN106" s="463">
        <v>0</v>
      </c>
      <c r="BO106" s="728">
        <f t="shared" si="75"/>
        <v>0.5</v>
      </c>
      <c r="BP106" s="463">
        <v>0.4</v>
      </c>
      <c r="BQ106" s="316" t="s">
        <v>627</v>
      </c>
      <c r="BR106" s="316" t="s">
        <v>628</v>
      </c>
      <c r="BS106" s="463">
        <v>0.1</v>
      </c>
      <c r="BT106" s="316" t="s">
        <v>514</v>
      </c>
      <c r="BU106" s="316" t="s">
        <v>552</v>
      </c>
      <c r="BV106" s="463">
        <v>0</v>
      </c>
      <c r="BW106" s="463">
        <f t="shared" si="76"/>
        <v>0.5</v>
      </c>
      <c r="BX106" s="488" t="s">
        <v>874</v>
      </c>
      <c r="BY106" s="488"/>
      <c r="BZ106" s="488"/>
      <c r="CA106" s="434"/>
      <c r="CB106" s="723">
        <v>0.65700000000000003</v>
      </c>
      <c r="CC106" s="668" t="s">
        <v>950</v>
      </c>
      <c r="CD106" s="316" t="s">
        <v>627</v>
      </c>
      <c r="CE106" s="316" t="s">
        <v>628</v>
      </c>
      <c r="CF106" s="718">
        <v>0.6</v>
      </c>
      <c r="CG106" s="316" t="s">
        <v>514</v>
      </c>
      <c r="CH106" s="316" t="s">
        <v>552</v>
      </c>
      <c r="CI106" s="718">
        <v>0</v>
      </c>
    </row>
    <row r="107" spans="1:87" ht="15.75" customHeight="1" x14ac:dyDescent="0.2">
      <c r="A107" s="747" t="s">
        <v>94</v>
      </c>
      <c r="B107" s="469" t="s">
        <v>93</v>
      </c>
      <c r="C107" s="718">
        <v>0.3</v>
      </c>
      <c r="D107" s="469" t="s">
        <v>680</v>
      </c>
      <c r="E107" s="469" t="s">
        <v>681</v>
      </c>
      <c r="F107" s="718">
        <v>0.37</v>
      </c>
      <c r="G107" s="469" t="s">
        <v>514</v>
      </c>
      <c r="H107" s="469" t="s">
        <v>514</v>
      </c>
      <c r="I107" s="718">
        <v>0</v>
      </c>
      <c r="J107" s="748">
        <f t="shared" si="67"/>
        <v>0.66999999999999993</v>
      </c>
      <c r="K107" s="718">
        <v>0.3</v>
      </c>
      <c r="L107" s="316" t="s">
        <v>680</v>
      </c>
      <c r="M107" s="316" t="s">
        <v>681</v>
      </c>
      <c r="N107" s="718">
        <v>0.37</v>
      </c>
      <c r="O107" s="316" t="s">
        <v>514</v>
      </c>
      <c r="P107" s="316" t="s">
        <v>514</v>
      </c>
      <c r="Q107" s="718">
        <v>0</v>
      </c>
      <c r="R107" s="728">
        <f t="shared" si="68"/>
        <v>0.66999999999999993</v>
      </c>
      <c r="S107" s="718">
        <v>0.3</v>
      </c>
      <c r="T107" s="316" t="s">
        <v>680</v>
      </c>
      <c r="U107" s="316" t="s">
        <v>681</v>
      </c>
      <c r="V107" s="718">
        <v>0.37</v>
      </c>
      <c r="W107" s="316" t="s">
        <v>514</v>
      </c>
      <c r="X107" s="316" t="s">
        <v>514</v>
      </c>
      <c r="Y107" s="718">
        <v>0</v>
      </c>
      <c r="Z107" s="728">
        <f t="shared" si="71"/>
        <v>0.66999999999999993</v>
      </c>
      <c r="AA107" s="718">
        <v>0.3</v>
      </c>
      <c r="AB107" s="316" t="s">
        <v>680</v>
      </c>
      <c r="AC107" s="316" t="s">
        <v>681</v>
      </c>
      <c r="AD107" s="718">
        <v>0.37</v>
      </c>
      <c r="AE107" s="316" t="s">
        <v>514</v>
      </c>
      <c r="AF107" s="316" t="s">
        <v>514</v>
      </c>
      <c r="AG107" s="718">
        <v>0</v>
      </c>
      <c r="AH107" s="728">
        <f t="shared" si="77"/>
        <v>0.66999999999999993</v>
      </c>
      <c r="AI107" s="718">
        <v>0.3</v>
      </c>
      <c r="AJ107" s="316" t="s">
        <v>680</v>
      </c>
      <c r="AK107" s="316" t="s">
        <v>681</v>
      </c>
      <c r="AL107" s="718">
        <v>0.37</v>
      </c>
      <c r="AM107" s="316" t="s">
        <v>514</v>
      </c>
      <c r="AN107" s="316" t="s">
        <v>514</v>
      </c>
      <c r="AO107" s="718">
        <v>0</v>
      </c>
      <c r="AP107" s="728">
        <f t="shared" si="72"/>
        <v>0.66999999999999993</v>
      </c>
      <c r="AQ107" s="718">
        <v>0.48</v>
      </c>
      <c r="AR107" s="316" t="s">
        <v>680</v>
      </c>
      <c r="AS107" s="316" t="s">
        <v>681</v>
      </c>
      <c r="AT107" s="718">
        <v>0.27</v>
      </c>
      <c r="AU107" s="316" t="s">
        <v>514</v>
      </c>
      <c r="AV107" s="316" t="s">
        <v>514</v>
      </c>
      <c r="AW107" s="718">
        <v>0</v>
      </c>
      <c r="AX107" s="463">
        <f t="shared" si="73"/>
        <v>0.75</v>
      </c>
      <c r="AY107" s="661">
        <v>0.64</v>
      </c>
      <c r="AZ107" s="316" t="s">
        <v>680</v>
      </c>
      <c r="BA107" s="316" t="s">
        <v>681</v>
      </c>
      <c r="BB107" s="463">
        <v>0.36</v>
      </c>
      <c r="BC107" s="316" t="s">
        <v>514</v>
      </c>
      <c r="BD107" s="316" t="s">
        <v>514</v>
      </c>
      <c r="BE107" s="463">
        <v>0</v>
      </c>
      <c r="BF107" s="728">
        <f t="shared" si="74"/>
        <v>1</v>
      </c>
      <c r="BG107" s="463"/>
      <c r="BH107" s="463">
        <v>0.3</v>
      </c>
      <c r="BI107" s="316" t="s">
        <v>680</v>
      </c>
      <c r="BJ107" s="316" t="s">
        <v>681</v>
      </c>
      <c r="BK107" s="463">
        <v>0.37</v>
      </c>
      <c r="BL107" s="316" t="s">
        <v>514</v>
      </c>
      <c r="BM107" s="316" t="s">
        <v>514</v>
      </c>
      <c r="BN107" s="463">
        <v>0</v>
      </c>
      <c r="BO107" s="728">
        <f t="shared" si="75"/>
        <v>0.66999999999999993</v>
      </c>
      <c r="BP107" s="463">
        <v>0.3</v>
      </c>
      <c r="BQ107" s="316" t="s">
        <v>680</v>
      </c>
      <c r="BR107" s="316" t="s">
        <v>681</v>
      </c>
      <c r="BS107" s="463">
        <v>0.2</v>
      </c>
      <c r="BT107" s="316" t="s">
        <v>514</v>
      </c>
      <c r="BU107" s="316" t="s">
        <v>514</v>
      </c>
      <c r="BV107" s="463">
        <v>0</v>
      </c>
      <c r="BW107" s="463">
        <f t="shared" si="76"/>
        <v>0.5</v>
      </c>
      <c r="BX107" s="444"/>
      <c r="BY107" s="444"/>
      <c r="BZ107" s="444"/>
      <c r="CA107" s="436" t="s">
        <v>874</v>
      </c>
      <c r="CB107" s="723">
        <v>0.71899999999999997</v>
      </c>
      <c r="CC107" s="668" t="s">
        <v>950</v>
      </c>
      <c r="CD107" s="316" t="s">
        <v>680</v>
      </c>
      <c r="CE107" s="316" t="s">
        <v>681</v>
      </c>
      <c r="CF107" s="718">
        <v>0.2</v>
      </c>
      <c r="CG107" s="316" t="s">
        <v>514</v>
      </c>
      <c r="CH107" s="316" t="s">
        <v>514</v>
      </c>
      <c r="CI107" s="718">
        <v>0</v>
      </c>
    </row>
    <row r="108" spans="1:87" ht="15.75" customHeight="1" x14ac:dyDescent="0.2">
      <c r="A108" s="747" t="s">
        <v>96</v>
      </c>
      <c r="B108" s="469" t="s">
        <v>95</v>
      </c>
      <c r="C108" s="718">
        <v>0.4</v>
      </c>
      <c r="D108" s="469" t="s">
        <v>655</v>
      </c>
      <c r="E108" s="469" t="s">
        <v>656</v>
      </c>
      <c r="F108" s="718">
        <v>0.1</v>
      </c>
      <c r="G108" s="469" t="s">
        <v>514</v>
      </c>
      <c r="H108" s="469" t="s">
        <v>552</v>
      </c>
      <c r="I108" s="718">
        <v>0</v>
      </c>
      <c r="J108" s="748">
        <f t="shared" si="67"/>
        <v>0.5</v>
      </c>
      <c r="K108" s="718">
        <v>0.4</v>
      </c>
      <c r="L108" s="316" t="s">
        <v>655</v>
      </c>
      <c r="M108" s="316" t="s">
        <v>656</v>
      </c>
      <c r="N108" s="718">
        <v>0.1</v>
      </c>
      <c r="O108" s="316" t="s">
        <v>514</v>
      </c>
      <c r="P108" s="316" t="s">
        <v>552</v>
      </c>
      <c r="Q108" s="718">
        <v>0</v>
      </c>
      <c r="R108" s="728">
        <f t="shared" si="68"/>
        <v>0.5</v>
      </c>
      <c r="S108" s="718">
        <v>0.4</v>
      </c>
      <c r="T108" s="316" t="s">
        <v>655</v>
      </c>
      <c r="U108" s="316" t="s">
        <v>656</v>
      </c>
      <c r="V108" s="718">
        <v>0.1</v>
      </c>
      <c r="W108" s="316" t="s">
        <v>514</v>
      </c>
      <c r="X108" s="316" t="s">
        <v>552</v>
      </c>
      <c r="Y108" s="718">
        <v>0</v>
      </c>
      <c r="Z108" s="728">
        <f t="shared" ref="Z108:Z111" si="78">+S108+V108+Y108</f>
        <v>0.5</v>
      </c>
      <c r="AA108" s="718">
        <v>0.4</v>
      </c>
      <c r="AB108" s="316" t="s">
        <v>655</v>
      </c>
      <c r="AC108" s="316" t="s">
        <v>656</v>
      </c>
      <c r="AD108" s="718">
        <v>0.1</v>
      </c>
      <c r="AE108" s="316" t="s">
        <v>514</v>
      </c>
      <c r="AF108" s="316" t="s">
        <v>552</v>
      </c>
      <c r="AG108" s="718">
        <v>0</v>
      </c>
      <c r="AH108" s="728">
        <f t="shared" si="77"/>
        <v>0.5</v>
      </c>
      <c r="AI108" s="718">
        <v>0.4</v>
      </c>
      <c r="AJ108" s="316" t="s">
        <v>655</v>
      </c>
      <c r="AK108" s="316" t="s">
        <v>656</v>
      </c>
      <c r="AL108" s="718">
        <v>0.1</v>
      </c>
      <c r="AM108" s="316" t="s">
        <v>514</v>
      </c>
      <c r="AN108" s="316" t="s">
        <v>552</v>
      </c>
      <c r="AO108" s="718">
        <v>0</v>
      </c>
      <c r="AP108" s="728">
        <f t="shared" si="72"/>
        <v>0.5</v>
      </c>
      <c r="AQ108" s="718">
        <v>0.4</v>
      </c>
      <c r="AR108" s="316" t="s">
        <v>655</v>
      </c>
      <c r="AS108" s="316" t="s">
        <v>656</v>
      </c>
      <c r="AT108" s="718">
        <v>0.1</v>
      </c>
      <c r="AU108" s="316" t="s">
        <v>514</v>
      </c>
      <c r="AV108" s="316" t="s">
        <v>552</v>
      </c>
      <c r="AW108" s="718">
        <v>0</v>
      </c>
      <c r="AX108" s="463">
        <f t="shared" si="73"/>
        <v>0.5</v>
      </c>
      <c r="AY108" s="661">
        <v>0.3</v>
      </c>
      <c r="AZ108" s="316" t="s">
        <v>655</v>
      </c>
      <c r="BA108" s="316" t="s">
        <v>656</v>
      </c>
      <c r="BB108" s="463">
        <v>0.7</v>
      </c>
      <c r="BC108" s="316" t="s">
        <v>514</v>
      </c>
      <c r="BD108" s="316" t="s">
        <v>552</v>
      </c>
      <c r="BE108" s="463">
        <v>0</v>
      </c>
      <c r="BF108" s="728">
        <f t="shared" si="74"/>
        <v>1</v>
      </c>
      <c r="BG108" s="463"/>
      <c r="BH108" s="463">
        <v>0.4</v>
      </c>
      <c r="BI108" s="316" t="s">
        <v>655</v>
      </c>
      <c r="BJ108" s="316" t="s">
        <v>656</v>
      </c>
      <c r="BK108" s="463">
        <v>0.1</v>
      </c>
      <c r="BL108" s="316" t="s">
        <v>514</v>
      </c>
      <c r="BM108" s="316" t="s">
        <v>552</v>
      </c>
      <c r="BN108" s="463">
        <v>0</v>
      </c>
      <c r="BO108" s="728">
        <f t="shared" si="75"/>
        <v>0.5</v>
      </c>
      <c r="BP108" s="463">
        <v>0.4</v>
      </c>
      <c r="BQ108" s="316" t="s">
        <v>655</v>
      </c>
      <c r="BR108" s="316" t="s">
        <v>656</v>
      </c>
      <c r="BS108" s="463">
        <v>0.1</v>
      </c>
      <c r="BT108" s="316" t="s">
        <v>514</v>
      </c>
      <c r="BU108" s="316" t="s">
        <v>552</v>
      </c>
      <c r="BV108" s="463">
        <v>0</v>
      </c>
      <c r="BW108" s="463">
        <f t="shared" si="76"/>
        <v>0.5</v>
      </c>
      <c r="BX108" s="444"/>
      <c r="BY108" s="444"/>
      <c r="BZ108" s="444"/>
      <c r="CA108" s="434"/>
      <c r="CB108" s="723">
        <v>0.71899999999999997</v>
      </c>
      <c r="CC108" s="668" t="s">
        <v>950</v>
      </c>
      <c r="CD108" s="316" t="s">
        <v>655</v>
      </c>
      <c r="CE108" s="316" t="s">
        <v>656</v>
      </c>
      <c r="CF108" s="718">
        <v>0.6</v>
      </c>
      <c r="CG108" s="316" t="s">
        <v>514</v>
      </c>
      <c r="CH108" s="316" t="s">
        <v>552</v>
      </c>
      <c r="CI108" s="718">
        <v>0</v>
      </c>
    </row>
    <row r="109" spans="1:87" ht="15" x14ac:dyDescent="0.2">
      <c r="A109" s="747" t="s">
        <v>98</v>
      </c>
      <c r="B109" s="469" t="s">
        <v>97</v>
      </c>
      <c r="C109" s="718">
        <v>0.3</v>
      </c>
      <c r="D109" s="469" t="s">
        <v>680</v>
      </c>
      <c r="E109" s="469" t="s">
        <v>681</v>
      </c>
      <c r="F109" s="718">
        <v>0.37</v>
      </c>
      <c r="G109" s="469" t="s">
        <v>514</v>
      </c>
      <c r="H109" s="469" t="s">
        <v>514</v>
      </c>
      <c r="I109" s="718">
        <v>0</v>
      </c>
      <c r="J109" s="748">
        <f t="shared" si="67"/>
        <v>0.66999999999999993</v>
      </c>
      <c r="K109" s="718">
        <v>0.3</v>
      </c>
      <c r="L109" s="316" t="s">
        <v>680</v>
      </c>
      <c r="M109" s="316" t="s">
        <v>681</v>
      </c>
      <c r="N109" s="718">
        <v>0.37</v>
      </c>
      <c r="O109" s="316" t="s">
        <v>514</v>
      </c>
      <c r="P109" s="316" t="s">
        <v>514</v>
      </c>
      <c r="Q109" s="718">
        <v>0</v>
      </c>
      <c r="R109" s="728">
        <f t="shared" si="68"/>
        <v>0.66999999999999993</v>
      </c>
      <c r="S109" s="718">
        <v>0.3</v>
      </c>
      <c r="T109" s="316" t="s">
        <v>680</v>
      </c>
      <c r="U109" s="316" t="s">
        <v>681</v>
      </c>
      <c r="V109" s="718">
        <v>0.37</v>
      </c>
      <c r="W109" s="316" t="s">
        <v>514</v>
      </c>
      <c r="X109" s="316" t="s">
        <v>514</v>
      </c>
      <c r="Y109" s="718">
        <v>0</v>
      </c>
      <c r="Z109" s="728">
        <f t="shared" si="78"/>
        <v>0.66999999999999993</v>
      </c>
      <c r="AA109" s="718">
        <v>0.3</v>
      </c>
      <c r="AB109" s="316" t="s">
        <v>680</v>
      </c>
      <c r="AC109" s="316" t="s">
        <v>681</v>
      </c>
      <c r="AD109" s="718">
        <v>0.37</v>
      </c>
      <c r="AE109" s="316" t="s">
        <v>514</v>
      </c>
      <c r="AF109" s="316" t="s">
        <v>514</v>
      </c>
      <c r="AG109" s="718">
        <v>0</v>
      </c>
      <c r="AH109" s="728">
        <f t="shared" si="77"/>
        <v>0.66999999999999993</v>
      </c>
      <c r="AI109" s="718">
        <v>0.3</v>
      </c>
      <c r="AJ109" s="316" t="s">
        <v>680</v>
      </c>
      <c r="AK109" s="316" t="s">
        <v>681</v>
      </c>
      <c r="AL109" s="718">
        <v>0.37</v>
      </c>
      <c r="AM109" s="316" t="s">
        <v>514</v>
      </c>
      <c r="AN109" s="316" t="s">
        <v>514</v>
      </c>
      <c r="AO109" s="718">
        <v>0</v>
      </c>
      <c r="AP109" s="728">
        <f t="shared" si="72"/>
        <v>0.66999999999999993</v>
      </c>
      <c r="AQ109" s="718">
        <v>0.48</v>
      </c>
      <c r="AR109" s="316" t="s">
        <v>680</v>
      </c>
      <c r="AS109" s="316" t="s">
        <v>681</v>
      </c>
      <c r="AT109" s="718">
        <v>0.27</v>
      </c>
      <c r="AU109" s="316" t="s">
        <v>514</v>
      </c>
      <c r="AV109" s="316" t="s">
        <v>514</v>
      </c>
      <c r="AW109" s="718">
        <v>0</v>
      </c>
      <c r="AX109" s="463">
        <f t="shared" si="73"/>
        <v>0.75</v>
      </c>
      <c r="AY109" s="661">
        <v>0.64</v>
      </c>
      <c r="AZ109" s="316" t="s">
        <v>680</v>
      </c>
      <c r="BA109" s="316" t="s">
        <v>681</v>
      </c>
      <c r="BB109" s="463">
        <v>0.36</v>
      </c>
      <c r="BC109" s="316" t="s">
        <v>514</v>
      </c>
      <c r="BD109" s="316" t="s">
        <v>514</v>
      </c>
      <c r="BE109" s="463">
        <v>0</v>
      </c>
      <c r="BF109" s="728">
        <f t="shared" si="74"/>
        <v>1</v>
      </c>
      <c r="BG109" s="463"/>
      <c r="BH109" s="463">
        <v>0.3</v>
      </c>
      <c r="BI109" s="316" t="s">
        <v>680</v>
      </c>
      <c r="BJ109" s="316" t="s">
        <v>681</v>
      </c>
      <c r="BK109" s="463">
        <v>0.37</v>
      </c>
      <c r="BL109" s="316" t="s">
        <v>514</v>
      </c>
      <c r="BM109" s="316" t="s">
        <v>514</v>
      </c>
      <c r="BN109" s="463">
        <v>0</v>
      </c>
      <c r="BO109" s="728">
        <f t="shared" si="75"/>
        <v>0.66999999999999993</v>
      </c>
      <c r="BP109" s="463">
        <v>0.3</v>
      </c>
      <c r="BQ109" s="316" t="s">
        <v>680</v>
      </c>
      <c r="BR109" s="316" t="s">
        <v>681</v>
      </c>
      <c r="BS109" s="463">
        <v>0.2</v>
      </c>
      <c r="BT109" s="316" t="s">
        <v>514</v>
      </c>
      <c r="BU109" s="316" t="s">
        <v>514</v>
      </c>
      <c r="BV109" s="463">
        <v>0</v>
      </c>
      <c r="BW109" s="463">
        <f t="shared" si="76"/>
        <v>0.5</v>
      </c>
      <c r="BX109" s="444"/>
      <c r="BY109" s="444"/>
      <c r="BZ109" s="444"/>
      <c r="CA109" s="436" t="s">
        <v>874</v>
      </c>
      <c r="CB109" s="723">
        <v>0.76</v>
      </c>
      <c r="CC109" s="668" t="s">
        <v>950</v>
      </c>
      <c r="CD109" s="316" t="s">
        <v>680</v>
      </c>
      <c r="CE109" s="316" t="s">
        <v>681</v>
      </c>
      <c r="CF109" s="718">
        <v>0.2</v>
      </c>
      <c r="CG109" s="316" t="s">
        <v>514</v>
      </c>
      <c r="CH109" s="316" t="s">
        <v>514</v>
      </c>
      <c r="CI109" s="718">
        <v>0</v>
      </c>
    </row>
    <row r="110" spans="1:87" ht="15.75" customHeight="1" x14ac:dyDescent="0.2">
      <c r="A110" s="747" t="s">
        <v>100</v>
      </c>
      <c r="B110" s="469" t="s">
        <v>541</v>
      </c>
      <c r="C110" s="718">
        <v>0.99</v>
      </c>
      <c r="D110" s="469" t="s">
        <v>514</v>
      </c>
      <c r="E110" s="469" t="s">
        <v>515</v>
      </c>
      <c r="F110" s="718">
        <v>0</v>
      </c>
      <c r="G110" s="469" t="s">
        <v>542</v>
      </c>
      <c r="H110" s="469" t="s">
        <v>543</v>
      </c>
      <c r="I110" s="718">
        <v>0.01</v>
      </c>
      <c r="J110" s="748">
        <f t="shared" si="67"/>
        <v>1</v>
      </c>
      <c r="K110" s="718">
        <v>0.99</v>
      </c>
      <c r="L110" s="316" t="s">
        <v>514</v>
      </c>
      <c r="M110" s="316" t="s">
        <v>515</v>
      </c>
      <c r="N110" s="718">
        <v>0</v>
      </c>
      <c r="O110" s="316" t="s">
        <v>542</v>
      </c>
      <c r="P110" s="316" t="s">
        <v>543</v>
      </c>
      <c r="Q110" s="718">
        <v>0.01</v>
      </c>
      <c r="R110" s="728">
        <f t="shared" si="68"/>
        <v>1</v>
      </c>
      <c r="S110" s="718">
        <v>0.99</v>
      </c>
      <c r="T110" s="316" t="s">
        <v>514</v>
      </c>
      <c r="U110" s="316" t="s">
        <v>515</v>
      </c>
      <c r="V110" s="718">
        <v>0</v>
      </c>
      <c r="W110" s="316" t="s">
        <v>542</v>
      </c>
      <c r="X110" s="316" t="s">
        <v>543</v>
      </c>
      <c r="Y110" s="718">
        <v>0.01</v>
      </c>
      <c r="Z110" s="728">
        <f t="shared" si="78"/>
        <v>1</v>
      </c>
      <c r="AA110" s="718">
        <v>0.99</v>
      </c>
      <c r="AB110" s="316" t="s">
        <v>514</v>
      </c>
      <c r="AC110" s="316" t="s">
        <v>515</v>
      </c>
      <c r="AD110" s="718">
        <v>0</v>
      </c>
      <c r="AE110" s="316" t="s">
        <v>542</v>
      </c>
      <c r="AF110" s="316" t="s">
        <v>543</v>
      </c>
      <c r="AG110" s="718">
        <v>0.01</v>
      </c>
      <c r="AH110" s="728">
        <f t="shared" si="77"/>
        <v>1</v>
      </c>
      <c r="AI110" s="718">
        <v>0.99</v>
      </c>
      <c r="AJ110" s="316" t="s">
        <v>514</v>
      </c>
      <c r="AK110" s="316" t="s">
        <v>515</v>
      </c>
      <c r="AL110" s="718">
        <v>0</v>
      </c>
      <c r="AM110" s="316" t="s">
        <v>542</v>
      </c>
      <c r="AN110" s="316" t="s">
        <v>543</v>
      </c>
      <c r="AO110" s="718">
        <v>0.01</v>
      </c>
      <c r="AP110" s="728">
        <f t="shared" ref="AP110:AP115" si="79">+AI110+AL110+AO110</f>
        <v>1</v>
      </c>
      <c r="AQ110" s="718">
        <v>0.99</v>
      </c>
      <c r="AR110" s="316" t="s">
        <v>514</v>
      </c>
      <c r="AS110" s="316" t="s">
        <v>515</v>
      </c>
      <c r="AT110" s="718">
        <v>0</v>
      </c>
      <c r="AU110" s="316" t="s">
        <v>542</v>
      </c>
      <c r="AV110" s="316" t="s">
        <v>543</v>
      </c>
      <c r="AW110" s="718">
        <v>0.01</v>
      </c>
      <c r="AX110" s="463">
        <f t="shared" ref="AX110:AX115" si="80">+AQ110+AT110+AW110</f>
        <v>1</v>
      </c>
      <c r="AY110" s="661">
        <v>0.99</v>
      </c>
      <c r="AZ110" s="316" t="s">
        <v>514</v>
      </c>
      <c r="BA110" s="316" t="s">
        <v>515</v>
      </c>
      <c r="BB110" s="463">
        <v>0</v>
      </c>
      <c r="BC110" s="316" t="s">
        <v>542</v>
      </c>
      <c r="BD110" s="316" t="s">
        <v>543</v>
      </c>
      <c r="BE110" s="463">
        <v>0.01</v>
      </c>
      <c r="BF110" s="728">
        <f t="shared" ref="BF110:BF115" si="81">+AY110+BB110+BE110</f>
        <v>1</v>
      </c>
      <c r="BG110" s="463"/>
      <c r="BH110" s="463">
        <v>0.99</v>
      </c>
      <c r="BI110" s="316" t="s">
        <v>514</v>
      </c>
      <c r="BJ110" s="316" t="s">
        <v>515</v>
      </c>
      <c r="BK110" s="463">
        <v>0</v>
      </c>
      <c r="BL110" s="316" t="s">
        <v>542</v>
      </c>
      <c r="BM110" s="316" t="s">
        <v>543</v>
      </c>
      <c r="BN110" s="463">
        <v>0.01</v>
      </c>
      <c r="BO110" s="728">
        <f t="shared" ref="BO110:BO115" si="82">+BH110+BK110+BN110</f>
        <v>1</v>
      </c>
      <c r="BP110" s="463">
        <v>0.49</v>
      </c>
      <c r="BQ110" s="316" t="s">
        <v>514</v>
      </c>
      <c r="BR110" s="316" t="s">
        <v>515</v>
      </c>
      <c r="BS110" s="463">
        <v>0</v>
      </c>
      <c r="BT110" s="316" t="s">
        <v>542</v>
      </c>
      <c r="BU110" s="316" t="s">
        <v>543</v>
      </c>
      <c r="BV110" s="463">
        <v>0.01</v>
      </c>
      <c r="BW110" s="463">
        <f t="shared" ref="BW110:BW115" si="83">+BP110+BS110+BV110</f>
        <v>0.5</v>
      </c>
      <c r="BX110" s="444" t="s">
        <v>874</v>
      </c>
      <c r="BY110" s="444" t="s">
        <v>874</v>
      </c>
      <c r="BZ110" s="444"/>
      <c r="CA110" s="436" t="s">
        <v>874</v>
      </c>
      <c r="CB110" s="723">
        <v>0.67500000000000004</v>
      </c>
      <c r="CC110" s="668" t="s">
        <v>950</v>
      </c>
      <c r="CD110" s="316" t="s">
        <v>514</v>
      </c>
      <c r="CE110" s="316" t="s">
        <v>515</v>
      </c>
      <c r="CF110" s="718">
        <v>0</v>
      </c>
      <c r="CG110" s="316" t="s">
        <v>542</v>
      </c>
      <c r="CH110" s="316" t="s">
        <v>543</v>
      </c>
      <c r="CI110" s="718">
        <v>0.01</v>
      </c>
    </row>
    <row r="111" spans="1:87" ht="15.75" customHeight="1" x14ac:dyDescent="0.2">
      <c r="A111" s="747" t="s">
        <v>102</v>
      </c>
      <c r="B111" s="469" t="s">
        <v>682</v>
      </c>
      <c r="C111" s="718">
        <v>0.3</v>
      </c>
      <c r="D111" s="469" t="s">
        <v>680</v>
      </c>
      <c r="E111" s="469" t="s">
        <v>681</v>
      </c>
      <c r="F111" s="718">
        <v>0.37</v>
      </c>
      <c r="G111" s="469" t="s">
        <v>514</v>
      </c>
      <c r="H111" s="469" t="s">
        <v>514</v>
      </c>
      <c r="I111" s="718">
        <v>0</v>
      </c>
      <c r="J111" s="748">
        <f t="shared" si="67"/>
        <v>0.66999999999999993</v>
      </c>
      <c r="K111" s="718">
        <v>0.3</v>
      </c>
      <c r="L111" s="316" t="s">
        <v>680</v>
      </c>
      <c r="M111" s="316" t="s">
        <v>681</v>
      </c>
      <c r="N111" s="718">
        <v>0.37</v>
      </c>
      <c r="O111" s="316" t="s">
        <v>514</v>
      </c>
      <c r="P111" s="316" t="s">
        <v>514</v>
      </c>
      <c r="Q111" s="718">
        <v>0</v>
      </c>
      <c r="R111" s="728">
        <f t="shared" si="68"/>
        <v>0.66999999999999993</v>
      </c>
      <c r="S111" s="718">
        <v>0.3</v>
      </c>
      <c r="T111" s="316" t="s">
        <v>680</v>
      </c>
      <c r="U111" s="316" t="s">
        <v>681</v>
      </c>
      <c r="V111" s="718">
        <v>0.37</v>
      </c>
      <c r="W111" s="316" t="s">
        <v>514</v>
      </c>
      <c r="X111" s="316" t="s">
        <v>514</v>
      </c>
      <c r="Y111" s="718">
        <v>0</v>
      </c>
      <c r="Z111" s="728">
        <f t="shared" si="78"/>
        <v>0.66999999999999993</v>
      </c>
      <c r="AA111" s="718">
        <v>0.3</v>
      </c>
      <c r="AB111" s="316" t="s">
        <v>680</v>
      </c>
      <c r="AC111" s="316" t="s">
        <v>681</v>
      </c>
      <c r="AD111" s="718">
        <v>0.37</v>
      </c>
      <c r="AE111" s="316" t="s">
        <v>514</v>
      </c>
      <c r="AF111" s="316" t="s">
        <v>514</v>
      </c>
      <c r="AG111" s="718">
        <v>0</v>
      </c>
      <c r="AH111" s="728">
        <f t="shared" si="77"/>
        <v>0.66999999999999993</v>
      </c>
      <c r="AI111" s="718">
        <v>0.3</v>
      </c>
      <c r="AJ111" s="316" t="s">
        <v>680</v>
      </c>
      <c r="AK111" s="316" t="s">
        <v>681</v>
      </c>
      <c r="AL111" s="718">
        <v>0.37</v>
      </c>
      <c r="AM111" s="316" t="s">
        <v>514</v>
      </c>
      <c r="AN111" s="316" t="s">
        <v>514</v>
      </c>
      <c r="AO111" s="718">
        <v>0</v>
      </c>
      <c r="AP111" s="728">
        <f t="shared" si="79"/>
        <v>0.66999999999999993</v>
      </c>
      <c r="AQ111" s="718">
        <v>0.48</v>
      </c>
      <c r="AR111" s="316" t="s">
        <v>680</v>
      </c>
      <c r="AS111" s="316" t="s">
        <v>681</v>
      </c>
      <c r="AT111" s="718">
        <v>0.27</v>
      </c>
      <c r="AU111" s="316" t="s">
        <v>514</v>
      </c>
      <c r="AV111" s="316" t="s">
        <v>514</v>
      </c>
      <c r="AW111" s="718">
        <v>0</v>
      </c>
      <c r="AX111" s="463">
        <f t="shared" si="80"/>
        <v>0.75</v>
      </c>
      <c r="AY111" s="661">
        <v>0.64</v>
      </c>
      <c r="AZ111" s="316" t="s">
        <v>680</v>
      </c>
      <c r="BA111" s="316" t="s">
        <v>681</v>
      </c>
      <c r="BB111" s="463">
        <v>0.36</v>
      </c>
      <c r="BC111" s="316" t="s">
        <v>514</v>
      </c>
      <c r="BD111" s="316" t="s">
        <v>514</v>
      </c>
      <c r="BE111" s="463">
        <v>0</v>
      </c>
      <c r="BF111" s="728">
        <f t="shared" si="81"/>
        <v>1</v>
      </c>
      <c r="BG111" s="463"/>
      <c r="BH111" s="463">
        <v>0.3</v>
      </c>
      <c r="BI111" s="316" t="s">
        <v>680</v>
      </c>
      <c r="BJ111" s="316" t="s">
        <v>681</v>
      </c>
      <c r="BK111" s="463">
        <v>0.37</v>
      </c>
      <c r="BL111" s="316" t="s">
        <v>514</v>
      </c>
      <c r="BM111" s="316" t="s">
        <v>514</v>
      </c>
      <c r="BN111" s="463">
        <v>0</v>
      </c>
      <c r="BO111" s="728">
        <f t="shared" si="82"/>
        <v>0.66999999999999993</v>
      </c>
      <c r="BP111" s="463">
        <v>0.3</v>
      </c>
      <c r="BQ111" s="316" t="s">
        <v>680</v>
      </c>
      <c r="BR111" s="316" t="s">
        <v>681</v>
      </c>
      <c r="BS111" s="463">
        <v>0.2</v>
      </c>
      <c r="BT111" s="316" t="s">
        <v>514</v>
      </c>
      <c r="BU111" s="316" t="s">
        <v>514</v>
      </c>
      <c r="BV111" s="463">
        <v>0</v>
      </c>
      <c r="BW111" s="463">
        <f t="shared" si="83"/>
        <v>0.5</v>
      </c>
      <c r="BX111" s="444"/>
      <c r="BY111" s="444"/>
      <c r="BZ111" s="444"/>
      <c r="CA111" s="436" t="s">
        <v>874</v>
      </c>
      <c r="CB111" s="723">
        <v>0.75700000000000001</v>
      </c>
      <c r="CC111" s="668" t="s">
        <v>950</v>
      </c>
      <c r="CD111" s="316" t="s">
        <v>680</v>
      </c>
      <c r="CE111" s="316" t="s">
        <v>681</v>
      </c>
      <c r="CF111" s="718">
        <v>0.2</v>
      </c>
      <c r="CG111" s="316" t="s">
        <v>514</v>
      </c>
      <c r="CH111" s="316" t="s">
        <v>514</v>
      </c>
      <c r="CI111" s="718">
        <v>0</v>
      </c>
    </row>
    <row r="112" spans="1:87" ht="15.75" customHeight="1" x14ac:dyDescent="0.2">
      <c r="A112" s="747" t="s">
        <v>104</v>
      </c>
      <c r="B112" s="469" t="s">
        <v>103</v>
      </c>
      <c r="C112" s="718">
        <v>0.4</v>
      </c>
      <c r="D112" s="469" t="s">
        <v>621</v>
      </c>
      <c r="E112" s="469" t="s">
        <v>622</v>
      </c>
      <c r="F112" s="718">
        <v>0.09</v>
      </c>
      <c r="G112" s="469" t="s">
        <v>618</v>
      </c>
      <c r="H112" s="469" t="s">
        <v>619</v>
      </c>
      <c r="I112" s="718">
        <v>0.01</v>
      </c>
      <c r="J112" s="748">
        <f t="shared" si="67"/>
        <v>0.5</v>
      </c>
      <c r="K112" s="718">
        <v>0.4</v>
      </c>
      <c r="L112" s="316" t="s">
        <v>621</v>
      </c>
      <c r="M112" s="316" t="s">
        <v>622</v>
      </c>
      <c r="N112" s="718">
        <v>0.09</v>
      </c>
      <c r="O112" s="316" t="s">
        <v>618</v>
      </c>
      <c r="P112" s="316" t="s">
        <v>619</v>
      </c>
      <c r="Q112" s="718">
        <v>0.01</v>
      </c>
      <c r="R112" s="728">
        <f t="shared" si="68"/>
        <v>0.5</v>
      </c>
      <c r="S112" s="718">
        <v>0.4</v>
      </c>
      <c r="T112" s="316" t="s">
        <v>621</v>
      </c>
      <c r="U112" s="316" t="s">
        <v>622</v>
      </c>
      <c r="V112" s="718">
        <v>0.09</v>
      </c>
      <c r="W112" s="316" t="s">
        <v>618</v>
      </c>
      <c r="X112" s="316" t="s">
        <v>619</v>
      </c>
      <c r="Y112" s="718">
        <v>0.01</v>
      </c>
      <c r="Z112" s="728">
        <f t="shared" ref="Z112:Z115" si="84">+S112+V112+Y112</f>
        <v>0.5</v>
      </c>
      <c r="AA112" s="718">
        <v>0.4</v>
      </c>
      <c r="AB112" s="316" t="s">
        <v>621</v>
      </c>
      <c r="AC112" s="316" t="s">
        <v>622</v>
      </c>
      <c r="AD112" s="718">
        <v>0.09</v>
      </c>
      <c r="AE112" s="316" t="s">
        <v>618</v>
      </c>
      <c r="AF112" s="316" t="s">
        <v>619</v>
      </c>
      <c r="AG112" s="718">
        <v>0.01</v>
      </c>
      <c r="AH112" s="728">
        <f t="shared" ref="AH112:AH117" si="85">+AA112+AD112+AG112</f>
        <v>0.5</v>
      </c>
      <c r="AI112" s="718">
        <v>0.4</v>
      </c>
      <c r="AJ112" s="316" t="s">
        <v>621</v>
      </c>
      <c r="AK112" s="316" t="s">
        <v>622</v>
      </c>
      <c r="AL112" s="718">
        <v>0.09</v>
      </c>
      <c r="AM112" s="316" t="s">
        <v>618</v>
      </c>
      <c r="AN112" s="316" t="s">
        <v>619</v>
      </c>
      <c r="AO112" s="718">
        <v>0.01</v>
      </c>
      <c r="AP112" s="728">
        <f t="shared" si="79"/>
        <v>0.5</v>
      </c>
      <c r="AQ112" s="718">
        <v>0.375</v>
      </c>
      <c r="AR112" s="316" t="s">
        <v>621</v>
      </c>
      <c r="AS112" s="316" t="s">
        <v>622</v>
      </c>
      <c r="AT112" s="718">
        <v>0.36499999999999999</v>
      </c>
      <c r="AU112" s="316" t="s">
        <v>618</v>
      </c>
      <c r="AV112" s="316" t="s">
        <v>619</v>
      </c>
      <c r="AW112" s="718">
        <v>0.01</v>
      </c>
      <c r="AX112" s="463">
        <f t="shared" si="80"/>
        <v>0.75</v>
      </c>
      <c r="AY112" s="661">
        <v>0.4</v>
      </c>
      <c r="AZ112" s="316" t="s">
        <v>621</v>
      </c>
      <c r="BA112" s="316" t="s">
        <v>622</v>
      </c>
      <c r="BB112" s="463">
        <v>0.09</v>
      </c>
      <c r="BC112" s="316" t="s">
        <v>618</v>
      </c>
      <c r="BD112" s="316" t="s">
        <v>619</v>
      </c>
      <c r="BE112" s="463">
        <v>0.01</v>
      </c>
      <c r="BF112" s="728">
        <f t="shared" si="81"/>
        <v>0.5</v>
      </c>
      <c r="BG112" s="463"/>
      <c r="BH112" s="463">
        <v>0.4</v>
      </c>
      <c r="BI112" s="316" t="s">
        <v>621</v>
      </c>
      <c r="BJ112" s="316" t="s">
        <v>622</v>
      </c>
      <c r="BK112" s="463">
        <v>0.09</v>
      </c>
      <c r="BL112" s="316" t="s">
        <v>618</v>
      </c>
      <c r="BM112" s="316" t="s">
        <v>619</v>
      </c>
      <c r="BN112" s="463">
        <v>0.01</v>
      </c>
      <c r="BO112" s="728">
        <f t="shared" si="82"/>
        <v>0.5</v>
      </c>
      <c r="BP112" s="463">
        <v>0.4</v>
      </c>
      <c r="BQ112" s="316" t="s">
        <v>621</v>
      </c>
      <c r="BR112" s="316" t="s">
        <v>622</v>
      </c>
      <c r="BS112" s="463">
        <v>0.09</v>
      </c>
      <c r="BT112" s="316" t="s">
        <v>618</v>
      </c>
      <c r="BU112" s="316" t="s">
        <v>619</v>
      </c>
      <c r="BV112" s="463">
        <v>0.01</v>
      </c>
      <c r="BW112" s="463">
        <f t="shared" si="83"/>
        <v>0.5</v>
      </c>
      <c r="BX112" s="444"/>
      <c r="BY112" s="444"/>
      <c r="BZ112" s="444"/>
      <c r="CA112" s="434"/>
      <c r="CB112" s="723">
        <v>0.70199999999999996</v>
      </c>
      <c r="CC112" s="668" t="s">
        <v>950</v>
      </c>
      <c r="CD112" s="316" t="s">
        <v>621</v>
      </c>
      <c r="CE112" s="316" t="s">
        <v>622</v>
      </c>
      <c r="CF112" s="718">
        <v>0.59</v>
      </c>
      <c r="CG112" s="316" t="s">
        <v>618</v>
      </c>
      <c r="CH112" s="316" t="s">
        <v>619</v>
      </c>
      <c r="CI112" s="718">
        <v>0.01</v>
      </c>
    </row>
    <row r="113" spans="1:87" ht="15" x14ac:dyDescent="0.2">
      <c r="A113" s="747" t="s">
        <v>106</v>
      </c>
      <c r="B113" s="469" t="s">
        <v>105</v>
      </c>
      <c r="C113" s="718">
        <v>0.3</v>
      </c>
      <c r="D113" s="469" t="s">
        <v>680</v>
      </c>
      <c r="E113" s="469" t="s">
        <v>681</v>
      </c>
      <c r="F113" s="718">
        <v>0.37</v>
      </c>
      <c r="G113" s="469" t="s">
        <v>514</v>
      </c>
      <c r="H113" s="469" t="s">
        <v>514</v>
      </c>
      <c r="I113" s="718">
        <v>0</v>
      </c>
      <c r="J113" s="748">
        <f t="shared" si="67"/>
        <v>0.66999999999999993</v>
      </c>
      <c r="K113" s="718">
        <v>0.3</v>
      </c>
      <c r="L113" s="316" t="s">
        <v>680</v>
      </c>
      <c r="M113" s="316" t="s">
        <v>681</v>
      </c>
      <c r="N113" s="718">
        <v>0.37</v>
      </c>
      <c r="O113" s="316" t="s">
        <v>514</v>
      </c>
      <c r="P113" s="316" t="s">
        <v>514</v>
      </c>
      <c r="Q113" s="718">
        <v>0</v>
      </c>
      <c r="R113" s="728">
        <f t="shared" si="68"/>
        <v>0.66999999999999993</v>
      </c>
      <c r="S113" s="718">
        <v>0.3</v>
      </c>
      <c r="T113" s="316" t="s">
        <v>680</v>
      </c>
      <c r="U113" s="316" t="s">
        <v>681</v>
      </c>
      <c r="V113" s="718">
        <v>0.37</v>
      </c>
      <c r="W113" s="316" t="s">
        <v>514</v>
      </c>
      <c r="X113" s="316" t="s">
        <v>514</v>
      </c>
      <c r="Y113" s="718">
        <v>0</v>
      </c>
      <c r="Z113" s="728">
        <f t="shared" si="84"/>
        <v>0.66999999999999993</v>
      </c>
      <c r="AA113" s="718">
        <v>0.3</v>
      </c>
      <c r="AB113" s="316" t="s">
        <v>680</v>
      </c>
      <c r="AC113" s="316" t="s">
        <v>681</v>
      </c>
      <c r="AD113" s="718">
        <v>0.37</v>
      </c>
      <c r="AE113" s="316" t="s">
        <v>514</v>
      </c>
      <c r="AF113" s="316" t="s">
        <v>514</v>
      </c>
      <c r="AG113" s="718">
        <v>0</v>
      </c>
      <c r="AH113" s="728">
        <f t="shared" si="85"/>
        <v>0.66999999999999993</v>
      </c>
      <c r="AI113" s="718">
        <v>0.3</v>
      </c>
      <c r="AJ113" s="316" t="s">
        <v>680</v>
      </c>
      <c r="AK113" s="316" t="s">
        <v>681</v>
      </c>
      <c r="AL113" s="718">
        <v>0.37</v>
      </c>
      <c r="AM113" s="316" t="s">
        <v>514</v>
      </c>
      <c r="AN113" s="316" t="s">
        <v>514</v>
      </c>
      <c r="AO113" s="718">
        <v>0</v>
      </c>
      <c r="AP113" s="728">
        <f t="shared" si="79"/>
        <v>0.66999999999999993</v>
      </c>
      <c r="AQ113" s="718">
        <v>0.48</v>
      </c>
      <c r="AR113" s="316" t="s">
        <v>680</v>
      </c>
      <c r="AS113" s="316" t="s">
        <v>681</v>
      </c>
      <c r="AT113" s="718">
        <v>0.27</v>
      </c>
      <c r="AU113" s="316" t="s">
        <v>514</v>
      </c>
      <c r="AV113" s="316" t="s">
        <v>514</v>
      </c>
      <c r="AW113" s="718">
        <v>0</v>
      </c>
      <c r="AX113" s="463">
        <f t="shared" si="80"/>
        <v>0.75</v>
      </c>
      <c r="AY113" s="661">
        <v>0.64</v>
      </c>
      <c r="AZ113" s="316" t="s">
        <v>680</v>
      </c>
      <c r="BA113" s="316" t="s">
        <v>681</v>
      </c>
      <c r="BB113" s="463">
        <v>0.36</v>
      </c>
      <c r="BC113" s="316" t="s">
        <v>514</v>
      </c>
      <c r="BD113" s="316" t="s">
        <v>514</v>
      </c>
      <c r="BE113" s="463">
        <v>0</v>
      </c>
      <c r="BF113" s="728">
        <f t="shared" si="81"/>
        <v>1</v>
      </c>
      <c r="BG113" s="463"/>
      <c r="BH113" s="463">
        <v>0.3</v>
      </c>
      <c r="BI113" s="316" t="s">
        <v>680</v>
      </c>
      <c r="BJ113" s="316" t="s">
        <v>681</v>
      </c>
      <c r="BK113" s="463">
        <v>0.37</v>
      </c>
      <c r="BL113" s="316" t="s">
        <v>514</v>
      </c>
      <c r="BM113" s="316" t="s">
        <v>514</v>
      </c>
      <c r="BN113" s="463">
        <v>0</v>
      </c>
      <c r="BO113" s="728">
        <f t="shared" si="82"/>
        <v>0.66999999999999993</v>
      </c>
      <c r="BP113" s="463">
        <v>0.3</v>
      </c>
      <c r="BQ113" s="316" t="s">
        <v>680</v>
      </c>
      <c r="BR113" s="316" t="s">
        <v>681</v>
      </c>
      <c r="BS113" s="463">
        <v>0.2</v>
      </c>
      <c r="BT113" s="316" t="s">
        <v>514</v>
      </c>
      <c r="BU113" s="316" t="s">
        <v>514</v>
      </c>
      <c r="BV113" s="463">
        <v>0</v>
      </c>
      <c r="BW113" s="463">
        <f t="shared" si="83"/>
        <v>0.5</v>
      </c>
      <c r="BX113" s="444"/>
      <c r="BY113" s="444"/>
      <c r="BZ113" s="444"/>
      <c r="CA113" s="436" t="s">
        <v>874</v>
      </c>
      <c r="CB113" s="723">
        <v>0.75800000000000001</v>
      </c>
      <c r="CC113" s="668" t="s">
        <v>950</v>
      </c>
      <c r="CD113" s="316" t="s">
        <v>680</v>
      </c>
      <c r="CE113" s="316" t="s">
        <v>681</v>
      </c>
      <c r="CF113" s="718">
        <v>0.2</v>
      </c>
      <c r="CG113" s="316" t="s">
        <v>514</v>
      </c>
      <c r="CH113" s="316" t="s">
        <v>514</v>
      </c>
      <c r="CI113" s="718">
        <v>0</v>
      </c>
    </row>
    <row r="114" spans="1:87" ht="15.75" customHeight="1" x14ac:dyDescent="0.2">
      <c r="A114" s="747" t="s">
        <v>108</v>
      </c>
      <c r="B114" s="469" t="s">
        <v>107</v>
      </c>
      <c r="C114" s="718">
        <v>0.4</v>
      </c>
      <c r="D114" s="469" t="s">
        <v>581</v>
      </c>
      <c r="E114" s="469" t="s">
        <v>582</v>
      </c>
      <c r="F114" s="718">
        <v>0.09</v>
      </c>
      <c r="G114" s="469" t="s">
        <v>578</v>
      </c>
      <c r="H114" s="469" t="s">
        <v>1244</v>
      </c>
      <c r="I114" s="718">
        <v>0.01</v>
      </c>
      <c r="J114" s="748">
        <f t="shared" si="67"/>
        <v>0.5</v>
      </c>
      <c r="K114" s="718">
        <v>0.4</v>
      </c>
      <c r="L114" s="316" t="s">
        <v>581</v>
      </c>
      <c r="M114" s="316" t="s">
        <v>582</v>
      </c>
      <c r="N114" s="718">
        <v>0.09</v>
      </c>
      <c r="O114" s="316" t="s">
        <v>578</v>
      </c>
      <c r="P114" s="316" t="s">
        <v>1244</v>
      </c>
      <c r="Q114" s="718">
        <v>0.01</v>
      </c>
      <c r="R114" s="728">
        <f t="shared" si="68"/>
        <v>0.5</v>
      </c>
      <c r="S114" s="718">
        <v>0.4</v>
      </c>
      <c r="T114" s="316" t="s">
        <v>581</v>
      </c>
      <c r="U114" s="316" t="s">
        <v>582</v>
      </c>
      <c r="V114" s="718">
        <v>0.09</v>
      </c>
      <c r="W114" s="316" t="s">
        <v>578</v>
      </c>
      <c r="X114" s="316" t="s">
        <v>1244</v>
      </c>
      <c r="Y114" s="718">
        <v>0.01</v>
      </c>
      <c r="Z114" s="728">
        <f t="shared" si="84"/>
        <v>0.5</v>
      </c>
      <c r="AA114" s="718">
        <v>0.4</v>
      </c>
      <c r="AB114" s="316" t="s">
        <v>581</v>
      </c>
      <c r="AC114" s="316" t="s">
        <v>582</v>
      </c>
      <c r="AD114" s="718">
        <v>0.09</v>
      </c>
      <c r="AE114" s="316" t="s">
        <v>578</v>
      </c>
      <c r="AF114" s="316" t="s">
        <v>1244</v>
      </c>
      <c r="AG114" s="718">
        <v>0.01</v>
      </c>
      <c r="AH114" s="728">
        <f t="shared" si="85"/>
        <v>0.5</v>
      </c>
      <c r="AI114" s="718">
        <v>0.4</v>
      </c>
      <c r="AJ114" s="316" t="s">
        <v>581</v>
      </c>
      <c r="AK114" s="316" t="s">
        <v>582</v>
      </c>
      <c r="AL114" s="718">
        <v>0.09</v>
      </c>
      <c r="AM114" s="316" t="s">
        <v>578</v>
      </c>
      <c r="AN114" s="316" t="s">
        <v>1244</v>
      </c>
      <c r="AO114" s="718">
        <v>0.01</v>
      </c>
      <c r="AP114" s="728">
        <f t="shared" si="79"/>
        <v>0.5</v>
      </c>
      <c r="AQ114" s="718">
        <v>0.4</v>
      </c>
      <c r="AR114" s="316" t="s">
        <v>581</v>
      </c>
      <c r="AS114" s="316" t="s">
        <v>582</v>
      </c>
      <c r="AT114" s="718">
        <v>0.09</v>
      </c>
      <c r="AU114" s="316" t="s">
        <v>578</v>
      </c>
      <c r="AV114" s="316" t="s">
        <v>1244</v>
      </c>
      <c r="AW114" s="718">
        <v>0.01</v>
      </c>
      <c r="AX114" s="463">
        <f t="shared" si="80"/>
        <v>0.5</v>
      </c>
      <c r="AY114" s="661">
        <v>0.4</v>
      </c>
      <c r="AZ114" s="316" t="s">
        <v>581</v>
      </c>
      <c r="BA114" s="316" t="s">
        <v>582</v>
      </c>
      <c r="BB114" s="463">
        <v>0.09</v>
      </c>
      <c r="BC114" s="316" t="s">
        <v>578</v>
      </c>
      <c r="BD114" s="316" t="s">
        <v>579</v>
      </c>
      <c r="BE114" s="463">
        <v>0.01</v>
      </c>
      <c r="BF114" s="728">
        <f t="shared" si="81"/>
        <v>0.5</v>
      </c>
      <c r="BG114" s="463"/>
      <c r="BH114" s="463">
        <v>0.4</v>
      </c>
      <c r="BI114" s="316" t="s">
        <v>581</v>
      </c>
      <c r="BJ114" s="316" t="s">
        <v>582</v>
      </c>
      <c r="BK114" s="463">
        <v>0.09</v>
      </c>
      <c r="BL114" s="316" t="s">
        <v>578</v>
      </c>
      <c r="BM114" s="316" t="s">
        <v>579</v>
      </c>
      <c r="BN114" s="463">
        <v>0.01</v>
      </c>
      <c r="BO114" s="728">
        <f t="shared" si="82"/>
        <v>0.5</v>
      </c>
      <c r="BP114" s="463">
        <v>0.4</v>
      </c>
      <c r="BQ114" s="316" t="s">
        <v>581</v>
      </c>
      <c r="BR114" s="316" t="s">
        <v>582</v>
      </c>
      <c r="BS114" s="463">
        <v>0.09</v>
      </c>
      <c r="BT114" s="316" t="s">
        <v>578</v>
      </c>
      <c r="BU114" s="316" t="s">
        <v>579</v>
      </c>
      <c r="BV114" s="463">
        <v>0.01</v>
      </c>
      <c r="BW114" s="463">
        <f t="shared" si="83"/>
        <v>0.5</v>
      </c>
      <c r="BX114" s="444" t="s">
        <v>874</v>
      </c>
      <c r="BY114" s="444"/>
      <c r="BZ114" s="444"/>
      <c r="CA114" s="434"/>
      <c r="CB114" s="723">
        <v>0.74099999999999999</v>
      </c>
      <c r="CC114" s="668" t="s">
        <v>950</v>
      </c>
      <c r="CD114" s="316" t="s">
        <v>581</v>
      </c>
      <c r="CE114" s="316" t="s">
        <v>582</v>
      </c>
      <c r="CF114" s="718">
        <v>0.59</v>
      </c>
      <c r="CG114" s="316" t="s">
        <v>578</v>
      </c>
      <c r="CH114" s="316" t="s">
        <v>579</v>
      </c>
      <c r="CI114" s="718">
        <v>0.01</v>
      </c>
    </row>
    <row r="115" spans="1:87" ht="15.75" customHeight="1" x14ac:dyDescent="0.2">
      <c r="A115" s="747" t="s">
        <v>110</v>
      </c>
      <c r="B115" s="469" t="s">
        <v>109</v>
      </c>
      <c r="C115" s="718">
        <v>0.3</v>
      </c>
      <c r="D115" s="469" t="s">
        <v>680</v>
      </c>
      <c r="E115" s="469" t="s">
        <v>681</v>
      </c>
      <c r="F115" s="718">
        <v>0.37</v>
      </c>
      <c r="G115" s="469" t="s">
        <v>514</v>
      </c>
      <c r="H115" s="469" t="s">
        <v>514</v>
      </c>
      <c r="I115" s="718">
        <v>0</v>
      </c>
      <c r="J115" s="748">
        <f t="shared" si="67"/>
        <v>0.66999999999999993</v>
      </c>
      <c r="K115" s="718">
        <v>0.3</v>
      </c>
      <c r="L115" s="316" t="s">
        <v>680</v>
      </c>
      <c r="M115" s="316" t="s">
        <v>681</v>
      </c>
      <c r="N115" s="718">
        <v>0.37</v>
      </c>
      <c r="O115" s="316" t="s">
        <v>514</v>
      </c>
      <c r="P115" s="316" t="s">
        <v>514</v>
      </c>
      <c r="Q115" s="718">
        <v>0</v>
      </c>
      <c r="R115" s="728">
        <f t="shared" si="68"/>
        <v>0.66999999999999993</v>
      </c>
      <c r="S115" s="718">
        <v>0.3</v>
      </c>
      <c r="T115" s="316" t="s">
        <v>680</v>
      </c>
      <c r="U115" s="316" t="s">
        <v>681</v>
      </c>
      <c r="V115" s="718">
        <v>0.37</v>
      </c>
      <c r="W115" s="316" t="s">
        <v>514</v>
      </c>
      <c r="X115" s="316" t="s">
        <v>514</v>
      </c>
      <c r="Y115" s="718">
        <v>0</v>
      </c>
      <c r="Z115" s="728">
        <f t="shared" si="84"/>
        <v>0.66999999999999993</v>
      </c>
      <c r="AA115" s="718">
        <v>0.3</v>
      </c>
      <c r="AB115" s="316" t="s">
        <v>680</v>
      </c>
      <c r="AC115" s="316" t="s">
        <v>681</v>
      </c>
      <c r="AD115" s="718">
        <v>0.37</v>
      </c>
      <c r="AE115" s="316" t="s">
        <v>514</v>
      </c>
      <c r="AF115" s="316" t="s">
        <v>514</v>
      </c>
      <c r="AG115" s="718">
        <v>0</v>
      </c>
      <c r="AH115" s="728">
        <f t="shared" si="85"/>
        <v>0.66999999999999993</v>
      </c>
      <c r="AI115" s="718">
        <v>0.3</v>
      </c>
      <c r="AJ115" s="316" t="s">
        <v>680</v>
      </c>
      <c r="AK115" s="316" t="s">
        <v>681</v>
      </c>
      <c r="AL115" s="718">
        <v>0.37</v>
      </c>
      <c r="AM115" s="316" t="s">
        <v>514</v>
      </c>
      <c r="AN115" s="316" t="s">
        <v>514</v>
      </c>
      <c r="AO115" s="718">
        <v>0</v>
      </c>
      <c r="AP115" s="728">
        <f t="shared" si="79"/>
        <v>0.66999999999999993</v>
      </c>
      <c r="AQ115" s="718">
        <v>0.48</v>
      </c>
      <c r="AR115" s="316" t="s">
        <v>680</v>
      </c>
      <c r="AS115" s="316" t="s">
        <v>681</v>
      </c>
      <c r="AT115" s="718">
        <v>0.27</v>
      </c>
      <c r="AU115" s="316" t="s">
        <v>514</v>
      </c>
      <c r="AV115" s="316" t="s">
        <v>514</v>
      </c>
      <c r="AW115" s="718">
        <v>0</v>
      </c>
      <c r="AX115" s="463">
        <f t="shared" si="80"/>
        <v>0.75</v>
      </c>
      <c r="AY115" s="661">
        <v>0.64</v>
      </c>
      <c r="AZ115" s="316" t="s">
        <v>680</v>
      </c>
      <c r="BA115" s="316" t="s">
        <v>681</v>
      </c>
      <c r="BB115" s="463">
        <v>0.36</v>
      </c>
      <c r="BC115" s="316" t="s">
        <v>514</v>
      </c>
      <c r="BD115" s="316" t="s">
        <v>514</v>
      </c>
      <c r="BE115" s="463">
        <v>0</v>
      </c>
      <c r="BF115" s="728">
        <f t="shared" si="81"/>
        <v>1</v>
      </c>
      <c r="BG115" s="463"/>
      <c r="BH115" s="463">
        <v>0.3</v>
      </c>
      <c r="BI115" s="316" t="s">
        <v>680</v>
      </c>
      <c r="BJ115" s="316" t="s">
        <v>681</v>
      </c>
      <c r="BK115" s="463">
        <v>0.37</v>
      </c>
      <c r="BL115" s="316" t="s">
        <v>514</v>
      </c>
      <c r="BM115" s="316" t="s">
        <v>514</v>
      </c>
      <c r="BN115" s="463">
        <v>0</v>
      </c>
      <c r="BO115" s="728">
        <f t="shared" si="82"/>
        <v>0.66999999999999993</v>
      </c>
      <c r="BP115" s="463">
        <v>0.3</v>
      </c>
      <c r="BQ115" s="316" t="s">
        <v>680</v>
      </c>
      <c r="BR115" s="316" t="s">
        <v>681</v>
      </c>
      <c r="BS115" s="463">
        <v>0.2</v>
      </c>
      <c r="BT115" s="316" t="s">
        <v>514</v>
      </c>
      <c r="BU115" s="316" t="s">
        <v>514</v>
      </c>
      <c r="BV115" s="463">
        <v>0</v>
      </c>
      <c r="BW115" s="463">
        <f t="shared" si="83"/>
        <v>0.5</v>
      </c>
      <c r="BX115" s="444"/>
      <c r="BY115" s="444"/>
      <c r="BZ115" s="444"/>
      <c r="CA115" s="436" t="s">
        <v>874</v>
      </c>
      <c r="CB115" s="723">
        <v>0.76100000000000001</v>
      </c>
      <c r="CC115" s="668" t="s">
        <v>950</v>
      </c>
      <c r="CD115" s="316" t="s">
        <v>680</v>
      </c>
      <c r="CE115" s="316" t="s">
        <v>681</v>
      </c>
      <c r="CF115" s="718">
        <v>0.2</v>
      </c>
      <c r="CG115" s="316" t="s">
        <v>514</v>
      </c>
      <c r="CH115" s="316" t="s">
        <v>514</v>
      </c>
      <c r="CI115" s="718">
        <v>0</v>
      </c>
    </row>
    <row r="116" spans="1:87" ht="15" x14ac:dyDescent="0.2">
      <c r="A116" s="747" t="s">
        <v>112</v>
      </c>
      <c r="B116" s="469" t="s">
        <v>111</v>
      </c>
      <c r="C116" s="718">
        <v>0.4</v>
      </c>
      <c r="D116" s="469" t="s">
        <v>589</v>
      </c>
      <c r="E116" s="469" t="s">
        <v>590</v>
      </c>
      <c r="F116" s="718">
        <v>0.09</v>
      </c>
      <c r="G116" s="469" t="s">
        <v>2290</v>
      </c>
      <c r="H116" s="469" t="s">
        <v>2291</v>
      </c>
      <c r="I116" s="718">
        <v>0.01</v>
      </c>
      <c r="J116" s="748">
        <f t="shared" si="67"/>
        <v>0.5</v>
      </c>
      <c r="K116" s="718">
        <v>0.4</v>
      </c>
      <c r="L116" s="316" t="s">
        <v>589</v>
      </c>
      <c r="M116" s="316" t="s">
        <v>590</v>
      </c>
      <c r="N116" s="718">
        <v>0.09</v>
      </c>
      <c r="O116" s="316" t="s">
        <v>2290</v>
      </c>
      <c r="P116" s="316" t="s">
        <v>2291</v>
      </c>
      <c r="Q116" s="718">
        <v>0.01</v>
      </c>
      <c r="R116" s="728">
        <f t="shared" si="68"/>
        <v>0.5</v>
      </c>
      <c r="S116" s="718">
        <v>0.4</v>
      </c>
      <c r="T116" s="316" t="s">
        <v>589</v>
      </c>
      <c r="U116" s="316" t="s">
        <v>590</v>
      </c>
      <c r="V116" s="718">
        <v>0.09</v>
      </c>
      <c r="W116" s="316" t="s">
        <v>2290</v>
      </c>
      <c r="X116" s="316" t="s">
        <v>2291</v>
      </c>
      <c r="Y116" s="718">
        <v>0.01</v>
      </c>
      <c r="Z116" s="728">
        <f t="shared" ref="Z116:Z119" si="86">+S116+V116+Y116</f>
        <v>0.5</v>
      </c>
      <c r="AA116" s="718">
        <v>0.4</v>
      </c>
      <c r="AB116" s="316" t="s">
        <v>589</v>
      </c>
      <c r="AC116" s="316" t="s">
        <v>590</v>
      </c>
      <c r="AD116" s="718">
        <v>0.09</v>
      </c>
      <c r="AE116" s="316" t="s">
        <v>2290</v>
      </c>
      <c r="AF116" s="316" t="s">
        <v>2291</v>
      </c>
      <c r="AG116" s="718">
        <v>0.01</v>
      </c>
      <c r="AH116" s="728">
        <f t="shared" si="85"/>
        <v>0.5</v>
      </c>
      <c r="AI116" s="718">
        <v>0.4</v>
      </c>
      <c r="AJ116" s="316" t="s">
        <v>589</v>
      </c>
      <c r="AK116" s="316" t="s">
        <v>590</v>
      </c>
      <c r="AL116" s="718">
        <v>0.09</v>
      </c>
      <c r="AM116" s="316" t="s">
        <v>586</v>
      </c>
      <c r="AN116" s="316" t="s">
        <v>1341</v>
      </c>
      <c r="AO116" s="718">
        <v>0.01</v>
      </c>
      <c r="AP116" s="728">
        <f t="shared" ref="AP116:AP121" si="87">+AI116+AL116+AO116</f>
        <v>0.5</v>
      </c>
      <c r="AQ116" s="718">
        <v>0.4</v>
      </c>
      <c r="AR116" s="316" t="s">
        <v>589</v>
      </c>
      <c r="AS116" s="316" t="s">
        <v>590</v>
      </c>
      <c r="AT116" s="718">
        <v>0.09</v>
      </c>
      <c r="AU116" s="316" t="s">
        <v>586</v>
      </c>
      <c r="AV116" s="316" t="s">
        <v>587</v>
      </c>
      <c r="AW116" s="718">
        <v>0.01</v>
      </c>
      <c r="AX116" s="463">
        <f t="shared" ref="AX116:AX121" si="88">+AQ116+AT116+AW116</f>
        <v>0.5</v>
      </c>
      <c r="AY116" s="661">
        <v>0.4</v>
      </c>
      <c r="AZ116" s="316" t="s">
        <v>589</v>
      </c>
      <c r="BA116" s="316" t="s">
        <v>590</v>
      </c>
      <c r="BB116" s="463">
        <v>0.09</v>
      </c>
      <c r="BC116" s="316" t="s">
        <v>586</v>
      </c>
      <c r="BD116" s="316" t="s">
        <v>587</v>
      </c>
      <c r="BE116" s="463">
        <v>0.01</v>
      </c>
      <c r="BF116" s="728">
        <f t="shared" ref="BF116:BF121" si="89">+AY116+BB116+BE116</f>
        <v>0.5</v>
      </c>
      <c r="BG116" s="463"/>
      <c r="BH116" s="463">
        <v>0.4</v>
      </c>
      <c r="BI116" s="316" t="s">
        <v>589</v>
      </c>
      <c r="BJ116" s="316" t="s">
        <v>590</v>
      </c>
      <c r="BK116" s="463">
        <v>0.09</v>
      </c>
      <c r="BL116" s="316" t="s">
        <v>586</v>
      </c>
      <c r="BM116" s="316" t="s">
        <v>587</v>
      </c>
      <c r="BN116" s="463">
        <v>0.01</v>
      </c>
      <c r="BO116" s="728">
        <f t="shared" ref="BO116:BO121" si="90">+BH116+BK116+BN116</f>
        <v>0.5</v>
      </c>
      <c r="BP116" s="463">
        <v>0.4</v>
      </c>
      <c r="BQ116" s="316" t="s">
        <v>589</v>
      </c>
      <c r="BR116" s="316" t="s">
        <v>590</v>
      </c>
      <c r="BS116" s="463">
        <v>0.09</v>
      </c>
      <c r="BT116" s="316" t="s">
        <v>586</v>
      </c>
      <c r="BU116" s="316" t="s">
        <v>587</v>
      </c>
      <c r="BV116" s="463">
        <v>0.01</v>
      </c>
      <c r="BW116" s="463">
        <f t="shared" ref="BW116:BW121" si="91">+BP116+BS116+BV116</f>
        <v>0.5</v>
      </c>
      <c r="BX116" s="444"/>
      <c r="BY116" s="444"/>
      <c r="BZ116" s="444"/>
      <c r="CA116" s="434"/>
      <c r="CB116" s="723">
        <v>0.74199999999999999</v>
      </c>
      <c r="CC116" s="668" t="s">
        <v>950</v>
      </c>
      <c r="CD116" s="316" t="s">
        <v>589</v>
      </c>
      <c r="CE116" s="316" t="s">
        <v>590</v>
      </c>
      <c r="CF116" s="718">
        <v>0.59</v>
      </c>
      <c r="CG116" s="316" t="s">
        <v>586</v>
      </c>
      <c r="CH116" s="316" t="s">
        <v>587</v>
      </c>
      <c r="CI116" s="718">
        <v>0.01</v>
      </c>
    </row>
    <row r="117" spans="1:87" ht="15.75" customHeight="1" x14ac:dyDescent="0.2">
      <c r="A117" s="747" t="s">
        <v>114</v>
      </c>
      <c r="B117" s="469" t="s">
        <v>546</v>
      </c>
      <c r="C117" s="718">
        <v>0.49</v>
      </c>
      <c r="D117" s="469" t="s">
        <v>514</v>
      </c>
      <c r="E117" s="469" t="s">
        <v>515</v>
      </c>
      <c r="F117" s="718">
        <v>0</v>
      </c>
      <c r="G117" s="469" t="s">
        <v>547</v>
      </c>
      <c r="H117" s="469" t="s">
        <v>548</v>
      </c>
      <c r="I117" s="718">
        <v>0.01</v>
      </c>
      <c r="J117" s="748">
        <f t="shared" si="67"/>
        <v>0.5</v>
      </c>
      <c r="K117" s="718">
        <v>0.49</v>
      </c>
      <c r="L117" s="316" t="s">
        <v>514</v>
      </c>
      <c r="M117" s="316" t="s">
        <v>515</v>
      </c>
      <c r="N117" s="718">
        <v>0</v>
      </c>
      <c r="O117" s="316" t="s">
        <v>547</v>
      </c>
      <c r="P117" s="316" t="s">
        <v>548</v>
      </c>
      <c r="Q117" s="718">
        <v>0.01</v>
      </c>
      <c r="R117" s="728">
        <f t="shared" si="68"/>
        <v>0.5</v>
      </c>
      <c r="S117" s="718">
        <v>0.49</v>
      </c>
      <c r="T117" s="316" t="s">
        <v>514</v>
      </c>
      <c r="U117" s="316" t="s">
        <v>515</v>
      </c>
      <c r="V117" s="718">
        <v>0</v>
      </c>
      <c r="W117" s="316" t="s">
        <v>547</v>
      </c>
      <c r="X117" s="316" t="s">
        <v>548</v>
      </c>
      <c r="Y117" s="718">
        <v>0.01</v>
      </c>
      <c r="Z117" s="728">
        <f t="shared" si="86"/>
        <v>0.5</v>
      </c>
      <c r="AA117" s="718">
        <v>0.49</v>
      </c>
      <c r="AB117" s="316" t="s">
        <v>514</v>
      </c>
      <c r="AC117" s="316" t="s">
        <v>515</v>
      </c>
      <c r="AD117" s="718">
        <v>0</v>
      </c>
      <c r="AE117" s="316" t="s">
        <v>547</v>
      </c>
      <c r="AF117" s="316" t="s">
        <v>548</v>
      </c>
      <c r="AG117" s="718">
        <v>0.01</v>
      </c>
      <c r="AH117" s="728">
        <f t="shared" si="85"/>
        <v>0.5</v>
      </c>
      <c r="AI117" s="718">
        <v>0.49</v>
      </c>
      <c r="AJ117" s="316" t="s">
        <v>514</v>
      </c>
      <c r="AK117" s="316" t="s">
        <v>515</v>
      </c>
      <c r="AL117" s="718">
        <v>0</v>
      </c>
      <c r="AM117" s="316" t="s">
        <v>547</v>
      </c>
      <c r="AN117" s="316" t="s">
        <v>548</v>
      </c>
      <c r="AO117" s="718">
        <v>0.01</v>
      </c>
      <c r="AP117" s="728">
        <f t="shared" si="87"/>
        <v>0.5</v>
      </c>
      <c r="AQ117" s="718">
        <v>0.49</v>
      </c>
      <c r="AR117" s="316" t="s">
        <v>514</v>
      </c>
      <c r="AS117" s="316" t="s">
        <v>515</v>
      </c>
      <c r="AT117" s="718">
        <v>0</v>
      </c>
      <c r="AU117" s="316" t="s">
        <v>547</v>
      </c>
      <c r="AV117" s="316" t="s">
        <v>548</v>
      </c>
      <c r="AW117" s="718">
        <v>0.01</v>
      </c>
      <c r="AX117" s="463">
        <f t="shared" si="88"/>
        <v>0.5</v>
      </c>
      <c r="AY117" s="661">
        <v>0.49</v>
      </c>
      <c r="AZ117" s="316" t="s">
        <v>514</v>
      </c>
      <c r="BA117" s="316" t="s">
        <v>515</v>
      </c>
      <c r="BB117" s="463">
        <v>0</v>
      </c>
      <c r="BC117" s="316" t="s">
        <v>547</v>
      </c>
      <c r="BD117" s="316" t="s">
        <v>548</v>
      </c>
      <c r="BE117" s="463">
        <v>0.01</v>
      </c>
      <c r="BF117" s="728">
        <f t="shared" si="89"/>
        <v>0.5</v>
      </c>
      <c r="BG117" s="463"/>
      <c r="BH117" s="463">
        <v>0.49</v>
      </c>
      <c r="BI117" s="316" t="s">
        <v>514</v>
      </c>
      <c r="BJ117" s="316" t="s">
        <v>515</v>
      </c>
      <c r="BK117" s="463">
        <v>0</v>
      </c>
      <c r="BL117" s="316" t="s">
        <v>547</v>
      </c>
      <c r="BM117" s="316" t="s">
        <v>548</v>
      </c>
      <c r="BN117" s="463">
        <v>0.01</v>
      </c>
      <c r="BO117" s="728">
        <f t="shared" si="90"/>
        <v>0.5</v>
      </c>
      <c r="BP117" s="463">
        <v>0.49</v>
      </c>
      <c r="BQ117" s="316" t="s">
        <v>514</v>
      </c>
      <c r="BR117" s="316" t="s">
        <v>515</v>
      </c>
      <c r="BS117" s="463">
        <v>0</v>
      </c>
      <c r="BT117" s="316" t="s">
        <v>547</v>
      </c>
      <c r="BU117" s="316" t="s">
        <v>548</v>
      </c>
      <c r="BV117" s="463">
        <v>0.01</v>
      </c>
      <c r="BW117" s="463">
        <f t="shared" si="91"/>
        <v>0.5</v>
      </c>
      <c r="BX117" s="444" t="s">
        <v>874</v>
      </c>
      <c r="BY117" s="444" t="s">
        <v>874</v>
      </c>
      <c r="BZ117" s="444"/>
      <c r="CA117" s="436" t="s">
        <v>874</v>
      </c>
      <c r="CB117" s="723">
        <v>0.65200000000000002</v>
      </c>
      <c r="CC117" s="668" t="s">
        <v>950</v>
      </c>
      <c r="CD117" s="316" t="s">
        <v>514</v>
      </c>
      <c r="CE117" s="316" t="s">
        <v>515</v>
      </c>
      <c r="CF117" s="718">
        <v>0</v>
      </c>
      <c r="CG117" s="316" t="s">
        <v>547</v>
      </c>
      <c r="CH117" s="316" t="s">
        <v>548</v>
      </c>
      <c r="CI117" s="718">
        <v>0.01</v>
      </c>
    </row>
    <row r="118" spans="1:87" ht="15.75" customHeight="1" x14ac:dyDescent="0.2">
      <c r="A118" s="747" t="s">
        <v>116</v>
      </c>
      <c r="B118" s="469" t="s">
        <v>115</v>
      </c>
      <c r="C118" s="718">
        <v>0.4</v>
      </c>
      <c r="D118" s="469" t="s">
        <v>575</v>
      </c>
      <c r="E118" s="469" t="s">
        <v>576</v>
      </c>
      <c r="F118" s="718">
        <v>0.09</v>
      </c>
      <c r="G118" s="469" t="s">
        <v>573</v>
      </c>
      <c r="H118" s="469" t="s">
        <v>574</v>
      </c>
      <c r="I118" s="718">
        <v>0.01</v>
      </c>
      <c r="J118" s="748">
        <f t="shared" si="67"/>
        <v>0.5</v>
      </c>
      <c r="K118" s="718">
        <v>0.4</v>
      </c>
      <c r="L118" s="316" t="s">
        <v>575</v>
      </c>
      <c r="M118" s="316" t="s">
        <v>576</v>
      </c>
      <c r="N118" s="718">
        <v>0.09</v>
      </c>
      <c r="O118" s="316" t="s">
        <v>573</v>
      </c>
      <c r="P118" s="316" t="s">
        <v>574</v>
      </c>
      <c r="Q118" s="718">
        <v>0.01</v>
      </c>
      <c r="R118" s="728">
        <f t="shared" si="68"/>
        <v>0.5</v>
      </c>
      <c r="S118" s="718">
        <v>0.4</v>
      </c>
      <c r="T118" s="316" t="s">
        <v>575</v>
      </c>
      <c r="U118" s="316" t="s">
        <v>576</v>
      </c>
      <c r="V118" s="718">
        <v>0.09</v>
      </c>
      <c r="W118" s="316" t="s">
        <v>573</v>
      </c>
      <c r="X118" s="316" t="s">
        <v>574</v>
      </c>
      <c r="Y118" s="718">
        <v>0.01</v>
      </c>
      <c r="Z118" s="728">
        <f t="shared" si="86"/>
        <v>0.5</v>
      </c>
      <c r="AA118" s="718">
        <v>0.4</v>
      </c>
      <c r="AB118" s="316" t="s">
        <v>575</v>
      </c>
      <c r="AC118" s="316" t="s">
        <v>576</v>
      </c>
      <c r="AD118" s="718">
        <v>0.09</v>
      </c>
      <c r="AE118" s="316" t="s">
        <v>573</v>
      </c>
      <c r="AF118" s="316" t="s">
        <v>574</v>
      </c>
      <c r="AG118" s="718">
        <v>0.01</v>
      </c>
      <c r="AH118" s="728">
        <f t="shared" ref="AH118:AH123" si="92">+AA118+AD118+AG118</f>
        <v>0.5</v>
      </c>
      <c r="AI118" s="718">
        <v>0.4</v>
      </c>
      <c r="AJ118" s="316" t="s">
        <v>575</v>
      </c>
      <c r="AK118" s="316" t="s">
        <v>576</v>
      </c>
      <c r="AL118" s="718">
        <v>0.09</v>
      </c>
      <c r="AM118" s="316" t="s">
        <v>573</v>
      </c>
      <c r="AN118" s="316" t="s">
        <v>574</v>
      </c>
      <c r="AO118" s="718">
        <v>0.01</v>
      </c>
      <c r="AP118" s="728">
        <f t="shared" si="87"/>
        <v>0.5</v>
      </c>
      <c r="AQ118" s="718">
        <v>0.44</v>
      </c>
      <c r="AR118" s="316" t="s">
        <v>575</v>
      </c>
      <c r="AS118" s="316" t="s">
        <v>576</v>
      </c>
      <c r="AT118" s="718">
        <v>0.26</v>
      </c>
      <c r="AU118" s="316" t="s">
        <v>573</v>
      </c>
      <c r="AV118" s="316" t="s">
        <v>574</v>
      </c>
      <c r="AW118" s="718">
        <v>0.05</v>
      </c>
      <c r="AX118" s="463">
        <f t="shared" si="88"/>
        <v>0.75</v>
      </c>
      <c r="AY118" s="661">
        <v>0.4</v>
      </c>
      <c r="AZ118" s="316" t="s">
        <v>575</v>
      </c>
      <c r="BA118" s="316" t="s">
        <v>576</v>
      </c>
      <c r="BB118" s="463">
        <v>0.09</v>
      </c>
      <c r="BC118" s="316" t="s">
        <v>573</v>
      </c>
      <c r="BD118" s="316" t="s">
        <v>574</v>
      </c>
      <c r="BE118" s="463">
        <v>0.01</v>
      </c>
      <c r="BF118" s="728">
        <f t="shared" si="89"/>
        <v>0.5</v>
      </c>
      <c r="BG118" s="463"/>
      <c r="BH118" s="463">
        <v>0.4</v>
      </c>
      <c r="BI118" s="316" t="s">
        <v>575</v>
      </c>
      <c r="BJ118" s="316" t="s">
        <v>576</v>
      </c>
      <c r="BK118" s="463">
        <v>0.09</v>
      </c>
      <c r="BL118" s="316" t="s">
        <v>573</v>
      </c>
      <c r="BM118" s="316" t="s">
        <v>574</v>
      </c>
      <c r="BN118" s="463">
        <v>0.01</v>
      </c>
      <c r="BO118" s="728">
        <f t="shared" si="90"/>
        <v>0.5</v>
      </c>
      <c r="BP118" s="463">
        <v>0.4</v>
      </c>
      <c r="BQ118" s="316" t="s">
        <v>575</v>
      </c>
      <c r="BR118" s="316" t="s">
        <v>576</v>
      </c>
      <c r="BS118" s="463">
        <v>0.09</v>
      </c>
      <c r="BT118" s="316" t="s">
        <v>573</v>
      </c>
      <c r="BU118" s="316" t="s">
        <v>574</v>
      </c>
      <c r="BV118" s="463">
        <v>0.01</v>
      </c>
      <c r="BW118" s="463">
        <f t="shared" si="91"/>
        <v>0.5</v>
      </c>
      <c r="BX118" s="444"/>
      <c r="BY118" s="444"/>
      <c r="BZ118" s="444"/>
      <c r="CA118" s="434"/>
      <c r="CB118" s="723">
        <v>0.65600000000000003</v>
      </c>
      <c r="CC118" s="668" t="s">
        <v>950</v>
      </c>
      <c r="CD118" s="316" t="s">
        <v>575</v>
      </c>
      <c r="CE118" s="316" t="s">
        <v>576</v>
      </c>
      <c r="CF118" s="718">
        <v>0.59</v>
      </c>
      <c r="CG118" s="316" t="s">
        <v>573</v>
      </c>
      <c r="CH118" s="316" t="s">
        <v>574</v>
      </c>
      <c r="CI118" s="718">
        <v>0.01</v>
      </c>
    </row>
    <row r="119" spans="1:87" ht="15.75" customHeight="1" x14ac:dyDescent="0.2">
      <c r="A119" s="747" t="s">
        <v>118</v>
      </c>
      <c r="B119" s="469" t="s">
        <v>117</v>
      </c>
      <c r="C119" s="718">
        <v>0.4</v>
      </c>
      <c r="D119" s="469" t="s">
        <v>589</v>
      </c>
      <c r="E119" s="469" t="s">
        <v>590</v>
      </c>
      <c r="F119" s="718">
        <v>0.09</v>
      </c>
      <c r="G119" s="469" t="s">
        <v>2290</v>
      </c>
      <c r="H119" s="469" t="s">
        <v>2291</v>
      </c>
      <c r="I119" s="718">
        <v>0.01</v>
      </c>
      <c r="J119" s="748">
        <f t="shared" si="67"/>
        <v>0.5</v>
      </c>
      <c r="K119" s="718">
        <v>0.4</v>
      </c>
      <c r="L119" s="316" t="s">
        <v>589</v>
      </c>
      <c r="M119" s="316" t="s">
        <v>590</v>
      </c>
      <c r="N119" s="718">
        <v>0.09</v>
      </c>
      <c r="O119" s="316" t="s">
        <v>2290</v>
      </c>
      <c r="P119" s="316" t="s">
        <v>2291</v>
      </c>
      <c r="Q119" s="718">
        <v>0.01</v>
      </c>
      <c r="R119" s="728">
        <f t="shared" si="68"/>
        <v>0.5</v>
      </c>
      <c r="S119" s="718">
        <v>0.4</v>
      </c>
      <c r="T119" s="316" t="s">
        <v>589</v>
      </c>
      <c r="U119" s="316" t="s">
        <v>590</v>
      </c>
      <c r="V119" s="718">
        <v>0.09</v>
      </c>
      <c r="W119" s="316" t="s">
        <v>2290</v>
      </c>
      <c r="X119" s="316" t="s">
        <v>2291</v>
      </c>
      <c r="Y119" s="718">
        <v>0.01</v>
      </c>
      <c r="Z119" s="728">
        <f t="shared" si="86"/>
        <v>0.5</v>
      </c>
      <c r="AA119" s="718">
        <v>0.4</v>
      </c>
      <c r="AB119" s="316" t="s">
        <v>589</v>
      </c>
      <c r="AC119" s="316" t="s">
        <v>590</v>
      </c>
      <c r="AD119" s="718">
        <v>0.09</v>
      </c>
      <c r="AE119" s="316" t="s">
        <v>2290</v>
      </c>
      <c r="AF119" s="316" t="s">
        <v>2291</v>
      </c>
      <c r="AG119" s="718">
        <v>0.01</v>
      </c>
      <c r="AH119" s="728">
        <f t="shared" si="92"/>
        <v>0.5</v>
      </c>
      <c r="AI119" s="718">
        <v>0.4</v>
      </c>
      <c r="AJ119" s="316" t="s">
        <v>589</v>
      </c>
      <c r="AK119" s="316" t="s">
        <v>590</v>
      </c>
      <c r="AL119" s="718">
        <v>0.09</v>
      </c>
      <c r="AM119" s="316" t="s">
        <v>586</v>
      </c>
      <c r="AN119" s="316" t="s">
        <v>1341</v>
      </c>
      <c r="AO119" s="718">
        <v>0.01</v>
      </c>
      <c r="AP119" s="728">
        <f t="shared" si="87"/>
        <v>0.5</v>
      </c>
      <c r="AQ119" s="718">
        <v>0.4</v>
      </c>
      <c r="AR119" s="316" t="s">
        <v>589</v>
      </c>
      <c r="AS119" s="316" t="s">
        <v>590</v>
      </c>
      <c r="AT119" s="718">
        <v>0.09</v>
      </c>
      <c r="AU119" s="316" t="s">
        <v>586</v>
      </c>
      <c r="AV119" s="316" t="s">
        <v>587</v>
      </c>
      <c r="AW119" s="718">
        <v>0.01</v>
      </c>
      <c r="AX119" s="463">
        <f t="shared" si="88"/>
        <v>0.5</v>
      </c>
      <c r="AY119" s="661">
        <v>0.4</v>
      </c>
      <c r="AZ119" s="316" t="s">
        <v>589</v>
      </c>
      <c r="BA119" s="316" t="s">
        <v>590</v>
      </c>
      <c r="BB119" s="463">
        <v>0.09</v>
      </c>
      <c r="BC119" s="316" t="s">
        <v>586</v>
      </c>
      <c r="BD119" s="316" t="s">
        <v>587</v>
      </c>
      <c r="BE119" s="463">
        <v>0.01</v>
      </c>
      <c r="BF119" s="728">
        <f t="shared" si="89"/>
        <v>0.5</v>
      </c>
      <c r="BG119" s="463"/>
      <c r="BH119" s="463">
        <v>0.4</v>
      </c>
      <c r="BI119" s="316" t="s">
        <v>589</v>
      </c>
      <c r="BJ119" s="316" t="s">
        <v>590</v>
      </c>
      <c r="BK119" s="463">
        <v>0.09</v>
      </c>
      <c r="BL119" s="316" t="s">
        <v>586</v>
      </c>
      <c r="BM119" s="316" t="s">
        <v>587</v>
      </c>
      <c r="BN119" s="463">
        <v>0.01</v>
      </c>
      <c r="BO119" s="728">
        <f t="shared" si="90"/>
        <v>0.5</v>
      </c>
      <c r="BP119" s="463">
        <v>0.4</v>
      </c>
      <c r="BQ119" s="316" t="s">
        <v>589</v>
      </c>
      <c r="BR119" s="316" t="s">
        <v>590</v>
      </c>
      <c r="BS119" s="463">
        <v>0.09</v>
      </c>
      <c r="BT119" s="316" t="s">
        <v>586</v>
      </c>
      <c r="BU119" s="316" t="s">
        <v>587</v>
      </c>
      <c r="BV119" s="463">
        <v>0.01</v>
      </c>
      <c r="BW119" s="463">
        <f t="shared" si="91"/>
        <v>0.5</v>
      </c>
      <c r="BX119" s="444" t="s">
        <v>874</v>
      </c>
      <c r="BY119" s="444" t="s">
        <v>874</v>
      </c>
      <c r="BZ119" s="444"/>
      <c r="CA119" s="434"/>
      <c r="CB119" s="723">
        <v>0.69</v>
      </c>
      <c r="CC119" s="668" t="s">
        <v>950</v>
      </c>
      <c r="CD119" s="316" t="s">
        <v>589</v>
      </c>
      <c r="CE119" s="316" t="s">
        <v>590</v>
      </c>
      <c r="CF119" s="718">
        <v>0.59</v>
      </c>
      <c r="CG119" s="316" t="s">
        <v>586</v>
      </c>
      <c r="CH119" s="316" t="s">
        <v>587</v>
      </c>
      <c r="CI119" s="718">
        <v>0.01</v>
      </c>
    </row>
    <row r="120" spans="1:87" ht="15" x14ac:dyDescent="0.2">
      <c r="A120" s="747" t="s">
        <v>120</v>
      </c>
      <c r="B120" s="469" t="s">
        <v>119</v>
      </c>
      <c r="C120" s="718">
        <v>0.3</v>
      </c>
      <c r="D120" s="469" t="s">
        <v>680</v>
      </c>
      <c r="E120" s="469" t="s">
        <v>681</v>
      </c>
      <c r="F120" s="718">
        <v>0.37</v>
      </c>
      <c r="G120" s="469" t="s">
        <v>514</v>
      </c>
      <c r="H120" s="469" t="s">
        <v>514</v>
      </c>
      <c r="I120" s="718">
        <v>0</v>
      </c>
      <c r="J120" s="748">
        <f t="shared" si="67"/>
        <v>0.66999999999999993</v>
      </c>
      <c r="K120" s="718">
        <v>0.3</v>
      </c>
      <c r="L120" s="316" t="s">
        <v>680</v>
      </c>
      <c r="M120" s="316" t="s">
        <v>681</v>
      </c>
      <c r="N120" s="718">
        <v>0.37</v>
      </c>
      <c r="O120" s="316" t="s">
        <v>514</v>
      </c>
      <c r="P120" s="316" t="s">
        <v>514</v>
      </c>
      <c r="Q120" s="718">
        <v>0</v>
      </c>
      <c r="R120" s="728">
        <f t="shared" si="68"/>
        <v>0.66999999999999993</v>
      </c>
      <c r="S120" s="718">
        <v>0.3</v>
      </c>
      <c r="T120" s="316" t="s">
        <v>680</v>
      </c>
      <c r="U120" s="316" t="s">
        <v>681</v>
      </c>
      <c r="V120" s="718">
        <v>0.37</v>
      </c>
      <c r="W120" s="316" t="s">
        <v>514</v>
      </c>
      <c r="X120" s="316" t="s">
        <v>514</v>
      </c>
      <c r="Y120" s="718">
        <v>0</v>
      </c>
      <c r="Z120" s="728">
        <f t="shared" ref="Z120:Z123" si="93">+S120+V120+Y120</f>
        <v>0.66999999999999993</v>
      </c>
      <c r="AA120" s="718">
        <v>0.3</v>
      </c>
      <c r="AB120" s="316" t="s">
        <v>680</v>
      </c>
      <c r="AC120" s="316" t="s">
        <v>681</v>
      </c>
      <c r="AD120" s="718">
        <v>0.37</v>
      </c>
      <c r="AE120" s="316" t="s">
        <v>514</v>
      </c>
      <c r="AF120" s="316" t="s">
        <v>514</v>
      </c>
      <c r="AG120" s="718">
        <v>0</v>
      </c>
      <c r="AH120" s="728">
        <f t="shared" si="92"/>
        <v>0.66999999999999993</v>
      </c>
      <c r="AI120" s="718">
        <v>0.3</v>
      </c>
      <c r="AJ120" s="316" t="s">
        <v>680</v>
      </c>
      <c r="AK120" s="316" t="s">
        <v>681</v>
      </c>
      <c r="AL120" s="718">
        <v>0.37</v>
      </c>
      <c r="AM120" s="316" t="s">
        <v>514</v>
      </c>
      <c r="AN120" s="316" t="s">
        <v>514</v>
      </c>
      <c r="AO120" s="718">
        <v>0</v>
      </c>
      <c r="AP120" s="728">
        <f t="shared" si="87"/>
        <v>0.66999999999999993</v>
      </c>
      <c r="AQ120" s="718">
        <v>0.48</v>
      </c>
      <c r="AR120" s="316" t="s">
        <v>680</v>
      </c>
      <c r="AS120" s="316" t="s">
        <v>681</v>
      </c>
      <c r="AT120" s="718">
        <v>0.27</v>
      </c>
      <c r="AU120" s="316" t="s">
        <v>514</v>
      </c>
      <c r="AV120" s="316" t="s">
        <v>514</v>
      </c>
      <c r="AW120" s="718">
        <v>0</v>
      </c>
      <c r="AX120" s="463">
        <f t="shared" si="88"/>
        <v>0.75</v>
      </c>
      <c r="AY120" s="661">
        <v>0.64</v>
      </c>
      <c r="AZ120" s="316" t="s">
        <v>680</v>
      </c>
      <c r="BA120" s="316" t="s">
        <v>681</v>
      </c>
      <c r="BB120" s="463">
        <v>0.36</v>
      </c>
      <c r="BC120" s="316" t="s">
        <v>514</v>
      </c>
      <c r="BD120" s="316" t="s">
        <v>514</v>
      </c>
      <c r="BE120" s="463">
        <v>0</v>
      </c>
      <c r="BF120" s="728">
        <f t="shared" si="89"/>
        <v>1</v>
      </c>
      <c r="BG120" s="463"/>
      <c r="BH120" s="463">
        <v>0.3</v>
      </c>
      <c r="BI120" s="316" t="s">
        <v>680</v>
      </c>
      <c r="BJ120" s="316" t="s">
        <v>681</v>
      </c>
      <c r="BK120" s="463">
        <v>0.37</v>
      </c>
      <c r="BL120" s="316" t="s">
        <v>514</v>
      </c>
      <c r="BM120" s="316" t="s">
        <v>514</v>
      </c>
      <c r="BN120" s="463">
        <v>0</v>
      </c>
      <c r="BO120" s="728">
        <f t="shared" si="90"/>
        <v>0.66999999999999993</v>
      </c>
      <c r="BP120" s="463">
        <v>0.3</v>
      </c>
      <c r="BQ120" s="316" t="s">
        <v>680</v>
      </c>
      <c r="BR120" s="316" t="s">
        <v>681</v>
      </c>
      <c r="BS120" s="463">
        <v>0.2</v>
      </c>
      <c r="BT120" s="316" t="s">
        <v>514</v>
      </c>
      <c r="BU120" s="316" t="s">
        <v>514</v>
      </c>
      <c r="BV120" s="463">
        <v>0</v>
      </c>
      <c r="BW120" s="463">
        <f t="shared" si="91"/>
        <v>0.5</v>
      </c>
      <c r="BX120" s="444"/>
      <c r="BY120" s="444"/>
      <c r="BZ120" s="444"/>
      <c r="CA120" s="436" t="s">
        <v>874</v>
      </c>
      <c r="CB120" s="723">
        <v>0.749</v>
      </c>
      <c r="CC120" s="668" t="s">
        <v>950</v>
      </c>
      <c r="CD120" s="316" t="s">
        <v>680</v>
      </c>
      <c r="CE120" s="316" t="s">
        <v>681</v>
      </c>
      <c r="CF120" s="718">
        <v>0.2</v>
      </c>
      <c r="CG120" s="316" t="s">
        <v>514</v>
      </c>
      <c r="CH120" s="316" t="s">
        <v>514</v>
      </c>
      <c r="CI120" s="718">
        <v>0</v>
      </c>
    </row>
    <row r="121" spans="1:87" ht="15.75" customHeight="1" x14ac:dyDescent="0.2">
      <c r="A121" s="747" t="s">
        <v>122</v>
      </c>
      <c r="B121" s="469" t="s">
        <v>591</v>
      </c>
      <c r="C121" s="718">
        <v>0.49</v>
      </c>
      <c r="D121" s="469" t="s">
        <v>514</v>
      </c>
      <c r="E121" s="469" t="s">
        <v>515</v>
      </c>
      <c r="F121" s="718">
        <v>0</v>
      </c>
      <c r="G121" s="469" t="s">
        <v>592</v>
      </c>
      <c r="H121" s="469" t="s">
        <v>593</v>
      </c>
      <c r="I121" s="718">
        <v>0.01</v>
      </c>
      <c r="J121" s="748">
        <f t="shared" si="67"/>
        <v>0.5</v>
      </c>
      <c r="K121" s="718">
        <v>0.49</v>
      </c>
      <c r="L121" s="316" t="s">
        <v>514</v>
      </c>
      <c r="M121" s="316" t="s">
        <v>515</v>
      </c>
      <c r="N121" s="718">
        <v>0</v>
      </c>
      <c r="O121" s="316" t="s">
        <v>592</v>
      </c>
      <c r="P121" s="316" t="s">
        <v>593</v>
      </c>
      <c r="Q121" s="718">
        <v>0.01</v>
      </c>
      <c r="R121" s="728">
        <f t="shared" si="68"/>
        <v>0.5</v>
      </c>
      <c r="S121" s="718">
        <v>0.49</v>
      </c>
      <c r="T121" s="316" t="s">
        <v>514</v>
      </c>
      <c r="U121" s="316" t="s">
        <v>515</v>
      </c>
      <c r="V121" s="718">
        <v>0</v>
      </c>
      <c r="W121" s="316" t="s">
        <v>592</v>
      </c>
      <c r="X121" s="316" t="s">
        <v>593</v>
      </c>
      <c r="Y121" s="718">
        <v>0.01</v>
      </c>
      <c r="Z121" s="728">
        <f t="shared" si="93"/>
        <v>0.5</v>
      </c>
      <c r="AA121" s="718">
        <v>0.49</v>
      </c>
      <c r="AB121" s="316" t="s">
        <v>514</v>
      </c>
      <c r="AC121" s="316" t="s">
        <v>515</v>
      </c>
      <c r="AD121" s="718">
        <v>0</v>
      </c>
      <c r="AE121" s="316" t="s">
        <v>592</v>
      </c>
      <c r="AF121" s="316" t="s">
        <v>593</v>
      </c>
      <c r="AG121" s="718">
        <v>0.01</v>
      </c>
      <c r="AH121" s="728">
        <f t="shared" si="92"/>
        <v>0.5</v>
      </c>
      <c r="AI121" s="718">
        <v>0.49</v>
      </c>
      <c r="AJ121" s="316" t="s">
        <v>514</v>
      </c>
      <c r="AK121" s="316" t="s">
        <v>515</v>
      </c>
      <c r="AL121" s="718">
        <v>0</v>
      </c>
      <c r="AM121" s="316" t="s">
        <v>592</v>
      </c>
      <c r="AN121" s="316" t="s">
        <v>593</v>
      </c>
      <c r="AO121" s="718">
        <v>0.01</v>
      </c>
      <c r="AP121" s="728">
        <f t="shared" si="87"/>
        <v>0.5</v>
      </c>
      <c r="AQ121" s="718">
        <v>0.49</v>
      </c>
      <c r="AR121" s="316" t="s">
        <v>514</v>
      </c>
      <c r="AS121" s="316" t="s">
        <v>515</v>
      </c>
      <c r="AT121" s="718">
        <v>0</v>
      </c>
      <c r="AU121" s="316" t="s">
        <v>592</v>
      </c>
      <c r="AV121" s="316" t="s">
        <v>593</v>
      </c>
      <c r="AW121" s="718">
        <v>0.01</v>
      </c>
      <c r="AX121" s="463">
        <f t="shared" si="88"/>
        <v>0.5</v>
      </c>
      <c r="AY121" s="661">
        <v>0.49</v>
      </c>
      <c r="AZ121" s="316" t="s">
        <v>514</v>
      </c>
      <c r="BA121" s="316" t="s">
        <v>515</v>
      </c>
      <c r="BB121" s="463">
        <v>0</v>
      </c>
      <c r="BC121" s="316" t="s">
        <v>592</v>
      </c>
      <c r="BD121" s="316" t="s">
        <v>593</v>
      </c>
      <c r="BE121" s="463">
        <v>0.01</v>
      </c>
      <c r="BF121" s="728">
        <f t="shared" si="89"/>
        <v>0.5</v>
      </c>
      <c r="BG121" s="463"/>
      <c r="BH121" s="463">
        <v>0.49</v>
      </c>
      <c r="BI121" s="316" t="s">
        <v>514</v>
      </c>
      <c r="BJ121" s="316" t="s">
        <v>515</v>
      </c>
      <c r="BK121" s="463">
        <v>0</v>
      </c>
      <c r="BL121" s="316" t="s">
        <v>592</v>
      </c>
      <c r="BM121" s="316" t="s">
        <v>593</v>
      </c>
      <c r="BN121" s="463">
        <v>0.01</v>
      </c>
      <c r="BO121" s="728">
        <f t="shared" si="90"/>
        <v>0.5</v>
      </c>
      <c r="BP121" s="463">
        <v>0.49</v>
      </c>
      <c r="BQ121" s="316" t="s">
        <v>514</v>
      </c>
      <c r="BR121" s="316" t="s">
        <v>515</v>
      </c>
      <c r="BS121" s="463">
        <v>0</v>
      </c>
      <c r="BT121" s="316" t="s">
        <v>592</v>
      </c>
      <c r="BU121" s="316" t="s">
        <v>593</v>
      </c>
      <c r="BV121" s="463">
        <v>0.01</v>
      </c>
      <c r="BW121" s="463">
        <f t="shared" si="91"/>
        <v>0.5</v>
      </c>
      <c r="BX121" s="444" t="s">
        <v>874</v>
      </c>
      <c r="BY121" s="444"/>
      <c r="BZ121" s="444"/>
      <c r="CA121" s="436" t="s">
        <v>874</v>
      </c>
      <c r="CB121" s="723">
        <v>0.65500000000000003</v>
      </c>
      <c r="CC121" s="668" t="s">
        <v>950</v>
      </c>
      <c r="CD121" s="316" t="s">
        <v>514</v>
      </c>
      <c r="CE121" s="316" t="s">
        <v>515</v>
      </c>
      <c r="CF121" s="718">
        <v>0</v>
      </c>
      <c r="CG121" s="316" t="s">
        <v>592</v>
      </c>
      <c r="CH121" s="316" t="s">
        <v>593</v>
      </c>
      <c r="CI121" s="718">
        <v>0.01</v>
      </c>
    </row>
    <row r="122" spans="1:87" ht="15.75" customHeight="1" x14ac:dyDescent="0.2">
      <c r="A122" s="747" t="s">
        <v>124</v>
      </c>
      <c r="B122" s="469" t="s">
        <v>123</v>
      </c>
      <c r="C122" s="718">
        <v>0.4</v>
      </c>
      <c r="D122" s="469" t="s">
        <v>596</v>
      </c>
      <c r="E122" s="469" t="s">
        <v>597</v>
      </c>
      <c r="F122" s="718">
        <v>0.1</v>
      </c>
      <c r="G122" s="469" t="s">
        <v>514</v>
      </c>
      <c r="H122" s="469" t="s">
        <v>552</v>
      </c>
      <c r="I122" s="718">
        <v>0</v>
      </c>
      <c r="J122" s="748">
        <f t="shared" si="67"/>
        <v>0.5</v>
      </c>
      <c r="K122" s="718">
        <v>0.4</v>
      </c>
      <c r="L122" s="316" t="s">
        <v>596</v>
      </c>
      <c r="M122" s="316" t="s">
        <v>597</v>
      </c>
      <c r="N122" s="718">
        <v>0.1</v>
      </c>
      <c r="O122" s="316" t="s">
        <v>514</v>
      </c>
      <c r="P122" s="316" t="s">
        <v>552</v>
      </c>
      <c r="Q122" s="718">
        <v>0</v>
      </c>
      <c r="R122" s="728">
        <f t="shared" si="68"/>
        <v>0.5</v>
      </c>
      <c r="S122" s="718">
        <v>0.4</v>
      </c>
      <c r="T122" s="316" t="s">
        <v>596</v>
      </c>
      <c r="U122" s="316" t="s">
        <v>597</v>
      </c>
      <c r="V122" s="718">
        <v>0.1</v>
      </c>
      <c r="W122" s="316" t="s">
        <v>514</v>
      </c>
      <c r="X122" s="316" t="s">
        <v>552</v>
      </c>
      <c r="Y122" s="718">
        <v>0</v>
      </c>
      <c r="Z122" s="728">
        <f t="shared" si="93"/>
        <v>0.5</v>
      </c>
      <c r="AA122" s="718">
        <v>0.4</v>
      </c>
      <c r="AB122" s="316" t="s">
        <v>596</v>
      </c>
      <c r="AC122" s="316" t="s">
        <v>597</v>
      </c>
      <c r="AD122" s="718">
        <v>0.1</v>
      </c>
      <c r="AE122" s="316" t="s">
        <v>514</v>
      </c>
      <c r="AF122" s="316" t="s">
        <v>552</v>
      </c>
      <c r="AG122" s="718">
        <v>0</v>
      </c>
      <c r="AH122" s="728">
        <f t="shared" si="92"/>
        <v>0.5</v>
      </c>
      <c r="AI122" s="718">
        <v>0.4</v>
      </c>
      <c r="AJ122" s="316" t="s">
        <v>596</v>
      </c>
      <c r="AK122" s="316" t="s">
        <v>597</v>
      </c>
      <c r="AL122" s="718">
        <v>0.1</v>
      </c>
      <c r="AM122" s="316" t="s">
        <v>514</v>
      </c>
      <c r="AN122" s="316" t="s">
        <v>552</v>
      </c>
      <c r="AO122" s="718">
        <v>0</v>
      </c>
      <c r="AP122" s="728">
        <f t="shared" ref="AP122:AP123" si="94">+AI122+AL122+AO122</f>
        <v>0.5</v>
      </c>
      <c r="AQ122" s="718">
        <v>0.35</v>
      </c>
      <c r="AR122" s="316" t="s">
        <v>596</v>
      </c>
      <c r="AS122" s="316" t="s">
        <v>597</v>
      </c>
      <c r="AT122" s="718">
        <v>0.4</v>
      </c>
      <c r="AU122" s="316" t="s">
        <v>514</v>
      </c>
      <c r="AV122" s="316" t="s">
        <v>552</v>
      </c>
      <c r="AW122" s="718">
        <v>0</v>
      </c>
      <c r="AX122" s="463">
        <f t="shared" ref="AX122:AX123" si="95">+AQ122+AT122+AW122</f>
        <v>0.75</v>
      </c>
      <c r="AY122" s="661">
        <v>0.4</v>
      </c>
      <c r="AZ122" s="316" t="s">
        <v>596</v>
      </c>
      <c r="BA122" s="316" t="s">
        <v>597</v>
      </c>
      <c r="BB122" s="463">
        <v>0.1</v>
      </c>
      <c r="BC122" s="316" t="s">
        <v>514</v>
      </c>
      <c r="BD122" s="316" t="s">
        <v>552</v>
      </c>
      <c r="BE122" s="463">
        <v>0</v>
      </c>
      <c r="BF122" s="728">
        <f t="shared" ref="BF122:BF123" si="96">+AY122+BB122+BE122</f>
        <v>0.5</v>
      </c>
      <c r="BG122" s="463"/>
      <c r="BH122" s="463">
        <v>0.4</v>
      </c>
      <c r="BI122" s="316" t="s">
        <v>596</v>
      </c>
      <c r="BJ122" s="316" t="s">
        <v>597</v>
      </c>
      <c r="BK122" s="463">
        <v>0.1</v>
      </c>
      <c r="BL122" s="316" t="s">
        <v>514</v>
      </c>
      <c r="BM122" s="316" t="s">
        <v>552</v>
      </c>
      <c r="BN122" s="463">
        <v>0</v>
      </c>
      <c r="BO122" s="728">
        <f t="shared" ref="BO122:BO123" si="97">+BH122+BK122+BN122</f>
        <v>0.5</v>
      </c>
      <c r="BP122" s="463">
        <v>0.4</v>
      </c>
      <c r="BQ122" s="316" t="s">
        <v>596</v>
      </c>
      <c r="BR122" s="316" t="s">
        <v>597</v>
      </c>
      <c r="BS122" s="463">
        <v>0.1</v>
      </c>
      <c r="BT122" s="316" t="s">
        <v>514</v>
      </c>
      <c r="BU122" s="316" t="s">
        <v>552</v>
      </c>
      <c r="BV122" s="463">
        <v>0</v>
      </c>
      <c r="BW122" s="463">
        <f t="shared" ref="BW122:BW123" si="98">+BP122+BS122+BV122</f>
        <v>0.5</v>
      </c>
      <c r="BX122" s="444"/>
      <c r="BY122" s="444"/>
      <c r="BZ122" s="444"/>
      <c r="CA122" s="434"/>
      <c r="CB122" s="723">
        <v>0.73699999999999999</v>
      </c>
      <c r="CC122" s="668" t="s">
        <v>950</v>
      </c>
      <c r="CD122" s="316" t="s">
        <v>596</v>
      </c>
      <c r="CE122" s="316" t="s">
        <v>597</v>
      </c>
      <c r="CF122" s="718">
        <v>0.6</v>
      </c>
      <c r="CG122" s="316" t="s">
        <v>514</v>
      </c>
      <c r="CH122" s="316" t="s">
        <v>552</v>
      </c>
      <c r="CI122" s="718">
        <v>0</v>
      </c>
    </row>
    <row r="123" spans="1:87" ht="15.75" customHeight="1" x14ac:dyDescent="0.2">
      <c r="A123" s="747" t="s">
        <v>126</v>
      </c>
      <c r="B123" s="469" t="s">
        <v>125</v>
      </c>
      <c r="C123" s="718">
        <v>0.4</v>
      </c>
      <c r="D123" s="469" t="s">
        <v>556</v>
      </c>
      <c r="E123" s="469" t="s">
        <v>557</v>
      </c>
      <c r="F123" s="718">
        <v>0.09</v>
      </c>
      <c r="G123" s="469" t="s">
        <v>554</v>
      </c>
      <c r="H123" s="469" t="s">
        <v>555</v>
      </c>
      <c r="I123" s="718">
        <v>0.01</v>
      </c>
      <c r="J123" s="748">
        <f t="shared" si="67"/>
        <v>0.5</v>
      </c>
      <c r="K123" s="718">
        <v>0.4</v>
      </c>
      <c r="L123" s="316" t="s">
        <v>556</v>
      </c>
      <c r="M123" s="316" t="s">
        <v>557</v>
      </c>
      <c r="N123" s="718">
        <v>0.09</v>
      </c>
      <c r="O123" s="316" t="s">
        <v>554</v>
      </c>
      <c r="P123" s="316" t="s">
        <v>555</v>
      </c>
      <c r="Q123" s="718">
        <v>0.01</v>
      </c>
      <c r="R123" s="728">
        <f t="shared" si="68"/>
        <v>0.5</v>
      </c>
      <c r="S123" s="718">
        <v>0.4</v>
      </c>
      <c r="T123" s="316" t="s">
        <v>556</v>
      </c>
      <c r="U123" s="316" t="s">
        <v>557</v>
      </c>
      <c r="V123" s="718">
        <v>0.09</v>
      </c>
      <c r="W123" s="316" t="s">
        <v>554</v>
      </c>
      <c r="X123" s="316" t="s">
        <v>555</v>
      </c>
      <c r="Y123" s="718">
        <v>0.01</v>
      </c>
      <c r="Z123" s="728">
        <f t="shared" si="93"/>
        <v>0.5</v>
      </c>
      <c r="AA123" s="718">
        <v>0.4</v>
      </c>
      <c r="AB123" s="316" t="s">
        <v>556</v>
      </c>
      <c r="AC123" s="316" t="s">
        <v>557</v>
      </c>
      <c r="AD123" s="718">
        <v>0.09</v>
      </c>
      <c r="AE123" s="316" t="s">
        <v>554</v>
      </c>
      <c r="AF123" s="316" t="s">
        <v>555</v>
      </c>
      <c r="AG123" s="718">
        <v>0.01</v>
      </c>
      <c r="AH123" s="728">
        <f t="shared" si="92"/>
        <v>0.5</v>
      </c>
      <c r="AI123" s="718">
        <v>0.4</v>
      </c>
      <c r="AJ123" s="316" t="s">
        <v>556</v>
      </c>
      <c r="AK123" s="316" t="s">
        <v>557</v>
      </c>
      <c r="AL123" s="718">
        <v>0.09</v>
      </c>
      <c r="AM123" s="316" t="s">
        <v>554</v>
      </c>
      <c r="AN123" s="316" t="s">
        <v>555</v>
      </c>
      <c r="AO123" s="718">
        <v>0.01</v>
      </c>
      <c r="AP123" s="728">
        <f t="shared" si="94"/>
        <v>0.5</v>
      </c>
      <c r="AQ123" s="718">
        <v>0.4</v>
      </c>
      <c r="AR123" s="316" t="s">
        <v>556</v>
      </c>
      <c r="AS123" s="316" t="s">
        <v>557</v>
      </c>
      <c r="AT123" s="718">
        <v>0.09</v>
      </c>
      <c r="AU123" s="316" t="s">
        <v>554</v>
      </c>
      <c r="AV123" s="316" t="s">
        <v>555</v>
      </c>
      <c r="AW123" s="718">
        <v>0.01</v>
      </c>
      <c r="AX123" s="463">
        <f t="shared" si="95"/>
        <v>0.5</v>
      </c>
      <c r="AY123" s="661">
        <v>0.5</v>
      </c>
      <c r="AZ123" s="316" t="s">
        <v>556</v>
      </c>
      <c r="BA123" s="316" t="s">
        <v>557</v>
      </c>
      <c r="BB123" s="463">
        <v>0.49</v>
      </c>
      <c r="BC123" s="316" t="s">
        <v>554</v>
      </c>
      <c r="BD123" s="316" t="s">
        <v>555</v>
      </c>
      <c r="BE123" s="463">
        <v>0.01</v>
      </c>
      <c r="BF123" s="728">
        <f t="shared" si="96"/>
        <v>1</v>
      </c>
      <c r="BG123" s="463"/>
      <c r="BH123" s="463">
        <v>0.4</v>
      </c>
      <c r="BI123" s="316" t="s">
        <v>556</v>
      </c>
      <c r="BJ123" s="316" t="s">
        <v>557</v>
      </c>
      <c r="BK123" s="463">
        <v>0.09</v>
      </c>
      <c r="BL123" s="316" t="s">
        <v>554</v>
      </c>
      <c r="BM123" s="316" t="s">
        <v>555</v>
      </c>
      <c r="BN123" s="463">
        <v>0.01</v>
      </c>
      <c r="BO123" s="728">
        <f t="shared" si="97"/>
        <v>0.5</v>
      </c>
      <c r="BP123" s="463">
        <v>0.4</v>
      </c>
      <c r="BQ123" s="316" t="s">
        <v>556</v>
      </c>
      <c r="BR123" s="316" t="s">
        <v>557</v>
      </c>
      <c r="BS123" s="463">
        <v>0.09</v>
      </c>
      <c r="BT123" s="316" t="s">
        <v>554</v>
      </c>
      <c r="BU123" s="316" t="s">
        <v>555</v>
      </c>
      <c r="BV123" s="463">
        <v>0.01</v>
      </c>
      <c r="BW123" s="463">
        <f t="shared" si="98"/>
        <v>0.5</v>
      </c>
      <c r="BX123" s="444"/>
      <c r="BY123" s="444"/>
      <c r="BZ123" s="444"/>
      <c r="CA123" s="434"/>
      <c r="CB123" s="723">
        <v>0.66900000000000004</v>
      </c>
      <c r="CC123" s="668" t="s">
        <v>950</v>
      </c>
      <c r="CD123" s="316" t="s">
        <v>556</v>
      </c>
      <c r="CE123" s="316" t="s">
        <v>557</v>
      </c>
      <c r="CF123" s="718">
        <v>0.59</v>
      </c>
      <c r="CG123" s="316" t="s">
        <v>554</v>
      </c>
      <c r="CH123" s="316" t="s">
        <v>555</v>
      </c>
      <c r="CI123" s="718">
        <v>0.01</v>
      </c>
    </row>
    <row r="124" spans="1:87" ht="15" x14ac:dyDescent="0.2">
      <c r="A124" s="747" t="s">
        <v>128</v>
      </c>
      <c r="B124" s="469" t="s">
        <v>127</v>
      </c>
      <c r="C124" s="718">
        <v>0.3</v>
      </c>
      <c r="D124" s="469" t="s">
        <v>680</v>
      </c>
      <c r="E124" s="469" t="s">
        <v>681</v>
      </c>
      <c r="F124" s="718">
        <v>0.37</v>
      </c>
      <c r="G124" s="469" t="s">
        <v>514</v>
      </c>
      <c r="H124" s="469" t="s">
        <v>514</v>
      </c>
      <c r="I124" s="718">
        <v>0</v>
      </c>
      <c r="J124" s="748">
        <f t="shared" si="67"/>
        <v>0.66999999999999993</v>
      </c>
      <c r="K124" s="718">
        <v>0.3</v>
      </c>
      <c r="L124" s="316" t="s">
        <v>680</v>
      </c>
      <c r="M124" s="316" t="s">
        <v>681</v>
      </c>
      <c r="N124" s="718">
        <v>0.37</v>
      </c>
      <c r="O124" s="316" t="s">
        <v>514</v>
      </c>
      <c r="P124" s="316" t="s">
        <v>514</v>
      </c>
      <c r="Q124" s="718">
        <v>0</v>
      </c>
      <c r="R124" s="728">
        <f t="shared" si="68"/>
        <v>0.66999999999999993</v>
      </c>
      <c r="S124" s="718">
        <v>0.3</v>
      </c>
      <c r="T124" s="316" t="s">
        <v>680</v>
      </c>
      <c r="U124" s="316" t="s">
        <v>681</v>
      </c>
      <c r="V124" s="718">
        <v>0.37</v>
      </c>
      <c r="W124" s="316" t="s">
        <v>514</v>
      </c>
      <c r="X124" s="316" t="s">
        <v>514</v>
      </c>
      <c r="Y124" s="718">
        <v>0</v>
      </c>
      <c r="Z124" s="728">
        <f t="shared" ref="Z124:Z175" si="99">+S124+V124+Y124</f>
        <v>0.66999999999999993</v>
      </c>
      <c r="AA124" s="718">
        <v>0.3</v>
      </c>
      <c r="AB124" s="316" t="s">
        <v>680</v>
      </c>
      <c r="AC124" s="316" t="s">
        <v>681</v>
      </c>
      <c r="AD124" s="718">
        <v>0.37</v>
      </c>
      <c r="AE124" s="316" t="s">
        <v>514</v>
      </c>
      <c r="AF124" s="316" t="s">
        <v>514</v>
      </c>
      <c r="AG124" s="718">
        <v>0</v>
      </c>
      <c r="AH124" s="728">
        <f t="shared" ref="AH124:AH125" si="100">+AA124+AD124+AG124</f>
        <v>0.66999999999999993</v>
      </c>
      <c r="AI124" s="718">
        <v>0.3</v>
      </c>
      <c r="AJ124" s="316" t="s">
        <v>680</v>
      </c>
      <c r="AK124" s="316" t="s">
        <v>681</v>
      </c>
      <c r="AL124" s="718">
        <v>0.37</v>
      </c>
      <c r="AM124" s="316" t="s">
        <v>514</v>
      </c>
      <c r="AN124" s="316" t="s">
        <v>514</v>
      </c>
      <c r="AO124" s="718">
        <v>0</v>
      </c>
      <c r="AP124" s="728">
        <f t="shared" ref="AP124:AP125" si="101">+AI124+AL124+AO124</f>
        <v>0.66999999999999993</v>
      </c>
      <c r="AQ124" s="718">
        <v>0.48</v>
      </c>
      <c r="AR124" s="316" t="s">
        <v>680</v>
      </c>
      <c r="AS124" s="316" t="s">
        <v>681</v>
      </c>
      <c r="AT124" s="718">
        <v>0.27</v>
      </c>
      <c r="AU124" s="316" t="s">
        <v>514</v>
      </c>
      <c r="AV124" s="316" t="s">
        <v>514</v>
      </c>
      <c r="AW124" s="718">
        <v>0</v>
      </c>
      <c r="AX124" s="463">
        <f t="shared" ref="AX124:AX125" si="102">+AQ124+AT124+AW124</f>
        <v>0.75</v>
      </c>
      <c r="AY124" s="661">
        <v>0.64</v>
      </c>
      <c r="AZ124" s="316" t="s">
        <v>680</v>
      </c>
      <c r="BA124" s="316" t="s">
        <v>681</v>
      </c>
      <c r="BB124" s="463">
        <v>0.36</v>
      </c>
      <c r="BC124" s="316" t="s">
        <v>514</v>
      </c>
      <c r="BD124" s="316" t="s">
        <v>514</v>
      </c>
      <c r="BE124" s="463">
        <v>0</v>
      </c>
      <c r="BF124" s="728">
        <f t="shared" ref="BF124:BF125" si="103">+AY124+BB124+BE124</f>
        <v>1</v>
      </c>
      <c r="BG124" s="463"/>
      <c r="BH124" s="463">
        <v>0.3</v>
      </c>
      <c r="BI124" s="316" t="s">
        <v>680</v>
      </c>
      <c r="BJ124" s="316" t="s">
        <v>681</v>
      </c>
      <c r="BK124" s="463">
        <v>0.37</v>
      </c>
      <c r="BL124" s="316" t="s">
        <v>514</v>
      </c>
      <c r="BM124" s="316" t="s">
        <v>514</v>
      </c>
      <c r="BN124" s="463">
        <v>0</v>
      </c>
      <c r="BO124" s="728">
        <f t="shared" ref="BO124:BO125" si="104">+BH124+BK124+BN124</f>
        <v>0.66999999999999993</v>
      </c>
      <c r="BP124" s="463">
        <v>0.3</v>
      </c>
      <c r="BQ124" s="316" t="s">
        <v>680</v>
      </c>
      <c r="BR124" s="316" t="s">
        <v>681</v>
      </c>
      <c r="BS124" s="463">
        <v>0.2</v>
      </c>
      <c r="BT124" s="316" t="s">
        <v>514</v>
      </c>
      <c r="BU124" s="316" t="s">
        <v>514</v>
      </c>
      <c r="BV124" s="463">
        <v>0</v>
      </c>
      <c r="BW124" s="463">
        <f t="shared" ref="BW124:BW125" si="105">+BP124+BS124+BV124</f>
        <v>0.5</v>
      </c>
      <c r="BX124" s="444"/>
      <c r="BY124" s="444"/>
      <c r="BZ124" s="444"/>
      <c r="CA124" s="436" t="s">
        <v>874</v>
      </c>
      <c r="CB124" s="723">
        <v>0.753</v>
      </c>
      <c r="CC124" s="668" t="s">
        <v>950</v>
      </c>
      <c r="CD124" s="316" t="s">
        <v>680</v>
      </c>
      <c r="CE124" s="316" t="s">
        <v>681</v>
      </c>
      <c r="CF124" s="718">
        <v>0.2</v>
      </c>
      <c r="CG124" s="316" t="s">
        <v>514</v>
      </c>
      <c r="CH124" s="316" t="s">
        <v>514</v>
      </c>
      <c r="CI124" s="718">
        <v>0</v>
      </c>
    </row>
    <row r="125" spans="1:87" ht="15.75" customHeight="1" x14ac:dyDescent="0.2">
      <c r="A125" s="747" t="s">
        <v>130</v>
      </c>
      <c r="B125" s="469" t="s">
        <v>623</v>
      </c>
      <c r="C125" s="718">
        <v>0.4</v>
      </c>
      <c r="D125" s="469" t="s">
        <v>621</v>
      </c>
      <c r="E125" s="469" t="s">
        <v>622</v>
      </c>
      <c r="F125" s="718">
        <v>0.09</v>
      </c>
      <c r="G125" s="469" t="s">
        <v>618</v>
      </c>
      <c r="H125" s="469" t="s">
        <v>619</v>
      </c>
      <c r="I125" s="718">
        <v>0.01</v>
      </c>
      <c r="J125" s="748">
        <f t="shared" si="67"/>
        <v>0.5</v>
      </c>
      <c r="K125" s="718">
        <v>0.4</v>
      </c>
      <c r="L125" s="316" t="s">
        <v>621</v>
      </c>
      <c r="M125" s="316" t="s">
        <v>622</v>
      </c>
      <c r="N125" s="718">
        <v>0.09</v>
      </c>
      <c r="O125" s="316" t="s">
        <v>618</v>
      </c>
      <c r="P125" s="316" t="s">
        <v>619</v>
      </c>
      <c r="Q125" s="718">
        <v>0.01</v>
      </c>
      <c r="R125" s="728">
        <f t="shared" si="68"/>
        <v>0.5</v>
      </c>
      <c r="S125" s="718">
        <v>0.4</v>
      </c>
      <c r="T125" s="316" t="s">
        <v>621</v>
      </c>
      <c r="U125" s="316" t="s">
        <v>622</v>
      </c>
      <c r="V125" s="718">
        <v>0.09</v>
      </c>
      <c r="W125" s="316" t="s">
        <v>618</v>
      </c>
      <c r="X125" s="316" t="s">
        <v>619</v>
      </c>
      <c r="Y125" s="718">
        <v>0.01</v>
      </c>
      <c r="Z125" s="728">
        <f t="shared" si="99"/>
        <v>0.5</v>
      </c>
      <c r="AA125" s="718">
        <v>0.4</v>
      </c>
      <c r="AB125" s="316" t="s">
        <v>621</v>
      </c>
      <c r="AC125" s="316" t="s">
        <v>622</v>
      </c>
      <c r="AD125" s="718">
        <v>0.09</v>
      </c>
      <c r="AE125" s="316" t="s">
        <v>618</v>
      </c>
      <c r="AF125" s="316" t="s">
        <v>619</v>
      </c>
      <c r="AG125" s="718">
        <v>0.01</v>
      </c>
      <c r="AH125" s="728">
        <f t="shared" si="100"/>
        <v>0.5</v>
      </c>
      <c r="AI125" s="718">
        <v>0.4</v>
      </c>
      <c r="AJ125" s="316" t="s">
        <v>621</v>
      </c>
      <c r="AK125" s="316" t="s">
        <v>622</v>
      </c>
      <c r="AL125" s="718">
        <v>0.09</v>
      </c>
      <c r="AM125" s="316" t="s">
        <v>618</v>
      </c>
      <c r="AN125" s="316" t="s">
        <v>619</v>
      </c>
      <c r="AO125" s="718">
        <v>0.01</v>
      </c>
      <c r="AP125" s="728">
        <f t="shared" si="101"/>
        <v>0.5</v>
      </c>
      <c r="AQ125" s="718">
        <v>0.375</v>
      </c>
      <c r="AR125" s="316" t="s">
        <v>621</v>
      </c>
      <c r="AS125" s="316" t="s">
        <v>622</v>
      </c>
      <c r="AT125" s="718">
        <v>0.36499999999999999</v>
      </c>
      <c r="AU125" s="316" t="s">
        <v>618</v>
      </c>
      <c r="AV125" s="316" t="s">
        <v>619</v>
      </c>
      <c r="AW125" s="718">
        <v>0.01</v>
      </c>
      <c r="AX125" s="463">
        <f t="shared" si="102"/>
        <v>0.75</v>
      </c>
      <c r="AY125" s="661">
        <v>0.4</v>
      </c>
      <c r="AZ125" s="316" t="s">
        <v>621</v>
      </c>
      <c r="BA125" s="316" t="s">
        <v>622</v>
      </c>
      <c r="BB125" s="463">
        <v>0.09</v>
      </c>
      <c r="BC125" s="316" t="s">
        <v>618</v>
      </c>
      <c r="BD125" s="316" t="s">
        <v>619</v>
      </c>
      <c r="BE125" s="463">
        <v>0.01</v>
      </c>
      <c r="BF125" s="728">
        <f t="shared" si="103"/>
        <v>0.5</v>
      </c>
      <c r="BG125" s="463"/>
      <c r="BH125" s="463">
        <v>0.4</v>
      </c>
      <c r="BI125" s="316" t="s">
        <v>621</v>
      </c>
      <c r="BJ125" s="316" t="s">
        <v>622</v>
      </c>
      <c r="BK125" s="463">
        <v>0.09</v>
      </c>
      <c r="BL125" s="316" t="s">
        <v>618</v>
      </c>
      <c r="BM125" s="316" t="s">
        <v>619</v>
      </c>
      <c r="BN125" s="463">
        <v>0.01</v>
      </c>
      <c r="BO125" s="728">
        <f t="shared" si="104"/>
        <v>0.5</v>
      </c>
      <c r="BP125" s="463">
        <v>0.4</v>
      </c>
      <c r="BQ125" s="316" t="s">
        <v>621</v>
      </c>
      <c r="BR125" s="316" t="s">
        <v>622</v>
      </c>
      <c r="BS125" s="463">
        <v>0.09</v>
      </c>
      <c r="BT125" s="316" t="s">
        <v>618</v>
      </c>
      <c r="BU125" s="316" t="s">
        <v>619</v>
      </c>
      <c r="BV125" s="463">
        <v>0.01</v>
      </c>
      <c r="BW125" s="463">
        <f t="shared" si="105"/>
        <v>0.5</v>
      </c>
      <c r="BX125" s="444" t="s">
        <v>874</v>
      </c>
      <c r="BY125" s="444"/>
      <c r="BZ125" s="444"/>
      <c r="CA125" s="434"/>
      <c r="CB125" s="723">
        <v>0.67900000000000005</v>
      </c>
      <c r="CC125" s="668" t="s">
        <v>950</v>
      </c>
      <c r="CD125" s="316" t="s">
        <v>621</v>
      </c>
      <c r="CE125" s="316" t="s">
        <v>622</v>
      </c>
      <c r="CF125" s="718">
        <v>0.59</v>
      </c>
      <c r="CG125" s="316" t="s">
        <v>618</v>
      </c>
      <c r="CH125" s="316" t="s">
        <v>619</v>
      </c>
      <c r="CI125" s="718">
        <v>0.01</v>
      </c>
    </row>
    <row r="126" spans="1:87" ht="15.75" customHeight="1" x14ac:dyDescent="0.2">
      <c r="A126" s="747" t="s">
        <v>132</v>
      </c>
      <c r="B126" s="469" t="s">
        <v>131</v>
      </c>
      <c r="C126" s="718">
        <v>0.4</v>
      </c>
      <c r="D126" s="469" t="s">
        <v>661</v>
      </c>
      <c r="E126" s="469" t="s">
        <v>662</v>
      </c>
      <c r="F126" s="718">
        <v>0.1</v>
      </c>
      <c r="G126" s="469" t="s">
        <v>514</v>
      </c>
      <c r="H126" s="469" t="s">
        <v>552</v>
      </c>
      <c r="I126" s="718">
        <v>0</v>
      </c>
      <c r="J126" s="748">
        <f t="shared" si="67"/>
        <v>0.5</v>
      </c>
      <c r="K126" s="718">
        <v>0.4</v>
      </c>
      <c r="L126" s="316" t="s">
        <v>661</v>
      </c>
      <c r="M126" s="316" t="s">
        <v>662</v>
      </c>
      <c r="N126" s="718">
        <v>0.1</v>
      </c>
      <c r="O126" s="316" t="s">
        <v>514</v>
      </c>
      <c r="P126" s="316" t="s">
        <v>552</v>
      </c>
      <c r="Q126" s="718">
        <v>0</v>
      </c>
      <c r="R126" s="728">
        <f t="shared" si="68"/>
        <v>0.5</v>
      </c>
      <c r="S126" s="718">
        <v>0.4</v>
      </c>
      <c r="T126" s="316" t="s">
        <v>661</v>
      </c>
      <c r="U126" s="316" t="s">
        <v>662</v>
      </c>
      <c r="V126" s="718">
        <v>0.1</v>
      </c>
      <c r="W126" s="316" t="s">
        <v>514</v>
      </c>
      <c r="X126" s="316" t="s">
        <v>552</v>
      </c>
      <c r="Y126" s="718">
        <v>0</v>
      </c>
      <c r="Z126" s="728">
        <f t="shared" si="99"/>
        <v>0.5</v>
      </c>
      <c r="AA126" s="718">
        <v>0.4</v>
      </c>
      <c r="AB126" s="316" t="s">
        <v>661</v>
      </c>
      <c r="AC126" s="316" t="s">
        <v>662</v>
      </c>
      <c r="AD126" s="718">
        <v>0.1</v>
      </c>
      <c r="AE126" s="316" t="s">
        <v>514</v>
      </c>
      <c r="AF126" s="316" t="s">
        <v>552</v>
      </c>
      <c r="AG126" s="718">
        <v>0</v>
      </c>
      <c r="AH126" s="728">
        <f t="shared" ref="AH126:AH127" si="106">+AA126+AD126+AG126</f>
        <v>0.5</v>
      </c>
      <c r="AI126" s="718">
        <v>0.4</v>
      </c>
      <c r="AJ126" s="316" t="s">
        <v>661</v>
      </c>
      <c r="AK126" s="316" t="s">
        <v>662</v>
      </c>
      <c r="AL126" s="718">
        <v>0.1</v>
      </c>
      <c r="AM126" s="316" t="s">
        <v>514</v>
      </c>
      <c r="AN126" s="316" t="s">
        <v>552</v>
      </c>
      <c r="AO126" s="718">
        <v>0</v>
      </c>
      <c r="AP126" s="728">
        <f t="shared" ref="AP126:AP127" si="107">+AI126+AL126+AO126</f>
        <v>0.5</v>
      </c>
      <c r="AQ126" s="718">
        <v>0.2</v>
      </c>
      <c r="AR126" s="316" t="s">
        <v>661</v>
      </c>
      <c r="AS126" s="316" t="s">
        <v>662</v>
      </c>
      <c r="AT126" s="718">
        <v>0.55000000000000004</v>
      </c>
      <c r="AU126" s="316" t="s">
        <v>514</v>
      </c>
      <c r="AV126" s="316" t="s">
        <v>552</v>
      </c>
      <c r="AW126" s="718">
        <v>0</v>
      </c>
      <c r="AX126" s="463">
        <f t="shared" ref="AX126:AX127" si="108">+AQ126+AT126+AW126</f>
        <v>0.75</v>
      </c>
      <c r="AY126" s="661">
        <v>0.4</v>
      </c>
      <c r="AZ126" s="316" t="s">
        <v>661</v>
      </c>
      <c r="BA126" s="316" t="s">
        <v>662</v>
      </c>
      <c r="BB126" s="463">
        <v>0.1</v>
      </c>
      <c r="BC126" s="316" t="s">
        <v>514</v>
      </c>
      <c r="BD126" s="316" t="s">
        <v>552</v>
      </c>
      <c r="BE126" s="463">
        <v>0</v>
      </c>
      <c r="BF126" s="728">
        <f t="shared" ref="BF126:BF127" si="109">+AY126+BB126+BE126</f>
        <v>0.5</v>
      </c>
      <c r="BG126" s="463"/>
      <c r="BH126" s="463">
        <v>0.4</v>
      </c>
      <c r="BI126" s="316" t="s">
        <v>661</v>
      </c>
      <c r="BJ126" s="316" t="s">
        <v>662</v>
      </c>
      <c r="BK126" s="463">
        <v>0.1</v>
      </c>
      <c r="BL126" s="316" t="s">
        <v>514</v>
      </c>
      <c r="BM126" s="316" t="s">
        <v>552</v>
      </c>
      <c r="BN126" s="463">
        <v>0</v>
      </c>
      <c r="BO126" s="728">
        <f t="shared" ref="BO126:BO127" si="110">+BH126+BK126+BN126</f>
        <v>0.5</v>
      </c>
      <c r="BP126" s="463">
        <v>0.4</v>
      </c>
      <c r="BQ126" s="316" t="s">
        <v>661</v>
      </c>
      <c r="BR126" s="316" t="s">
        <v>662</v>
      </c>
      <c r="BS126" s="463">
        <v>0.1</v>
      </c>
      <c r="BT126" s="316" t="s">
        <v>514</v>
      </c>
      <c r="BU126" s="316" t="s">
        <v>552</v>
      </c>
      <c r="BV126" s="463">
        <v>0</v>
      </c>
      <c r="BW126" s="463">
        <f t="shared" ref="BW126:BW127" si="111">+BP126+BS126+BV126</f>
        <v>0.5</v>
      </c>
      <c r="BX126" s="444"/>
      <c r="BY126" s="444"/>
      <c r="BZ126" s="444"/>
      <c r="CA126" s="434"/>
      <c r="CB126" s="723">
        <v>0.70299999999999996</v>
      </c>
      <c r="CC126" s="668" t="s">
        <v>950</v>
      </c>
      <c r="CD126" s="316" t="s">
        <v>661</v>
      </c>
      <c r="CE126" s="316" t="s">
        <v>662</v>
      </c>
      <c r="CF126" s="718">
        <v>0.6</v>
      </c>
      <c r="CG126" s="316" t="s">
        <v>514</v>
      </c>
      <c r="CH126" s="316" t="s">
        <v>552</v>
      </c>
      <c r="CI126" s="718">
        <v>0</v>
      </c>
    </row>
    <row r="127" spans="1:87" ht="15" x14ac:dyDescent="0.2">
      <c r="A127" s="747" t="s">
        <v>134</v>
      </c>
      <c r="B127" s="469" t="s">
        <v>133</v>
      </c>
      <c r="C127" s="718">
        <v>0.3</v>
      </c>
      <c r="D127" s="469" t="s">
        <v>680</v>
      </c>
      <c r="E127" s="469" t="s">
        <v>681</v>
      </c>
      <c r="F127" s="718">
        <v>0.37</v>
      </c>
      <c r="G127" s="469" t="s">
        <v>514</v>
      </c>
      <c r="H127" s="469" t="s">
        <v>514</v>
      </c>
      <c r="I127" s="718">
        <v>0</v>
      </c>
      <c r="J127" s="748">
        <f t="shared" si="67"/>
        <v>0.66999999999999993</v>
      </c>
      <c r="K127" s="718">
        <v>0.3</v>
      </c>
      <c r="L127" s="316" t="s">
        <v>680</v>
      </c>
      <c r="M127" s="316" t="s">
        <v>681</v>
      </c>
      <c r="N127" s="718">
        <v>0.37</v>
      </c>
      <c r="O127" s="316" t="s">
        <v>514</v>
      </c>
      <c r="P127" s="316" t="s">
        <v>514</v>
      </c>
      <c r="Q127" s="718">
        <v>0</v>
      </c>
      <c r="R127" s="728">
        <f t="shared" si="68"/>
        <v>0.66999999999999993</v>
      </c>
      <c r="S127" s="718">
        <v>0.3</v>
      </c>
      <c r="T127" s="316" t="s">
        <v>680</v>
      </c>
      <c r="U127" s="316" t="s">
        <v>681</v>
      </c>
      <c r="V127" s="718">
        <v>0.37</v>
      </c>
      <c r="W127" s="316" t="s">
        <v>514</v>
      </c>
      <c r="X127" s="316" t="s">
        <v>514</v>
      </c>
      <c r="Y127" s="718">
        <v>0</v>
      </c>
      <c r="Z127" s="728">
        <f t="shared" si="99"/>
        <v>0.66999999999999993</v>
      </c>
      <c r="AA127" s="718">
        <v>0.3</v>
      </c>
      <c r="AB127" s="316" t="s">
        <v>680</v>
      </c>
      <c r="AC127" s="316" t="s">
        <v>681</v>
      </c>
      <c r="AD127" s="718">
        <v>0.37</v>
      </c>
      <c r="AE127" s="316" t="s">
        <v>514</v>
      </c>
      <c r="AF127" s="316" t="s">
        <v>514</v>
      </c>
      <c r="AG127" s="718">
        <v>0</v>
      </c>
      <c r="AH127" s="728">
        <f t="shared" si="106"/>
        <v>0.66999999999999993</v>
      </c>
      <c r="AI127" s="718">
        <v>0.3</v>
      </c>
      <c r="AJ127" s="316" t="s">
        <v>680</v>
      </c>
      <c r="AK127" s="316" t="s">
        <v>681</v>
      </c>
      <c r="AL127" s="718">
        <v>0.37</v>
      </c>
      <c r="AM127" s="316" t="s">
        <v>514</v>
      </c>
      <c r="AN127" s="316" t="s">
        <v>514</v>
      </c>
      <c r="AO127" s="718">
        <v>0</v>
      </c>
      <c r="AP127" s="728">
        <f t="shared" si="107"/>
        <v>0.66999999999999993</v>
      </c>
      <c r="AQ127" s="718">
        <v>0.48</v>
      </c>
      <c r="AR127" s="316" t="s">
        <v>680</v>
      </c>
      <c r="AS127" s="316" t="s">
        <v>681</v>
      </c>
      <c r="AT127" s="718">
        <v>0.27</v>
      </c>
      <c r="AU127" s="316" t="s">
        <v>514</v>
      </c>
      <c r="AV127" s="316" t="s">
        <v>514</v>
      </c>
      <c r="AW127" s="718">
        <v>0</v>
      </c>
      <c r="AX127" s="463">
        <f t="shared" si="108"/>
        <v>0.75</v>
      </c>
      <c r="AY127" s="661">
        <v>0.64</v>
      </c>
      <c r="AZ127" s="316" t="s">
        <v>680</v>
      </c>
      <c r="BA127" s="316" t="s">
        <v>681</v>
      </c>
      <c r="BB127" s="463">
        <v>0.36</v>
      </c>
      <c r="BC127" s="316" t="s">
        <v>514</v>
      </c>
      <c r="BD127" s="316" t="s">
        <v>514</v>
      </c>
      <c r="BE127" s="463">
        <v>0</v>
      </c>
      <c r="BF127" s="728">
        <f t="shared" si="109"/>
        <v>1</v>
      </c>
      <c r="BG127" s="463"/>
      <c r="BH127" s="463">
        <v>0.3</v>
      </c>
      <c r="BI127" s="316" t="s">
        <v>680</v>
      </c>
      <c r="BJ127" s="316" t="s">
        <v>681</v>
      </c>
      <c r="BK127" s="463">
        <v>0.37</v>
      </c>
      <c r="BL127" s="316" t="s">
        <v>514</v>
      </c>
      <c r="BM127" s="316" t="s">
        <v>514</v>
      </c>
      <c r="BN127" s="463">
        <v>0</v>
      </c>
      <c r="BO127" s="728">
        <f t="shared" si="110"/>
        <v>0.66999999999999993</v>
      </c>
      <c r="BP127" s="463">
        <v>0.3</v>
      </c>
      <c r="BQ127" s="316" t="s">
        <v>680</v>
      </c>
      <c r="BR127" s="316" t="s">
        <v>681</v>
      </c>
      <c r="BS127" s="463">
        <v>0.2</v>
      </c>
      <c r="BT127" s="316" t="s">
        <v>514</v>
      </c>
      <c r="BU127" s="316" t="s">
        <v>514</v>
      </c>
      <c r="BV127" s="463">
        <v>0</v>
      </c>
      <c r="BW127" s="463">
        <f t="shared" si="111"/>
        <v>0.5</v>
      </c>
      <c r="BX127" s="444"/>
      <c r="BY127" s="444"/>
      <c r="BZ127" s="444"/>
      <c r="CA127" s="436" t="s">
        <v>874</v>
      </c>
      <c r="CB127" s="723">
        <v>0.73199999999999998</v>
      </c>
      <c r="CC127" s="668" t="s">
        <v>950</v>
      </c>
      <c r="CD127" s="316" t="s">
        <v>680</v>
      </c>
      <c r="CE127" s="316" t="s">
        <v>681</v>
      </c>
      <c r="CF127" s="718">
        <v>0.2</v>
      </c>
      <c r="CG127" s="316" t="s">
        <v>514</v>
      </c>
      <c r="CH127" s="316" t="s">
        <v>514</v>
      </c>
      <c r="CI127" s="718">
        <v>0</v>
      </c>
    </row>
    <row r="128" spans="1:87" ht="15.75" customHeight="1" x14ac:dyDescent="0.2">
      <c r="A128" s="747" t="s">
        <v>136</v>
      </c>
      <c r="B128" s="469" t="s">
        <v>135</v>
      </c>
      <c r="C128" s="718">
        <v>0.4</v>
      </c>
      <c r="D128" s="469" t="s">
        <v>539</v>
      </c>
      <c r="E128" s="469" t="s">
        <v>540</v>
      </c>
      <c r="F128" s="718">
        <v>0.09</v>
      </c>
      <c r="G128" s="469" t="s">
        <v>537</v>
      </c>
      <c r="H128" s="469" t="s">
        <v>538</v>
      </c>
      <c r="I128" s="718">
        <v>0.01</v>
      </c>
      <c r="J128" s="748">
        <f t="shared" si="67"/>
        <v>0.5</v>
      </c>
      <c r="K128" s="718">
        <v>0.4</v>
      </c>
      <c r="L128" s="316" t="s">
        <v>539</v>
      </c>
      <c r="M128" s="316" t="s">
        <v>540</v>
      </c>
      <c r="N128" s="718">
        <v>0.09</v>
      </c>
      <c r="O128" s="316" t="s">
        <v>537</v>
      </c>
      <c r="P128" s="316" t="s">
        <v>538</v>
      </c>
      <c r="Q128" s="718">
        <v>0.01</v>
      </c>
      <c r="R128" s="728">
        <f t="shared" si="68"/>
        <v>0.5</v>
      </c>
      <c r="S128" s="718">
        <v>0.4</v>
      </c>
      <c r="T128" s="316" t="s">
        <v>539</v>
      </c>
      <c r="U128" s="316" t="s">
        <v>540</v>
      </c>
      <c r="V128" s="718">
        <v>0.09</v>
      </c>
      <c r="W128" s="316" t="s">
        <v>537</v>
      </c>
      <c r="X128" s="316" t="s">
        <v>538</v>
      </c>
      <c r="Y128" s="718">
        <v>0.01</v>
      </c>
      <c r="Z128" s="728">
        <f t="shared" si="99"/>
        <v>0.5</v>
      </c>
      <c r="AA128" s="718">
        <v>0.4</v>
      </c>
      <c r="AB128" s="316" t="s">
        <v>539</v>
      </c>
      <c r="AC128" s="316" t="s">
        <v>540</v>
      </c>
      <c r="AD128" s="718">
        <v>0.09</v>
      </c>
      <c r="AE128" s="316" t="s">
        <v>537</v>
      </c>
      <c r="AF128" s="316" t="s">
        <v>538</v>
      </c>
      <c r="AG128" s="718">
        <v>0.01</v>
      </c>
      <c r="AH128" s="728">
        <f t="shared" ref="AH128:AH129" si="112">+AA128+AD128+AG128</f>
        <v>0.5</v>
      </c>
      <c r="AI128" s="718">
        <v>0.4</v>
      </c>
      <c r="AJ128" s="316" t="s">
        <v>539</v>
      </c>
      <c r="AK128" s="316" t="s">
        <v>540</v>
      </c>
      <c r="AL128" s="718">
        <v>0.09</v>
      </c>
      <c r="AM128" s="316" t="s">
        <v>537</v>
      </c>
      <c r="AN128" s="316" t="s">
        <v>538</v>
      </c>
      <c r="AO128" s="718">
        <v>0.01</v>
      </c>
      <c r="AP128" s="728">
        <f t="shared" ref="AP128:AP129" si="113">+AI128+AL128+AO128</f>
        <v>0.5</v>
      </c>
      <c r="AQ128" s="718">
        <v>0.4</v>
      </c>
      <c r="AR128" s="316" t="s">
        <v>539</v>
      </c>
      <c r="AS128" s="316" t="s">
        <v>540</v>
      </c>
      <c r="AT128" s="718">
        <v>0.09</v>
      </c>
      <c r="AU128" s="316" t="s">
        <v>537</v>
      </c>
      <c r="AV128" s="316" t="s">
        <v>538</v>
      </c>
      <c r="AW128" s="718">
        <v>0.01</v>
      </c>
      <c r="AX128" s="463">
        <f t="shared" ref="AX128:AX129" si="114">+AQ128+AT128+AW128</f>
        <v>0.5</v>
      </c>
      <c r="AY128" s="661">
        <v>0.4</v>
      </c>
      <c r="AZ128" s="316" t="s">
        <v>539</v>
      </c>
      <c r="BA128" s="316" t="s">
        <v>540</v>
      </c>
      <c r="BB128" s="463">
        <v>0.09</v>
      </c>
      <c r="BC128" s="316" t="s">
        <v>537</v>
      </c>
      <c r="BD128" s="316" t="s">
        <v>538</v>
      </c>
      <c r="BE128" s="463">
        <v>0.01</v>
      </c>
      <c r="BF128" s="728">
        <f t="shared" ref="BF128:BF129" si="115">+AY128+BB128+BE128</f>
        <v>0.5</v>
      </c>
      <c r="BG128" s="463"/>
      <c r="BH128" s="463">
        <v>0.4</v>
      </c>
      <c r="BI128" s="316" t="s">
        <v>539</v>
      </c>
      <c r="BJ128" s="316" t="s">
        <v>540</v>
      </c>
      <c r="BK128" s="463">
        <v>0.09</v>
      </c>
      <c r="BL128" s="316" t="s">
        <v>537</v>
      </c>
      <c r="BM128" s="316" t="s">
        <v>538</v>
      </c>
      <c r="BN128" s="463">
        <v>0.01</v>
      </c>
      <c r="BO128" s="728">
        <f t="shared" ref="BO128:BO129" si="116">+BH128+BK128+BN128</f>
        <v>0.5</v>
      </c>
      <c r="BP128" s="463">
        <v>0.4</v>
      </c>
      <c r="BQ128" s="316" t="s">
        <v>539</v>
      </c>
      <c r="BR128" s="316" t="s">
        <v>540</v>
      </c>
      <c r="BS128" s="463">
        <v>0.09</v>
      </c>
      <c r="BT128" s="316" t="s">
        <v>537</v>
      </c>
      <c r="BU128" s="316" t="s">
        <v>538</v>
      </c>
      <c r="BV128" s="463">
        <v>0.01</v>
      </c>
      <c r="BW128" s="463">
        <f t="shared" ref="BW128:BW129" si="117">+BP128+BS128+BV128</f>
        <v>0.5</v>
      </c>
      <c r="BX128" s="444" t="s">
        <v>874</v>
      </c>
      <c r="BY128" s="444"/>
      <c r="BZ128" s="444"/>
      <c r="CA128" s="434"/>
      <c r="CB128" s="723">
        <v>0.70499999999999996</v>
      </c>
      <c r="CC128" s="668" t="s">
        <v>950</v>
      </c>
      <c r="CD128" s="316" t="s">
        <v>539</v>
      </c>
      <c r="CE128" s="316" t="s">
        <v>540</v>
      </c>
      <c r="CF128" s="718">
        <v>0.59</v>
      </c>
      <c r="CG128" s="316" t="s">
        <v>537</v>
      </c>
      <c r="CH128" s="316" t="s">
        <v>538</v>
      </c>
      <c r="CI128" s="718">
        <v>0.01</v>
      </c>
    </row>
    <row r="129" spans="1:87" ht="15" x14ac:dyDescent="0.2">
      <c r="A129" s="747" t="s">
        <v>138</v>
      </c>
      <c r="B129" s="469" t="s">
        <v>137</v>
      </c>
      <c r="C129" s="718">
        <v>0.4</v>
      </c>
      <c r="D129" s="469" t="s">
        <v>615</v>
      </c>
      <c r="E129" s="469" t="s">
        <v>616</v>
      </c>
      <c r="F129" s="718">
        <v>0.09</v>
      </c>
      <c r="G129" s="469" t="s">
        <v>612</v>
      </c>
      <c r="H129" s="469" t="s">
        <v>613</v>
      </c>
      <c r="I129" s="718">
        <v>0.01</v>
      </c>
      <c r="J129" s="748">
        <f t="shared" si="67"/>
        <v>0.5</v>
      </c>
      <c r="K129" s="718">
        <v>0.4</v>
      </c>
      <c r="L129" s="316" t="s">
        <v>615</v>
      </c>
      <c r="M129" s="316" t="s">
        <v>616</v>
      </c>
      <c r="N129" s="718">
        <v>0.09</v>
      </c>
      <c r="O129" s="316" t="s">
        <v>612</v>
      </c>
      <c r="P129" s="316" t="s">
        <v>613</v>
      </c>
      <c r="Q129" s="718">
        <v>0.01</v>
      </c>
      <c r="R129" s="728">
        <f t="shared" si="68"/>
        <v>0.5</v>
      </c>
      <c r="S129" s="718">
        <v>0.4</v>
      </c>
      <c r="T129" s="316" t="s">
        <v>615</v>
      </c>
      <c r="U129" s="316" t="s">
        <v>616</v>
      </c>
      <c r="V129" s="718">
        <v>0.09</v>
      </c>
      <c r="W129" s="316" t="s">
        <v>612</v>
      </c>
      <c r="X129" s="316" t="s">
        <v>613</v>
      </c>
      <c r="Y129" s="718">
        <v>0.01</v>
      </c>
      <c r="Z129" s="728">
        <f t="shared" si="99"/>
        <v>0.5</v>
      </c>
      <c r="AA129" s="718">
        <v>0.4</v>
      </c>
      <c r="AB129" s="316" t="s">
        <v>615</v>
      </c>
      <c r="AC129" s="316" t="s">
        <v>616</v>
      </c>
      <c r="AD129" s="718">
        <v>0.09</v>
      </c>
      <c r="AE129" s="316" t="s">
        <v>612</v>
      </c>
      <c r="AF129" s="316" t="s">
        <v>613</v>
      </c>
      <c r="AG129" s="718">
        <v>0.01</v>
      </c>
      <c r="AH129" s="728">
        <f t="shared" si="112"/>
        <v>0.5</v>
      </c>
      <c r="AI129" s="718">
        <v>0.4</v>
      </c>
      <c r="AJ129" s="316" t="s">
        <v>615</v>
      </c>
      <c r="AK129" s="316" t="s">
        <v>616</v>
      </c>
      <c r="AL129" s="718">
        <v>0.09</v>
      </c>
      <c r="AM129" s="316" t="s">
        <v>612</v>
      </c>
      <c r="AN129" s="316" t="s">
        <v>613</v>
      </c>
      <c r="AO129" s="718">
        <v>0.01</v>
      </c>
      <c r="AP129" s="728">
        <f t="shared" si="113"/>
        <v>0.5</v>
      </c>
      <c r="AQ129" s="718">
        <v>0.56000000000000005</v>
      </c>
      <c r="AR129" s="316" t="s">
        <v>615</v>
      </c>
      <c r="AS129" s="316" t="s">
        <v>616</v>
      </c>
      <c r="AT129" s="718">
        <v>0.17499999999999999</v>
      </c>
      <c r="AU129" s="316" t="s">
        <v>612</v>
      </c>
      <c r="AV129" s="316" t="s">
        <v>613</v>
      </c>
      <c r="AW129" s="718">
        <v>1.4999999999999999E-2</v>
      </c>
      <c r="AX129" s="463">
        <f t="shared" si="114"/>
        <v>0.75000000000000011</v>
      </c>
      <c r="AY129" s="661">
        <v>0.4</v>
      </c>
      <c r="AZ129" s="316" t="s">
        <v>615</v>
      </c>
      <c r="BA129" s="316" t="s">
        <v>616</v>
      </c>
      <c r="BB129" s="463">
        <v>0.09</v>
      </c>
      <c r="BC129" s="316" t="s">
        <v>612</v>
      </c>
      <c r="BD129" s="316" t="s">
        <v>613</v>
      </c>
      <c r="BE129" s="463">
        <v>0.01</v>
      </c>
      <c r="BF129" s="728">
        <f t="shared" si="115"/>
        <v>0.5</v>
      </c>
      <c r="BG129" s="463"/>
      <c r="BH129" s="463">
        <v>0.4</v>
      </c>
      <c r="BI129" s="316" t="s">
        <v>615</v>
      </c>
      <c r="BJ129" s="316" t="s">
        <v>616</v>
      </c>
      <c r="BK129" s="463">
        <v>0.09</v>
      </c>
      <c r="BL129" s="316" t="s">
        <v>612</v>
      </c>
      <c r="BM129" s="316" t="s">
        <v>613</v>
      </c>
      <c r="BN129" s="463">
        <v>0.01</v>
      </c>
      <c r="BO129" s="728">
        <f t="shared" si="116"/>
        <v>0.5</v>
      </c>
      <c r="BP129" s="463">
        <v>0.4</v>
      </c>
      <c r="BQ129" s="316" t="s">
        <v>615</v>
      </c>
      <c r="BR129" s="316" t="s">
        <v>616</v>
      </c>
      <c r="BS129" s="463">
        <v>0.09</v>
      </c>
      <c r="BT129" s="316" t="s">
        <v>612</v>
      </c>
      <c r="BU129" s="316" t="s">
        <v>613</v>
      </c>
      <c r="BV129" s="463">
        <v>0.01</v>
      </c>
      <c r="BW129" s="463">
        <f t="shared" si="117"/>
        <v>0.5</v>
      </c>
      <c r="BX129" s="444"/>
      <c r="BY129" s="444"/>
      <c r="BZ129" s="444"/>
      <c r="CA129" s="434"/>
      <c r="CB129" s="723">
        <v>0.64100000000000001</v>
      </c>
      <c r="CC129" s="668" t="s">
        <v>874</v>
      </c>
      <c r="CD129" s="316" t="s">
        <v>615</v>
      </c>
      <c r="CE129" s="316" t="s">
        <v>616</v>
      </c>
      <c r="CF129" s="718">
        <v>0.59</v>
      </c>
      <c r="CG129" s="316" t="s">
        <v>612</v>
      </c>
      <c r="CH129" s="316" t="s">
        <v>613</v>
      </c>
      <c r="CI129" s="718">
        <v>0.01</v>
      </c>
    </row>
    <row r="130" spans="1:87" ht="15.75" customHeight="1" x14ac:dyDescent="0.2">
      <c r="A130" s="747" t="s">
        <v>140</v>
      </c>
      <c r="B130" s="469" t="s">
        <v>139</v>
      </c>
      <c r="C130" s="718">
        <v>0.4</v>
      </c>
      <c r="D130" s="469" t="s">
        <v>653</v>
      </c>
      <c r="E130" s="469" t="s">
        <v>654</v>
      </c>
      <c r="F130" s="718">
        <v>0.1</v>
      </c>
      <c r="G130" s="469" t="s">
        <v>514</v>
      </c>
      <c r="H130" s="469" t="s">
        <v>552</v>
      </c>
      <c r="I130" s="718">
        <v>0</v>
      </c>
      <c r="J130" s="748">
        <f t="shared" si="67"/>
        <v>0.5</v>
      </c>
      <c r="K130" s="718">
        <v>0.4</v>
      </c>
      <c r="L130" s="316" t="s">
        <v>653</v>
      </c>
      <c r="M130" s="316" t="s">
        <v>654</v>
      </c>
      <c r="N130" s="718">
        <v>0.1</v>
      </c>
      <c r="O130" s="316" t="s">
        <v>514</v>
      </c>
      <c r="P130" s="316" t="s">
        <v>552</v>
      </c>
      <c r="Q130" s="718">
        <v>0</v>
      </c>
      <c r="R130" s="728">
        <f t="shared" si="68"/>
        <v>0.5</v>
      </c>
      <c r="S130" s="718">
        <v>0.4</v>
      </c>
      <c r="T130" s="316" t="s">
        <v>653</v>
      </c>
      <c r="U130" s="316" t="s">
        <v>654</v>
      </c>
      <c r="V130" s="718">
        <v>0.1</v>
      </c>
      <c r="W130" s="316" t="s">
        <v>514</v>
      </c>
      <c r="X130" s="316" t="s">
        <v>552</v>
      </c>
      <c r="Y130" s="718">
        <v>0</v>
      </c>
      <c r="Z130" s="728">
        <f t="shared" si="99"/>
        <v>0.5</v>
      </c>
      <c r="AA130" s="718">
        <v>0.4</v>
      </c>
      <c r="AB130" s="316" t="s">
        <v>653</v>
      </c>
      <c r="AC130" s="316" t="s">
        <v>654</v>
      </c>
      <c r="AD130" s="718">
        <v>0.1</v>
      </c>
      <c r="AE130" s="316" t="s">
        <v>514</v>
      </c>
      <c r="AF130" s="316" t="s">
        <v>552</v>
      </c>
      <c r="AG130" s="718">
        <v>0</v>
      </c>
      <c r="AH130" s="728">
        <f t="shared" ref="AH130:AH131" si="118">+AA130+AD130+AG130</f>
        <v>0.5</v>
      </c>
      <c r="AI130" s="718">
        <v>0.4</v>
      </c>
      <c r="AJ130" s="316" t="s">
        <v>653</v>
      </c>
      <c r="AK130" s="316" t="s">
        <v>654</v>
      </c>
      <c r="AL130" s="718">
        <v>0.1</v>
      </c>
      <c r="AM130" s="316" t="s">
        <v>514</v>
      </c>
      <c r="AN130" s="316" t="s">
        <v>552</v>
      </c>
      <c r="AO130" s="718">
        <v>0</v>
      </c>
      <c r="AP130" s="728">
        <f t="shared" ref="AP130:AP131" si="119">+AI130+AL130+AO130</f>
        <v>0.5</v>
      </c>
      <c r="AQ130" s="718">
        <v>0.4</v>
      </c>
      <c r="AR130" s="316" t="s">
        <v>653</v>
      </c>
      <c r="AS130" s="316" t="s">
        <v>654</v>
      </c>
      <c r="AT130" s="718">
        <v>0.1</v>
      </c>
      <c r="AU130" s="316" t="s">
        <v>514</v>
      </c>
      <c r="AV130" s="316" t="s">
        <v>552</v>
      </c>
      <c r="AW130" s="718">
        <v>0</v>
      </c>
      <c r="AX130" s="463">
        <f t="shared" ref="AX130:AX131" si="120">+AQ130+AT130+AW130</f>
        <v>0.5</v>
      </c>
      <c r="AY130" s="661">
        <v>0.8</v>
      </c>
      <c r="AZ130" s="316" t="s">
        <v>653</v>
      </c>
      <c r="BA130" s="316" t="s">
        <v>654</v>
      </c>
      <c r="BB130" s="463">
        <v>0.2</v>
      </c>
      <c r="BC130" s="316" t="s">
        <v>514</v>
      </c>
      <c r="BD130" s="316" t="s">
        <v>552</v>
      </c>
      <c r="BE130" s="463">
        <v>0</v>
      </c>
      <c r="BF130" s="728">
        <f t="shared" ref="BF130:BF131" si="121">+AY130+BB130+BE130</f>
        <v>1</v>
      </c>
      <c r="BG130" s="463"/>
      <c r="BH130" s="463">
        <v>0.4</v>
      </c>
      <c r="BI130" s="316" t="s">
        <v>653</v>
      </c>
      <c r="BJ130" s="316" t="s">
        <v>654</v>
      </c>
      <c r="BK130" s="463">
        <v>0.1</v>
      </c>
      <c r="BL130" s="316" t="s">
        <v>514</v>
      </c>
      <c r="BM130" s="316" t="s">
        <v>552</v>
      </c>
      <c r="BN130" s="463">
        <v>0</v>
      </c>
      <c r="BO130" s="728">
        <f t="shared" ref="BO130:BO131" si="122">+BH130+BK130+BN130</f>
        <v>0.5</v>
      </c>
      <c r="BP130" s="463">
        <v>0.4</v>
      </c>
      <c r="BQ130" s="316" t="s">
        <v>653</v>
      </c>
      <c r="BR130" s="316" t="s">
        <v>654</v>
      </c>
      <c r="BS130" s="463">
        <v>0.1</v>
      </c>
      <c r="BT130" s="316" t="s">
        <v>514</v>
      </c>
      <c r="BU130" s="316" t="s">
        <v>552</v>
      </c>
      <c r="BV130" s="463">
        <v>0</v>
      </c>
      <c r="BW130" s="463">
        <f t="shared" ref="BW130:BW131" si="123">+BP130+BS130+BV130</f>
        <v>0.5</v>
      </c>
      <c r="BX130" s="444" t="s">
        <v>874</v>
      </c>
      <c r="BY130" s="444"/>
      <c r="BZ130" s="444"/>
      <c r="CA130" s="434"/>
      <c r="CB130" s="723">
        <v>0.69199999999999995</v>
      </c>
      <c r="CC130" s="668" t="s">
        <v>950</v>
      </c>
      <c r="CD130" s="316" t="s">
        <v>653</v>
      </c>
      <c r="CE130" s="316" t="s">
        <v>654</v>
      </c>
      <c r="CF130" s="718">
        <v>0.6</v>
      </c>
      <c r="CG130" s="316" t="s">
        <v>514</v>
      </c>
      <c r="CH130" s="316" t="s">
        <v>552</v>
      </c>
      <c r="CI130" s="718">
        <v>0</v>
      </c>
    </row>
    <row r="131" spans="1:87" ht="15.75" customHeight="1" x14ac:dyDescent="0.2">
      <c r="A131" s="747" t="s">
        <v>142</v>
      </c>
      <c r="B131" s="998" t="s">
        <v>604</v>
      </c>
      <c r="C131" s="718">
        <v>0.49</v>
      </c>
      <c r="D131" s="469" t="s">
        <v>514</v>
      </c>
      <c r="E131" s="469" t="s">
        <v>515</v>
      </c>
      <c r="F131" s="718">
        <v>0</v>
      </c>
      <c r="G131" s="469" t="s">
        <v>2290</v>
      </c>
      <c r="H131" s="469" t="s">
        <v>2291</v>
      </c>
      <c r="I131" s="718">
        <v>0.01</v>
      </c>
      <c r="J131" s="748">
        <f t="shared" si="67"/>
        <v>0.5</v>
      </c>
      <c r="K131" s="718">
        <v>0.49</v>
      </c>
      <c r="L131" s="316" t="s">
        <v>514</v>
      </c>
      <c r="M131" s="316" t="s">
        <v>515</v>
      </c>
      <c r="N131" s="718">
        <v>0</v>
      </c>
      <c r="O131" s="316" t="s">
        <v>2290</v>
      </c>
      <c r="P131" s="316" t="s">
        <v>2291</v>
      </c>
      <c r="Q131" s="718">
        <v>0.01</v>
      </c>
      <c r="R131" s="728">
        <f t="shared" si="68"/>
        <v>0.5</v>
      </c>
      <c r="S131" s="718">
        <v>0.49</v>
      </c>
      <c r="T131" s="316" t="s">
        <v>514</v>
      </c>
      <c r="U131" s="316" t="s">
        <v>515</v>
      </c>
      <c r="V131" s="718">
        <v>0</v>
      </c>
      <c r="W131" s="316" t="s">
        <v>2290</v>
      </c>
      <c r="X131" s="316" t="s">
        <v>2291</v>
      </c>
      <c r="Y131" s="718">
        <v>0.01</v>
      </c>
      <c r="Z131" s="728">
        <f t="shared" si="99"/>
        <v>0.5</v>
      </c>
      <c r="AA131" s="718">
        <v>0.49</v>
      </c>
      <c r="AB131" s="316" t="s">
        <v>514</v>
      </c>
      <c r="AC131" s="316" t="s">
        <v>515</v>
      </c>
      <c r="AD131" s="718">
        <v>0</v>
      </c>
      <c r="AE131" s="316" t="s">
        <v>2290</v>
      </c>
      <c r="AF131" s="316" t="s">
        <v>2291</v>
      </c>
      <c r="AG131" s="718">
        <v>0.01</v>
      </c>
      <c r="AH131" s="728">
        <f t="shared" si="118"/>
        <v>0.5</v>
      </c>
      <c r="AI131" s="718">
        <v>0.5</v>
      </c>
      <c r="AJ131" s="316" t="s">
        <v>514</v>
      </c>
      <c r="AK131" s="316" t="s">
        <v>515</v>
      </c>
      <c r="AL131" s="718">
        <v>0</v>
      </c>
      <c r="AM131" s="316" t="s">
        <v>514</v>
      </c>
      <c r="AN131" s="316" t="s">
        <v>552</v>
      </c>
      <c r="AO131" s="718">
        <v>0</v>
      </c>
      <c r="AP131" s="728">
        <f t="shared" si="119"/>
        <v>0.5</v>
      </c>
      <c r="AQ131" s="718">
        <v>0.75</v>
      </c>
      <c r="AR131" s="316" t="s">
        <v>514</v>
      </c>
      <c r="AS131" s="316" t="s">
        <v>515</v>
      </c>
      <c r="AT131" s="718">
        <v>0</v>
      </c>
      <c r="AU131" s="316" t="s">
        <v>514</v>
      </c>
      <c r="AV131" s="316" t="s">
        <v>552</v>
      </c>
      <c r="AW131" s="718">
        <v>0</v>
      </c>
      <c r="AX131" s="463">
        <f t="shared" si="120"/>
        <v>0.75</v>
      </c>
      <c r="AY131" s="661">
        <v>1</v>
      </c>
      <c r="AZ131" s="316" t="s">
        <v>514</v>
      </c>
      <c r="BA131" s="316" t="s">
        <v>515</v>
      </c>
      <c r="BB131" s="463">
        <v>0</v>
      </c>
      <c r="BC131" s="316" t="s">
        <v>514</v>
      </c>
      <c r="BD131" s="316" t="s">
        <v>552</v>
      </c>
      <c r="BE131" s="463">
        <v>0</v>
      </c>
      <c r="BF131" s="728">
        <f t="shared" si="121"/>
        <v>1</v>
      </c>
      <c r="BG131" s="463"/>
      <c r="BH131" s="463">
        <v>0.5</v>
      </c>
      <c r="BI131" s="316" t="s">
        <v>514</v>
      </c>
      <c r="BJ131" s="316" t="s">
        <v>515</v>
      </c>
      <c r="BK131" s="463">
        <v>0</v>
      </c>
      <c r="BL131" s="316" t="s">
        <v>514</v>
      </c>
      <c r="BM131" s="316" t="s">
        <v>552</v>
      </c>
      <c r="BN131" s="463">
        <v>0</v>
      </c>
      <c r="BO131" s="728">
        <f t="shared" si="122"/>
        <v>0.5</v>
      </c>
      <c r="BP131" s="463">
        <v>0.5</v>
      </c>
      <c r="BQ131" s="316" t="s">
        <v>514</v>
      </c>
      <c r="BR131" s="316" t="s">
        <v>515</v>
      </c>
      <c r="BS131" s="463">
        <v>0</v>
      </c>
      <c r="BT131" s="316" t="s">
        <v>514</v>
      </c>
      <c r="BU131" s="316" t="s">
        <v>552</v>
      </c>
      <c r="BV131" s="463">
        <v>0</v>
      </c>
      <c r="BW131" s="463">
        <f t="shared" si="123"/>
        <v>0.5</v>
      </c>
      <c r="BX131" s="444"/>
      <c r="BY131" s="444"/>
      <c r="BZ131" s="444"/>
      <c r="CA131" s="436" t="s">
        <v>874</v>
      </c>
      <c r="CB131" s="723">
        <v>0.65900000000000003</v>
      </c>
      <c r="CC131" s="668" t="s">
        <v>950</v>
      </c>
      <c r="CD131" s="316" t="s">
        <v>514</v>
      </c>
      <c r="CE131" s="316" t="s">
        <v>515</v>
      </c>
      <c r="CF131" s="718">
        <v>0</v>
      </c>
      <c r="CG131" s="316" t="s">
        <v>514</v>
      </c>
      <c r="CH131" s="316" t="s">
        <v>552</v>
      </c>
      <c r="CI131" s="718">
        <v>0</v>
      </c>
    </row>
    <row r="132" spans="1:87" ht="15.75" customHeight="1" x14ac:dyDescent="0.2">
      <c r="A132" s="747" t="s">
        <v>144</v>
      </c>
      <c r="B132" s="469" t="s">
        <v>143</v>
      </c>
      <c r="C132" s="718">
        <v>0.5</v>
      </c>
      <c r="D132" s="469" t="s">
        <v>514</v>
      </c>
      <c r="E132" s="469" t="s">
        <v>515</v>
      </c>
      <c r="F132" s="718">
        <v>0</v>
      </c>
      <c r="G132" s="469" t="s">
        <v>514</v>
      </c>
      <c r="H132" s="469" t="s">
        <v>552</v>
      </c>
      <c r="I132" s="718">
        <v>0</v>
      </c>
      <c r="J132" s="748">
        <f t="shared" si="67"/>
        <v>0.5</v>
      </c>
      <c r="K132" s="718">
        <v>0.5</v>
      </c>
      <c r="L132" s="316" t="s">
        <v>514</v>
      </c>
      <c r="M132" s="316" t="s">
        <v>515</v>
      </c>
      <c r="N132" s="718">
        <v>0</v>
      </c>
      <c r="O132" s="316" t="s">
        <v>514</v>
      </c>
      <c r="P132" s="316" t="s">
        <v>552</v>
      </c>
      <c r="Q132" s="718">
        <v>0</v>
      </c>
      <c r="R132" s="728">
        <f t="shared" si="68"/>
        <v>0.5</v>
      </c>
      <c r="S132" s="718">
        <v>0.5</v>
      </c>
      <c r="T132" s="316" t="s">
        <v>514</v>
      </c>
      <c r="U132" s="316" t="s">
        <v>515</v>
      </c>
      <c r="V132" s="718">
        <v>0</v>
      </c>
      <c r="W132" s="316" t="s">
        <v>514</v>
      </c>
      <c r="X132" s="316" t="s">
        <v>552</v>
      </c>
      <c r="Y132" s="718">
        <v>0</v>
      </c>
      <c r="Z132" s="728">
        <f t="shared" si="99"/>
        <v>0.5</v>
      </c>
      <c r="AA132" s="718">
        <v>0.5</v>
      </c>
      <c r="AB132" s="316" t="s">
        <v>514</v>
      </c>
      <c r="AC132" s="316" t="s">
        <v>515</v>
      </c>
      <c r="AD132" s="718">
        <v>0</v>
      </c>
      <c r="AE132" s="316" t="s">
        <v>514</v>
      </c>
      <c r="AF132" s="316" t="s">
        <v>552</v>
      </c>
      <c r="AG132" s="718">
        <v>0</v>
      </c>
      <c r="AH132" s="728">
        <f t="shared" ref="AH132:AH133" si="124">+AA132+AD132+AG132</f>
        <v>0.5</v>
      </c>
      <c r="AI132" s="718">
        <v>0.5</v>
      </c>
      <c r="AJ132" s="316" t="s">
        <v>514</v>
      </c>
      <c r="AK132" s="316" t="s">
        <v>515</v>
      </c>
      <c r="AL132" s="718">
        <v>0</v>
      </c>
      <c r="AM132" s="316" t="s">
        <v>514</v>
      </c>
      <c r="AN132" s="316" t="s">
        <v>552</v>
      </c>
      <c r="AO132" s="718">
        <v>0</v>
      </c>
      <c r="AP132" s="728">
        <f t="shared" ref="AP132:AP133" si="125">+AI132+AL132+AO132</f>
        <v>0.5</v>
      </c>
      <c r="AQ132" s="718">
        <v>0.5</v>
      </c>
      <c r="AR132" s="316" t="s">
        <v>514</v>
      </c>
      <c r="AS132" s="316" t="s">
        <v>515</v>
      </c>
      <c r="AT132" s="718">
        <v>0</v>
      </c>
      <c r="AU132" s="316" t="s">
        <v>514</v>
      </c>
      <c r="AV132" s="316" t="s">
        <v>552</v>
      </c>
      <c r="AW132" s="718">
        <v>0</v>
      </c>
      <c r="AX132" s="463">
        <f t="shared" ref="AX132:AX133" si="126">+AQ132+AT132+AW132</f>
        <v>0.5</v>
      </c>
      <c r="AY132" s="661">
        <v>0.5</v>
      </c>
      <c r="AZ132" s="316" t="s">
        <v>514</v>
      </c>
      <c r="BA132" s="316" t="s">
        <v>515</v>
      </c>
      <c r="BB132" s="463">
        <v>0</v>
      </c>
      <c r="BC132" s="316" t="s">
        <v>514</v>
      </c>
      <c r="BD132" s="316" t="s">
        <v>552</v>
      </c>
      <c r="BE132" s="463">
        <v>0</v>
      </c>
      <c r="BF132" s="728">
        <f t="shared" ref="BF132:BF133" si="127">+AY132+BB132+BE132</f>
        <v>0.5</v>
      </c>
      <c r="BG132" s="463"/>
      <c r="BH132" s="463">
        <v>0.5</v>
      </c>
      <c r="BI132" s="316" t="s">
        <v>514</v>
      </c>
      <c r="BJ132" s="316" t="s">
        <v>515</v>
      </c>
      <c r="BK132" s="463">
        <v>0</v>
      </c>
      <c r="BL132" s="316" t="s">
        <v>514</v>
      </c>
      <c r="BM132" s="316" t="s">
        <v>552</v>
      </c>
      <c r="BN132" s="463">
        <v>0</v>
      </c>
      <c r="BO132" s="728">
        <f t="shared" ref="BO132:BO133" si="128">+BH132+BK132+BN132</f>
        <v>0.5</v>
      </c>
      <c r="BP132" s="463">
        <v>0.5</v>
      </c>
      <c r="BQ132" s="316" t="s">
        <v>514</v>
      </c>
      <c r="BR132" s="316" t="s">
        <v>515</v>
      </c>
      <c r="BS132" s="463">
        <v>0</v>
      </c>
      <c r="BT132" s="316" t="s">
        <v>514</v>
      </c>
      <c r="BU132" s="316" t="s">
        <v>552</v>
      </c>
      <c r="BV132" s="463">
        <v>0</v>
      </c>
      <c r="BW132" s="463">
        <f t="shared" ref="BW132:BW133" si="129">+BP132+BS132+BV132</f>
        <v>0.5</v>
      </c>
      <c r="BX132" s="444"/>
      <c r="BY132" s="444"/>
      <c r="BZ132" s="444"/>
      <c r="CA132" s="436" t="s">
        <v>874</v>
      </c>
      <c r="CB132" s="723">
        <v>0.64400000000000002</v>
      </c>
      <c r="CC132" s="668" t="s">
        <v>950</v>
      </c>
      <c r="CD132" s="316" t="s">
        <v>514</v>
      </c>
      <c r="CE132" s="316" t="s">
        <v>515</v>
      </c>
      <c r="CF132" s="718">
        <v>0</v>
      </c>
      <c r="CG132" s="316" t="s">
        <v>514</v>
      </c>
      <c r="CH132" s="316" t="s">
        <v>552</v>
      </c>
      <c r="CI132" s="718">
        <v>0</v>
      </c>
    </row>
    <row r="133" spans="1:87" ht="15.75" customHeight="1" x14ac:dyDescent="0.2">
      <c r="A133" s="747" t="s">
        <v>146</v>
      </c>
      <c r="B133" s="469" t="s">
        <v>145</v>
      </c>
      <c r="C133" s="718">
        <v>0.3</v>
      </c>
      <c r="D133" s="469" t="s">
        <v>680</v>
      </c>
      <c r="E133" s="469" t="s">
        <v>681</v>
      </c>
      <c r="F133" s="718">
        <v>0.37</v>
      </c>
      <c r="G133" s="469" t="s">
        <v>514</v>
      </c>
      <c r="H133" s="469" t="s">
        <v>514</v>
      </c>
      <c r="I133" s="718">
        <v>0</v>
      </c>
      <c r="J133" s="748">
        <f t="shared" si="67"/>
        <v>0.66999999999999993</v>
      </c>
      <c r="K133" s="718">
        <v>0.3</v>
      </c>
      <c r="L133" s="316" t="s">
        <v>680</v>
      </c>
      <c r="M133" s="316" t="s">
        <v>681</v>
      </c>
      <c r="N133" s="718">
        <v>0.37</v>
      </c>
      <c r="O133" s="316" t="s">
        <v>514</v>
      </c>
      <c r="P133" s="316" t="s">
        <v>514</v>
      </c>
      <c r="Q133" s="718">
        <v>0</v>
      </c>
      <c r="R133" s="728">
        <f t="shared" si="68"/>
        <v>0.66999999999999993</v>
      </c>
      <c r="S133" s="718">
        <v>0.3</v>
      </c>
      <c r="T133" s="316" t="s">
        <v>680</v>
      </c>
      <c r="U133" s="316" t="s">
        <v>681</v>
      </c>
      <c r="V133" s="718">
        <v>0.37</v>
      </c>
      <c r="W133" s="316" t="s">
        <v>514</v>
      </c>
      <c r="X133" s="316" t="s">
        <v>514</v>
      </c>
      <c r="Y133" s="718">
        <v>0</v>
      </c>
      <c r="Z133" s="728">
        <f t="shared" si="99"/>
        <v>0.66999999999999993</v>
      </c>
      <c r="AA133" s="718">
        <v>0.3</v>
      </c>
      <c r="AB133" s="316" t="s">
        <v>680</v>
      </c>
      <c r="AC133" s="316" t="s">
        <v>681</v>
      </c>
      <c r="AD133" s="718">
        <v>0.37</v>
      </c>
      <c r="AE133" s="316" t="s">
        <v>514</v>
      </c>
      <c r="AF133" s="316" t="s">
        <v>514</v>
      </c>
      <c r="AG133" s="718">
        <v>0</v>
      </c>
      <c r="AH133" s="728">
        <f t="shared" si="124"/>
        <v>0.66999999999999993</v>
      </c>
      <c r="AI133" s="718">
        <v>0.3</v>
      </c>
      <c r="AJ133" s="316" t="s">
        <v>680</v>
      </c>
      <c r="AK133" s="316" t="s">
        <v>681</v>
      </c>
      <c r="AL133" s="718">
        <v>0.37</v>
      </c>
      <c r="AM133" s="316" t="s">
        <v>514</v>
      </c>
      <c r="AN133" s="316" t="s">
        <v>514</v>
      </c>
      <c r="AO133" s="718">
        <v>0</v>
      </c>
      <c r="AP133" s="728">
        <f t="shared" si="125"/>
        <v>0.66999999999999993</v>
      </c>
      <c r="AQ133" s="718">
        <v>0.48</v>
      </c>
      <c r="AR133" s="316" t="s">
        <v>680</v>
      </c>
      <c r="AS133" s="316" t="s">
        <v>681</v>
      </c>
      <c r="AT133" s="718">
        <v>0.27</v>
      </c>
      <c r="AU133" s="316" t="s">
        <v>514</v>
      </c>
      <c r="AV133" s="316" t="s">
        <v>514</v>
      </c>
      <c r="AW133" s="718">
        <v>0</v>
      </c>
      <c r="AX133" s="463">
        <f t="shared" si="126"/>
        <v>0.75</v>
      </c>
      <c r="AY133" s="661">
        <v>0.64</v>
      </c>
      <c r="AZ133" s="316" t="s">
        <v>680</v>
      </c>
      <c r="BA133" s="316" t="s">
        <v>681</v>
      </c>
      <c r="BB133" s="463">
        <v>0.36</v>
      </c>
      <c r="BC133" s="316" t="s">
        <v>514</v>
      </c>
      <c r="BD133" s="316" t="s">
        <v>514</v>
      </c>
      <c r="BE133" s="463">
        <v>0</v>
      </c>
      <c r="BF133" s="728">
        <f t="shared" si="127"/>
        <v>1</v>
      </c>
      <c r="BG133" s="463"/>
      <c r="BH133" s="463">
        <v>0.3</v>
      </c>
      <c r="BI133" s="316" t="s">
        <v>680</v>
      </c>
      <c r="BJ133" s="316" t="s">
        <v>681</v>
      </c>
      <c r="BK133" s="463">
        <v>0.37</v>
      </c>
      <c r="BL133" s="316" t="s">
        <v>514</v>
      </c>
      <c r="BM133" s="316" t="s">
        <v>514</v>
      </c>
      <c r="BN133" s="463">
        <v>0</v>
      </c>
      <c r="BO133" s="728">
        <f t="shared" si="128"/>
        <v>0.66999999999999993</v>
      </c>
      <c r="BP133" s="463">
        <v>0.3</v>
      </c>
      <c r="BQ133" s="316" t="s">
        <v>680</v>
      </c>
      <c r="BR133" s="316" t="s">
        <v>681</v>
      </c>
      <c r="BS133" s="463">
        <v>0.2</v>
      </c>
      <c r="BT133" s="316" t="s">
        <v>514</v>
      </c>
      <c r="BU133" s="316" t="s">
        <v>514</v>
      </c>
      <c r="BV133" s="463">
        <v>0</v>
      </c>
      <c r="BW133" s="463">
        <f t="shared" si="129"/>
        <v>0.5</v>
      </c>
      <c r="BX133" s="444"/>
      <c r="BY133" s="444"/>
      <c r="BZ133" s="444"/>
      <c r="CA133" s="436" t="s">
        <v>874</v>
      </c>
      <c r="CB133" s="723">
        <v>0.77400000000000002</v>
      </c>
      <c r="CC133" s="668" t="s">
        <v>950</v>
      </c>
      <c r="CD133" s="316" t="s">
        <v>680</v>
      </c>
      <c r="CE133" s="316" t="s">
        <v>681</v>
      </c>
      <c r="CF133" s="718">
        <v>0.2</v>
      </c>
      <c r="CG133" s="316" t="s">
        <v>514</v>
      </c>
      <c r="CH133" s="316" t="s">
        <v>514</v>
      </c>
      <c r="CI133" s="718">
        <v>0</v>
      </c>
    </row>
    <row r="134" spans="1:87" ht="15.75" customHeight="1" x14ac:dyDescent="0.2">
      <c r="A134" s="747" t="s">
        <v>148</v>
      </c>
      <c r="B134" s="469" t="s">
        <v>683</v>
      </c>
      <c r="C134" s="718">
        <v>0.3</v>
      </c>
      <c r="D134" s="469" t="s">
        <v>680</v>
      </c>
      <c r="E134" s="469" t="s">
        <v>681</v>
      </c>
      <c r="F134" s="718">
        <v>0.37</v>
      </c>
      <c r="G134" s="469" t="s">
        <v>514</v>
      </c>
      <c r="H134" s="469" t="s">
        <v>514</v>
      </c>
      <c r="I134" s="718">
        <v>0</v>
      </c>
      <c r="J134" s="748">
        <f t="shared" si="67"/>
        <v>0.66999999999999993</v>
      </c>
      <c r="K134" s="718">
        <v>0.3</v>
      </c>
      <c r="L134" s="316" t="s">
        <v>680</v>
      </c>
      <c r="M134" s="316" t="s">
        <v>681</v>
      </c>
      <c r="N134" s="718">
        <v>0.37</v>
      </c>
      <c r="O134" s="316" t="s">
        <v>514</v>
      </c>
      <c r="P134" s="316" t="s">
        <v>514</v>
      </c>
      <c r="Q134" s="718">
        <v>0</v>
      </c>
      <c r="R134" s="728">
        <f t="shared" si="68"/>
        <v>0.66999999999999993</v>
      </c>
      <c r="S134" s="718">
        <v>0.3</v>
      </c>
      <c r="T134" s="316" t="s">
        <v>680</v>
      </c>
      <c r="U134" s="316" t="s">
        <v>681</v>
      </c>
      <c r="V134" s="718">
        <v>0.37</v>
      </c>
      <c r="W134" s="316" t="s">
        <v>514</v>
      </c>
      <c r="X134" s="316" t="s">
        <v>514</v>
      </c>
      <c r="Y134" s="718">
        <v>0</v>
      </c>
      <c r="Z134" s="728">
        <f t="shared" si="99"/>
        <v>0.66999999999999993</v>
      </c>
      <c r="AA134" s="718">
        <v>0.3</v>
      </c>
      <c r="AB134" s="316" t="s">
        <v>680</v>
      </c>
      <c r="AC134" s="316" t="s">
        <v>681</v>
      </c>
      <c r="AD134" s="718">
        <v>0.37</v>
      </c>
      <c r="AE134" s="316" t="s">
        <v>514</v>
      </c>
      <c r="AF134" s="316" t="s">
        <v>514</v>
      </c>
      <c r="AG134" s="718">
        <v>0</v>
      </c>
      <c r="AH134" s="728">
        <f t="shared" ref="AH134:AH135" si="130">+AA134+AD134+AG134</f>
        <v>0.66999999999999993</v>
      </c>
      <c r="AI134" s="718">
        <v>0.3</v>
      </c>
      <c r="AJ134" s="316" t="s">
        <v>680</v>
      </c>
      <c r="AK134" s="316" t="s">
        <v>681</v>
      </c>
      <c r="AL134" s="718">
        <v>0.37</v>
      </c>
      <c r="AM134" s="316" t="s">
        <v>514</v>
      </c>
      <c r="AN134" s="316" t="s">
        <v>514</v>
      </c>
      <c r="AO134" s="718">
        <v>0</v>
      </c>
      <c r="AP134" s="728">
        <f t="shared" ref="AP134:AP135" si="131">+AI134+AL134+AO134</f>
        <v>0.66999999999999993</v>
      </c>
      <c r="AQ134" s="718">
        <v>0.48</v>
      </c>
      <c r="AR134" s="316" t="s">
        <v>680</v>
      </c>
      <c r="AS134" s="316" t="s">
        <v>681</v>
      </c>
      <c r="AT134" s="718">
        <v>0.27</v>
      </c>
      <c r="AU134" s="316" t="s">
        <v>514</v>
      </c>
      <c r="AV134" s="316" t="s">
        <v>514</v>
      </c>
      <c r="AW134" s="718">
        <v>0</v>
      </c>
      <c r="AX134" s="463">
        <f t="shared" ref="AX134:AX135" si="132">+AQ134+AT134+AW134</f>
        <v>0.75</v>
      </c>
      <c r="AY134" s="661">
        <v>0.64</v>
      </c>
      <c r="AZ134" s="316" t="s">
        <v>680</v>
      </c>
      <c r="BA134" s="316" t="s">
        <v>681</v>
      </c>
      <c r="BB134" s="463">
        <v>0.36</v>
      </c>
      <c r="BC134" s="316" t="s">
        <v>514</v>
      </c>
      <c r="BD134" s="316" t="s">
        <v>514</v>
      </c>
      <c r="BE134" s="463">
        <v>0</v>
      </c>
      <c r="BF134" s="728">
        <f t="shared" ref="BF134:BF135" si="133">+AY134+BB134+BE134</f>
        <v>1</v>
      </c>
      <c r="BG134" s="463"/>
      <c r="BH134" s="463">
        <v>0.3</v>
      </c>
      <c r="BI134" s="316" t="s">
        <v>680</v>
      </c>
      <c r="BJ134" s="316" t="s">
        <v>681</v>
      </c>
      <c r="BK134" s="463">
        <v>0.37</v>
      </c>
      <c r="BL134" s="316" t="s">
        <v>514</v>
      </c>
      <c r="BM134" s="316" t="s">
        <v>514</v>
      </c>
      <c r="BN134" s="463">
        <v>0</v>
      </c>
      <c r="BO134" s="728">
        <f t="shared" ref="BO134:BO135" si="134">+BH134+BK134+BN134</f>
        <v>0.66999999999999993</v>
      </c>
      <c r="BP134" s="463">
        <v>0.3</v>
      </c>
      <c r="BQ134" s="316" t="s">
        <v>680</v>
      </c>
      <c r="BR134" s="316" t="s">
        <v>681</v>
      </c>
      <c r="BS134" s="463">
        <v>0.2</v>
      </c>
      <c r="BT134" s="316" t="s">
        <v>514</v>
      </c>
      <c r="BU134" s="316" t="s">
        <v>514</v>
      </c>
      <c r="BV134" s="463">
        <v>0</v>
      </c>
      <c r="BW134" s="463">
        <f t="shared" ref="BW134:BW135" si="135">+BP134+BS134+BV134</f>
        <v>0.5</v>
      </c>
      <c r="BX134" s="444"/>
      <c r="BY134" s="444"/>
      <c r="BZ134" s="444"/>
      <c r="CA134" s="436" t="s">
        <v>874</v>
      </c>
      <c r="CB134" s="723">
        <v>0.80600000000000005</v>
      </c>
      <c r="CC134" s="668" t="s">
        <v>950</v>
      </c>
      <c r="CD134" s="316" t="s">
        <v>680</v>
      </c>
      <c r="CE134" s="316" t="s">
        <v>681</v>
      </c>
      <c r="CF134" s="718">
        <v>0.2</v>
      </c>
      <c r="CG134" s="316" t="s">
        <v>514</v>
      </c>
      <c r="CH134" s="316" t="s">
        <v>514</v>
      </c>
      <c r="CI134" s="718">
        <v>0</v>
      </c>
    </row>
    <row r="135" spans="1:87" x14ac:dyDescent="0.2">
      <c r="A135" s="747" t="s">
        <v>150</v>
      </c>
      <c r="B135" s="469" t="s">
        <v>629</v>
      </c>
      <c r="C135" s="718">
        <v>0.4</v>
      </c>
      <c r="D135" s="469" t="s">
        <v>627</v>
      </c>
      <c r="E135" s="469" t="s">
        <v>628</v>
      </c>
      <c r="F135" s="718">
        <v>0.1</v>
      </c>
      <c r="G135" s="469" t="s">
        <v>514</v>
      </c>
      <c r="H135" s="469" t="s">
        <v>552</v>
      </c>
      <c r="I135" s="718">
        <v>0</v>
      </c>
      <c r="J135" s="748">
        <f t="shared" si="67"/>
        <v>0.5</v>
      </c>
      <c r="K135" s="718">
        <v>0.4</v>
      </c>
      <c r="L135" s="316" t="s">
        <v>627</v>
      </c>
      <c r="M135" s="316" t="s">
        <v>628</v>
      </c>
      <c r="N135" s="718">
        <v>0.1</v>
      </c>
      <c r="O135" s="316" t="s">
        <v>514</v>
      </c>
      <c r="P135" s="316" t="s">
        <v>552</v>
      </c>
      <c r="Q135" s="718">
        <v>0</v>
      </c>
      <c r="R135" s="728">
        <f t="shared" si="68"/>
        <v>0.5</v>
      </c>
      <c r="S135" s="718">
        <v>0.4</v>
      </c>
      <c r="T135" s="316" t="s">
        <v>627</v>
      </c>
      <c r="U135" s="316" t="s">
        <v>628</v>
      </c>
      <c r="V135" s="718">
        <v>0.1</v>
      </c>
      <c r="W135" s="316" t="s">
        <v>514</v>
      </c>
      <c r="X135" s="316" t="s">
        <v>552</v>
      </c>
      <c r="Y135" s="718">
        <v>0</v>
      </c>
      <c r="Z135" s="728">
        <f t="shared" si="99"/>
        <v>0.5</v>
      </c>
      <c r="AA135" s="718">
        <v>0.4</v>
      </c>
      <c r="AB135" s="316" t="s">
        <v>627</v>
      </c>
      <c r="AC135" s="316" t="s">
        <v>628</v>
      </c>
      <c r="AD135" s="718">
        <v>0.1</v>
      </c>
      <c r="AE135" s="316" t="s">
        <v>514</v>
      </c>
      <c r="AF135" s="316" t="s">
        <v>552</v>
      </c>
      <c r="AG135" s="718">
        <v>0</v>
      </c>
      <c r="AH135" s="728">
        <f t="shared" si="130"/>
        <v>0.5</v>
      </c>
      <c r="AI135" s="718">
        <v>0.4</v>
      </c>
      <c r="AJ135" s="316" t="s">
        <v>627</v>
      </c>
      <c r="AK135" s="316" t="s">
        <v>628</v>
      </c>
      <c r="AL135" s="718">
        <v>0.1</v>
      </c>
      <c r="AM135" s="316" t="s">
        <v>514</v>
      </c>
      <c r="AN135" s="316" t="s">
        <v>552</v>
      </c>
      <c r="AO135" s="718">
        <v>0</v>
      </c>
      <c r="AP135" s="728">
        <f t="shared" si="131"/>
        <v>0.5</v>
      </c>
      <c r="AQ135" s="718">
        <v>0.42499999999999999</v>
      </c>
      <c r="AR135" s="316" t="s">
        <v>627</v>
      </c>
      <c r="AS135" s="316" t="s">
        <v>628</v>
      </c>
      <c r="AT135" s="718">
        <v>0.32500000000000001</v>
      </c>
      <c r="AU135" s="316" t="s">
        <v>514</v>
      </c>
      <c r="AV135" s="316" t="s">
        <v>552</v>
      </c>
      <c r="AW135" s="718">
        <v>0</v>
      </c>
      <c r="AX135" s="463">
        <f t="shared" si="132"/>
        <v>0.75</v>
      </c>
      <c r="AY135" s="661">
        <v>0.4</v>
      </c>
      <c r="AZ135" s="316" t="s">
        <v>627</v>
      </c>
      <c r="BA135" s="316" t="s">
        <v>628</v>
      </c>
      <c r="BB135" s="463">
        <v>0.1</v>
      </c>
      <c r="BC135" s="316" t="s">
        <v>514</v>
      </c>
      <c r="BD135" s="316" t="s">
        <v>552</v>
      </c>
      <c r="BE135" s="463">
        <v>0</v>
      </c>
      <c r="BF135" s="728">
        <f t="shared" si="133"/>
        <v>0.5</v>
      </c>
      <c r="BG135" s="463"/>
      <c r="BH135" s="463">
        <v>0.4</v>
      </c>
      <c r="BI135" s="316" t="s">
        <v>627</v>
      </c>
      <c r="BJ135" s="316" t="s">
        <v>628</v>
      </c>
      <c r="BK135" s="463">
        <v>0.1</v>
      </c>
      <c r="BL135" s="316" t="s">
        <v>514</v>
      </c>
      <c r="BM135" s="316" t="s">
        <v>552</v>
      </c>
      <c r="BN135" s="463">
        <v>0</v>
      </c>
      <c r="BO135" s="728">
        <f t="shared" si="134"/>
        <v>0.5</v>
      </c>
      <c r="BP135" s="463">
        <v>0.4</v>
      </c>
      <c r="BQ135" s="316" t="s">
        <v>627</v>
      </c>
      <c r="BR135" s="316" t="s">
        <v>628</v>
      </c>
      <c r="BS135" s="463">
        <v>0.1</v>
      </c>
      <c r="BT135" s="316" t="s">
        <v>514</v>
      </c>
      <c r="BU135" s="316" t="s">
        <v>552</v>
      </c>
      <c r="BV135" s="463">
        <v>0</v>
      </c>
      <c r="BW135" s="463">
        <f t="shared" si="135"/>
        <v>0.5</v>
      </c>
      <c r="BX135" s="446" t="s">
        <v>874</v>
      </c>
      <c r="CA135" s="434"/>
      <c r="CB135" s="723">
        <v>0.66100000000000003</v>
      </c>
      <c r="CC135" s="668" t="s">
        <v>950</v>
      </c>
      <c r="CD135" s="316" t="s">
        <v>627</v>
      </c>
      <c r="CE135" s="316" t="s">
        <v>628</v>
      </c>
      <c r="CF135" s="718">
        <v>0.6</v>
      </c>
      <c r="CG135" s="316" t="s">
        <v>514</v>
      </c>
      <c r="CH135" s="316" t="s">
        <v>552</v>
      </c>
      <c r="CI135" s="718">
        <v>0</v>
      </c>
    </row>
    <row r="136" spans="1:87" ht="15.75" customHeight="1" x14ac:dyDescent="0.2">
      <c r="A136" s="747" t="s">
        <v>152</v>
      </c>
      <c r="B136" s="998" t="s">
        <v>601</v>
      </c>
      <c r="C136" s="718">
        <v>0.49</v>
      </c>
      <c r="D136" s="469" t="s">
        <v>514</v>
      </c>
      <c r="E136" s="469" t="s">
        <v>515</v>
      </c>
      <c r="F136" s="718">
        <v>0</v>
      </c>
      <c r="G136" s="469" t="s">
        <v>599</v>
      </c>
      <c r="H136" s="469" t="s">
        <v>600</v>
      </c>
      <c r="I136" s="718">
        <v>0.01</v>
      </c>
      <c r="J136" s="748">
        <f t="shared" si="67"/>
        <v>0.5</v>
      </c>
      <c r="K136" s="718">
        <v>0.49</v>
      </c>
      <c r="L136" s="316" t="s">
        <v>514</v>
      </c>
      <c r="M136" s="316" t="s">
        <v>515</v>
      </c>
      <c r="N136" s="718">
        <v>0</v>
      </c>
      <c r="O136" s="316" t="s">
        <v>599</v>
      </c>
      <c r="P136" s="316" t="s">
        <v>600</v>
      </c>
      <c r="Q136" s="718">
        <v>0.01</v>
      </c>
      <c r="R136" s="728">
        <f t="shared" si="68"/>
        <v>0.5</v>
      </c>
      <c r="S136" s="718">
        <v>0.49</v>
      </c>
      <c r="T136" s="316" t="s">
        <v>514</v>
      </c>
      <c r="U136" s="316" t="s">
        <v>515</v>
      </c>
      <c r="V136" s="718">
        <v>0</v>
      </c>
      <c r="W136" s="316" t="s">
        <v>599</v>
      </c>
      <c r="X136" s="316" t="s">
        <v>600</v>
      </c>
      <c r="Y136" s="718">
        <v>0.01</v>
      </c>
      <c r="Z136" s="728">
        <f t="shared" si="99"/>
        <v>0.5</v>
      </c>
      <c r="AA136" s="718">
        <v>0.49</v>
      </c>
      <c r="AB136" s="316" t="s">
        <v>514</v>
      </c>
      <c r="AC136" s="316" t="s">
        <v>515</v>
      </c>
      <c r="AD136" s="718">
        <v>0</v>
      </c>
      <c r="AE136" s="316" t="s">
        <v>599</v>
      </c>
      <c r="AF136" s="316" t="s">
        <v>600</v>
      </c>
      <c r="AG136" s="718">
        <v>0.01</v>
      </c>
      <c r="AH136" s="728">
        <f t="shared" ref="AH136:AH137" si="136">+AA136+AD136+AG136</f>
        <v>0.5</v>
      </c>
      <c r="AI136" s="718">
        <v>0.49</v>
      </c>
      <c r="AJ136" s="316" t="s">
        <v>514</v>
      </c>
      <c r="AK136" s="316" t="s">
        <v>515</v>
      </c>
      <c r="AL136" s="718">
        <v>0</v>
      </c>
      <c r="AM136" s="316" t="s">
        <v>599</v>
      </c>
      <c r="AN136" s="316" t="s">
        <v>600</v>
      </c>
      <c r="AO136" s="718">
        <v>0.01</v>
      </c>
      <c r="AP136" s="728">
        <f t="shared" ref="AP136:AP137" si="137">+AI136+AL136+AO136</f>
        <v>0.5</v>
      </c>
      <c r="AQ136" s="718">
        <v>0.49</v>
      </c>
      <c r="AR136" s="316" t="s">
        <v>514</v>
      </c>
      <c r="AS136" s="316" t="s">
        <v>515</v>
      </c>
      <c r="AT136" s="718">
        <v>0</v>
      </c>
      <c r="AU136" s="316" t="s">
        <v>599</v>
      </c>
      <c r="AV136" s="316" t="s">
        <v>600</v>
      </c>
      <c r="AW136" s="718">
        <v>0.01</v>
      </c>
      <c r="AX136" s="463">
        <f t="shared" ref="AX136:AX137" si="138">+AQ136+AT136+AW136</f>
        <v>0.5</v>
      </c>
      <c r="AY136" s="661">
        <v>0.49</v>
      </c>
      <c r="AZ136" s="316" t="s">
        <v>514</v>
      </c>
      <c r="BA136" s="316" t="s">
        <v>515</v>
      </c>
      <c r="BB136" s="463">
        <v>0</v>
      </c>
      <c r="BC136" s="316" t="s">
        <v>599</v>
      </c>
      <c r="BD136" s="316" t="s">
        <v>600</v>
      </c>
      <c r="BE136" s="463">
        <v>0.01</v>
      </c>
      <c r="BF136" s="728">
        <f t="shared" ref="BF136:BF137" si="139">+AY136+BB136+BE136</f>
        <v>0.5</v>
      </c>
      <c r="BG136" s="463"/>
      <c r="BH136" s="463">
        <v>0.49</v>
      </c>
      <c r="BI136" s="316" t="s">
        <v>514</v>
      </c>
      <c r="BJ136" s="316" t="s">
        <v>515</v>
      </c>
      <c r="BK136" s="463">
        <v>0</v>
      </c>
      <c r="BL136" s="316" t="s">
        <v>599</v>
      </c>
      <c r="BM136" s="316" t="s">
        <v>600</v>
      </c>
      <c r="BN136" s="463">
        <v>0.01</v>
      </c>
      <c r="BO136" s="728">
        <f t="shared" ref="BO136:BO137" si="140">+BH136+BK136+BN136</f>
        <v>0.5</v>
      </c>
      <c r="BP136" s="463">
        <v>0.49</v>
      </c>
      <c r="BQ136" s="316" t="s">
        <v>514</v>
      </c>
      <c r="BR136" s="316" t="s">
        <v>515</v>
      </c>
      <c r="BS136" s="463">
        <v>0</v>
      </c>
      <c r="BT136" s="316" t="s">
        <v>599</v>
      </c>
      <c r="BU136" s="316" t="s">
        <v>600</v>
      </c>
      <c r="BV136" s="463">
        <v>0.01</v>
      </c>
      <c r="BW136" s="463">
        <f t="shared" ref="BW136:BW137" si="141">+BP136+BS136+BV136</f>
        <v>0.5</v>
      </c>
      <c r="BX136" s="444" t="s">
        <v>874</v>
      </c>
      <c r="BY136" s="444" t="s">
        <v>874</v>
      </c>
      <c r="BZ136" s="444"/>
      <c r="CA136" s="436" t="s">
        <v>874</v>
      </c>
      <c r="CB136" s="723">
        <v>0.67300000000000004</v>
      </c>
      <c r="CC136" s="668" t="s">
        <v>950</v>
      </c>
      <c r="CD136" s="316" t="s">
        <v>514</v>
      </c>
      <c r="CE136" s="316" t="s">
        <v>515</v>
      </c>
      <c r="CF136" s="718">
        <v>0</v>
      </c>
      <c r="CG136" s="316" t="s">
        <v>599</v>
      </c>
      <c r="CH136" s="316" t="s">
        <v>600</v>
      </c>
      <c r="CI136" s="718">
        <v>0.01</v>
      </c>
    </row>
    <row r="137" spans="1:87" ht="15.75" customHeight="1" x14ac:dyDescent="0.2">
      <c r="A137" s="747" t="s">
        <v>154</v>
      </c>
      <c r="B137" s="998" t="s">
        <v>685</v>
      </c>
      <c r="C137" s="718">
        <v>0.3</v>
      </c>
      <c r="D137" s="469" t="s">
        <v>680</v>
      </c>
      <c r="E137" s="469" t="s">
        <v>681</v>
      </c>
      <c r="F137" s="718">
        <v>0.37</v>
      </c>
      <c r="G137" s="469" t="s">
        <v>514</v>
      </c>
      <c r="H137" s="469" t="s">
        <v>514</v>
      </c>
      <c r="I137" s="718">
        <v>0</v>
      </c>
      <c r="J137" s="748">
        <f t="shared" si="67"/>
        <v>0.66999999999999993</v>
      </c>
      <c r="K137" s="718">
        <v>0.3</v>
      </c>
      <c r="L137" s="316" t="s">
        <v>680</v>
      </c>
      <c r="M137" s="316" t="s">
        <v>681</v>
      </c>
      <c r="N137" s="718">
        <v>0.37</v>
      </c>
      <c r="O137" s="316" t="s">
        <v>514</v>
      </c>
      <c r="P137" s="316" t="s">
        <v>514</v>
      </c>
      <c r="Q137" s="718">
        <v>0</v>
      </c>
      <c r="R137" s="728">
        <f t="shared" si="68"/>
        <v>0.66999999999999993</v>
      </c>
      <c r="S137" s="718">
        <v>0.3</v>
      </c>
      <c r="T137" s="316" t="s">
        <v>680</v>
      </c>
      <c r="U137" s="316" t="s">
        <v>681</v>
      </c>
      <c r="V137" s="718">
        <v>0.37</v>
      </c>
      <c r="W137" s="316" t="s">
        <v>514</v>
      </c>
      <c r="X137" s="316" t="s">
        <v>514</v>
      </c>
      <c r="Y137" s="718">
        <v>0</v>
      </c>
      <c r="Z137" s="728">
        <f t="shared" si="99"/>
        <v>0.66999999999999993</v>
      </c>
      <c r="AA137" s="718">
        <v>0.3</v>
      </c>
      <c r="AB137" s="316" t="s">
        <v>680</v>
      </c>
      <c r="AC137" s="316" t="s">
        <v>681</v>
      </c>
      <c r="AD137" s="718">
        <v>0.37</v>
      </c>
      <c r="AE137" s="316" t="s">
        <v>514</v>
      </c>
      <c r="AF137" s="316" t="s">
        <v>514</v>
      </c>
      <c r="AG137" s="718">
        <v>0</v>
      </c>
      <c r="AH137" s="728">
        <f t="shared" si="136"/>
        <v>0.66999999999999993</v>
      </c>
      <c r="AI137" s="718">
        <v>0.3</v>
      </c>
      <c r="AJ137" s="316" t="s">
        <v>680</v>
      </c>
      <c r="AK137" s="316" t="s">
        <v>681</v>
      </c>
      <c r="AL137" s="718">
        <v>0.37</v>
      </c>
      <c r="AM137" s="316" t="s">
        <v>514</v>
      </c>
      <c r="AN137" s="316" t="s">
        <v>514</v>
      </c>
      <c r="AO137" s="718">
        <v>0</v>
      </c>
      <c r="AP137" s="728">
        <f t="shared" si="137"/>
        <v>0.66999999999999993</v>
      </c>
      <c r="AQ137" s="718">
        <v>0.48</v>
      </c>
      <c r="AR137" s="316" t="s">
        <v>680</v>
      </c>
      <c r="AS137" s="316" t="s">
        <v>681</v>
      </c>
      <c r="AT137" s="718">
        <v>0.27</v>
      </c>
      <c r="AU137" s="316" t="s">
        <v>514</v>
      </c>
      <c r="AV137" s="316" t="s">
        <v>514</v>
      </c>
      <c r="AW137" s="718">
        <v>0</v>
      </c>
      <c r="AX137" s="463">
        <f t="shared" si="138"/>
        <v>0.75</v>
      </c>
      <c r="AY137" s="661">
        <v>0.64</v>
      </c>
      <c r="AZ137" s="316" t="s">
        <v>680</v>
      </c>
      <c r="BA137" s="316" t="s">
        <v>681</v>
      </c>
      <c r="BB137" s="463">
        <v>0.36</v>
      </c>
      <c r="BC137" s="316" t="s">
        <v>514</v>
      </c>
      <c r="BD137" s="316" t="s">
        <v>514</v>
      </c>
      <c r="BE137" s="463">
        <v>0</v>
      </c>
      <c r="BF137" s="728">
        <f t="shared" si="139"/>
        <v>1</v>
      </c>
      <c r="BG137" s="463"/>
      <c r="BH137" s="463">
        <v>0.3</v>
      </c>
      <c r="BI137" s="316" t="s">
        <v>680</v>
      </c>
      <c r="BJ137" s="316" t="s">
        <v>681</v>
      </c>
      <c r="BK137" s="463">
        <v>0.37</v>
      </c>
      <c r="BL137" s="316" t="s">
        <v>514</v>
      </c>
      <c r="BM137" s="316" t="s">
        <v>514</v>
      </c>
      <c r="BN137" s="463">
        <v>0</v>
      </c>
      <c r="BO137" s="728">
        <f t="shared" si="140"/>
        <v>0.66999999999999993</v>
      </c>
      <c r="BP137" s="463">
        <v>0.3</v>
      </c>
      <c r="BQ137" s="316" t="s">
        <v>680</v>
      </c>
      <c r="BR137" s="316" t="s">
        <v>681</v>
      </c>
      <c r="BS137" s="463">
        <v>0.2</v>
      </c>
      <c r="BT137" s="316" t="s">
        <v>514</v>
      </c>
      <c r="BU137" s="316" t="s">
        <v>514</v>
      </c>
      <c r="BV137" s="463">
        <v>0</v>
      </c>
      <c r="BW137" s="463">
        <f t="shared" si="141"/>
        <v>0.5</v>
      </c>
      <c r="BX137" s="444"/>
      <c r="BY137" s="444"/>
      <c r="BZ137" s="444"/>
      <c r="CA137" s="436" t="s">
        <v>874</v>
      </c>
      <c r="CB137" s="723">
        <v>0.74099999999999999</v>
      </c>
      <c r="CC137" s="668" t="s">
        <v>950</v>
      </c>
      <c r="CD137" s="316" t="s">
        <v>680</v>
      </c>
      <c r="CE137" s="316" t="s">
        <v>681</v>
      </c>
      <c r="CF137" s="718">
        <v>0.2</v>
      </c>
      <c r="CG137" s="316" t="s">
        <v>514</v>
      </c>
      <c r="CH137" s="316" t="s">
        <v>514</v>
      </c>
      <c r="CI137" s="718">
        <v>0</v>
      </c>
    </row>
    <row r="138" spans="1:87" ht="15.75" customHeight="1" x14ac:dyDescent="0.2">
      <c r="A138" s="747" t="s">
        <v>156</v>
      </c>
      <c r="B138" s="469" t="s">
        <v>155</v>
      </c>
      <c r="C138" s="718">
        <v>0.49</v>
      </c>
      <c r="D138" s="469" t="s">
        <v>514</v>
      </c>
      <c r="E138" s="469" t="s">
        <v>666</v>
      </c>
      <c r="F138" s="718">
        <v>0</v>
      </c>
      <c r="G138" s="469" t="s">
        <v>677</v>
      </c>
      <c r="H138" s="469" t="s">
        <v>678</v>
      </c>
      <c r="I138" s="718">
        <v>0.01</v>
      </c>
      <c r="J138" s="748">
        <f t="shared" si="67"/>
        <v>0.5</v>
      </c>
      <c r="K138" s="718">
        <v>0.49</v>
      </c>
      <c r="L138" s="316" t="s">
        <v>514</v>
      </c>
      <c r="M138" s="316" t="s">
        <v>666</v>
      </c>
      <c r="N138" s="718">
        <v>0</v>
      </c>
      <c r="O138" s="316" t="s">
        <v>677</v>
      </c>
      <c r="P138" s="316" t="s">
        <v>678</v>
      </c>
      <c r="Q138" s="718">
        <v>0.01</v>
      </c>
      <c r="R138" s="728">
        <f t="shared" si="68"/>
        <v>0.5</v>
      </c>
      <c r="S138" s="718">
        <v>0.49</v>
      </c>
      <c r="T138" s="316" t="s">
        <v>514</v>
      </c>
      <c r="U138" s="316" t="s">
        <v>666</v>
      </c>
      <c r="V138" s="718">
        <v>0</v>
      </c>
      <c r="W138" s="316" t="s">
        <v>677</v>
      </c>
      <c r="X138" s="316" t="s">
        <v>678</v>
      </c>
      <c r="Y138" s="718">
        <v>0.01</v>
      </c>
      <c r="Z138" s="728">
        <f t="shared" si="99"/>
        <v>0.5</v>
      </c>
      <c r="AA138" s="718">
        <v>0.49</v>
      </c>
      <c r="AB138" s="316" t="s">
        <v>514</v>
      </c>
      <c r="AC138" s="316" t="s">
        <v>666</v>
      </c>
      <c r="AD138" s="718">
        <v>0</v>
      </c>
      <c r="AE138" s="316" t="s">
        <v>677</v>
      </c>
      <c r="AF138" s="316" t="s">
        <v>678</v>
      </c>
      <c r="AG138" s="718">
        <v>0.01</v>
      </c>
      <c r="AH138" s="728">
        <f t="shared" ref="AH138:AH139" si="142">+AA138+AD138+AG138</f>
        <v>0.5</v>
      </c>
      <c r="AI138" s="718">
        <v>0.49</v>
      </c>
      <c r="AJ138" s="316" t="s">
        <v>514</v>
      </c>
      <c r="AK138" s="316" t="s">
        <v>666</v>
      </c>
      <c r="AL138" s="718">
        <v>0</v>
      </c>
      <c r="AM138" s="316" t="s">
        <v>677</v>
      </c>
      <c r="AN138" s="316" t="s">
        <v>678</v>
      </c>
      <c r="AO138" s="718">
        <v>0.01</v>
      </c>
      <c r="AP138" s="728">
        <f t="shared" ref="AP138:AP139" si="143">+AI138+AL138+AO138</f>
        <v>0.5</v>
      </c>
      <c r="AQ138" s="718">
        <v>0.74</v>
      </c>
      <c r="AR138" s="316" t="s">
        <v>514</v>
      </c>
      <c r="AS138" s="316" t="s">
        <v>666</v>
      </c>
      <c r="AT138" s="718">
        <v>0</v>
      </c>
      <c r="AU138" s="316" t="s">
        <v>677</v>
      </c>
      <c r="AV138" s="316" t="s">
        <v>678</v>
      </c>
      <c r="AW138" s="718">
        <v>0.01</v>
      </c>
      <c r="AX138" s="463">
        <f t="shared" ref="AX138:AX139" si="144">+AQ138+AT138+AW138</f>
        <v>0.75</v>
      </c>
      <c r="AY138" s="661">
        <v>0.99</v>
      </c>
      <c r="AZ138" s="316" t="s">
        <v>514</v>
      </c>
      <c r="BA138" s="316" t="s">
        <v>666</v>
      </c>
      <c r="BB138" s="463">
        <v>0</v>
      </c>
      <c r="BC138" s="316" t="s">
        <v>677</v>
      </c>
      <c r="BD138" s="316" t="s">
        <v>678</v>
      </c>
      <c r="BE138" s="463">
        <v>0.01</v>
      </c>
      <c r="BF138" s="728">
        <f t="shared" ref="BF138:BF139" si="145">+AY138+BB138+BE138</f>
        <v>1</v>
      </c>
      <c r="BG138" s="463"/>
      <c r="BH138" s="463">
        <v>0.49</v>
      </c>
      <c r="BI138" s="316" t="s">
        <v>514</v>
      </c>
      <c r="BJ138" s="316" t="s">
        <v>666</v>
      </c>
      <c r="BK138" s="463">
        <v>0</v>
      </c>
      <c r="BL138" s="316" t="s">
        <v>677</v>
      </c>
      <c r="BM138" s="316" t="s">
        <v>678</v>
      </c>
      <c r="BN138" s="463">
        <v>0.01</v>
      </c>
      <c r="BO138" s="728">
        <f t="shared" ref="BO138:BO139" si="146">+BH138+BK138+BN138</f>
        <v>0.5</v>
      </c>
      <c r="BP138" s="463">
        <v>0.49</v>
      </c>
      <c r="BQ138" s="316" t="s">
        <v>514</v>
      </c>
      <c r="BR138" s="316" t="s">
        <v>666</v>
      </c>
      <c r="BS138" s="463">
        <v>0</v>
      </c>
      <c r="BT138" s="316" t="s">
        <v>677</v>
      </c>
      <c r="BU138" s="316" t="s">
        <v>678</v>
      </c>
      <c r="BV138" s="463">
        <v>0.01</v>
      </c>
      <c r="BW138" s="463">
        <f t="shared" ref="BW138:BW139" si="147">+BP138+BS138+BV138</f>
        <v>0.5</v>
      </c>
      <c r="BX138" s="489" t="s">
        <v>874</v>
      </c>
      <c r="BY138" s="489"/>
      <c r="BZ138" s="489"/>
      <c r="CA138" s="436" t="s">
        <v>874</v>
      </c>
      <c r="CB138" s="723">
        <v>0.65300000000000002</v>
      </c>
      <c r="CC138" s="668" t="s">
        <v>950</v>
      </c>
      <c r="CD138" s="316" t="s">
        <v>514</v>
      </c>
      <c r="CE138" s="316" t="s">
        <v>666</v>
      </c>
      <c r="CF138" s="718">
        <v>0</v>
      </c>
      <c r="CG138" s="316" t="s">
        <v>677</v>
      </c>
      <c r="CH138" s="316" t="s">
        <v>678</v>
      </c>
      <c r="CI138" s="718">
        <v>0.01</v>
      </c>
    </row>
    <row r="139" spans="1:87" ht="15.75" customHeight="1" x14ac:dyDescent="0.2">
      <c r="A139" s="747" t="s">
        <v>158</v>
      </c>
      <c r="B139" s="469" t="s">
        <v>157</v>
      </c>
      <c r="C139" s="718">
        <v>0.99</v>
      </c>
      <c r="D139" s="469" t="s">
        <v>514</v>
      </c>
      <c r="E139" s="469" t="s">
        <v>666</v>
      </c>
      <c r="F139" s="718">
        <v>0</v>
      </c>
      <c r="G139" s="469" t="s">
        <v>669</v>
      </c>
      <c r="H139" s="469" t="s">
        <v>670</v>
      </c>
      <c r="I139" s="718">
        <v>0.01</v>
      </c>
      <c r="J139" s="748">
        <f t="shared" si="67"/>
        <v>1</v>
      </c>
      <c r="K139" s="718">
        <v>0.99</v>
      </c>
      <c r="L139" s="316" t="s">
        <v>514</v>
      </c>
      <c r="M139" s="316" t="s">
        <v>666</v>
      </c>
      <c r="N139" s="718">
        <v>0</v>
      </c>
      <c r="O139" s="316" t="s">
        <v>669</v>
      </c>
      <c r="P139" s="316" t="s">
        <v>670</v>
      </c>
      <c r="Q139" s="718">
        <v>0.01</v>
      </c>
      <c r="R139" s="728">
        <f t="shared" si="68"/>
        <v>1</v>
      </c>
      <c r="S139" s="718">
        <v>0.99</v>
      </c>
      <c r="T139" s="316" t="s">
        <v>514</v>
      </c>
      <c r="U139" s="316" t="s">
        <v>666</v>
      </c>
      <c r="V139" s="718">
        <v>0</v>
      </c>
      <c r="W139" s="316" t="s">
        <v>669</v>
      </c>
      <c r="X139" s="316" t="s">
        <v>670</v>
      </c>
      <c r="Y139" s="718">
        <v>0.01</v>
      </c>
      <c r="Z139" s="728">
        <f t="shared" si="99"/>
        <v>1</v>
      </c>
      <c r="AA139" s="718">
        <v>0.99</v>
      </c>
      <c r="AB139" s="316" t="s">
        <v>514</v>
      </c>
      <c r="AC139" s="316" t="s">
        <v>666</v>
      </c>
      <c r="AD139" s="718">
        <v>0</v>
      </c>
      <c r="AE139" s="316" t="s">
        <v>669</v>
      </c>
      <c r="AF139" s="316" t="s">
        <v>670</v>
      </c>
      <c r="AG139" s="718">
        <v>0.01</v>
      </c>
      <c r="AH139" s="728">
        <f t="shared" si="142"/>
        <v>1</v>
      </c>
      <c r="AI139" s="718">
        <v>0.99</v>
      </c>
      <c r="AJ139" s="316" t="s">
        <v>514</v>
      </c>
      <c r="AK139" s="316" t="s">
        <v>666</v>
      </c>
      <c r="AL139" s="718">
        <v>0</v>
      </c>
      <c r="AM139" s="316" t="s">
        <v>669</v>
      </c>
      <c r="AN139" s="316" t="s">
        <v>670</v>
      </c>
      <c r="AO139" s="718">
        <v>0.01</v>
      </c>
      <c r="AP139" s="728">
        <f t="shared" si="143"/>
        <v>1</v>
      </c>
      <c r="AQ139" s="718">
        <v>0.99</v>
      </c>
      <c r="AR139" s="316" t="s">
        <v>514</v>
      </c>
      <c r="AS139" s="316" t="s">
        <v>666</v>
      </c>
      <c r="AT139" s="718">
        <v>0</v>
      </c>
      <c r="AU139" s="316" t="s">
        <v>669</v>
      </c>
      <c r="AV139" s="316" t="s">
        <v>670</v>
      </c>
      <c r="AW139" s="718">
        <v>0.01</v>
      </c>
      <c r="AX139" s="463">
        <f t="shared" si="144"/>
        <v>1</v>
      </c>
      <c r="AY139" s="661">
        <v>0.99</v>
      </c>
      <c r="AZ139" s="316" t="s">
        <v>514</v>
      </c>
      <c r="BA139" s="316" t="s">
        <v>666</v>
      </c>
      <c r="BB139" s="463">
        <v>0</v>
      </c>
      <c r="BC139" s="316" t="s">
        <v>669</v>
      </c>
      <c r="BD139" s="316" t="s">
        <v>670</v>
      </c>
      <c r="BE139" s="463">
        <v>0.01</v>
      </c>
      <c r="BF139" s="728">
        <f t="shared" si="145"/>
        <v>1</v>
      </c>
      <c r="BG139" s="463"/>
      <c r="BH139" s="463">
        <v>0.99</v>
      </c>
      <c r="BI139" s="316" t="s">
        <v>514</v>
      </c>
      <c r="BJ139" s="316" t="s">
        <v>666</v>
      </c>
      <c r="BK139" s="463">
        <v>0</v>
      </c>
      <c r="BL139" s="316" t="s">
        <v>669</v>
      </c>
      <c r="BM139" s="316" t="s">
        <v>670</v>
      </c>
      <c r="BN139" s="463">
        <v>0.01</v>
      </c>
      <c r="BO139" s="728">
        <f t="shared" si="146"/>
        <v>1</v>
      </c>
      <c r="BP139" s="463">
        <v>0.49</v>
      </c>
      <c r="BQ139" s="316" t="s">
        <v>514</v>
      </c>
      <c r="BR139" s="316" t="s">
        <v>666</v>
      </c>
      <c r="BS139" s="463">
        <v>0</v>
      </c>
      <c r="BT139" s="316" t="s">
        <v>669</v>
      </c>
      <c r="BU139" s="316" t="s">
        <v>670</v>
      </c>
      <c r="BV139" s="463">
        <v>0.01</v>
      </c>
      <c r="BW139" s="463">
        <f t="shared" si="147"/>
        <v>0.5</v>
      </c>
      <c r="BX139" s="444"/>
      <c r="BY139" s="444"/>
      <c r="BZ139" s="444"/>
      <c r="CA139" s="436" t="s">
        <v>874</v>
      </c>
      <c r="CB139" s="723">
        <v>0.68400000000000005</v>
      </c>
      <c r="CC139" s="668" t="s">
        <v>950</v>
      </c>
      <c r="CD139" s="316" t="s">
        <v>514</v>
      </c>
      <c r="CE139" s="316" t="s">
        <v>666</v>
      </c>
      <c r="CF139" s="718">
        <v>0</v>
      </c>
      <c r="CG139" s="316" t="s">
        <v>669</v>
      </c>
      <c r="CH139" s="316" t="s">
        <v>670</v>
      </c>
      <c r="CI139" s="718">
        <v>0.01</v>
      </c>
    </row>
    <row r="140" spans="1:87" ht="15.75" customHeight="1" x14ac:dyDescent="0.2">
      <c r="A140" s="747" t="s">
        <v>160</v>
      </c>
      <c r="B140" s="469" t="s">
        <v>159</v>
      </c>
      <c r="C140" s="718">
        <v>0.3</v>
      </c>
      <c r="D140" s="469" t="s">
        <v>680</v>
      </c>
      <c r="E140" s="469" t="s">
        <v>681</v>
      </c>
      <c r="F140" s="718">
        <v>0.37</v>
      </c>
      <c r="G140" s="469" t="s">
        <v>514</v>
      </c>
      <c r="H140" s="469" t="s">
        <v>514</v>
      </c>
      <c r="I140" s="718">
        <v>0</v>
      </c>
      <c r="J140" s="748">
        <f t="shared" si="67"/>
        <v>0.66999999999999993</v>
      </c>
      <c r="K140" s="718">
        <v>0.3</v>
      </c>
      <c r="L140" s="316" t="s">
        <v>680</v>
      </c>
      <c r="M140" s="316" t="s">
        <v>681</v>
      </c>
      <c r="N140" s="718">
        <v>0.37</v>
      </c>
      <c r="O140" s="316" t="s">
        <v>514</v>
      </c>
      <c r="P140" s="316" t="s">
        <v>514</v>
      </c>
      <c r="Q140" s="718">
        <v>0</v>
      </c>
      <c r="R140" s="728">
        <f t="shared" si="68"/>
        <v>0.66999999999999993</v>
      </c>
      <c r="S140" s="718">
        <v>0.3</v>
      </c>
      <c r="T140" s="316" t="s">
        <v>680</v>
      </c>
      <c r="U140" s="316" t="s">
        <v>681</v>
      </c>
      <c r="V140" s="718">
        <v>0.37</v>
      </c>
      <c r="W140" s="316" t="s">
        <v>514</v>
      </c>
      <c r="X140" s="316" t="s">
        <v>514</v>
      </c>
      <c r="Y140" s="718">
        <v>0</v>
      </c>
      <c r="Z140" s="728">
        <f t="shared" si="99"/>
        <v>0.66999999999999993</v>
      </c>
      <c r="AA140" s="718">
        <v>0.3</v>
      </c>
      <c r="AB140" s="316" t="s">
        <v>680</v>
      </c>
      <c r="AC140" s="316" t="s">
        <v>681</v>
      </c>
      <c r="AD140" s="718">
        <v>0.37</v>
      </c>
      <c r="AE140" s="316" t="s">
        <v>514</v>
      </c>
      <c r="AF140" s="316" t="s">
        <v>514</v>
      </c>
      <c r="AG140" s="718">
        <v>0</v>
      </c>
      <c r="AH140" s="728">
        <f t="shared" ref="AH140:AH141" si="148">+AA140+AD140+AG140</f>
        <v>0.66999999999999993</v>
      </c>
      <c r="AI140" s="718">
        <v>0.3</v>
      </c>
      <c r="AJ140" s="316" t="s">
        <v>680</v>
      </c>
      <c r="AK140" s="316" t="s">
        <v>681</v>
      </c>
      <c r="AL140" s="718">
        <v>0.37</v>
      </c>
      <c r="AM140" s="316" t="s">
        <v>514</v>
      </c>
      <c r="AN140" s="316" t="s">
        <v>514</v>
      </c>
      <c r="AO140" s="718">
        <v>0</v>
      </c>
      <c r="AP140" s="728">
        <f t="shared" ref="AP140:AP141" si="149">+AI140+AL140+AO140</f>
        <v>0.66999999999999993</v>
      </c>
      <c r="AQ140" s="718">
        <v>0.48</v>
      </c>
      <c r="AR140" s="316" t="s">
        <v>680</v>
      </c>
      <c r="AS140" s="316" t="s">
        <v>681</v>
      </c>
      <c r="AT140" s="718">
        <v>0.27</v>
      </c>
      <c r="AU140" s="316" t="s">
        <v>514</v>
      </c>
      <c r="AV140" s="316" t="s">
        <v>514</v>
      </c>
      <c r="AW140" s="718">
        <v>0</v>
      </c>
      <c r="AX140" s="463">
        <f t="shared" ref="AX140:AX141" si="150">+AQ140+AT140+AW140</f>
        <v>0.75</v>
      </c>
      <c r="AY140" s="661">
        <v>0.64</v>
      </c>
      <c r="AZ140" s="316" t="s">
        <v>680</v>
      </c>
      <c r="BA140" s="316" t="s">
        <v>681</v>
      </c>
      <c r="BB140" s="463">
        <v>0.36</v>
      </c>
      <c r="BC140" s="316" t="s">
        <v>514</v>
      </c>
      <c r="BD140" s="316" t="s">
        <v>514</v>
      </c>
      <c r="BE140" s="463">
        <v>0</v>
      </c>
      <c r="BF140" s="728">
        <f t="shared" ref="BF140:BF141" si="151">+AY140+BB140+BE140</f>
        <v>1</v>
      </c>
      <c r="BG140" s="463"/>
      <c r="BH140" s="463">
        <v>0.3</v>
      </c>
      <c r="BI140" s="316" t="s">
        <v>680</v>
      </c>
      <c r="BJ140" s="316" t="s">
        <v>681</v>
      </c>
      <c r="BK140" s="463">
        <v>0.37</v>
      </c>
      <c r="BL140" s="316" t="s">
        <v>514</v>
      </c>
      <c r="BM140" s="316" t="s">
        <v>514</v>
      </c>
      <c r="BN140" s="463">
        <v>0</v>
      </c>
      <c r="BO140" s="728">
        <f t="shared" ref="BO140:BO141" si="152">+BH140+BK140+BN140</f>
        <v>0.66999999999999993</v>
      </c>
      <c r="BP140" s="463">
        <v>0.3</v>
      </c>
      <c r="BQ140" s="316" t="s">
        <v>680</v>
      </c>
      <c r="BR140" s="316" t="s">
        <v>681</v>
      </c>
      <c r="BS140" s="463">
        <v>0.2</v>
      </c>
      <c r="BT140" s="316" t="s">
        <v>514</v>
      </c>
      <c r="BU140" s="316" t="s">
        <v>514</v>
      </c>
      <c r="BV140" s="463">
        <v>0</v>
      </c>
      <c r="BW140" s="463">
        <f t="shared" ref="BW140:BW141" si="153">+BP140+BS140+BV140</f>
        <v>0.5</v>
      </c>
      <c r="BX140" s="444" t="s">
        <v>874</v>
      </c>
      <c r="BY140" s="444"/>
      <c r="BZ140" s="444"/>
      <c r="CA140" s="436" t="s">
        <v>874</v>
      </c>
      <c r="CB140" s="723">
        <v>0.751</v>
      </c>
      <c r="CC140" s="668" t="s">
        <v>950</v>
      </c>
      <c r="CD140" s="316" t="s">
        <v>680</v>
      </c>
      <c r="CE140" s="316" t="s">
        <v>681</v>
      </c>
      <c r="CF140" s="718">
        <v>0.2</v>
      </c>
      <c r="CG140" s="316" t="s">
        <v>514</v>
      </c>
      <c r="CH140" s="316" t="s">
        <v>514</v>
      </c>
      <c r="CI140" s="718">
        <v>0</v>
      </c>
    </row>
    <row r="141" spans="1:87" ht="15" x14ac:dyDescent="0.2">
      <c r="A141" s="747" t="s">
        <v>162</v>
      </c>
      <c r="B141" s="469" t="s">
        <v>161</v>
      </c>
      <c r="C141" s="718">
        <v>0.4</v>
      </c>
      <c r="D141" s="469" t="s">
        <v>615</v>
      </c>
      <c r="E141" s="469" t="s">
        <v>616</v>
      </c>
      <c r="F141" s="718">
        <v>0.09</v>
      </c>
      <c r="G141" s="469" t="s">
        <v>612</v>
      </c>
      <c r="H141" s="469" t="s">
        <v>613</v>
      </c>
      <c r="I141" s="718">
        <v>0.01</v>
      </c>
      <c r="J141" s="748">
        <f t="shared" si="67"/>
        <v>0.5</v>
      </c>
      <c r="K141" s="718">
        <v>0.4</v>
      </c>
      <c r="L141" s="316" t="s">
        <v>615</v>
      </c>
      <c r="M141" s="316" t="s">
        <v>616</v>
      </c>
      <c r="N141" s="718">
        <v>0.09</v>
      </c>
      <c r="O141" s="316" t="s">
        <v>612</v>
      </c>
      <c r="P141" s="316" t="s">
        <v>613</v>
      </c>
      <c r="Q141" s="718">
        <v>0.01</v>
      </c>
      <c r="R141" s="728">
        <f t="shared" si="68"/>
        <v>0.5</v>
      </c>
      <c r="S141" s="718">
        <v>0.4</v>
      </c>
      <c r="T141" s="316" t="s">
        <v>615</v>
      </c>
      <c r="U141" s="316" t="s">
        <v>616</v>
      </c>
      <c r="V141" s="718">
        <v>0.09</v>
      </c>
      <c r="W141" s="316" t="s">
        <v>612</v>
      </c>
      <c r="X141" s="316" t="s">
        <v>613</v>
      </c>
      <c r="Y141" s="718">
        <v>0.01</v>
      </c>
      <c r="Z141" s="728">
        <f t="shared" si="99"/>
        <v>0.5</v>
      </c>
      <c r="AA141" s="718">
        <v>0.4</v>
      </c>
      <c r="AB141" s="316" t="s">
        <v>615</v>
      </c>
      <c r="AC141" s="316" t="s">
        <v>616</v>
      </c>
      <c r="AD141" s="718">
        <v>0.09</v>
      </c>
      <c r="AE141" s="316" t="s">
        <v>612</v>
      </c>
      <c r="AF141" s="316" t="s">
        <v>613</v>
      </c>
      <c r="AG141" s="718">
        <v>0.01</v>
      </c>
      <c r="AH141" s="728">
        <f t="shared" si="148"/>
        <v>0.5</v>
      </c>
      <c r="AI141" s="718">
        <v>0.4</v>
      </c>
      <c r="AJ141" s="316" t="s">
        <v>615</v>
      </c>
      <c r="AK141" s="316" t="s">
        <v>616</v>
      </c>
      <c r="AL141" s="718">
        <v>0.09</v>
      </c>
      <c r="AM141" s="316" t="s">
        <v>612</v>
      </c>
      <c r="AN141" s="316" t="s">
        <v>613</v>
      </c>
      <c r="AO141" s="718">
        <v>0.01</v>
      </c>
      <c r="AP141" s="728">
        <f t="shared" si="149"/>
        <v>0.5</v>
      </c>
      <c r="AQ141" s="718">
        <v>0.4</v>
      </c>
      <c r="AR141" s="316" t="s">
        <v>615</v>
      </c>
      <c r="AS141" s="316" t="s">
        <v>616</v>
      </c>
      <c r="AT141" s="718">
        <v>0.09</v>
      </c>
      <c r="AU141" s="316" t="s">
        <v>612</v>
      </c>
      <c r="AV141" s="316" t="s">
        <v>613</v>
      </c>
      <c r="AW141" s="718">
        <v>0.01</v>
      </c>
      <c r="AX141" s="463">
        <f t="shared" si="150"/>
        <v>0.5</v>
      </c>
      <c r="AY141" s="661">
        <v>0.4</v>
      </c>
      <c r="AZ141" s="316" t="s">
        <v>615</v>
      </c>
      <c r="BA141" s="316" t="s">
        <v>616</v>
      </c>
      <c r="BB141" s="463">
        <v>0.09</v>
      </c>
      <c r="BC141" s="316" t="s">
        <v>612</v>
      </c>
      <c r="BD141" s="316" t="s">
        <v>613</v>
      </c>
      <c r="BE141" s="463">
        <v>0.01</v>
      </c>
      <c r="BF141" s="728">
        <f t="shared" si="151"/>
        <v>0.5</v>
      </c>
      <c r="BG141" s="463"/>
      <c r="BH141" s="463">
        <v>0.4</v>
      </c>
      <c r="BI141" s="316" t="s">
        <v>615</v>
      </c>
      <c r="BJ141" s="316" t="s">
        <v>616</v>
      </c>
      <c r="BK141" s="463">
        <v>0.09</v>
      </c>
      <c r="BL141" s="316" t="s">
        <v>612</v>
      </c>
      <c r="BM141" s="316" t="s">
        <v>613</v>
      </c>
      <c r="BN141" s="463">
        <v>0.01</v>
      </c>
      <c r="BO141" s="728">
        <f t="shared" si="152"/>
        <v>0.5</v>
      </c>
      <c r="BP141" s="463">
        <v>0.4</v>
      </c>
      <c r="BQ141" s="316" t="s">
        <v>615</v>
      </c>
      <c r="BR141" s="316" t="s">
        <v>616</v>
      </c>
      <c r="BS141" s="463">
        <v>0.09</v>
      </c>
      <c r="BT141" s="316" t="s">
        <v>612</v>
      </c>
      <c r="BU141" s="316" t="s">
        <v>613</v>
      </c>
      <c r="BV141" s="463">
        <v>0.01</v>
      </c>
      <c r="BW141" s="463">
        <f t="shared" si="153"/>
        <v>0.5</v>
      </c>
      <c r="BX141" s="444"/>
      <c r="BY141" s="444"/>
      <c r="BZ141" s="444"/>
      <c r="CA141" s="434"/>
      <c r="CB141" s="723">
        <v>0.64700000000000002</v>
      </c>
      <c r="CC141" s="668" t="s">
        <v>874</v>
      </c>
      <c r="CD141" s="316" t="s">
        <v>615</v>
      </c>
      <c r="CE141" s="316" t="s">
        <v>616</v>
      </c>
      <c r="CF141" s="718">
        <v>0.59</v>
      </c>
      <c r="CG141" s="316" t="s">
        <v>612</v>
      </c>
      <c r="CH141" s="316" t="s">
        <v>613</v>
      </c>
      <c r="CI141" s="718">
        <v>0.01</v>
      </c>
    </row>
    <row r="142" spans="1:87" ht="15.75" customHeight="1" x14ac:dyDescent="0.2">
      <c r="A142" s="747" t="s">
        <v>164</v>
      </c>
      <c r="B142" s="469" t="s">
        <v>163</v>
      </c>
      <c r="C142" s="718">
        <v>0.49</v>
      </c>
      <c r="D142" s="469" t="s">
        <v>514</v>
      </c>
      <c r="E142" s="469" t="s">
        <v>666</v>
      </c>
      <c r="F142" s="718">
        <v>0</v>
      </c>
      <c r="G142" s="469" t="s">
        <v>677</v>
      </c>
      <c r="H142" s="469" t="s">
        <v>678</v>
      </c>
      <c r="I142" s="718">
        <v>0.01</v>
      </c>
      <c r="J142" s="748">
        <f t="shared" si="67"/>
        <v>0.5</v>
      </c>
      <c r="K142" s="718">
        <v>0.49</v>
      </c>
      <c r="L142" s="316" t="s">
        <v>514</v>
      </c>
      <c r="M142" s="316" t="s">
        <v>666</v>
      </c>
      <c r="N142" s="718">
        <v>0</v>
      </c>
      <c r="O142" s="316" t="s">
        <v>677</v>
      </c>
      <c r="P142" s="316" t="s">
        <v>678</v>
      </c>
      <c r="Q142" s="718">
        <v>0.01</v>
      </c>
      <c r="R142" s="728">
        <f t="shared" si="68"/>
        <v>0.5</v>
      </c>
      <c r="S142" s="718">
        <v>0.49</v>
      </c>
      <c r="T142" s="316" t="s">
        <v>514</v>
      </c>
      <c r="U142" s="316" t="s">
        <v>666</v>
      </c>
      <c r="V142" s="718">
        <v>0</v>
      </c>
      <c r="W142" s="316" t="s">
        <v>677</v>
      </c>
      <c r="X142" s="316" t="s">
        <v>678</v>
      </c>
      <c r="Y142" s="718">
        <v>0.01</v>
      </c>
      <c r="Z142" s="728">
        <f t="shared" si="99"/>
        <v>0.5</v>
      </c>
      <c r="AA142" s="718">
        <v>0.49</v>
      </c>
      <c r="AB142" s="316" t="s">
        <v>514</v>
      </c>
      <c r="AC142" s="316" t="s">
        <v>666</v>
      </c>
      <c r="AD142" s="718">
        <v>0</v>
      </c>
      <c r="AE142" s="316" t="s">
        <v>677</v>
      </c>
      <c r="AF142" s="316" t="s">
        <v>678</v>
      </c>
      <c r="AG142" s="718">
        <v>0.01</v>
      </c>
      <c r="AH142" s="728">
        <f t="shared" ref="AH142:AH143" si="154">+AA142+AD142+AG142</f>
        <v>0.5</v>
      </c>
      <c r="AI142" s="718">
        <v>0.49</v>
      </c>
      <c r="AJ142" s="316" t="s">
        <v>514</v>
      </c>
      <c r="AK142" s="316" t="s">
        <v>666</v>
      </c>
      <c r="AL142" s="718">
        <v>0</v>
      </c>
      <c r="AM142" s="316" t="s">
        <v>677</v>
      </c>
      <c r="AN142" s="316" t="s">
        <v>678</v>
      </c>
      <c r="AO142" s="718">
        <v>0.01</v>
      </c>
      <c r="AP142" s="728">
        <f t="shared" ref="AP142:AP143" si="155">+AI142+AL142+AO142</f>
        <v>0.5</v>
      </c>
      <c r="AQ142" s="718">
        <v>0.74</v>
      </c>
      <c r="AR142" s="316" t="s">
        <v>514</v>
      </c>
      <c r="AS142" s="316" t="s">
        <v>666</v>
      </c>
      <c r="AT142" s="718">
        <v>0</v>
      </c>
      <c r="AU142" s="316" t="s">
        <v>677</v>
      </c>
      <c r="AV142" s="316" t="s">
        <v>678</v>
      </c>
      <c r="AW142" s="718">
        <v>0.01</v>
      </c>
      <c r="AX142" s="463">
        <f t="shared" ref="AX142:AX143" si="156">+AQ142+AT142+AW142</f>
        <v>0.75</v>
      </c>
      <c r="AY142" s="661">
        <v>0.99</v>
      </c>
      <c r="AZ142" s="316" t="s">
        <v>514</v>
      </c>
      <c r="BA142" s="316" t="s">
        <v>666</v>
      </c>
      <c r="BB142" s="463">
        <v>0</v>
      </c>
      <c r="BC142" s="316" t="s">
        <v>677</v>
      </c>
      <c r="BD142" s="316" t="s">
        <v>678</v>
      </c>
      <c r="BE142" s="463">
        <v>0.01</v>
      </c>
      <c r="BF142" s="728">
        <f t="shared" ref="BF142:BF143" si="157">+AY142+BB142+BE142</f>
        <v>1</v>
      </c>
      <c r="BG142" s="463"/>
      <c r="BH142" s="463">
        <v>0.49</v>
      </c>
      <c r="BI142" s="316" t="s">
        <v>514</v>
      </c>
      <c r="BJ142" s="316" t="s">
        <v>666</v>
      </c>
      <c r="BK142" s="463">
        <v>0</v>
      </c>
      <c r="BL142" s="316" t="s">
        <v>677</v>
      </c>
      <c r="BM142" s="316" t="s">
        <v>678</v>
      </c>
      <c r="BN142" s="463">
        <v>0.01</v>
      </c>
      <c r="BO142" s="728">
        <f t="shared" ref="BO142:BO143" si="158">+BH142+BK142+BN142</f>
        <v>0.5</v>
      </c>
      <c r="BP142" s="463">
        <v>0.49</v>
      </c>
      <c r="BQ142" s="316" t="s">
        <v>514</v>
      </c>
      <c r="BR142" s="316" t="s">
        <v>666</v>
      </c>
      <c r="BS142" s="463">
        <v>0</v>
      </c>
      <c r="BT142" s="316" t="s">
        <v>677</v>
      </c>
      <c r="BU142" s="316" t="s">
        <v>678</v>
      </c>
      <c r="BV142" s="463">
        <v>0.01</v>
      </c>
      <c r="BW142" s="463">
        <f t="shared" ref="BW142:BW143" si="159">+BP142+BS142+BV142</f>
        <v>0.5</v>
      </c>
      <c r="BX142" s="444" t="s">
        <v>874</v>
      </c>
      <c r="BY142" s="444"/>
      <c r="BZ142" s="444"/>
      <c r="CA142" s="436" t="s">
        <v>874</v>
      </c>
      <c r="CB142" s="723">
        <v>0.69099999999999995</v>
      </c>
      <c r="CC142" s="668" t="s">
        <v>950</v>
      </c>
      <c r="CD142" s="316" t="s">
        <v>514</v>
      </c>
      <c r="CE142" s="316" t="s">
        <v>666</v>
      </c>
      <c r="CF142" s="718">
        <v>0</v>
      </c>
      <c r="CG142" s="316" t="s">
        <v>677</v>
      </c>
      <c r="CH142" s="316" t="s">
        <v>678</v>
      </c>
      <c r="CI142" s="718">
        <v>0.01</v>
      </c>
    </row>
    <row r="143" spans="1:87" ht="15.75" customHeight="1" x14ac:dyDescent="0.2">
      <c r="A143" s="747" t="s">
        <v>166</v>
      </c>
      <c r="B143" s="998" t="s">
        <v>617</v>
      </c>
      <c r="C143" s="718">
        <v>0.49</v>
      </c>
      <c r="D143" s="469" t="s">
        <v>514</v>
      </c>
      <c r="E143" s="469" t="s">
        <v>515</v>
      </c>
      <c r="F143" s="718">
        <v>0</v>
      </c>
      <c r="G143" s="469" t="s">
        <v>618</v>
      </c>
      <c r="H143" s="469" t="s">
        <v>619</v>
      </c>
      <c r="I143" s="718">
        <v>0.01</v>
      </c>
      <c r="J143" s="748">
        <f t="shared" si="67"/>
        <v>0.5</v>
      </c>
      <c r="K143" s="718">
        <v>0.49</v>
      </c>
      <c r="L143" s="316" t="s">
        <v>514</v>
      </c>
      <c r="M143" s="316" t="s">
        <v>515</v>
      </c>
      <c r="N143" s="718">
        <v>0</v>
      </c>
      <c r="O143" s="316" t="s">
        <v>618</v>
      </c>
      <c r="P143" s="316" t="s">
        <v>619</v>
      </c>
      <c r="Q143" s="718">
        <v>0.01</v>
      </c>
      <c r="R143" s="728">
        <f t="shared" si="68"/>
        <v>0.5</v>
      </c>
      <c r="S143" s="718">
        <v>0.49</v>
      </c>
      <c r="T143" s="316" t="s">
        <v>514</v>
      </c>
      <c r="U143" s="316" t="s">
        <v>515</v>
      </c>
      <c r="V143" s="718">
        <v>0</v>
      </c>
      <c r="W143" s="316" t="s">
        <v>618</v>
      </c>
      <c r="X143" s="316" t="s">
        <v>619</v>
      </c>
      <c r="Y143" s="718">
        <v>0.01</v>
      </c>
      <c r="Z143" s="728">
        <f t="shared" si="99"/>
        <v>0.5</v>
      </c>
      <c r="AA143" s="718">
        <v>0.49</v>
      </c>
      <c r="AB143" s="316" t="s">
        <v>514</v>
      </c>
      <c r="AC143" s="316" t="s">
        <v>515</v>
      </c>
      <c r="AD143" s="718">
        <v>0</v>
      </c>
      <c r="AE143" s="316" t="s">
        <v>618</v>
      </c>
      <c r="AF143" s="316" t="s">
        <v>619</v>
      </c>
      <c r="AG143" s="718">
        <v>0.01</v>
      </c>
      <c r="AH143" s="728">
        <f t="shared" si="154"/>
        <v>0.5</v>
      </c>
      <c r="AI143" s="718">
        <v>0.49</v>
      </c>
      <c r="AJ143" s="316" t="s">
        <v>514</v>
      </c>
      <c r="AK143" s="316" t="s">
        <v>515</v>
      </c>
      <c r="AL143" s="718">
        <v>0</v>
      </c>
      <c r="AM143" s="316" t="s">
        <v>618</v>
      </c>
      <c r="AN143" s="316" t="s">
        <v>619</v>
      </c>
      <c r="AO143" s="718">
        <v>0.01</v>
      </c>
      <c r="AP143" s="728">
        <f t="shared" si="155"/>
        <v>0.5</v>
      </c>
      <c r="AQ143" s="718">
        <v>0.74</v>
      </c>
      <c r="AR143" s="316" t="s">
        <v>514</v>
      </c>
      <c r="AS143" s="316" t="s">
        <v>515</v>
      </c>
      <c r="AT143" s="718">
        <v>0</v>
      </c>
      <c r="AU143" s="316" t="s">
        <v>618</v>
      </c>
      <c r="AV143" s="316" t="s">
        <v>619</v>
      </c>
      <c r="AW143" s="718">
        <v>0.01</v>
      </c>
      <c r="AX143" s="463">
        <f t="shared" si="156"/>
        <v>0.75</v>
      </c>
      <c r="AY143" s="661">
        <v>0.49</v>
      </c>
      <c r="AZ143" s="316" t="s">
        <v>514</v>
      </c>
      <c r="BA143" s="316" t="s">
        <v>515</v>
      </c>
      <c r="BB143" s="463">
        <v>0</v>
      </c>
      <c r="BC143" s="316" t="s">
        <v>618</v>
      </c>
      <c r="BD143" s="316" t="s">
        <v>619</v>
      </c>
      <c r="BE143" s="463">
        <v>0.01</v>
      </c>
      <c r="BF143" s="728">
        <f t="shared" si="157"/>
        <v>0.5</v>
      </c>
      <c r="BG143" s="463"/>
      <c r="BH143" s="463">
        <v>0.49</v>
      </c>
      <c r="BI143" s="316" t="s">
        <v>514</v>
      </c>
      <c r="BJ143" s="316" t="s">
        <v>515</v>
      </c>
      <c r="BK143" s="463">
        <v>0</v>
      </c>
      <c r="BL143" s="316" t="s">
        <v>618</v>
      </c>
      <c r="BM143" s="316" t="s">
        <v>619</v>
      </c>
      <c r="BN143" s="463">
        <v>0.01</v>
      </c>
      <c r="BO143" s="728">
        <f t="shared" si="158"/>
        <v>0.5</v>
      </c>
      <c r="BP143" s="463">
        <v>0.49</v>
      </c>
      <c r="BQ143" s="316" t="s">
        <v>514</v>
      </c>
      <c r="BR143" s="316" t="s">
        <v>515</v>
      </c>
      <c r="BS143" s="463">
        <v>0</v>
      </c>
      <c r="BT143" s="316" t="s">
        <v>618</v>
      </c>
      <c r="BU143" s="316" t="s">
        <v>619</v>
      </c>
      <c r="BV143" s="463">
        <v>0.01</v>
      </c>
      <c r="BW143" s="463">
        <f t="shared" si="159"/>
        <v>0.5</v>
      </c>
      <c r="BX143" s="444" t="s">
        <v>874</v>
      </c>
      <c r="BY143" s="444"/>
      <c r="BZ143" s="444"/>
      <c r="CA143" s="436" t="s">
        <v>874</v>
      </c>
      <c r="CB143" s="723">
        <v>0.68799999999999994</v>
      </c>
      <c r="CC143" s="668" t="s">
        <v>950</v>
      </c>
      <c r="CD143" s="316" t="s">
        <v>514</v>
      </c>
      <c r="CE143" s="316" t="s">
        <v>515</v>
      </c>
      <c r="CF143" s="718">
        <v>0</v>
      </c>
      <c r="CG143" s="316" t="s">
        <v>618</v>
      </c>
      <c r="CH143" s="316" t="s">
        <v>619</v>
      </c>
      <c r="CI143" s="718">
        <v>0.01</v>
      </c>
    </row>
    <row r="144" spans="1:87" ht="15.75" customHeight="1" x14ac:dyDescent="0.2">
      <c r="A144" s="747" t="s">
        <v>168</v>
      </c>
      <c r="B144" s="469" t="s">
        <v>167</v>
      </c>
      <c r="C144" s="718">
        <v>0.4</v>
      </c>
      <c r="D144" s="469" t="s">
        <v>575</v>
      </c>
      <c r="E144" s="469" t="s">
        <v>576</v>
      </c>
      <c r="F144" s="718">
        <v>0.09</v>
      </c>
      <c r="G144" s="469" t="s">
        <v>573</v>
      </c>
      <c r="H144" s="469" t="s">
        <v>574</v>
      </c>
      <c r="I144" s="718">
        <v>0.01</v>
      </c>
      <c r="J144" s="748">
        <f t="shared" si="67"/>
        <v>0.5</v>
      </c>
      <c r="K144" s="718">
        <v>0.4</v>
      </c>
      <c r="L144" s="316" t="s">
        <v>575</v>
      </c>
      <c r="M144" s="316" t="s">
        <v>576</v>
      </c>
      <c r="N144" s="718">
        <v>0.09</v>
      </c>
      <c r="O144" s="316" t="s">
        <v>573</v>
      </c>
      <c r="P144" s="316" t="s">
        <v>574</v>
      </c>
      <c r="Q144" s="718">
        <v>0.01</v>
      </c>
      <c r="R144" s="728">
        <f t="shared" si="68"/>
        <v>0.5</v>
      </c>
      <c r="S144" s="718">
        <v>0.4</v>
      </c>
      <c r="T144" s="316" t="s">
        <v>575</v>
      </c>
      <c r="U144" s="316" t="s">
        <v>576</v>
      </c>
      <c r="V144" s="718">
        <v>0.09</v>
      </c>
      <c r="W144" s="316" t="s">
        <v>573</v>
      </c>
      <c r="X144" s="316" t="s">
        <v>574</v>
      </c>
      <c r="Y144" s="718">
        <v>0.01</v>
      </c>
      <c r="Z144" s="728">
        <f t="shared" si="99"/>
        <v>0.5</v>
      </c>
      <c r="AA144" s="718">
        <v>0.4</v>
      </c>
      <c r="AB144" s="316" t="s">
        <v>575</v>
      </c>
      <c r="AC144" s="316" t="s">
        <v>576</v>
      </c>
      <c r="AD144" s="718">
        <v>0.09</v>
      </c>
      <c r="AE144" s="316" t="s">
        <v>573</v>
      </c>
      <c r="AF144" s="316" t="s">
        <v>574</v>
      </c>
      <c r="AG144" s="718">
        <v>0.01</v>
      </c>
      <c r="AH144" s="728">
        <f t="shared" ref="AH144:AH145" si="160">+AA144+AD144+AG144</f>
        <v>0.5</v>
      </c>
      <c r="AI144" s="718">
        <v>0.4</v>
      </c>
      <c r="AJ144" s="316" t="s">
        <v>575</v>
      </c>
      <c r="AK144" s="316" t="s">
        <v>576</v>
      </c>
      <c r="AL144" s="718">
        <v>0.09</v>
      </c>
      <c r="AM144" s="316" t="s">
        <v>573</v>
      </c>
      <c r="AN144" s="316" t="s">
        <v>574</v>
      </c>
      <c r="AO144" s="718">
        <v>0.01</v>
      </c>
      <c r="AP144" s="728">
        <f t="shared" ref="AP144:AP145" si="161">+AI144+AL144+AO144</f>
        <v>0.5</v>
      </c>
      <c r="AQ144" s="718">
        <v>0.44</v>
      </c>
      <c r="AR144" s="316" t="s">
        <v>575</v>
      </c>
      <c r="AS144" s="316" t="s">
        <v>576</v>
      </c>
      <c r="AT144" s="718">
        <v>0.26</v>
      </c>
      <c r="AU144" s="316" t="s">
        <v>573</v>
      </c>
      <c r="AV144" s="316" t="s">
        <v>574</v>
      </c>
      <c r="AW144" s="718">
        <v>0.05</v>
      </c>
      <c r="AX144" s="463">
        <f t="shared" ref="AX144:AX145" si="162">+AQ144+AT144+AW144</f>
        <v>0.75</v>
      </c>
      <c r="AY144" s="661">
        <v>0.4</v>
      </c>
      <c r="AZ144" s="316" t="s">
        <v>575</v>
      </c>
      <c r="BA144" s="316" t="s">
        <v>576</v>
      </c>
      <c r="BB144" s="463">
        <v>0.09</v>
      </c>
      <c r="BC144" s="316" t="s">
        <v>573</v>
      </c>
      <c r="BD144" s="316" t="s">
        <v>574</v>
      </c>
      <c r="BE144" s="463">
        <v>0.01</v>
      </c>
      <c r="BF144" s="728">
        <f t="shared" ref="BF144:BF145" si="163">+AY144+BB144+BE144</f>
        <v>0.5</v>
      </c>
      <c r="BG144" s="463"/>
      <c r="BH144" s="463">
        <v>0.4</v>
      </c>
      <c r="BI144" s="316" t="s">
        <v>575</v>
      </c>
      <c r="BJ144" s="316" t="s">
        <v>576</v>
      </c>
      <c r="BK144" s="463">
        <v>0.09</v>
      </c>
      <c r="BL144" s="316" t="s">
        <v>573</v>
      </c>
      <c r="BM144" s="316" t="s">
        <v>574</v>
      </c>
      <c r="BN144" s="463">
        <v>0.01</v>
      </c>
      <c r="BO144" s="728">
        <f t="shared" ref="BO144:BO145" si="164">+BH144+BK144+BN144</f>
        <v>0.5</v>
      </c>
      <c r="BP144" s="463">
        <v>0.4</v>
      </c>
      <c r="BQ144" s="316" t="s">
        <v>575</v>
      </c>
      <c r="BR144" s="316" t="s">
        <v>576</v>
      </c>
      <c r="BS144" s="463">
        <v>0.09</v>
      </c>
      <c r="BT144" s="316" t="s">
        <v>573</v>
      </c>
      <c r="BU144" s="316" t="s">
        <v>574</v>
      </c>
      <c r="BV144" s="463">
        <v>0.01</v>
      </c>
      <c r="BW144" s="463">
        <f t="shared" ref="BW144:BW145" si="165">+BP144+BS144+BV144</f>
        <v>0.5</v>
      </c>
      <c r="BX144" s="489" t="s">
        <v>874</v>
      </c>
      <c r="BY144" s="489"/>
      <c r="BZ144" s="489"/>
      <c r="CA144" s="434"/>
      <c r="CB144" s="723">
        <v>0.68200000000000005</v>
      </c>
      <c r="CC144" s="668" t="s">
        <v>950</v>
      </c>
      <c r="CD144" s="316" t="s">
        <v>575</v>
      </c>
      <c r="CE144" s="316" t="s">
        <v>576</v>
      </c>
      <c r="CF144" s="718">
        <v>0.59</v>
      </c>
      <c r="CG144" s="316" t="s">
        <v>573</v>
      </c>
      <c r="CH144" s="316" t="s">
        <v>574</v>
      </c>
      <c r="CI144" s="718">
        <v>0.01</v>
      </c>
    </row>
    <row r="145" spans="1:87" ht="15.75" customHeight="1" x14ac:dyDescent="0.2">
      <c r="A145" s="747" t="s">
        <v>170</v>
      </c>
      <c r="B145" s="469" t="s">
        <v>169</v>
      </c>
      <c r="C145" s="718">
        <v>0.3</v>
      </c>
      <c r="D145" s="469" t="s">
        <v>680</v>
      </c>
      <c r="E145" s="469" t="s">
        <v>681</v>
      </c>
      <c r="F145" s="718">
        <v>0.37</v>
      </c>
      <c r="G145" s="469" t="s">
        <v>514</v>
      </c>
      <c r="H145" s="469" t="s">
        <v>514</v>
      </c>
      <c r="I145" s="718">
        <v>0</v>
      </c>
      <c r="J145" s="748">
        <f t="shared" si="67"/>
        <v>0.66999999999999993</v>
      </c>
      <c r="K145" s="718">
        <v>0.3</v>
      </c>
      <c r="L145" s="316" t="s">
        <v>680</v>
      </c>
      <c r="M145" s="316" t="s">
        <v>681</v>
      </c>
      <c r="N145" s="718">
        <v>0.37</v>
      </c>
      <c r="O145" s="316" t="s">
        <v>514</v>
      </c>
      <c r="P145" s="316" t="s">
        <v>514</v>
      </c>
      <c r="Q145" s="718">
        <v>0</v>
      </c>
      <c r="R145" s="728">
        <f t="shared" si="68"/>
        <v>0.66999999999999993</v>
      </c>
      <c r="S145" s="718">
        <v>0.3</v>
      </c>
      <c r="T145" s="316" t="s">
        <v>680</v>
      </c>
      <c r="U145" s="316" t="s">
        <v>681</v>
      </c>
      <c r="V145" s="718">
        <v>0.37</v>
      </c>
      <c r="W145" s="316" t="s">
        <v>514</v>
      </c>
      <c r="X145" s="316" t="s">
        <v>514</v>
      </c>
      <c r="Y145" s="718">
        <v>0</v>
      </c>
      <c r="Z145" s="728">
        <f t="shared" si="99"/>
        <v>0.66999999999999993</v>
      </c>
      <c r="AA145" s="718">
        <v>0.3</v>
      </c>
      <c r="AB145" s="316" t="s">
        <v>680</v>
      </c>
      <c r="AC145" s="316" t="s">
        <v>681</v>
      </c>
      <c r="AD145" s="718">
        <v>0.37</v>
      </c>
      <c r="AE145" s="316" t="s">
        <v>514</v>
      </c>
      <c r="AF145" s="316" t="s">
        <v>514</v>
      </c>
      <c r="AG145" s="718">
        <v>0</v>
      </c>
      <c r="AH145" s="728">
        <f t="shared" si="160"/>
        <v>0.66999999999999993</v>
      </c>
      <c r="AI145" s="718">
        <v>0.3</v>
      </c>
      <c r="AJ145" s="316" t="s">
        <v>680</v>
      </c>
      <c r="AK145" s="316" t="s">
        <v>681</v>
      </c>
      <c r="AL145" s="718">
        <v>0.37</v>
      </c>
      <c r="AM145" s="316" t="s">
        <v>514</v>
      </c>
      <c r="AN145" s="316" t="s">
        <v>514</v>
      </c>
      <c r="AO145" s="718">
        <v>0</v>
      </c>
      <c r="AP145" s="728">
        <f t="shared" si="161"/>
        <v>0.66999999999999993</v>
      </c>
      <c r="AQ145" s="718">
        <v>0.48</v>
      </c>
      <c r="AR145" s="316" t="s">
        <v>680</v>
      </c>
      <c r="AS145" s="316" t="s">
        <v>681</v>
      </c>
      <c r="AT145" s="718">
        <v>0.27</v>
      </c>
      <c r="AU145" s="316" t="s">
        <v>514</v>
      </c>
      <c r="AV145" s="316" t="s">
        <v>514</v>
      </c>
      <c r="AW145" s="718">
        <v>0</v>
      </c>
      <c r="AX145" s="463">
        <f t="shared" si="162"/>
        <v>0.75</v>
      </c>
      <c r="AY145" s="661">
        <v>0.64</v>
      </c>
      <c r="AZ145" s="316" t="s">
        <v>680</v>
      </c>
      <c r="BA145" s="316" t="s">
        <v>681</v>
      </c>
      <c r="BB145" s="463">
        <v>0.36</v>
      </c>
      <c r="BC145" s="316" t="s">
        <v>514</v>
      </c>
      <c r="BD145" s="316" t="s">
        <v>514</v>
      </c>
      <c r="BE145" s="463">
        <v>0</v>
      </c>
      <c r="BF145" s="728">
        <f t="shared" si="163"/>
        <v>1</v>
      </c>
      <c r="BG145" s="463"/>
      <c r="BH145" s="463">
        <v>0.3</v>
      </c>
      <c r="BI145" s="316" t="s">
        <v>680</v>
      </c>
      <c r="BJ145" s="316" t="s">
        <v>681</v>
      </c>
      <c r="BK145" s="463">
        <v>0.37</v>
      </c>
      <c r="BL145" s="316" t="s">
        <v>514</v>
      </c>
      <c r="BM145" s="316" t="s">
        <v>514</v>
      </c>
      <c r="BN145" s="463">
        <v>0</v>
      </c>
      <c r="BO145" s="728">
        <f t="shared" si="164"/>
        <v>0.66999999999999993</v>
      </c>
      <c r="BP145" s="463">
        <v>0.3</v>
      </c>
      <c r="BQ145" s="316" t="s">
        <v>680</v>
      </c>
      <c r="BR145" s="316" t="s">
        <v>681</v>
      </c>
      <c r="BS145" s="463">
        <v>0.2</v>
      </c>
      <c r="BT145" s="316" t="s">
        <v>514</v>
      </c>
      <c r="BU145" s="316" t="s">
        <v>514</v>
      </c>
      <c r="BV145" s="463">
        <v>0</v>
      </c>
      <c r="BW145" s="463">
        <f t="shared" si="165"/>
        <v>0.5</v>
      </c>
      <c r="BX145" s="444"/>
      <c r="BY145" s="444"/>
      <c r="BZ145" s="444"/>
      <c r="CA145" s="436" t="s">
        <v>874</v>
      </c>
      <c r="CB145" s="723">
        <v>0.749</v>
      </c>
      <c r="CC145" s="668" t="s">
        <v>950</v>
      </c>
      <c r="CD145" s="316" t="s">
        <v>680</v>
      </c>
      <c r="CE145" s="316" t="s">
        <v>681</v>
      </c>
      <c r="CF145" s="718">
        <v>0.2</v>
      </c>
      <c r="CG145" s="316" t="s">
        <v>514</v>
      </c>
      <c r="CH145" s="316" t="s">
        <v>514</v>
      </c>
      <c r="CI145" s="718">
        <v>0</v>
      </c>
    </row>
    <row r="146" spans="1:87" ht="15.75" customHeight="1" x14ac:dyDescent="0.2">
      <c r="A146" s="747" t="s">
        <v>172</v>
      </c>
      <c r="B146" s="469" t="s">
        <v>171</v>
      </c>
      <c r="C146" s="718">
        <v>0.4</v>
      </c>
      <c r="D146" s="469" t="s">
        <v>651</v>
      </c>
      <c r="E146" s="469" t="s">
        <v>652</v>
      </c>
      <c r="F146" s="718">
        <v>0.09</v>
      </c>
      <c r="G146" s="469" t="s">
        <v>649</v>
      </c>
      <c r="H146" s="469" t="s">
        <v>1245</v>
      </c>
      <c r="I146" s="718">
        <v>0.01</v>
      </c>
      <c r="J146" s="748">
        <f t="shared" si="67"/>
        <v>0.5</v>
      </c>
      <c r="K146" s="718">
        <v>0.4</v>
      </c>
      <c r="L146" s="316" t="s">
        <v>651</v>
      </c>
      <c r="M146" s="316" t="s">
        <v>652</v>
      </c>
      <c r="N146" s="718">
        <v>0.09</v>
      </c>
      <c r="O146" s="316" t="s">
        <v>649</v>
      </c>
      <c r="P146" s="316" t="s">
        <v>1245</v>
      </c>
      <c r="Q146" s="718">
        <v>0.01</v>
      </c>
      <c r="R146" s="728">
        <f t="shared" si="68"/>
        <v>0.5</v>
      </c>
      <c r="S146" s="718">
        <v>0.4</v>
      </c>
      <c r="T146" s="316" t="s">
        <v>651</v>
      </c>
      <c r="U146" s="316" t="s">
        <v>652</v>
      </c>
      <c r="V146" s="718">
        <v>0.09</v>
      </c>
      <c r="W146" s="316" t="s">
        <v>649</v>
      </c>
      <c r="X146" s="316" t="s">
        <v>1245</v>
      </c>
      <c r="Y146" s="718">
        <v>0.01</v>
      </c>
      <c r="Z146" s="728">
        <f t="shared" si="99"/>
        <v>0.5</v>
      </c>
      <c r="AA146" s="718">
        <v>0.4</v>
      </c>
      <c r="AB146" s="316" t="s">
        <v>651</v>
      </c>
      <c r="AC146" s="316" t="s">
        <v>652</v>
      </c>
      <c r="AD146" s="718">
        <v>0.09</v>
      </c>
      <c r="AE146" s="316" t="s">
        <v>649</v>
      </c>
      <c r="AF146" s="316" t="s">
        <v>1245</v>
      </c>
      <c r="AG146" s="718">
        <v>0.01</v>
      </c>
      <c r="AH146" s="728">
        <f t="shared" ref="AH146:AH147" si="166">+AA146+AD146+AG146</f>
        <v>0.5</v>
      </c>
      <c r="AI146" s="718">
        <v>0.4</v>
      </c>
      <c r="AJ146" s="316" t="s">
        <v>651</v>
      </c>
      <c r="AK146" s="316" t="s">
        <v>652</v>
      </c>
      <c r="AL146" s="718">
        <v>0.09</v>
      </c>
      <c r="AM146" s="316" t="s">
        <v>649</v>
      </c>
      <c r="AN146" s="316" t="s">
        <v>1245</v>
      </c>
      <c r="AO146" s="718">
        <v>0.01</v>
      </c>
      <c r="AP146" s="728">
        <f t="shared" ref="AP146:AP147" si="167">+AI146+AL146+AO146</f>
        <v>0.5</v>
      </c>
      <c r="AQ146" s="718">
        <v>0.4</v>
      </c>
      <c r="AR146" s="316" t="s">
        <v>651</v>
      </c>
      <c r="AS146" s="316" t="s">
        <v>652</v>
      </c>
      <c r="AT146" s="718">
        <v>0.33999999999999997</v>
      </c>
      <c r="AU146" s="316" t="s">
        <v>649</v>
      </c>
      <c r="AV146" s="316" t="s">
        <v>1245</v>
      </c>
      <c r="AW146" s="718">
        <v>0.01</v>
      </c>
      <c r="AX146" s="463">
        <f t="shared" ref="AX146:AX147" si="168">+AQ146+AT146+AW146</f>
        <v>0.75</v>
      </c>
      <c r="AY146" s="661">
        <v>0.4</v>
      </c>
      <c r="AZ146" s="316" t="s">
        <v>651</v>
      </c>
      <c r="BA146" s="316" t="s">
        <v>652</v>
      </c>
      <c r="BB146" s="463">
        <v>0.09</v>
      </c>
      <c r="BC146" s="316" t="s">
        <v>649</v>
      </c>
      <c r="BD146" s="316" t="s">
        <v>650</v>
      </c>
      <c r="BE146" s="463">
        <v>0.01</v>
      </c>
      <c r="BF146" s="728">
        <f t="shared" ref="BF146:BF147" si="169">+AY146+BB146+BE146</f>
        <v>0.5</v>
      </c>
      <c r="BG146" s="463"/>
      <c r="BH146" s="463">
        <v>0.4</v>
      </c>
      <c r="BI146" s="316" t="s">
        <v>651</v>
      </c>
      <c r="BJ146" s="316" t="s">
        <v>652</v>
      </c>
      <c r="BK146" s="463">
        <v>0.09</v>
      </c>
      <c r="BL146" s="316" t="s">
        <v>649</v>
      </c>
      <c r="BM146" s="316" t="s">
        <v>650</v>
      </c>
      <c r="BN146" s="463">
        <v>0.01</v>
      </c>
      <c r="BO146" s="728">
        <f t="shared" ref="BO146:BO147" si="170">+BH146+BK146+BN146</f>
        <v>0.5</v>
      </c>
      <c r="BP146" s="463">
        <v>0.4</v>
      </c>
      <c r="BQ146" s="316" t="s">
        <v>651</v>
      </c>
      <c r="BR146" s="316" t="s">
        <v>652</v>
      </c>
      <c r="BS146" s="463">
        <v>0.09</v>
      </c>
      <c r="BT146" s="316" t="s">
        <v>649</v>
      </c>
      <c r="BU146" s="316" t="s">
        <v>650</v>
      </c>
      <c r="BV146" s="463">
        <v>0.01</v>
      </c>
      <c r="BW146" s="463">
        <f t="shared" ref="BW146:BW147" si="171">+BP146+BS146+BV146</f>
        <v>0.5</v>
      </c>
      <c r="BX146" s="444"/>
      <c r="BY146" s="444"/>
      <c r="BZ146" s="444"/>
      <c r="CA146" s="434"/>
      <c r="CB146" s="723">
        <v>0.71099999999999997</v>
      </c>
      <c r="CC146" s="668" t="s">
        <v>950</v>
      </c>
      <c r="CD146" s="316" t="s">
        <v>651</v>
      </c>
      <c r="CE146" s="316" t="s">
        <v>652</v>
      </c>
      <c r="CF146" s="718">
        <v>0.59</v>
      </c>
      <c r="CG146" s="316" t="s">
        <v>649</v>
      </c>
      <c r="CH146" s="316" t="s">
        <v>650</v>
      </c>
      <c r="CI146" s="718">
        <v>0.01</v>
      </c>
    </row>
    <row r="147" spans="1:87" ht="15" x14ac:dyDescent="0.2">
      <c r="A147" s="747" t="s">
        <v>174</v>
      </c>
      <c r="B147" s="469" t="s">
        <v>173</v>
      </c>
      <c r="C147" s="718">
        <v>0.4</v>
      </c>
      <c r="D147" s="469" t="s">
        <v>625</v>
      </c>
      <c r="E147" s="469" t="s">
        <v>626</v>
      </c>
      <c r="F147" s="718">
        <v>0.1</v>
      </c>
      <c r="G147" s="469" t="s">
        <v>514</v>
      </c>
      <c r="H147" s="469" t="s">
        <v>552</v>
      </c>
      <c r="I147" s="718">
        <v>0</v>
      </c>
      <c r="J147" s="748">
        <f t="shared" si="67"/>
        <v>0.5</v>
      </c>
      <c r="K147" s="718">
        <v>0.4</v>
      </c>
      <c r="L147" s="316" t="s">
        <v>625</v>
      </c>
      <c r="M147" s="316" t="s">
        <v>626</v>
      </c>
      <c r="N147" s="718">
        <v>0.1</v>
      </c>
      <c r="O147" s="316" t="s">
        <v>514</v>
      </c>
      <c r="P147" s="316" t="s">
        <v>552</v>
      </c>
      <c r="Q147" s="718">
        <v>0</v>
      </c>
      <c r="R147" s="728">
        <f t="shared" si="68"/>
        <v>0.5</v>
      </c>
      <c r="S147" s="718">
        <v>0.4</v>
      </c>
      <c r="T147" s="316" t="s">
        <v>625</v>
      </c>
      <c r="U147" s="316" t="s">
        <v>626</v>
      </c>
      <c r="V147" s="718">
        <v>0.1</v>
      </c>
      <c r="W147" s="316" t="s">
        <v>514</v>
      </c>
      <c r="X147" s="316" t="s">
        <v>552</v>
      </c>
      <c r="Y147" s="718">
        <v>0</v>
      </c>
      <c r="Z147" s="728">
        <f t="shared" si="99"/>
        <v>0.5</v>
      </c>
      <c r="AA147" s="718">
        <v>0.4</v>
      </c>
      <c r="AB147" s="316" t="s">
        <v>625</v>
      </c>
      <c r="AC147" s="316" t="s">
        <v>626</v>
      </c>
      <c r="AD147" s="718">
        <v>0.1</v>
      </c>
      <c r="AE147" s="316" t="s">
        <v>514</v>
      </c>
      <c r="AF147" s="316" t="s">
        <v>552</v>
      </c>
      <c r="AG147" s="718">
        <v>0</v>
      </c>
      <c r="AH147" s="728">
        <f t="shared" si="166"/>
        <v>0.5</v>
      </c>
      <c r="AI147" s="718">
        <v>0.4</v>
      </c>
      <c r="AJ147" s="316" t="s">
        <v>625</v>
      </c>
      <c r="AK147" s="316" t="s">
        <v>626</v>
      </c>
      <c r="AL147" s="718">
        <v>0.1</v>
      </c>
      <c r="AM147" s="316" t="s">
        <v>514</v>
      </c>
      <c r="AN147" s="316" t="s">
        <v>552</v>
      </c>
      <c r="AO147" s="718">
        <v>0</v>
      </c>
      <c r="AP147" s="728">
        <f t="shared" si="167"/>
        <v>0.5</v>
      </c>
      <c r="AQ147" s="718">
        <v>0.4</v>
      </c>
      <c r="AR147" s="316" t="s">
        <v>625</v>
      </c>
      <c r="AS147" s="316" t="s">
        <v>626</v>
      </c>
      <c r="AT147" s="718">
        <v>0.1</v>
      </c>
      <c r="AU147" s="316" t="s">
        <v>514</v>
      </c>
      <c r="AV147" s="316" t="s">
        <v>552</v>
      </c>
      <c r="AW147" s="718">
        <v>0</v>
      </c>
      <c r="AX147" s="463">
        <f t="shared" si="168"/>
        <v>0.5</v>
      </c>
      <c r="AY147" s="661">
        <v>0.6</v>
      </c>
      <c r="AZ147" s="316" t="s">
        <v>625</v>
      </c>
      <c r="BA147" s="316" t="s">
        <v>626</v>
      </c>
      <c r="BB147" s="463">
        <v>0.4</v>
      </c>
      <c r="BC147" s="316" t="s">
        <v>514</v>
      </c>
      <c r="BD147" s="316" t="s">
        <v>552</v>
      </c>
      <c r="BE147" s="463">
        <v>0</v>
      </c>
      <c r="BF147" s="728">
        <f t="shared" si="169"/>
        <v>1</v>
      </c>
      <c r="BG147" s="463"/>
      <c r="BH147" s="463">
        <v>0.4</v>
      </c>
      <c r="BI147" s="316" t="s">
        <v>625</v>
      </c>
      <c r="BJ147" s="316" t="s">
        <v>626</v>
      </c>
      <c r="BK147" s="463">
        <v>0.1</v>
      </c>
      <c r="BL147" s="316" t="s">
        <v>514</v>
      </c>
      <c r="BM147" s="316" t="s">
        <v>552</v>
      </c>
      <c r="BN147" s="463">
        <v>0</v>
      </c>
      <c r="BO147" s="728">
        <f t="shared" si="170"/>
        <v>0.5</v>
      </c>
      <c r="BP147" s="463">
        <v>0.4</v>
      </c>
      <c r="BQ147" s="316" t="s">
        <v>625</v>
      </c>
      <c r="BR147" s="316" t="s">
        <v>626</v>
      </c>
      <c r="BS147" s="463">
        <v>0.1</v>
      </c>
      <c r="BT147" s="316" t="s">
        <v>514</v>
      </c>
      <c r="BU147" s="316" t="s">
        <v>552</v>
      </c>
      <c r="BV147" s="463">
        <v>0</v>
      </c>
      <c r="BW147" s="463">
        <f t="shared" si="171"/>
        <v>0.5</v>
      </c>
      <c r="BX147" s="444"/>
      <c r="BY147" s="444"/>
      <c r="BZ147" s="444"/>
      <c r="CA147" s="434"/>
      <c r="CB147" s="723">
        <v>0.7</v>
      </c>
      <c r="CC147" s="668" t="s">
        <v>950</v>
      </c>
      <c r="CD147" s="316" t="s">
        <v>625</v>
      </c>
      <c r="CE147" s="316" t="s">
        <v>626</v>
      </c>
      <c r="CF147" s="718">
        <v>0.6</v>
      </c>
      <c r="CG147" s="316" t="s">
        <v>514</v>
      </c>
      <c r="CH147" s="316" t="s">
        <v>552</v>
      </c>
      <c r="CI147" s="718">
        <v>0</v>
      </c>
    </row>
    <row r="148" spans="1:87" ht="15" x14ac:dyDescent="0.2">
      <c r="A148" s="747" t="s">
        <v>176</v>
      </c>
      <c r="B148" s="469" t="s">
        <v>175</v>
      </c>
      <c r="C148" s="718">
        <v>0.99</v>
      </c>
      <c r="D148" s="469" t="s">
        <v>514</v>
      </c>
      <c r="E148" s="469" t="s">
        <v>666</v>
      </c>
      <c r="F148" s="718">
        <v>0</v>
      </c>
      <c r="G148" s="469" t="s">
        <v>669</v>
      </c>
      <c r="H148" s="469" t="s">
        <v>670</v>
      </c>
      <c r="I148" s="718">
        <v>0.01</v>
      </c>
      <c r="J148" s="748">
        <f t="shared" si="67"/>
        <v>1</v>
      </c>
      <c r="K148" s="718">
        <v>0.99</v>
      </c>
      <c r="L148" s="316" t="s">
        <v>514</v>
      </c>
      <c r="M148" s="316" t="s">
        <v>666</v>
      </c>
      <c r="N148" s="718">
        <v>0</v>
      </c>
      <c r="O148" s="316" t="s">
        <v>669</v>
      </c>
      <c r="P148" s="316" t="s">
        <v>670</v>
      </c>
      <c r="Q148" s="718">
        <v>0.01</v>
      </c>
      <c r="R148" s="728">
        <f t="shared" si="68"/>
        <v>1</v>
      </c>
      <c r="S148" s="718">
        <v>0.99</v>
      </c>
      <c r="T148" s="316" t="s">
        <v>514</v>
      </c>
      <c r="U148" s="316" t="s">
        <v>666</v>
      </c>
      <c r="V148" s="718">
        <v>0</v>
      </c>
      <c r="W148" s="316" t="s">
        <v>669</v>
      </c>
      <c r="X148" s="316" t="s">
        <v>670</v>
      </c>
      <c r="Y148" s="718">
        <v>0.01</v>
      </c>
      <c r="Z148" s="728">
        <f t="shared" si="99"/>
        <v>1</v>
      </c>
      <c r="AA148" s="718">
        <v>0.99</v>
      </c>
      <c r="AB148" s="316" t="s">
        <v>514</v>
      </c>
      <c r="AC148" s="316" t="s">
        <v>666</v>
      </c>
      <c r="AD148" s="718">
        <v>0</v>
      </c>
      <c r="AE148" s="316" t="s">
        <v>669</v>
      </c>
      <c r="AF148" s="316" t="s">
        <v>670</v>
      </c>
      <c r="AG148" s="718">
        <v>0.01</v>
      </c>
      <c r="AH148" s="728">
        <f t="shared" ref="AH148:AH149" si="172">+AA148+AD148+AG148</f>
        <v>1</v>
      </c>
      <c r="AI148" s="718">
        <v>0.99</v>
      </c>
      <c r="AJ148" s="316" t="s">
        <v>514</v>
      </c>
      <c r="AK148" s="316" t="s">
        <v>666</v>
      </c>
      <c r="AL148" s="718">
        <v>0</v>
      </c>
      <c r="AM148" s="316" t="s">
        <v>669</v>
      </c>
      <c r="AN148" s="316" t="s">
        <v>670</v>
      </c>
      <c r="AO148" s="718">
        <v>0.01</v>
      </c>
      <c r="AP148" s="728">
        <f t="shared" ref="AP148:AP149" si="173">+AI148+AL148+AO148</f>
        <v>1</v>
      </c>
      <c r="AQ148" s="718">
        <v>0.99</v>
      </c>
      <c r="AR148" s="316" t="s">
        <v>514</v>
      </c>
      <c r="AS148" s="316" t="s">
        <v>666</v>
      </c>
      <c r="AT148" s="718">
        <v>0</v>
      </c>
      <c r="AU148" s="316" t="s">
        <v>669</v>
      </c>
      <c r="AV148" s="316" t="s">
        <v>670</v>
      </c>
      <c r="AW148" s="718">
        <v>0.01</v>
      </c>
      <c r="AX148" s="463">
        <f t="shared" ref="AX148:AX149" si="174">+AQ148+AT148+AW148</f>
        <v>1</v>
      </c>
      <c r="AY148" s="661">
        <v>0.99</v>
      </c>
      <c r="AZ148" s="316" t="s">
        <v>514</v>
      </c>
      <c r="BA148" s="316" t="s">
        <v>666</v>
      </c>
      <c r="BB148" s="463">
        <v>0</v>
      </c>
      <c r="BC148" s="316" t="s">
        <v>669</v>
      </c>
      <c r="BD148" s="316" t="s">
        <v>670</v>
      </c>
      <c r="BE148" s="463">
        <v>0.01</v>
      </c>
      <c r="BF148" s="728">
        <f t="shared" ref="BF148:BF149" si="175">+AY148+BB148+BE148</f>
        <v>1</v>
      </c>
      <c r="BG148" s="463"/>
      <c r="BH148" s="463">
        <v>0.99</v>
      </c>
      <c r="BI148" s="316" t="s">
        <v>514</v>
      </c>
      <c r="BJ148" s="316" t="s">
        <v>666</v>
      </c>
      <c r="BK148" s="463">
        <v>0</v>
      </c>
      <c r="BL148" s="316" t="s">
        <v>669</v>
      </c>
      <c r="BM148" s="316" t="s">
        <v>670</v>
      </c>
      <c r="BN148" s="463">
        <v>0.01</v>
      </c>
      <c r="BO148" s="728">
        <f t="shared" ref="BO148:BO149" si="176">+BH148+BK148+BN148</f>
        <v>1</v>
      </c>
      <c r="BP148" s="463">
        <v>0.49</v>
      </c>
      <c r="BQ148" s="316" t="s">
        <v>514</v>
      </c>
      <c r="BR148" s="316" t="s">
        <v>666</v>
      </c>
      <c r="BS148" s="463">
        <v>0</v>
      </c>
      <c r="BT148" s="316" t="s">
        <v>669</v>
      </c>
      <c r="BU148" s="316" t="s">
        <v>670</v>
      </c>
      <c r="BV148" s="463">
        <v>0.01</v>
      </c>
      <c r="BW148" s="463">
        <f t="shared" ref="BW148:BW149" si="177">+BP148+BS148+BV148</f>
        <v>0.5</v>
      </c>
      <c r="BX148" s="444" t="s">
        <v>874</v>
      </c>
      <c r="BY148" s="444"/>
      <c r="BZ148" s="444"/>
      <c r="CA148" s="436" t="s">
        <v>874</v>
      </c>
      <c r="CB148" s="723">
        <v>0.66100000000000003</v>
      </c>
      <c r="CC148" s="668" t="s">
        <v>950</v>
      </c>
      <c r="CD148" s="316" t="s">
        <v>514</v>
      </c>
      <c r="CE148" s="316" t="s">
        <v>666</v>
      </c>
      <c r="CF148" s="718">
        <v>0</v>
      </c>
      <c r="CG148" s="316" t="s">
        <v>669</v>
      </c>
      <c r="CH148" s="316" t="s">
        <v>670</v>
      </c>
      <c r="CI148" s="718">
        <v>0.01</v>
      </c>
    </row>
    <row r="149" spans="1:87" ht="15.75" customHeight="1" x14ac:dyDescent="0.2">
      <c r="A149" s="747" t="s">
        <v>178</v>
      </c>
      <c r="B149" s="469" t="s">
        <v>521</v>
      </c>
      <c r="C149" s="718">
        <v>0.49</v>
      </c>
      <c r="D149" s="469" t="s">
        <v>514</v>
      </c>
      <c r="E149" s="469" t="s">
        <v>515</v>
      </c>
      <c r="F149" s="718">
        <v>0</v>
      </c>
      <c r="G149" s="469" t="s">
        <v>522</v>
      </c>
      <c r="H149" s="469" t="s">
        <v>523</v>
      </c>
      <c r="I149" s="718">
        <v>0.01</v>
      </c>
      <c r="J149" s="748">
        <f t="shared" si="67"/>
        <v>0.5</v>
      </c>
      <c r="K149" s="718">
        <v>0.49</v>
      </c>
      <c r="L149" s="316" t="s">
        <v>514</v>
      </c>
      <c r="M149" s="316" t="s">
        <v>515</v>
      </c>
      <c r="N149" s="718">
        <v>0</v>
      </c>
      <c r="O149" s="316" t="s">
        <v>522</v>
      </c>
      <c r="P149" s="316" t="s">
        <v>523</v>
      </c>
      <c r="Q149" s="718">
        <v>0.01</v>
      </c>
      <c r="R149" s="728">
        <f t="shared" si="68"/>
        <v>0.5</v>
      </c>
      <c r="S149" s="718">
        <v>0.49</v>
      </c>
      <c r="T149" s="316" t="s">
        <v>514</v>
      </c>
      <c r="U149" s="316" t="s">
        <v>515</v>
      </c>
      <c r="V149" s="718">
        <v>0</v>
      </c>
      <c r="W149" s="316" t="s">
        <v>522</v>
      </c>
      <c r="X149" s="316" t="s">
        <v>523</v>
      </c>
      <c r="Y149" s="718">
        <v>0.01</v>
      </c>
      <c r="Z149" s="728">
        <f t="shared" si="99"/>
        <v>0.5</v>
      </c>
      <c r="AA149" s="718">
        <v>0.49</v>
      </c>
      <c r="AB149" s="316" t="s">
        <v>514</v>
      </c>
      <c r="AC149" s="316" t="s">
        <v>515</v>
      </c>
      <c r="AD149" s="718">
        <v>0</v>
      </c>
      <c r="AE149" s="316" t="s">
        <v>522</v>
      </c>
      <c r="AF149" s="316" t="s">
        <v>523</v>
      </c>
      <c r="AG149" s="718">
        <v>0.01</v>
      </c>
      <c r="AH149" s="728">
        <f t="shared" si="172"/>
        <v>0.5</v>
      </c>
      <c r="AI149" s="718">
        <v>0.49</v>
      </c>
      <c r="AJ149" s="316" t="s">
        <v>514</v>
      </c>
      <c r="AK149" s="316" t="s">
        <v>515</v>
      </c>
      <c r="AL149" s="718">
        <v>0</v>
      </c>
      <c r="AM149" s="316" t="s">
        <v>522</v>
      </c>
      <c r="AN149" s="316" t="s">
        <v>523</v>
      </c>
      <c r="AO149" s="718">
        <v>0.01</v>
      </c>
      <c r="AP149" s="728">
        <f t="shared" si="173"/>
        <v>0.5</v>
      </c>
      <c r="AQ149" s="718">
        <v>0.49</v>
      </c>
      <c r="AR149" s="316" t="s">
        <v>514</v>
      </c>
      <c r="AS149" s="316" t="s">
        <v>515</v>
      </c>
      <c r="AT149" s="718">
        <v>0</v>
      </c>
      <c r="AU149" s="316" t="s">
        <v>522</v>
      </c>
      <c r="AV149" s="316" t="s">
        <v>523</v>
      </c>
      <c r="AW149" s="718">
        <v>0.01</v>
      </c>
      <c r="AX149" s="463">
        <f t="shared" si="174"/>
        <v>0.5</v>
      </c>
      <c r="AY149" s="661">
        <v>0.49</v>
      </c>
      <c r="AZ149" s="316" t="s">
        <v>514</v>
      </c>
      <c r="BA149" s="316" t="s">
        <v>515</v>
      </c>
      <c r="BB149" s="463">
        <v>0</v>
      </c>
      <c r="BC149" s="316" t="s">
        <v>522</v>
      </c>
      <c r="BD149" s="316" t="s">
        <v>523</v>
      </c>
      <c r="BE149" s="463">
        <v>0.01</v>
      </c>
      <c r="BF149" s="728">
        <f t="shared" si="175"/>
        <v>0.5</v>
      </c>
      <c r="BG149" s="463"/>
      <c r="BH149" s="463">
        <v>0.49</v>
      </c>
      <c r="BI149" s="316" t="s">
        <v>514</v>
      </c>
      <c r="BJ149" s="316" t="s">
        <v>515</v>
      </c>
      <c r="BK149" s="463">
        <v>0</v>
      </c>
      <c r="BL149" s="316" t="s">
        <v>522</v>
      </c>
      <c r="BM149" s="316" t="s">
        <v>523</v>
      </c>
      <c r="BN149" s="463">
        <v>0.01</v>
      </c>
      <c r="BO149" s="728">
        <f t="shared" si="176"/>
        <v>0.5</v>
      </c>
      <c r="BP149" s="463">
        <v>0.49</v>
      </c>
      <c r="BQ149" s="316" t="s">
        <v>514</v>
      </c>
      <c r="BR149" s="316" t="s">
        <v>515</v>
      </c>
      <c r="BS149" s="463">
        <v>0</v>
      </c>
      <c r="BT149" s="316" t="s">
        <v>522</v>
      </c>
      <c r="BU149" s="316" t="s">
        <v>523</v>
      </c>
      <c r="BV149" s="463">
        <v>0.01</v>
      </c>
      <c r="BW149" s="463">
        <f t="shared" si="177"/>
        <v>0.5</v>
      </c>
      <c r="BX149" s="444" t="s">
        <v>874</v>
      </c>
      <c r="BY149" s="444"/>
      <c r="BZ149" s="444"/>
      <c r="CA149" s="436" t="s">
        <v>874</v>
      </c>
      <c r="CB149" s="723">
        <v>0.71599999999999997</v>
      </c>
      <c r="CC149" s="668" t="s">
        <v>950</v>
      </c>
      <c r="CD149" s="316" t="s">
        <v>514</v>
      </c>
      <c r="CE149" s="316" t="s">
        <v>515</v>
      </c>
      <c r="CF149" s="718">
        <v>0</v>
      </c>
      <c r="CG149" s="316" t="s">
        <v>522</v>
      </c>
      <c r="CH149" s="316" t="s">
        <v>523</v>
      </c>
      <c r="CI149" s="718">
        <v>0.01</v>
      </c>
    </row>
    <row r="150" spans="1:87" ht="15.75" customHeight="1" x14ac:dyDescent="0.2">
      <c r="A150" s="747" t="s">
        <v>180</v>
      </c>
      <c r="B150" s="469" t="s">
        <v>179</v>
      </c>
      <c r="C150" s="718">
        <v>0.4</v>
      </c>
      <c r="D150" s="469" t="s">
        <v>608</v>
      </c>
      <c r="E150" s="469" t="s">
        <v>609</v>
      </c>
      <c r="F150" s="718">
        <v>0.09</v>
      </c>
      <c r="G150" s="469" t="s">
        <v>606</v>
      </c>
      <c r="H150" s="469" t="s">
        <v>607</v>
      </c>
      <c r="I150" s="718">
        <v>0.01</v>
      </c>
      <c r="J150" s="748">
        <f t="shared" si="67"/>
        <v>0.5</v>
      </c>
      <c r="K150" s="718">
        <v>0.4</v>
      </c>
      <c r="L150" s="316" t="s">
        <v>608</v>
      </c>
      <c r="M150" s="316" t="s">
        <v>609</v>
      </c>
      <c r="N150" s="718">
        <v>0.09</v>
      </c>
      <c r="O150" s="316" t="s">
        <v>606</v>
      </c>
      <c r="P150" s="316" t="s">
        <v>607</v>
      </c>
      <c r="Q150" s="718">
        <v>0.01</v>
      </c>
      <c r="R150" s="728">
        <f t="shared" si="68"/>
        <v>0.5</v>
      </c>
      <c r="S150" s="718">
        <v>0.4</v>
      </c>
      <c r="T150" s="316" t="s">
        <v>608</v>
      </c>
      <c r="U150" s="316" t="s">
        <v>609</v>
      </c>
      <c r="V150" s="718">
        <v>0.09</v>
      </c>
      <c r="W150" s="316" t="s">
        <v>606</v>
      </c>
      <c r="X150" s="316" t="s">
        <v>607</v>
      </c>
      <c r="Y150" s="718">
        <v>0.01</v>
      </c>
      <c r="Z150" s="728">
        <f t="shared" si="99"/>
        <v>0.5</v>
      </c>
      <c r="AA150" s="718">
        <v>0.4</v>
      </c>
      <c r="AB150" s="316" t="s">
        <v>608</v>
      </c>
      <c r="AC150" s="316" t="s">
        <v>609</v>
      </c>
      <c r="AD150" s="718">
        <v>0.09</v>
      </c>
      <c r="AE150" s="316" t="s">
        <v>606</v>
      </c>
      <c r="AF150" s="316" t="s">
        <v>607</v>
      </c>
      <c r="AG150" s="718">
        <v>0.01</v>
      </c>
      <c r="AH150" s="728">
        <f t="shared" ref="AH150:AH151" si="178">+AA150+AD150+AG150</f>
        <v>0.5</v>
      </c>
      <c r="AI150" s="718">
        <v>0.4</v>
      </c>
      <c r="AJ150" s="316" t="s">
        <v>608</v>
      </c>
      <c r="AK150" s="316" t="s">
        <v>609</v>
      </c>
      <c r="AL150" s="718">
        <v>0.09</v>
      </c>
      <c r="AM150" s="316" t="s">
        <v>606</v>
      </c>
      <c r="AN150" s="316" t="s">
        <v>607</v>
      </c>
      <c r="AO150" s="718">
        <v>0.01</v>
      </c>
      <c r="AP150" s="728">
        <f t="shared" ref="AP150:AP151" si="179">+AI150+AL150+AO150</f>
        <v>0.5</v>
      </c>
      <c r="AQ150" s="718">
        <v>0.4</v>
      </c>
      <c r="AR150" s="316" t="s">
        <v>608</v>
      </c>
      <c r="AS150" s="316" t="s">
        <v>609</v>
      </c>
      <c r="AT150" s="718">
        <v>0.09</v>
      </c>
      <c r="AU150" s="316" t="s">
        <v>606</v>
      </c>
      <c r="AV150" s="316" t="s">
        <v>607</v>
      </c>
      <c r="AW150" s="718">
        <v>0.01</v>
      </c>
      <c r="AX150" s="463">
        <f t="shared" ref="AX150:AX151" si="180">+AQ150+AT150+AW150</f>
        <v>0.5</v>
      </c>
      <c r="AY150" s="661">
        <v>0.4</v>
      </c>
      <c r="AZ150" s="316" t="s">
        <v>608</v>
      </c>
      <c r="BA150" s="316" t="s">
        <v>609</v>
      </c>
      <c r="BB150" s="463">
        <v>0.59</v>
      </c>
      <c r="BC150" s="316" t="s">
        <v>606</v>
      </c>
      <c r="BD150" s="316" t="s">
        <v>607</v>
      </c>
      <c r="BE150" s="463">
        <v>0.01</v>
      </c>
      <c r="BF150" s="728">
        <f t="shared" ref="BF150:BF151" si="181">+AY150+BB150+BE150</f>
        <v>1</v>
      </c>
      <c r="BG150" s="463"/>
      <c r="BH150" s="463">
        <v>0.4</v>
      </c>
      <c r="BI150" s="316" t="s">
        <v>608</v>
      </c>
      <c r="BJ150" s="316" t="s">
        <v>609</v>
      </c>
      <c r="BK150" s="463">
        <v>0.09</v>
      </c>
      <c r="BL150" s="316" t="s">
        <v>606</v>
      </c>
      <c r="BM150" s="316" t="s">
        <v>607</v>
      </c>
      <c r="BN150" s="463">
        <v>0.01</v>
      </c>
      <c r="BO150" s="728">
        <f t="shared" ref="BO150:BO151" si="182">+BH150+BK150+BN150</f>
        <v>0.5</v>
      </c>
      <c r="BP150" s="463">
        <v>0.4</v>
      </c>
      <c r="BQ150" s="316" t="s">
        <v>608</v>
      </c>
      <c r="BR150" s="316" t="s">
        <v>609</v>
      </c>
      <c r="BS150" s="463">
        <v>0.09</v>
      </c>
      <c r="BT150" s="316" t="s">
        <v>606</v>
      </c>
      <c r="BU150" s="316" t="s">
        <v>607</v>
      </c>
      <c r="BV150" s="463">
        <v>0.01</v>
      </c>
      <c r="BW150" s="463">
        <f t="shared" ref="BW150:BW151" si="183">+BP150+BS150+BV150</f>
        <v>0.5</v>
      </c>
      <c r="BX150" s="489" t="s">
        <v>874</v>
      </c>
      <c r="BY150" s="489"/>
      <c r="BZ150" s="489"/>
      <c r="CA150" s="434"/>
      <c r="CB150" s="723">
        <v>0.70499999999999996</v>
      </c>
      <c r="CC150" s="668" t="s">
        <v>950</v>
      </c>
      <c r="CD150" s="316" t="s">
        <v>608</v>
      </c>
      <c r="CE150" s="316" t="s">
        <v>609</v>
      </c>
      <c r="CF150" s="718">
        <v>0.59</v>
      </c>
      <c r="CG150" s="316" t="s">
        <v>606</v>
      </c>
      <c r="CH150" s="316" t="s">
        <v>607</v>
      </c>
      <c r="CI150" s="718">
        <v>0.01</v>
      </c>
    </row>
    <row r="151" spans="1:87" ht="15.75" customHeight="1" x14ac:dyDescent="0.2">
      <c r="A151" s="747" t="s">
        <v>182</v>
      </c>
      <c r="B151" s="469" t="s">
        <v>181</v>
      </c>
      <c r="C151" s="718">
        <v>0.4</v>
      </c>
      <c r="D151" s="469" t="s">
        <v>581</v>
      </c>
      <c r="E151" s="469" t="s">
        <v>582</v>
      </c>
      <c r="F151" s="718">
        <v>0.09</v>
      </c>
      <c r="G151" s="469" t="s">
        <v>578</v>
      </c>
      <c r="H151" s="469" t="s">
        <v>1244</v>
      </c>
      <c r="I151" s="718">
        <v>0.01</v>
      </c>
      <c r="J151" s="748">
        <f t="shared" si="67"/>
        <v>0.5</v>
      </c>
      <c r="K151" s="718">
        <v>0.4</v>
      </c>
      <c r="L151" s="316" t="s">
        <v>581</v>
      </c>
      <c r="M151" s="316" t="s">
        <v>582</v>
      </c>
      <c r="N151" s="718">
        <v>0.09</v>
      </c>
      <c r="O151" s="316" t="s">
        <v>578</v>
      </c>
      <c r="P151" s="316" t="s">
        <v>1244</v>
      </c>
      <c r="Q151" s="718">
        <v>0.01</v>
      </c>
      <c r="R151" s="728">
        <f t="shared" si="68"/>
        <v>0.5</v>
      </c>
      <c r="S151" s="718">
        <v>0.4</v>
      </c>
      <c r="T151" s="316" t="s">
        <v>581</v>
      </c>
      <c r="U151" s="316" t="s">
        <v>582</v>
      </c>
      <c r="V151" s="718">
        <v>0.09</v>
      </c>
      <c r="W151" s="316" t="s">
        <v>578</v>
      </c>
      <c r="X151" s="316" t="s">
        <v>1244</v>
      </c>
      <c r="Y151" s="718">
        <v>0.01</v>
      </c>
      <c r="Z151" s="728">
        <f t="shared" si="99"/>
        <v>0.5</v>
      </c>
      <c r="AA151" s="718">
        <v>0.4</v>
      </c>
      <c r="AB151" s="316" t="s">
        <v>581</v>
      </c>
      <c r="AC151" s="316" t="s">
        <v>582</v>
      </c>
      <c r="AD151" s="718">
        <v>0.09</v>
      </c>
      <c r="AE151" s="316" t="s">
        <v>578</v>
      </c>
      <c r="AF151" s="316" t="s">
        <v>1244</v>
      </c>
      <c r="AG151" s="718">
        <v>0.01</v>
      </c>
      <c r="AH151" s="728">
        <f t="shared" si="178"/>
        <v>0.5</v>
      </c>
      <c r="AI151" s="718">
        <v>0.4</v>
      </c>
      <c r="AJ151" s="316" t="s">
        <v>581</v>
      </c>
      <c r="AK151" s="316" t="s">
        <v>582</v>
      </c>
      <c r="AL151" s="718">
        <v>0.09</v>
      </c>
      <c r="AM151" s="316" t="s">
        <v>578</v>
      </c>
      <c r="AN151" s="316" t="s">
        <v>1244</v>
      </c>
      <c r="AO151" s="718">
        <v>0.01</v>
      </c>
      <c r="AP151" s="728">
        <f t="shared" si="179"/>
        <v>0.5</v>
      </c>
      <c r="AQ151" s="718">
        <v>0.4</v>
      </c>
      <c r="AR151" s="316" t="s">
        <v>581</v>
      </c>
      <c r="AS151" s="316" t="s">
        <v>582</v>
      </c>
      <c r="AT151" s="718">
        <v>0.09</v>
      </c>
      <c r="AU151" s="316" t="s">
        <v>578</v>
      </c>
      <c r="AV151" s="316" t="s">
        <v>1244</v>
      </c>
      <c r="AW151" s="718">
        <v>0.01</v>
      </c>
      <c r="AX151" s="463">
        <f t="shared" si="180"/>
        <v>0.5</v>
      </c>
      <c r="AY151" s="661">
        <v>0.4</v>
      </c>
      <c r="AZ151" s="316" t="s">
        <v>581</v>
      </c>
      <c r="BA151" s="316" t="s">
        <v>582</v>
      </c>
      <c r="BB151" s="463">
        <v>0.09</v>
      </c>
      <c r="BC151" s="316" t="s">
        <v>578</v>
      </c>
      <c r="BD151" s="316" t="s">
        <v>579</v>
      </c>
      <c r="BE151" s="463">
        <v>0.01</v>
      </c>
      <c r="BF151" s="728">
        <f t="shared" si="181"/>
        <v>0.5</v>
      </c>
      <c r="BG151" s="463"/>
      <c r="BH151" s="463">
        <v>0.4</v>
      </c>
      <c r="BI151" s="316" t="s">
        <v>581</v>
      </c>
      <c r="BJ151" s="316" t="s">
        <v>582</v>
      </c>
      <c r="BK151" s="463">
        <v>0.09</v>
      </c>
      <c r="BL151" s="316" t="s">
        <v>578</v>
      </c>
      <c r="BM151" s="316" t="s">
        <v>579</v>
      </c>
      <c r="BN151" s="463">
        <v>0.01</v>
      </c>
      <c r="BO151" s="728">
        <f t="shared" si="182"/>
        <v>0.5</v>
      </c>
      <c r="BP151" s="463">
        <v>0.4</v>
      </c>
      <c r="BQ151" s="316" t="s">
        <v>581</v>
      </c>
      <c r="BR151" s="316" t="s">
        <v>582</v>
      </c>
      <c r="BS151" s="463">
        <v>0.09</v>
      </c>
      <c r="BT151" s="316" t="s">
        <v>578</v>
      </c>
      <c r="BU151" s="316" t="s">
        <v>579</v>
      </c>
      <c r="BV151" s="463">
        <v>0.01</v>
      </c>
      <c r="BW151" s="463">
        <f t="shared" si="183"/>
        <v>0.5</v>
      </c>
      <c r="BX151" s="444"/>
      <c r="BY151" s="444"/>
      <c r="BZ151" s="444"/>
      <c r="CA151" s="434"/>
      <c r="CB151" s="723">
        <v>0.68600000000000005</v>
      </c>
      <c r="CC151" s="668" t="s">
        <v>950</v>
      </c>
      <c r="CD151" s="316" t="s">
        <v>581</v>
      </c>
      <c r="CE151" s="316" t="s">
        <v>582</v>
      </c>
      <c r="CF151" s="718">
        <v>0.59</v>
      </c>
      <c r="CG151" s="316" t="s">
        <v>578</v>
      </c>
      <c r="CH151" s="316" t="s">
        <v>579</v>
      </c>
      <c r="CI151" s="718">
        <v>0.01</v>
      </c>
    </row>
    <row r="152" spans="1:87" ht="15" x14ac:dyDescent="0.2">
      <c r="A152" s="747" t="s">
        <v>184</v>
      </c>
      <c r="B152" s="469" t="s">
        <v>183</v>
      </c>
      <c r="C152" s="718">
        <v>0.4</v>
      </c>
      <c r="D152" s="469" t="s">
        <v>594</v>
      </c>
      <c r="E152" s="469" t="s">
        <v>595</v>
      </c>
      <c r="F152" s="718">
        <v>0.09</v>
      </c>
      <c r="G152" s="469" t="s">
        <v>592</v>
      </c>
      <c r="H152" s="469" t="s">
        <v>593</v>
      </c>
      <c r="I152" s="718">
        <v>0.01</v>
      </c>
      <c r="J152" s="748">
        <f t="shared" si="67"/>
        <v>0.5</v>
      </c>
      <c r="K152" s="718">
        <v>0.4</v>
      </c>
      <c r="L152" s="316" t="s">
        <v>594</v>
      </c>
      <c r="M152" s="316" t="s">
        <v>595</v>
      </c>
      <c r="N152" s="718">
        <v>0.09</v>
      </c>
      <c r="O152" s="316" t="s">
        <v>592</v>
      </c>
      <c r="P152" s="316" t="s">
        <v>593</v>
      </c>
      <c r="Q152" s="718">
        <v>0.01</v>
      </c>
      <c r="R152" s="728">
        <f t="shared" si="68"/>
        <v>0.5</v>
      </c>
      <c r="S152" s="718">
        <v>0.4</v>
      </c>
      <c r="T152" s="316" t="s">
        <v>594</v>
      </c>
      <c r="U152" s="316" t="s">
        <v>595</v>
      </c>
      <c r="V152" s="718">
        <v>0.09</v>
      </c>
      <c r="W152" s="316" t="s">
        <v>592</v>
      </c>
      <c r="X152" s="316" t="s">
        <v>593</v>
      </c>
      <c r="Y152" s="718">
        <v>0.01</v>
      </c>
      <c r="Z152" s="728">
        <f t="shared" si="99"/>
        <v>0.5</v>
      </c>
      <c r="AA152" s="718">
        <v>0.4</v>
      </c>
      <c r="AB152" s="316" t="s">
        <v>594</v>
      </c>
      <c r="AC152" s="316" t="s">
        <v>595</v>
      </c>
      <c r="AD152" s="718">
        <v>0.09</v>
      </c>
      <c r="AE152" s="316" t="s">
        <v>592</v>
      </c>
      <c r="AF152" s="316" t="s">
        <v>593</v>
      </c>
      <c r="AG152" s="718">
        <v>0.01</v>
      </c>
      <c r="AH152" s="728">
        <f t="shared" ref="AH152:AH153" si="184">+AA152+AD152+AG152</f>
        <v>0.5</v>
      </c>
      <c r="AI152" s="718">
        <v>0.4</v>
      </c>
      <c r="AJ152" s="316" t="s">
        <v>594</v>
      </c>
      <c r="AK152" s="316" t="s">
        <v>595</v>
      </c>
      <c r="AL152" s="718">
        <v>0.09</v>
      </c>
      <c r="AM152" s="316" t="s">
        <v>592</v>
      </c>
      <c r="AN152" s="316" t="s">
        <v>593</v>
      </c>
      <c r="AO152" s="718">
        <v>0.01</v>
      </c>
      <c r="AP152" s="728">
        <f t="shared" ref="AP152:AP153" si="185">+AI152+AL152+AO152</f>
        <v>0.5</v>
      </c>
      <c r="AQ152" s="718">
        <v>0</v>
      </c>
      <c r="AR152" s="316" t="s">
        <v>594</v>
      </c>
      <c r="AS152" s="316" t="s">
        <v>595</v>
      </c>
      <c r="AT152" s="718">
        <v>0.74</v>
      </c>
      <c r="AU152" s="316" t="s">
        <v>592</v>
      </c>
      <c r="AV152" s="316" t="s">
        <v>593</v>
      </c>
      <c r="AW152" s="718">
        <v>0.01</v>
      </c>
      <c r="AX152" s="463">
        <f t="shared" ref="AX152:AX153" si="186">+AQ152+AT152+AW152</f>
        <v>0.75</v>
      </c>
      <c r="AY152" s="661">
        <v>0.4</v>
      </c>
      <c r="AZ152" s="316" t="s">
        <v>594</v>
      </c>
      <c r="BA152" s="316" t="s">
        <v>595</v>
      </c>
      <c r="BB152" s="463">
        <v>0.09</v>
      </c>
      <c r="BC152" s="316" t="s">
        <v>592</v>
      </c>
      <c r="BD152" s="316" t="s">
        <v>593</v>
      </c>
      <c r="BE152" s="463">
        <v>0.01</v>
      </c>
      <c r="BF152" s="728">
        <f t="shared" ref="BF152:BF153" si="187">+AY152+BB152+BE152</f>
        <v>0.5</v>
      </c>
      <c r="BG152" s="463"/>
      <c r="BH152" s="463">
        <v>0.4</v>
      </c>
      <c r="BI152" s="316" t="s">
        <v>594</v>
      </c>
      <c r="BJ152" s="316" t="s">
        <v>595</v>
      </c>
      <c r="BK152" s="463">
        <v>0.09</v>
      </c>
      <c r="BL152" s="316" t="s">
        <v>592</v>
      </c>
      <c r="BM152" s="316" t="s">
        <v>593</v>
      </c>
      <c r="BN152" s="463">
        <v>0.01</v>
      </c>
      <c r="BO152" s="728">
        <f t="shared" ref="BO152:BO153" si="188">+BH152+BK152+BN152</f>
        <v>0.5</v>
      </c>
      <c r="BP152" s="463">
        <v>0.4</v>
      </c>
      <c r="BQ152" s="316" t="s">
        <v>594</v>
      </c>
      <c r="BR152" s="316" t="s">
        <v>595</v>
      </c>
      <c r="BS152" s="463">
        <v>0.09</v>
      </c>
      <c r="BT152" s="316" t="s">
        <v>592</v>
      </c>
      <c r="BU152" s="316" t="s">
        <v>593</v>
      </c>
      <c r="BV152" s="463">
        <v>0.01</v>
      </c>
      <c r="BW152" s="463">
        <f t="shared" ref="BW152:BW153" si="189">+BP152+BS152+BV152</f>
        <v>0.5</v>
      </c>
      <c r="BX152" s="444"/>
      <c r="BY152" s="444"/>
      <c r="BZ152" s="444"/>
      <c r="CA152" s="434"/>
      <c r="CB152" s="723">
        <v>0.65800000000000003</v>
      </c>
      <c r="CC152" s="668" t="s">
        <v>950</v>
      </c>
      <c r="CD152" s="316" t="s">
        <v>594</v>
      </c>
      <c r="CE152" s="316" t="s">
        <v>595</v>
      </c>
      <c r="CF152" s="718">
        <v>0.59</v>
      </c>
      <c r="CG152" s="316" t="s">
        <v>592</v>
      </c>
      <c r="CH152" s="316" t="s">
        <v>593</v>
      </c>
      <c r="CI152" s="718">
        <v>0.01</v>
      </c>
    </row>
    <row r="153" spans="1:87" ht="15.75" customHeight="1" x14ac:dyDescent="0.2">
      <c r="A153" s="747" t="s">
        <v>186</v>
      </c>
      <c r="B153" s="469" t="s">
        <v>185</v>
      </c>
      <c r="C153" s="718">
        <v>0.99</v>
      </c>
      <c r="D153" s="469" t="s">
        <v>514</v>
      </c>
      <c r="E153" s="469" t="s">
        <v>666</v>
      </c>
      <c r="F153" s="718">
        <v>0</v>
      </c>
      <c r="G153" s="469" t="s">
        <v>1328</v>
      </c>
      <c r="H153" s="469" t="s">
        <v>1243</v>
      </c>
      <c r="I153" s="718">
        <v>0.01</v>
      </c>
      <c r="J153" s="748">
        <f t="shared" si="67"/>
        <v>1</v>
      </c>
      <c r="K153" s="718">
        <v>0.99</v>
      </c>
      <c r="L153" s="316" t="s">
        <v>514</v>
      </c>
      <c r="M153" s="316" t="s">
        <v>666</v>
      </c>
      <c r="N153" s="718">
        <v>0</v>
      </c>
      <c r="O153" s="316" t="s">
        <v>1328</v>
      </c>
      <c r="P153" s="316" t="s">
        <v>1243</v>
      </c>
      <c r="Q153" s="718">
        <v>0.01</v>
      </c>
      <c r="R153" s="728">
        <f t="shared" si="68"/>
        <v>1</v>
      </c>
      <c r="S153" s="718">
        <v>0.99</v>
      </c>
      <c r="T153" s="316" t="s">
        <v>514</v>
      </c>
      <c r="U153" s="316" t="s">
        <v>666</v>
      </c>
      <c r="V153" s="718">
        <v>0</v>
      </c>
      <c r="W153" s="316" t="s">
        <v>1328</v>
      </c>
      <c r="X153" s="316" t="s">
        <v>1243</v>
      </c>
      <c r="Y153" s="718">
        <v>0.01</v>
      </c>
      <c r="Z153" s="728">
        <f t="shared" si="99"/>
        <v>1</v>
      </c>
      <c r="AA153" s="718">
        <v>0.99</v>
      </c>
      <c r="AB153" s="316" t="s">
        <v>514</v>
      </c>
      <c r="AC153" s="316" t="s">
        <v>666</v>
      </c>
      <c r="AD153" s="718">
        <v>0</v>
      </c>
      <c r="AE153" s="316" t="s">
        <v>1328</v>
      </c>
      <c r="AF153" s="316" t="s">
        <v>1243</v>
      </c>
      <c r="AG153" s="718">
        <v>0.01</v>
      </c>
      <c r="AH153" s="728">
        <f t="shared" si="184"/>
        <v>1</v>
      </c>
      <c r="AI153" s="718">
        <v>0.99</v>
      </c>
      <c r="AJ153" s="316" t="s">
        <v>514</v>
      </c>
      <c r="AK153" s="316" t="s">
        <v>666</v>
      </c>
      <c r="AL153" s="718">
        <v>0</v>
      </c>
      <c r="AM153" s="316" t="s">
        <v>1328</v>
      </c>
      <c r="AN153" s="316" t="s">
        <v>1243</v>
      </c>
      <c r="AO153" s="718">
        <v>0.01</v>
      </c>
      <c r="AP153" s="728">
        <f t="shared" si="185"/>
        <v>1</v>
      </c>
      <c r="AQ153" s="718">
        <v>0.99</v>
      </c>
      <c r="AR153" s="316" t="s">
        <v>514</v>
      </c>
      <c r="AS153" s="316" t="s">
        <v>666</v>
      </c>
      <c r="AT153" s="718">
        <v>0</v>
      </c>
      <c r="AU153" s="316" t="s">
        <v>667</v>
      </c>
      <c r="AV153" s="316" t="s">
        <v>1243</v>
      </c>
      <c r="AW153" s="718">
        <v>0.01</v>
      </c>
      <c r="AX153" s="463">
        <f t="shared" si="186"/>
        <v>1</v>
      </c>
      <c r="AY153" s="661">
        <v>0.99</v>
      </c>
      <c r="AZ153" s="316" t="s">
        <v>514</v>
      </c>
      <c r="BA153" s="316" t="s">
        <v>666</v>
      </c>
      <c r="BB153" s="463">
        <v>0</v>
      </c>
      <c r="BC153" s="316" t="s">
        <v>667</v>
      </c>
      <c r="BD153" s="316" t="s">
        <v>668</v>
      </c>
      <c r="BE153" s="463">
        <v>0.01</v>
      </c>
      <c r="BF153" s="728">
        <f t="shared" si="187"/>
        <v>1</v>
      </c>
      <c r="BG153" s="463"/>
      <c r="BH153" s="463">
        <v>0.99</v>
      </c>
      <c r="BI153" s="316" t="s">
        <v>514</v>
      </c>
      <c r="BJ153" s="316" t="s">
        <v>666</v>
      </c>
      <c r="BK153" s="463">
        <v>0</v>
      </c>
      <c r="BL153" s="316" t="s">
        <v>667</v>
      </c>
      <c r="BM153" s="316" t="s">
        <v>668</v>
      </c>
      <c r="BN153" s="463">
        <v>0.01</v>
      </c>
      <c r="BO153" s="728">
        <f t="shared" si="188"/>
        <v>1</v>
      </c>
      <c r="BP153" s="463">
        <v>0.49</v>
      </c>
      <c r="BQ153" s="316" t="s">
        <v>514</v>
      </c>
      <c r="BR153" s="316" t="s">
        <v>666</v>
      </c>
      <c r="BS153" s="463">
        <v>0</v>
      </c>
      <c r="BT153" s="316" t="s">
        <v>667</v>
      </c>
      <c r="BU153" s="316" t="s">
        <v>668</v>
      </c>
      <c r="BV153" s="463">
        <v>0.01</v>
      </c>
      <c r="BW153" s="463">
        <f t="shared" si="189"/>
        <v>0.5</v>
      </c>
      <c r="BX153" s="444" t="s">
        <v>874</v>
      </c>
      <c r="BY153" s="444"/>
      <c r="BZ153" s="444" t="s">
        <v>874</v>
      </c>
      <c r="CA153" s="436" t="s">
        <v>874</v>
      </c>
      <c r="CB153" s="723">
        <v>0.67900000000000005</v>
      </c>
      <c r="CC153" s="668" t="s">
        <v>950</v>
      </c>
      <c r="CD153" s="316" t="s">
        <v>514</v>
      </c>
      <c r="CE153" s="316" t="s">
        <v>666</v>
      </c>
      <c r="CF153" s="718">
        <v>0</v>
      </c>
      <c r="CG153" s="316" t="s">
        <v>667</v>
      </c>
      <c r="CH153" s="316" t="s">
        <v>668</v>
      </c>
      <c r="CI153" s="718">
        <v>0.01</v>
      </c>
    </row>
    <row r="154" spans="1:87" ht="15.75" customHeight="1" x14ac:dyDescent="0.2">
      <c r="A154" s="747" t="s">
        <v>188</v>
      </c>
      <c r="B154" s="469" t="s">
        <v>187</v>
      </c>
      <c r="C154" s="718">
        <v>0.4</v>
      </c>
      <c r="D154" s="469" t="s">
        <v>639</v>
      </c>
      <c r="E154" s="469" t="s">
        <v>640</v>
      </c>
      <c r="F154" s="718">
        <v>0.09</v>
      </c>
      <c r="G154" s="469" t="s">
        <v>637</v>
      </c>
      <c r="H154" s="469" t="s">
        <v>638</v>
      </c>
      <c r="I154" s="718">
        <v>0.01</v>
      </c>
      <c r="J154" s="748">
        <f t="shared" si="67"/>
        <v>0.5</v>
      </c>
      <c r="K154" s="718">
        <v>0.4</v>
      </c>
      <c r="L154" s="316" t="s">
        <v>639</v>
      </c>
      <c r="M154" s="316" t="s">
        <v>640</v>
      </c>
      <c r="N154" s="718">
        <v>0.09</v>
      </c>
      <c r="O154" s="316" t="s">
        <v>637</v>
      </c>
      <c r="P154" s="316" t="s">
        <v>638</v>
      </c>
      <c r="Q154" s="718">
        <v>0.01</v>
      </c>
      <c r="R154" s="728">
        <f t="shared" si="68"/>
        <v>0.5</v>
      </c>
      <c r="S154" s="718">
        <v>0.4</v>
      </c>
      <c r="T154" s="316" t="s">
        <v>639</v>
      </c>
      <c r="U154" s="316" t="s">
        <v>640</v>
      </c>
      <c r="V154" s="718">
        <v>0.09</v>
      </c>
      <c r="W154" s="316" t="s">
        <v>637</v>
      </c>
      <c r="X154" s="316" t="s">
        <v>638</v>
      </c>
      <c r="Y154" s="718">
        <v>0.01</v>
      </c>
      <c r="Z154" s="728">
        <f t="shared" si="99"/>
        <v>0.5</v>
      </c>
      <c r="AA154" s="718">
        <v>0.4</v>
      </c>
      <c r="AB154" s="316" t="s">
        <v>639</v>
      </c>
      <c r="AC154" s="316" t="s">
        <v>640</v>
      </c>
      <c r="AD154" s="718">
        <v>0.09</v>
      </c>
      <c r="AE154" s="316" t="s">
        <v>637</v>
      </c>
      <c r="AF154" s="316" t="s">
        <v>638</v>
      </c>
      <c r="AG154" s="718">
        <v>0.01</v>
      </c>
      <c r="AH154" s="728">
        <f t="shared" ref="AH154:AH155" si="190">+AA154+AD154+AG154</f>
        <v>0.5</v>
      </c>
      <c r="AI154" s="718">
        <v>0.4</v>
      </c>
      <c r="AJ154" s="316" t="s">
        <v>639</v>
      </c>
      <c r="AK154" s="316" t="s">
        <v>640</v>
      </c>
      <c r="AL154" s="718">
        <v>0.09</v>
      </c>
      <c r="AM154" s="316" t="s">
        <v>637</v>
      </c>
      <c r="AN154" s="316" t="s">
        <v>638</v>
      </c>
      <c r="AO154" s="718">
        <v>0.01</v>
      </c>
      <c r="AP154" s="728">
        <f t="shared" ref="AP154:AP155" si="191">+AI154+AL154+AO154</f>
        <v>0.5</v>
      </c>
      <c r="AQ154" s="718">
        <v>0.4</v>
      </c>
      <c r="AR154" s="316" t="s">
        <v>639</v>
      </c>
      <c r="AS154" s="316" t="s">
        <v>640</v>
      </c>
      <c r="AT154" s="718">
        <v>0.09</v>
      </c>
      <c r="AU154" s="316" t="s">
        <v>637</v>
      </c>
      <c r="AV154" s="316" t="s">
        <v>638</v>
      </c>
      <c r="AW154" s="718">
        <v>0.01</v>
      </c>
      <c r="AX154" s="463">
        <f t="shared" ref="AX154:AX155" si="192">+AQ154+AT154+AW154</f>
        <v>0.5</v>
      </c>
      <c r="AY154" s="661">
        <v>0.4</v>
      </c>
      <c r="AZ154" s="316" t="s">
        <v>639</v>
      </c>
      <c r="BA154" s="316" t="s">
        <v>640</v>
      </c>
      <c r="BB154" s="463">
        <v>0.09</v>
      </c>
      <c r="BC154" s="316" t="s">
        <v>637</v>
      </c>
      <c r="BD154" s="316" t="s">
        <v>638</v>
      </c>
      <c r="BE154" s="463">
        <v>0.01</v>
      </c>
      <c r="BF154" s="728">
        <f t="shared" ref="BF154:BF155" si="193">+AY154+BB154+BE154</f>
        <v>0.5</v>
      </c>
      <c r="BG154" s="463"/>
      <c r="BH154" s="463">
        <v>0.4</v>
      </c>
      <c r="BI154" s="316" t="s">
        <v>639</v>
      </c>
      <c r="BJ154" s="316" t="s">
        <v>640</v>
      </c>
      <c r="BK154" s="463">
        <v>0.09</v>
      </c>
      <c r="BL154" s="316" t="s">
        <v>637</v>
      </c>
      <c r="BM154" s="316" t="s">
        <v>638</v>
      </c>
      <c r="BN154" s="463">
        <v>0.01</v>
      </c>
      <c r="BO154" s="728">
        <f t="shared" ref="BO154:BO155" si="194">+BH154+BK154+BN154</f>
        <v>0.5</v>
      </c>
      <c r="BP154" s="463">
        <v>0.4</v>
      </c>
      <c r="BQ154" s="316" t="s">
        <v>639</v>
      </c>
      <c r="BR154" s="316" t="s">
        <v>640</v>
      </c>
      <c r="BS154" s="463">
        <v>0.09</v>
      </c>
      <c r="BT154" s="316" t="s">
        <v>637</v>
      </c>
      <c r="BU154" s="316" t="s">
        <v>638</v>
      </c>
      <c r="BV154" s="463">
        <v>0.01</v>
      </c>
      <c r="BW154" s="463">
        <f t="shared" ref="BW154:BW155" si="195">+BP154+BS154+BV154</f>
        <v>0.5</v>
      </c>
      <c r="BX154" s="444"/>
      <c r="BY154" s="444"/>
      <c r="BZ154" s="444"/>
      <c r="CA154" s="434"/>
      <c r="CB154" s="723">
        <v>0.67400000000000004</v>
      </c>
      <c r="CC154" s="668" t="s">
        <v>950</v>
      </c>
      <c r="CD154" s="316" t="s">
        <v>639</v>
      </c>
      <c r="CE154" s="316" t="s">
        <v>640</v>
      </c>
      <c r="CF154" s="718">
        <v>0.59</v>
      </c>
      <c r="CG154" s="316" t="s">
        <v>637</v>
      </c>
      <c r="CH154" s="316" t="s">
        <v>638</v>
      </c>
      <c r="CI154" s="718">
        <v>0.01</v>
      </c>
    </row>
    <row r="155" spans="1:87" ht="15.75" customHeight="1" x14ac:dyDescent="0.2">
      <c r="A155" s="747" t="s">
        <v>190</v>
      </c>
      <c r="B155" s="469" t="s">
        <v>605</v>
      </c>
      <c r="C155" s="718">
        <v>0.49</v>
      </c>
      <c r="D155" s="469" t="s">
        <v>514</v>
      </c>
      <c r="E155" s="469" t="s">
        <v>515</v>
      </c>
      <c r="F155" s="718">
        <v>0</v>
      </c>
      <c r="G155" s="469" t="s">
        <v>606</v>
      </c>
      <c r="H155" s="469" t="s">
        <v>607</v>
      </c>
      <c r="I155" s="718">
        <v>0.01</v>
      </c>
      <c r="J155" s="748">
        <f t="shared" si="67"/>
        <v>0.5</v>
      </c>
      <c r="K155" s="718">
        <v>0.49</v>
      </c>
      <c r="L155" s="316" t="s">
        <v>514</v>
      </c>
      <c r="M155" s="316" t="s">
        <v>515</v>
      </c>
      <c r="N155" s="718">
        <v>0</v>
      </c>
      <c r="O155" s="316" t="s">
        <v>606</v>
      </c>
      <c r="P155" s="316" t="s">
        <v>607</v>
      </c>
      <c r="Q155" s="718">
        <v>0.01</v>
      </c>
      <c r="R155" s="728">
        <f t="shared" si="68"/>
        <v>0.5</v>
      </c>
      <c r="S155" s="718">
        <v>0.49</v>
      </c>
      <c r="T155" s="316" t="s">
        <v>514</v>
      </c>
      <c r="U155" s="316" t="s">
        <v>515</v>
      </c>
      <c r="V155" s="718">
        <v>0</v>
      </c>
      <c r="W155" s="316" t="s">
        <v>606</v>
      </c>
      <c r="X155" s="316" t="s">
        <v>607</v>
      </c>
      <c r="Y155" s="718">
        <v>0.01</v>
      </c>
      <c r="Z155" s="728">
        <f t="shared" si="99"/>
        <v>0.5</v>
      </c>
      <c r="AA155" s="718">
        <v>0.49</v>
      </c>
      <c r="AB155" s="316" t="s">
        <v>514</v>
      </c>
      <c r="AC155" s="316" t="s">
        <v>515</v>
      </c>
      <c r="AD155" s="718">
        <v>0</v>
      </c>
      <c r="AE155" s="316" t="s">
        <v>606</v>
      </c>
      <c r="AF155" s="316" t="s">
        <v>607</v>
      </c>
      <c r="AG155" s="718">
        <v>0.01</v>
      </c>
      <c r="AH155" s="728">
        <f t="shared" si="190"/>
        <v>0.5</v>
      </c>
      <c r="AI155" s="718">
        <v>0.49</v>
      </c>
      <c r="AJ155" s="316" t="s">
        <v>514</v>
      </c>
      <c r="AK155" s="316" t="s">
        <v>515</v>
      </c>
      <c r="AL155" s="718">
        <v>0</v>
      </c>
      <c r="AM155" s="316" t="s">
        <v>606</v>
      </c>
      <c r="AN155" s="316" t="s">
        <v>607</v>
      </c>
      <c r="AO155" s="718">
        <v>0.01</v>
      </c>
      <c r="AP155" s="728">
        <f t="shared" si="191"/>
        <v>0.5</v>
      </c>
      <c r="AQ155" s="718">
        <v>0.49</v>
      </c>
      <c r="AR155" s="316" t="s">
        <v>514</v>
      </c>
      <c r="AS155" s="316" t="s">
        <v>515</v>
      </c>
      <c r="AT155" s="718">
        <v>0</v>
      </c>
      <c r="AU155" s="316" t="s">
        <v>606</v>
      </c>
      <c r="AV155" s="316" t="s">
        <v>607</v>
      </c>
      <c r="AW155" s="718">
        <v>0.01</v>
      </c>
      <c r="AX155" s="463">
        <f t="shared" si="192"/>
        <v>0.5</v>
      </c>
      <c r="AY155" s="661">
        <v>0.99</v>
      </c>
      <c r="AZ155" s="316" t="s">
        <v>514</v>
      </c>
      <c r="BA155" s="316" t="s">
        <v>515</v>
      </c>
      <c r="BB155" s="463">
        <v>0</v>
      </c>
      <c r="BC155" s="316" t="s">
        <v>606</v>
      </c>
      <c r="BD155" s="316" t="s">
        <v>607</v>
      </c>
      <c r="BE155" s="463">
        <v>0.01</v>
      </c>
      <c r="BF155" s="728">
        <f t="shared" si="193"/>
        <v>1</v>
      </c>
      <c r="BG155" s="463"/>
      <c r="BH155" s="463">
        <v>0.49</v>
      </c>
      <c r="BI155" s="316" t="s">
        <v>514</v>
      </c>
      <c r="BJ155" s="316" t="s">
        <v>515</v>
      </c>
      <c r="BK155" s="463">
        <v>0</v>
      </c>
      <c r="BL155" s="316" t="s">
        <v>606</v>
      </c>
      <c r="BM155" s="316" t="s">
        <v>607</v>
      </c>
      <c r="BN155" s="463">
        <v>0.01</v>
      </c>
      <c r="BO155" s="728">
        <f t="shared" si="194"/>
        <v>0.5</v>
      </c>
      <c r="BP155" s="463">
        <v>0.49</v>
      </c>
      <c r="BQ155" s="316" t="s">
        <v>514</v>
      </c>
      <c r="BR155" s="316" t="s">
        <v>515</v>
      </c>
      <c r="BS155" s="463">
        <v>0</v>
      </c>
      <c r="BT155" s="316" t="s">
        <v>606</v>
      </c>
      <c r="BU155" s="316" t="s">
        <v>607</v>
      </c>
      <c r="BV155" s="463">
        <v>0.01</v>
      </c>
      <c r="BW155" s="463">
        <f t="shared" si="195"/>
        <v>0.5</v>
      </c>
      <c r="BX155" s="489" t="s">
        <v>874</v>
      </c>
      <c r="BY155" s="489"/>
      <c r="BZ155" s="489"/>
      <c r="CA155" s="436" t="s">
        <v>874</v>
      </c>
      <c r="CB155" s="723">
        <v>0.71099999999999997</v>
      </c>
      <c r="CC155" s="668" t="s">
        <v>950</v>
      </c>
      <c r="CD155" s="316" t="s">
        <v>514</v>
      </c>
      <c r="CE155" s="316" t="s">
        <v>515</v>
      </c>
      <c r="CF155" s="718">
        <v>0</v>
      </c>
      <c r="CG155" s="316" t="s">
        <v>606</v>
      </c>
      <c r="CH155" s="316" t="s">
        <v>607</v>
      </c>
      <c r="CI155" s="718">
        <v>0.01</v>
      </c>
    </row>
    <row r="156" spans="1:87" ht="15.75" customHeight="1" x14ac:dyDescent="0.2">
      <c r="A156" s="747" t="s">
        <v>192</v>
      </c>
      <c r="B156" s="469" t="s">
        <v>191</v>
      </c>
      <c r="C156" s="718">
        <v>0.4</v>
      </c>
      <c r="D156" s="469" t="s">
        <v>621</v>
      </c>
      <c r="E156" s="469" t="s">
        <v>622</v>
      </c>
      <c r="F156" s="718">
        <v>0.09</v>
      </c>
      <c r="G156" s="469" t="s">
        <v>618</v>
      </c>
      <c r="H156" s="469" t="s">
        <v>619</v>
      </c>
      <c r="I156" s="718">
        <v>0.01</v>
      </c>
      <c r="J156" s="748">
        <f t="shared" si="67"/>
        <v>0.5</v>
      </c>
      <c r="K156" s="718">
        <v>0.4</v>
      </c>
      <c r="L156" s="316" t="s">
        <v>621</v>
      </c>
      <c r="M156" s="316" t="s">
        <v>622</v>
      </c>
      <c r="N156" s="718">
        <v>0.09</v>
      </c>
      <c r="O156" s="316" t="s">
        <v>618</v>
      </c>
      <c r="P156" s="316" t="s">
        <v>619</v>
      </c>
      <c r="Q156" s="718">
        <v>0.01</v>
      </c>
      <c r="R156" s="728">
        <f t="shared" si="68"/>
        <v>0.5</v>
      </c>
      <c r="S156" s="718">
        <v>0.4</v>
      </c>
      <c r="T156" s="316" t="s">
        <v>621</v>
      </c>
      <c r="U156" s="316" t="s">
        <v>622</v>
      </c>
      <c r="V156" s="718">
        <v>0.09</v>
      </c>
      <c r="W156" s="316" t="s">
        <v>618</v>
      </c>
      <c r="X156" s="316" t="s">
        <v>619</v>
      </c>
      <c r="Y156" s="718">
        <v>0.01</v>
      </c>
      <c r="Z156" s="728">
        <f t="shared" si="99"/>
        <v>0.5</v>
      </c>
      <c r="AA156" s="718">
        <v>0.4</v>
      </c>
      <c r="AB156" s="316" t="s">
        <v>621</v>
      </c>
      <c r="AC156" s="316" t="s">
        <v>622</v>
      </c>
      <c r="AD156" s="718">
        <v>0.09</v>
      </c>
      <c r="AE156" s="316" t="s">
        <v>618</v>
      </c>
      <c r="AF156" s="316" t="s">
        <v>619</v>
      </c>
      <c r="AG156" s="718">
        <v>0.01</v>
      </c>
      <c r="AH156" s="728">
        <f t="shared" ref="AH156:AH157" si="196">+AA156+AD156+AG156</f>
        <v>0.5</v>
      </c>
      <c r="AI156" s="718">
        <v>0.4</v>
      </c>
      <c r="AJ156" s="316" t="s">
        <v>621</v>
      </c>
      <c r="AK156" s="316" t="s">
        <v>622</v>
      </c>
      <c r="AL156" s="718">
        <v>0.09</v>
      </c>
      <c r="AM156" s="316" t="s">
        <v>618</v>
      </c>
      <c r="AN156" s="316" t="s">
        <v>619</v>
      </c>
      <c r="AO156" s="718">
        <v>0.01</v>
      </c>
      <c r="AP156" s="728">
        <f t="shared" ref="AP156:AP157" si="197">+AI156+AL156+AO156</f>
        <v>0.5</v>
      </c>
      <c r="AQ156" s="718">
        <v>0.375</v>
      </c>
      <c r="AR156" s="316" t="s">
        <v>621</v>
      </c>
      <c r="AS156" s="316" t="s">
        <v>622</v>
      </c>
      <c r="AT156" s="718">
        <v>0.36499999999999999</v>
      </c>
      <c r="AU156" s="316" t="s">
        <v>618</v>
      </c>
      <c r="AV156" s="316" t="s">
        <v>619</v>
      </c>
      <c r="AW156" s="718">
        <v>0.01</v>
      </c>
      <c r="AX156" s="463">
        <f t="shared" ref="AX156:AX157" si="198">+AQ156+AT156+AW156</f>
        <v>0.75</v>
      </c>
      <c r="AY156" s="661">
        <v>0.4</v>
      </c>
      <c r="AZ156" s="316" t="s">
        <v>621</v>
      </c>
      <c r="BA156" s="316" t="s">
        <v>622</v>
      </c>
      <c r="BB156" s="463">
        <v>0.09</v>
      </c>
      <c r="BC156" s="316" t="s">
        <v>618</v>
      </c>
      <c r="BD156" s="316" t="s">
        <v>619</v>
      </c>
      <c r="BE156" s="463">
        <v>0.01</v>
      </c>
      <c r="BF156" s="728">
        <f t="shared" ref="BF156:BF157" si="199">+AY156+BB156+BE156</f>
        <v>0.5</v>
      </c>
      <c r="BG156" s="463"/>
      <c r="BH156" s="463">
        <v>0.4</v>
      </c>
      <c r="BI156" s="316" t="s">
        <v>621</v>
      </c>
      <c r="BJ156" s="316" t="s">
        <v>622</v>
      </c>
      <c r="BK156" s="463">
        <v>0.09</v>
      </c>
      <c r="BL156" s="316" t="s">
        <v>618</v>
      </c>
      <c r="BM156" s="316" t="s">
        <v>619</v>
      </c>
      <c r="BN156" s="463">
        <v>0.01</v>
      </c>
      <c r="BO156" s="728">
        <f t="shared" ref="BO156:BO157" si="200">+BH156+BK156+BN156</f>
        <v>0.5</v>
      </c>
      <c r="BP156" s="463">
        <v>0.4</v>
      </c>
      <c r="BQ156" s="316" t="s">
        <v>621</v>
      </c>
      <c r="BR156" s="316" t="s">
        <v>622</v>
      </c>
      <c r="BS156" s="463">
        <v>0.09</v>
      </c>
      <c r="BT156" s="316" t="s">
        <v>618</v>
      </c>
      <c r="BU156" s="316" t="s">
        <v>619</v>
      </c>
      <c r="BV156" s="463">
        <v>0.01</v>
      </c>
      <c r="BW156" s="463">
        <f t="shared" ref="BW156:BW157" si="201">+BP156+BS156+BV156</f>
        <v>0.5</v>
      </c>
      <c r="CA156" s="434"/>
      <c r="CB156" s="723">
        <v>0.69</v>
      </c>
      <c r="CC156" s="668" t="s">
        <v>950</v>
      </c>
      <c r="CD156" s="316" t="s">
        <v>621</v>
      </c>
      <c r="CE156" s="316" t="s">
        <v>622</v>
      </c>
      <c r="CF156" s="718">
        <v>0.59</v>
      </c>
      <c r="CG156" s="316" t="s">
        <v>618</v>
      </c>
      <c r="CH156" s="316" t="s">
        <v>619</v>
      </c>
      <c r="CI156" s="718">
        <v>0.01</v>
      </c>
    </row>
    <row r="157" spans="1:87" ht="15.75" customHeight="1" x14ac:dyDescent="0.2">
      <c r="A157" s="747" t="s">
        <v>194</v>
      </c>
      <c r="B157" s="469" t="s">
        <v>193</v>
      </c>
      <c r="C157" s="718">
        <v>0.3</v>
      </c>
      <c r="D157" s="469" t="s">
        <v>680</v>
      </c>
      <c r="E157" s="469" t="s">
        <v>681</v>
      </c>
      <c r="F157" s="718">
        <v>0.37</v>
      </c>
      <c r="G157" s="469" t="s">
        <v>514</v>
      </c>
      <c r="H157" s="469" t="s">
        <v>514</v>
      </c>
      <c r="I157" s="718">
        <v>0</v>
      </c>
      <c r="J157" s="748">
        <f t="shared" si="67"/>
        <v>0.66999999999999993</v>
      </c>
      <c r="K157" s="718">
        <v>0.3</v>
      </c>
      <c r="L157" s="316" t="s">
        <v>680</v>
      </c>
      <c r="M157" s="316" t="s">
        <v>681</v>
      </c>
      <c r="N157" s="718">
        <v>0.37</v>
      </c>
      <c r="O157" s="316" t="s">
        <v>514</v>
      </c>
      <c r="P157" s="316" t="s">
        <v>514</v>
      </c>
      <c r="Q157" s="718">
        <v>0</v>
      </c>
      <c r="R157" s="728">
        <f t="shared" si="68"/>
        <v>0.66999999999999993</v>
      </c>
      <c r="S157" s="718">
        <v>0.3</v>
      </c>
      <c r="T157" s="316" t="s">
        <v>680</v>
      </c>
      <c r="U157" s="316" t="s">
        <v>681</v>
      </c>
      <c r="V157" s="718">
        <v>0.37</v>
      </c>
      <c r="W157" s="316" t="s">
        <v>514</v>
      </c>
      <c r="X157" s="316" t="s">
        <v>514</v>
      </c>
      <c r="Y157" s="718">
        <v>0</v>
      </c>
      <c r="Z157" s="728">
        <f t="shared" si="99"/>
        <v>0.66999999999999993</v>
      </c>
      <c r="AA157" s="718">
        <v>0.3</v>
      </c>
      <c r="AB157" s="316" t="s">
        <v>680</v>
      </c>
      <c r="AC157" s="316" t="s">
        <v>681</v>
      </c>
      <c r="AD157" s="718">
        <v>0.37</v>
      </c>
      <c r="AE157" s="316" t="s">
        <v>514</v>
      </c>
      <c r="AF157" s="316" t="s">
        <v>514</v>
      </c>
      <c r="AG157" s="718">
        <v>0</v>
      </c>
      <c r="AH157" s="728">
        <f t="shared" si="196"/>
        <v>0.66999999999999993</v>
      </c>
      <c r="AI157" s="718">
        <v>0.3</v>
      </c>
      <c r="AJ157" s="316" t="s">
        <v>680</v>
      </c>
      <c r="AK157" s="316" t="s">
        <v>681</v>
      </c>
      <c r="AL157" s="718">
        <v>0.37</v>
      </c>
      <c r="AM157" s="316" t="s">
        <v>514</v>
      </c>
      <c r="AN157" s="316" t="s">
        <v>514</v>
      </c>
      <c r="AO157" s="718">
        <v>0</v>
      </c>
      <c r="AP157" s="728">
        <f t="shared" si="197"/>
        <v>0.66999999999999993</v>
      </c>
      <c r="AQ157" s="718">
        <v>0.48</v>
      </c>
      <c r="AR157" s="316" t="s">
        <v>680</v>
      </c>
      <c r="AS157" s="316" t="s">
        <v>681</v>
      </c>
      <c r="AT157" s="718">
        <v>0.27</v>
      </c>
      <c r="AU157" s="316" t="s">
        <v>514</v>
      </c>
      <c r="AV157" s="316" t="s">
        <v>514</v>
      </c>
      <c r="AW157" s="718">
        <v>0</v>
      </c>
      <c r="AX157" s="463">
        <f t="shared" si="198"/>
        <v>0.75</v>
      </c>
      <c r="AY157" s="661">
        <v>0.64</v>
      </c>
      <c r="AZ157" s="316" t="s">
        <v>680</v>
      </c>
      <c r="BA157" s="316" t="s">
        <v>681</v>
      </c>
      <c r="BB157" s="463">
        <v>0.36</v>
      </c>
      <c r="BC157" s="316" t="s">
        <v>514</v>
      </c>
      <c r="BD157" s="316" t="s">
        <v>514</v>
      </c>
      <c r="BE157" s="463">
        <v>0</v>
      </c>
      <c r="BF157" s="728">
        <f t="shared" si="199"/>
        <v>1</v>
      </c>
      <c r="BG157" s="463"/>
      <c r="BH157" s="463">
        <v>0.3</v>
      </c>
      <c r="BI157" s="316" t="s">
        <v>680</v>
      </c>
      <c r="BJ157" s="316" t="s">
        <v>681</v>
      </c>
      <c r="BK157" s="463">
        <v>0.37</v>
      </c>
      <c r="BL157" s="316" t="s">
        <v>514</v>
      </c>
      <c r="BM157" s="316" t="s">
        <v>514</v>
      </c>
      <c r="BN157" s="463">
        <v>0</v>
      </c>
      <c r="BO157" s="728">
        <f t="shared" si="200"/>
        <v>0.66999999999999993</v>
      </c>
      <c r="BP157" s="463">
        <v>0.3</v>
      </c>
      <c r="BQ157" s="316" t="s">
        <v>680</v>
      </c>
      <c r="BR157" s="316" t="s">
        <v>681</v>
      </c>
      <c r="BS157" s="463">
        <v>0.2</v>
      </c>
      <c r="BT157" s="316" t="s">
        <v>514</v>
      </c>
      <c r="BU157" s="316" t="s">
        <v>514</v>
      </c>
      <c r="BV157" s="463">
        <v>0</v>
      </c>
      <c r="BW157" s="463">
        <f t="shared" si="201"/>
        <v>0.5</v>
      </c>
      <c r="BX157" s="444"/>
      <c r="BY157" s="444"/>
      <c r="BZ157" s="444"/>
      <c r="CA157" s="436" t="s">
        <v>874</v>
      </c>
      <c r="CB157" s="723">
        <v>0.72899999999999998</v>
      </c>
      <c r="CC157" s="668" t="s">
        <v>950</v>
      </c>
      <c r="CD157" s="316" t="s">
        <v>680</v>
      </c>
      <c r="CE157" s="316" t="s">
        <v>681</v>
      </c>
      <c r="CF157" s="718">
        <v>0.2</v>
      </c>
      <c r="CG157" s="316" t="s">
        <v>514</v>
      </c>
      <c r="CH157" s="316" t="s">
        <v>514</v>
      </c>
      <c r="CI157" s="718">
        <v>0</v>
      </c>
    </row>
    <row r="158" spans="1:87" ht="15" x14ac:dyDescent="0.2">
      <c r="A158" s="747" t="s">
        <v>196</v>
      </c>
      <c r="B158" s="469" t="s">
        <v>195</v>
      </c>
      <c r="C158" s="718">
        <v>0.4</v>
      </c>
      <c r="D158" s="469" t="s">
        <v>563</v>
      </c>
      <c r="E158" s="469" t="s">
        <v>564</v>
      </c>
      <c r="F158" s="718">
        <v>0.09</v>
      </c>
      <c r="G158" s="469" t="s">
        <v>560</v>
      </c>
      <c r="H158" s="469" t="s">
        <v>561</v>
      </c>
      <c r="I158" s="718">
        <v>0.01</v>
      </c>
      <c r="J158" s="748">
        <f t="shared" si="67"/>
        <v>0.5</v>
      </c>
      <c r="K158" s="718">
        <v>0.4</v>
      </c>
      <c r="L158" s="316" t="s">
        <v>563</v>
      </c>
      <c r="M158" s="316" t="s">
        <v>564</v>
      </c>
      <c r="N158" s="718">
        <v>0.09</v>
      </c>
      <c r="O158" s="316" t="s">
        <v>560</v>
      </c>
      <c r="P158" s="316" t="s">
        <v>561</v>
      </c>
      <c r="Q158" s="718">
        <v>0.01</v>
      </c>
      <c r="R158" s="728">
        <f t="shared" si="68"/>
        <v>0.5</v>
      </c>
      <c r="S158" s="718">
        <v>0.4</v>
      </c>
      <c r="T158" s="316" t="s">
        <v>563</v>
      </c>
      <c r="U158" s="316" t="s">
        <v>564</v>
      </c>
      <c r="V158" s="718">
        <v>0.09</v>
      </c>
      <c r="W158" s="316" t="s">
        <v>560</v>
      </c>
      <c r="X158" s="316" t="s">
        <v>561</v>
      </c>
      <c r="Y158" s="718">
        <v>0.01</v>
      </c>
      <c r="Z158" s="728">
        <f t="shared" si="99"/>
        <v>0.5</v>
      </c>
      <c r="AA158" s="718">
        <v>0.4</v>
      </c>
      <c r="AB158" s="316" t="s">
        <v>563</v>
      </c>
      <c r="AC158" s="316" t="s">
        <v>564</v>
      </c>
      <c r="AD158" s="718">
        <v>0.09</v>
      </c>
      <c r="AE158" s="316" t="s">
        <v>560</v>
      </c>
      <c r="AF158" s="316" t="s">
        <v>561</v>
      </c>
      <c r="AG158" s="718">
        <v>0.01</v>
      </c>
      <c r="AH158" s="728">
        <f t="shared" ref="AH158:AH159" si="202">+AA158+AD158+AG158</f>
        <v>0.5</v>
      </c>
      <c r="AI158" s="718">
        <v>0.4</v>
      </c>
      <c r="AJ158" s="316" t="s">
        <v>563</v>
      </c>
      <c r="AK158" s="316" t="s">
        <v>564</v>
      </c>
      <c r="AL158" s="718">
        <v>0.09</v>
      </c>
      <c r="AM158" s="316" t="s">
        <v>560</v>
      </c>
      <c r="AN158" s="316" t="s">
        <v>561</v>
      </c>
      <c r="AO158" s="718">
        <v>0.01</v>
      </c>
      <c r="AP158" s="728">
        <f t="shared" ref="AP158:AP159" si="203">+AI158+AL158+AO158</f>
        <v>0.5</v>
      </c>
      <c r="AQ158" s="718">
        <v>0.4</v>
      </c>
      <c r="AR158" s="316" t="s">
        <v>563</v>
      </c>
      <c r="AS158" s="316" t="s">
        <v>564</v>
      </c>
      <c r="AT158" s="718">
        <v>0.09</v>
      </c>
      <c r="AU158" s="316" t="s">
        <v>560</v>
      </c>
      <c r="AV158" s="316" t="s">
        <v>561</v>
      </c>
      <c r="AW158" s="718">
        <v>0.01</v>
      </c>
      <c r="AX158" s="463">
        <f t="shared" ref="AX158:AX159" si="204">+AQ158+AT158+AW158</f>
        <v>0.5</v>
      </c>
      <c r="AY158" s="661">
        <v>0.4</v>
      </c>
      <c r="AZ158" s="316" t="s">
        <v>563</v>
      </c>
      <c r="BA158" s="316" t="s">
        <v>564</v>
      </c>
      <c r="BB158" s="463">
        <v>0.59</v>
      </c>
      <c r="BC158" s="316" t="s">
        <v>560</v>
      </c>
      <c r="BD158" s="316" t="s">
        <v>561</v>
      </c>
      <c r="BE158" s="463">
        <v>0.01</v>
      </c>
      <c r="BF158" s="728">
        <f t="shared" ref="BF158:BF159" si="205">+AY158+BB158+BE158</f>
        <v>1</v>
      </c>
      <c r="BG158" s="463"/>
      <c r="BH158" s="463">
        <v>0.4</v>
      </c>
      <c r="BI158" s="316" t="s">
        <v>563</v>
      </c>
      <c r="BJ158" s="316" t="s">
        <v>564</v>
      </c>
      <c r="BK158" s="463">
        <v>0.09</v>
      </c>
      <c r="BL158" s="316" t="s">
        <v>560</v>
      </c>
      <c r="BM158" s="316" t="s">
        <v>561</v>
      </c>
      <c r="BN158" s="463">
        <v>0.01</v>
      </c>
      <c r="BO158" s="728">
        <f t="shared" ref="BO158:BO159" si="206">+BH158+BK158+BN158</f>
        <v>0.5</v>
      </c>
      <c r="BP158" s="463">
        <v>0.4</v>
      </c>
      <c r="BQ158" s="316" t="s">
        <v>563</v>
      </c>
      <c r="BR158" s="316" t="s">
        <v>564</v>
      </c>
      <c r="BS158" s="463">
        <v>0.09</v>
      </c>
      <c r="BT158" s="316" t="s">
        <v>560</v>
      </c>
      <c r="BU158" s="316" t="s">
        <v>561</v>
      </c>
      <c r="BV158" s="463">
        <v>0.01</v>
      </c>
      <c r="BW158" s="463">
        <f t="shared" ref="BW158:BW159" si="207">+BP158+BS158+BV158</f>
        <v>0.5</v>
      </c>
      <c r="BX158" s="444"/>
      <c r="BY158" s="444"/>
      <c r="BZ158" s="444"/>
      <c r="CA158" s="434"/>
      <c r="CB158" s="723">
        <v>0.66</v>
      </c>
      <c r="CC158" s="668" t="s">
        <v>950</v>
      </c>
      <c r="CD158" s="316" t="s">
        <v>563</v>
      </c>
      <c r="CE158" s="316" t="s">
        <v>564</v>
      </c>
      <c r="CF158" s="718">
        <v>0.59</v>
      </c>
      <c r="CG158" s="316" t="s">
        <v>560</v>
      </c>
      <c r="CH158" s="316" t="s">
        <v>561</v>
      </c>
      <c r="CI158" s="718">
        <v>0.01</v>
      </c>
    </row>
    <row r="159" spans="1:87" ht="15.75" customHeight="1" x14ac:dyDescent="0.2">
      <c r="A159" s="747" t="s">
        <v>198</v>
      </c>
      <c r="B159" s="469" t="s">
        <v>197</v>
      </c>
      <c r="C159" s="718">
        <v>0.4</v>
      </c>
      <c r="D159" s="469" t="s">
        <v>653</v>
      </c>
      <c r="E159" s="469" t="s">
        <v>654</v>
      </c>
      <c r="F159" s="718">
        <v>0.1</v>
      </c>
      <c r="G159" s="469" t="s">
        <v>514</v>
      </c>
      <c r="H159" s="469" t="s">
        <v>552</v>
      </c>
      <c r="I159" s="718">
        <v>0</v>
      </c>
      <c r="J159" s="748">
        <f t="shared" si="67"/>
        <v>0.5</v>
      </c>
      <c r="K159" s="718">
        <v>0.4</v>
      </c>
      <c r="L159" s="316" t="s">
        <v>653</v>
      </c>
      <c r="M159" s="316" t="s">
        <v>654</v>
      </c>
      <c r="N159" s="718">
        <v>0.1</v>
      </c>
      <c r="O159" s="316" t="s">
        <v>514</v>
      </c>
      <c r="P159" s="316" t="s">
        <v>552</v>
      </c>
      <c r="Q159" s="718">
        <v>0</v>
      </c>
      <c r="R159" s="728">
        <f t="shared" si="68"/>
        <v>0.5</v>
      </c>
      <c r="S159" s="718">
        <v>0.4</v>
      </c>
      <c r="T159" s="316" t="s">
        <v>653</v>
      </c>
      <c r="U159" s="316" t="s">
        <v>654</v>
      </c>
      <c r="V159" s="718">
        <v>0.1</v>
      </c>
      <c r="W159" s="316" t="s">
        <v>514</v>
      </c>
      <c r="X159" s="316" t="s">
        <v>552</v>
      </c>
      <c r="Y159" s="718">
        <v>0</v>
      </c>
      <c r="Z159" s="728">
        <f t="shared" si="99"/>
        <v>0.5</v>
      </c>
      <c r="AA159" s="718">
        <v>0.4</v>
      </c>
      <c r="AB159" s="316" t="s">
        <v>653</v>
      </c>
      <c r="AC159" s="316" t="s">
        <v>654</v>
      </c>
      <c r="AD159" s="718">
        <v>0.1</v>
      </c>
      <c r="AE159" s="316" t="s">
        <v>514</v>
      </c>
      <c r="AF159" s="316" t="s">
        <v>552</v>
      </c>
      <c r="AG159" s="718">
        <v>0</v>
      </c>
      <c r="AH159" s="728">
        <f t="shared" si="202"/>
        <v>0.5</v>
      </c>
      <c r="AI159" s="718">
        <v>0.4</v>
      </c>
      <c r="AJ159" s="316" t="s">
        <v>653</v>
      </c>
      <c r="AK159" s="316" t="s">
        <v>654</v>
      </c>
      <c r="AL159" s="718">
        <v>0.1</v>
      </c>
      <c r="AM159" s="316" t="s">
        <v>514</v>
      </c>
      <c r="AN159" s="316" t="s">
        <v>552</v>
      </c>
      <c r="AO159" s="718">
        <v>0</v>
      </c>
      <c r="AP159" s="728">
        <f t="shared" si="203"/>
        <v>0.5</v>
      </c>
      <c r="AQ159" s="718">
        <v>0.4</v>
      </c>
      <c r="AR159" s="316" t="s">
        <v>653</v>
      </c>
      <c r="AS159" s="316" t="s">
        <v>654</v>
      </c>
      <c r="AT159" s="718">
        <v>0.1</v>
      </c>
      <c r="AU159" s="316" t="s">
        <v>514</v>
      </c>
      <c r="AV159" s="316" t="s">
        <v>552</v>
      </c>
      <c r="AW159" s="718">
        <v>0</v>
      </c>
      <c r="AX159" s="463">
        <f t="shared" si="204"/>
        <v>0.5</v>
      </c>
      <c r="AY159" s="661">
        <v>0.8</v>
      </c>
      <c r="AZ159" s="316" t="s">
        <v>653</v>
      </c>
      <c r="BA159" s="316" t="s">
        <v>654</v>
      </c>
      <c r="BB159" s="463">
        <v>0.2</v>
      </c>
      <c r="BC159" s="316" t="s">
        <v>514</v>
      </c>
      <c r="BD159" s="316" t="s">
        <v>552</v>
      </c>
      <c r="BE159" s="463">
        <v>0</v>
      </c>
      <c r="BF159" s="728">
        <f t="shared" si="205"/>
        <v>1</v>
      </c>
      <c r="BG159" s="463"/>
      <c r="BH159" s="463">
        <v>0.4</v>
      </c>
      <c r="BI159" s="316" t="s">
        <v>653</v>
      </c>
      <c r="BJ159" s="316" t="s">
        <v>654</v>
      </c>
      <c r="BK159" s="463">
        <v>0.1</v>
      </c>
      <c r="BL159" s="316" t="s">
        <v>514</v>
      </c>
      <c r="BM159" s="316" t="s">
        <v>552</v>
      </c>
      <c r="BN159" s="463">
        <v>0</v>
      </c>
      <c r="BO159" s="728">
        <f t="shared" si="206"/>
        <v>0.5</v>
      </c>
      <c r="BP159" s="463">
        <v>0.4</v>
      </c>
      <c r="BQ159" s="316" t="s">
        <v>653</v>
      </c>
      <c r="BR159" s="316" t="s">
        <v>654</v>
      </c>
      <c r="BS159" s="463">
        <v>0.1</v>
      </c>
      <c r="BT159" s="316" t="s">
        <v>514</v>
      </c>
      <c r="BU159" s="316" t="s">
        <v>552</v>
      </c>
      <c r="BV159" s="463">
        <v>0</v>
      </c>
      <c r="BW159" s="463">
        <f t="shared" si="207"/>
        <v>0.5</v>
      </c>
      <c r="BX159" s="444" t="s">
        <v>874</v>
      </c>
      <c r="BY159" s="444" t="s">
        <v>874</v>
      </c>
      <c r="BZ159" s="444"/>
      <c r="CA159" s="434"/>
      <c r="CB159" s="723">
        <v>0.65500000000000003</v>
      </c>
      <c r="CC159" s="668" t="s">
        <v>950</v>
      </c>
      <c r="CD159" s="316" t="s">
        <v>653</v>
      </c>
      <c r="CE159" s="316" t="s">
        <v>654</v>
      </c>
      <c r="CF159" s="718">
        <v>0.6</v>
      </c>
      <c r="CG159" s="316" t="s">
        <v>514</v>
      </c>
      <c r="CH159" s="316" t="s">
        <v>552</v>
      </c>
      <c r="CI159" s="718">
        <v>0</v>
      </c>
    </row>
    <row r="160" spans="1:87" ht="15" x14ac:dyDescent="0.2">
      <c r="A160" s="747" t="s">
        <v>200</v>
      </c>
      <c r="B160" s="469" t="s">
        <v>199</v>
      </c>
      <c r="C160" s="718">
        <v>0.4</v>
      </c>
      <c r="D160" s="469" t="s">
        <v>661</v>
      </c>
      <c r="E160" s="469" t="s">
        <v>662</v>
      </c>
      <c r="F160" s="718">
        <v>0.1</v>
      </c>
      <c r="G160" s="469" t="s">
        <v>514</v>
      </c>
      <c r="H160" s="469" t="s">
        <v>552</v>
      </c>
      <c r="I160" s="718">
        <v>0</v>
      </c>
      <c r="J160" s="748">
        <f t="shared" si="67"/>
        <v>0.5</v>
      </c>
      <c r="K160" s="718">
        <v>0.4</v>
      </c>
      <c r="L160" s="316" t="s">
        <v>661</v>
      </c>
      <c r="M160" s="316" t="s">
        <v>662</v>
      </c>
      <c r="N160" s="718">
        <v>0.1</v>
      </c>
      <c r="O160" s="316" t="s">
        <v>514</v>
      </c>
      <c r="P160" s="316" t="s">
        <v>552</v>
      </c>
      <c r="Q160" s="718">
        <v>0</v>
      </c>
      <c r="R160" s="728">
        <f t="shared" si="68"/>
        <v>0.5</v>
      </c>
      <c r="S160" s="718">
        <v>0.4</v>
      </c>
      <c r="T160" s="316" t="s">
        <v>661</v>
      </c>
      <c r="U160" s="316" t="s">
        <v>662</v>
      </c>
      <c r="V160" s="718">
        <v>0.1</v>
      </c>
      <c r="W160" s="316" t="s">
        <v>514</v>
      </c>
      <c r="X160" s="316" t="s">
        <v>552</v>
      </c>
      <c r="Y160" s="718">
        <v>0</v>
      </c>
      <c r="Z160" s="728">
        <f t="shared" si="99"/>
        <v>0.5</v>
      </c>
      <c r="AA160" s="718">
        <v>0.4</v>
      </c>
      <c r="AB160" s="316" t="s">
        <v>661</v>
      </c>
      <c r="AC160" s="316" t="s">
        <v>662</v>
      </c>
      <c r="AD160" s="718">
        <v>0.1</v>
      </c>
      <c r="AE160" s="316" t="s">
        <v>514</v>
      </c>
      <c r="AF160" s="316" t="s">
        <v>552</v>
      </c>
      <c r="AG160" s="718">
        <v>0</v>
      </c>
      <c r="AH160" s="728">
        <f t="shared" ref="AH160:AH161" si="208">+AA160+AD160+AG160</f>
        <v>0.5</v>
      </c>
      <c r="AI160" s="718">
        <v>0.4</v>
      </c>
      <c r="AJ160" s="316" t="s">
        <v>661</v>
      </c>
      <c r="AK160" s="316" t="s">
        <v>662</v>
      </c>
      <c r="AL160" s="718">
        <v>0.1</v>
      </c>
      <c r="AM160" s="316" t="s">
        <v>514</v>
      </c>
      <c r="AN160" s="316" t="s">
        <v>552</v>
      </c>
      <c r="AO160" s="718">
        <v>0</v>
      </c>
      <c r="AP160" s="728">
        <f t="shared" ref="AP160:AP161" si="209">+AI160+AL160+AO160</f>
        <v>0.5</v>
      </c>
      <c r="AQ160" s="718">
        <v>0.2</v>
      </c>
      <c r="AR160" s="316" t="s">
        <v>661</v>
      </c>
      <c r="AS160" s="316" t="s">
        <v>662</v>
      </c>
      <c r="AT160" s="718">
        <v>0.55000000000000004</v>
      </c>
      <c r="AU160" s="316" t="s">
        <v>514</v>
      </c>
      <c r="AV160" s="316" t="s">
        <v>552</v>
      </c>
      <c r="AW160" s="718">
        <v>0</v>
      </c>
      <c r="AX160" s="463">
        <f t="shared" ref="AX160:AX161" si="210">+AQ160+AT160+AW160</f>
        <v>0.75</v>
      </c>
      <c r="AY160" s="661">
        <v>0.4</v>
      </c>
      <c r="AZ160" s="316" t="s">
        <v>661</v>
      </c>
      <c r="BA160" s="316" t="s">
        <v>662</v>
      </c>
      <c r="BB160" s="463">
        <v>0.1</v>
      </c>
      <c r="BC160" s="316" t="s">
        <v>514</v>
      </c>
      <c r="BD160" s="316" t="s">
        <v>552</v>
      </c>
      <c r="BE160" s="463">
        <v>0</v>
      </c>
      <c r="BF160" s="728">
        <f t="shared" ref="BF160:BF161" si="211">+AY160+BB160+BE160</f>
        <v>0.5</v>
      </c>
      <c r="BG160" s="463"/>
      <c r="BH160" s="463">
        <v>0.4</v>
      </c>
      <c r="BI160" s="316" t="s">
        <v>661</v>
      </c>
      <c r="BJ160" s="316" t="s">
        <v>662</v>
      </c>
      <c r="BK160" s="463">
        <v>0.1</v>
      </c>
      <c r="BL160" s="316" t="s">
        <v>514</v>
      </c>
      <c r="BM160" s="316" t="s">
        <v>552</v>
      </c>
      <c r="BN160" s="463">
        <v>0</v>
      </c>
      <c r="BO160" s="728">
        <f t="shared" ref="BO160:BO161" si="212">+BH160+BK160+BN160</f>
        <v>0.5</v>
      </c>
      <c r="BP160" s="463">
        <v>0.4</v>
      </c>
      <c r="BQ160" s="316" t="s">
        <v>661</v>
      </c>
      <c r="BR160" s="316" t="s">
        <v>662</v>
      </c>
      <c r="BS160" s="463">
        <v>0.1</v>
      </c>
      <c r="BT160" s="316" t="s">
        <v>514</v>
      </c>
      <c r="BU160" s="316" t="s">
        <v>552</v>
      </c>
      <c r="BV160" s="463">
        <v>0</v>
      </c>
      <c r="BW160" s="463">
        <f t="shared" ref="BW160:BW161" si="213">+BP160+BS160+BV160</f>
        <v>0.5</v>
      </c>
      <c r="BX160" s="444"/>
      <c r="BY160" s="444"/>
      <c r="BZ160" s="444"/>
      <c r="CA160" s="434"/>
      <c r="CB160" s="723">
        <v>0.71699999999999997</v>
      </c>
      <c r="CC160" s="668" t="s">
        <v>950</v>
      </c>
      <c r="CD160" s="316" t="s">
        <v>661</v>
      </c>
      <c r="CE160" s="316" t="s">
        <v>662</v>
      </c>
      <c r="CF160" s="718">
        <v>0.6</v>
      </c>
      <c r="CG160" s="316" t="s">
        <v>514</v>
      </c>
      <c r="CH160" s="316" t="s">
        <v>552</v>
      </c>
      <c r="CI160" s="718">
        <v>0</v>
      </c>
    </row>
    <row r="161" spans="1:90" ht="15.75" customHeight="1" x14ac:dyDescent="0.2">
      <c r="A161" s="747" t="s">
        <v>202</v>
      </c>
      <c r="B161" s="469" t="s">
        <v>549</v>
      </c>
      <c r="C161" s="718">
        <v>0.49</v>
      </c>
      <c r="D161" s="469" t="s">
        <v>514</v>
      </c>
      <c r="E161" s="469" t="s">
        <v>515</v>
      </c>
      <c r="F161" s="718">
        <v>0</v>
      </c>
      <c r="G161" s="469" t="s">
        <v>547</v>
      </c>
      <c r="H161" s="469" t="s">
        <v>548</v>
      </c>
      <c r="I161" s="718">
        <v>0.01</v>
      </c>
      <c r="J161" s="748">
        <f t="shared" si="67"/>
        <v>0.5</v>
      </c>
      <c r="K161" s="718">
        <v>0.49</v>
      </c>
      <c r="L161" s="316" t="s">
        <v>514</v>
      </c>
      <c r="M161" s="316" t="s">
        <v>515</v>
      </c>
      <c r="N161" s="718">
        <v>0</v>
      </c>
      <c r="O161" s="316" t="s">
        <v>547</v>
      </c>
      <c r="P161" s="316" t="s">
        <v>548</v>
      </c>
      <c r="Q161" s="718">
        <v>0.01</v>
      </c>
      <c r="R161" s="728">
        <f t="shared" si="68"/>
        <v>0.5</v>
      </c>
      <c r="S161" s="718">
        <v>0.49</v>
      </c>
      <c r="T161" s="316" t="s">
        <v>514</v>
      </c>
      <c r="U161" s="316" t="s">
        <v>515</v>
      </c>
      <c r="V161" s="718">
        <v>0</v>
      </c>
      <c r="W161" s="316" t="s">
        <v>547</v>
      </c>
      <c r="X161" s="316" t="s">
        <v>548</v>
      </c>
      <c r="Y161" s="718">
        <v>0.01</v>
      </c>
      <c r="Z161" s="728">
        <f t="shared" si="99"/>
        <v>0.5</v>
      </c>
      <c r="AA161" s="718">
        <v>0.49</v>
      </c>
      <c r="AB161" s="316" t="s">
        <v>514</v>
      </c>
      <c r="AC161" s="316" t="s">
        <v>515</v>
      </c>
      <c r="AD161" s="718">
        <v>0</v>
      </c>
      <c r="AE161" s="316" t="s">
        <v>547</v>
      </c>
      <c r="AF161" s="316" t="s">
        <v>548</v>
      </c>
      <c r="AG161" s="718">
        <v>0.01</v>
      </c>
      <c r="AH161" s="728">
        <f t="shared" si="208"/>
        <v>0.5</v>
      </c>
      <c r="AI161" s="718">
        <v>0.49</v>
      </c>
      <c r="AJ161" s="316" t="s">
        <v>514</v>
      </c>
      <c r="AK161" s="316" t="s">
        <v>515</v>
      </c>
      <c r="AL161" s="718">
        <v>0</v>
      </c>
      <c r="AM161" s="316" t="s">
        <v>547</v>
      </c>
      <c r="AN161" s="316" t="s">
        <v>548</v>
      </c>
      <c r="AO161" s="718">
        <v>0.01</v>
      </c>
      <c r="AP161" s="728">
        <f t="shared" si="209"/>
        <v>0.5</v>
      </c>
      <c r="AQ161" s="718">
        <v>0.49</v>
      </c>
      <c r="AR161" s="316" t="s">
        <v>514</v>
      </c>
      <c r="AS161" s="316" t="s">
        <v>515</v>
      </c>
      <c r="AT161" s="718">
        <v>0</v>
      </c>
      <c r="AU161" s="316" t="s">
        <v>547</v>
      </c>
      <c r="AV161" s="316" t="s">
        <v>548</v>
      </c>
      <c r="AW161" s="718">
        <v>0.01</v>
      </c>
      <c r="AX161" s="463">
        <f t="shared" si="210"/>
        <v>0.5</v>
      </c>
      <c r="AY161" s="661">
        <v>0.49</v>
      </c>
      <c r="AZ161" s="316" t="s">
        <v>514</v>
      </c>
      <c r="BA161" s="316" t="s">
        <v>515</v>
      </c>
      <c r="BB161" s="463">
        <v>0</v>
      </c>
      <c r="BC161" s="316" t="s">
        <v>547</v>
      </c>
      <c r="BD161" s="316" t="s">
        <v>548</v>
      </c>
      <c r="BE161" s="463">
        <v>0.01</v>
      </c>
      <c r="BF161" s="728">
        <f t="shared" si="211"/>
        <v>0.5</v>
      </c>
      <c r="BG161" s="463"/>
      <c r="BH161" s="463">
        <v>0.49</v>
      </c>
      <c r="BI161" s="316" t="s">
        <v>514</v>
      </c>
      <c r="BJ161" s="316" t="s">
        <v>515</v>
      </c>
      <c r="BK161" s="463">
        <v>0</v>
      </c>
      <c r="BL161" s="316" t="s">
        <v>547</v>
      </c>
      <c r="BM161" s="316" t="s">
        <v>548</v>
      </c>
      <c r="BN161" s="463">
        <v>0.01</v>
      </c>
      <c r="BO161" s="728">
        <f t="shared" si="212"/>
        <v>0.5</v>
      </c>
      <c r="BP161" s="463">
        <v>0.49</v>
      </c>
      <c r="BQ161" s="316" t="s">
        <v>514</v>
      </c>
      <c r="BR161" s="316" t="s">
        <v>515</v>
      </c>
      <c r="BS161" s="463">
        <v>0</v>
      </c>
      <c r="BT161" s="316" t="s">
        <v>547</v>
      </c>
      <c r="BU161" s="316" t="s">
        <v>548</v>
      </c>
      <c r="BV161" s="463">
        <v>0.01</v>
      </c>
      <c r="BW161" s="463">
        <f t="shared" si="213"/>
        <v>0.5</v>
      </c>
      <c r="BX161" s="444" t="s">
        <v>874</v>
      </c>
      <c r="BY161" s="444" t="s">
        <v>874</v>
      </c>
      <c r="BZ161" s="444"/>
      <c r="CA161" s="436" t="s">
        <v>874</v>
      </c>
      <c r="CB161" s="723">
        <v>0.67800000000000005</v>
      </c>
      <c r="CC161" s="668" t="s">
        <v>950</v>
      </c>
      <c r="CD161" s="316" t="s">
        <v>514</v>
      </c>
      <c r="CE161" s="316" t="s">
        <v>515</v>
      </c>
      <c r="CF161" s="718">
        <v>0</v>
      </c>
      <c r="CG161" s="316" t="s">
        <v>547</v>
      </c>
      <c r="CH161" s="316" t="s">
        <v>548</v>
      </c>
      <c r="CI161" s="718">
        <v>0.01</v>
      </c>
    </row>
    <row r="162" spans="1:90" ht="15.75" customHeight="1" x14ac:dyDescent="0.2">
      <c r="A162" s="747" t="s">
        <v>204</v>
      </c>
      <c r="B162" s="469" t="s">
        <v>532</v>
      </c>
      <c r="C162" s="718">
        <v>0.49</v>
      </c>
      <c r="D162" s="469" t="s">
        <v>514</v>
      </c>
      <c r="E162" s="469" t="s">
        <v>515</v>
      </c>
      <c r="F162" s="718">
        <v>0</v>
      </c>
      <c r="G162" s="469" t="s">
        <v>533</v>
      </c>
      <c r="H162" s="469" t="s">
        <v>534</v>
      </c>
      <c r="I162" s="718">
        <v>0.01</v>
      </c>
      <c r="J162" s="748">
        <f t="shared" si="67"/>
        <v>0.5</v>
      </c>
      <c r="K162" s="718">
        <v>0.49</v>
      </c>
      <c r="L162" s="316" t="s">
        <v>514</v>
      </c>
      <c r="M162" s="316" t="s">
        <v>515</v>
      </c>
      <c r="N162" s="718">
        <v>0</v>
      </c>
      <c r="O162" s="316" t="s">
        <v>533</v>
      </c>
      <c r="P162" s="316" t="s">
        <v>534</v>
      </c>
      <c r="Q162" s="718">
        <v>0.01</v>
      </c>
      <c r="R162" s="728">
        <f t="shared" si="68"/>
        <v>0.5</v>
      </c>
      <c r="S162" s="718">
        <v>0.49</v>
      </c>
      <c r="T162" s="316" t="s">
        <v>514</v>
      </c>
      <c r="U162" s="316" t="s">
        <v>515</v>
      </c>
      <c r="V162" s="718">
        <v>0</v>
      </c>
      <c r="W162" s="316" t="s">
        <v>533</v>
      </c>
      <c r="X162" s="316" t="s">
        <v>534</v>
      </c>
      <c r="Y162" s="718">
        <v>0.01</v>
      </c>
      <c r="Z162" s="728">
        <f t="shared" si="99"/>
        <v>0.5</v>
      </c>
      <c r="AA162" s="718">
        <v>0.49</v>
      </c>
      <c r="AB162" s="316" t="s">
        <v>514</v>
      </c>
      <c r="AC162" s="316" t="s">
        <v>515</v>
      </c>
      <c r="AD162" s="718">
        <v>0</v>
      </c>
      <c r="AE162" s="316" t="s">
        <v>533</v>
      </c>
      <c r="AF162" s="316" t="s">
        <v>534</v>
      </c>
      <c r="AG162" s="718">
        <v>0.01</v>
      </c>
      <c r="AH162" s="728">
        <f t="shared" ref="AH162:AH163" si="214">+AA162+AD162+AG162</f>
        <v>0.5</v>
      </c>
      <c r="AI162" s="718">
        <v>0.49</v>
      </c>
      <c r="AJ162" s="316" t="s">
        <v>514</v>
      </c>
      <c r="AK162" s="316" t="s">
        <v>515</v>
      </c>
      <c r="AL162" s="718">
        <v>0</v>
      </c>
      <c r="AM162" s="316" t="s">
        <v>533</v>
      </c>
      <c r="AN162" s="316" t="s">
        <v>534</v>
      </c>
      <c r="AO162" s="718">
        <v>0.01</v>
      </c>
      <c r="AP162" s="728">
        <f t="shared" ref="AP162:AP163" si="215">+AI162+AL162+AO162</f>
        <v>0.5</v>
      </c>
      <c r="AQ162" s="718">
        <v>0.49</v>
      </c>
      <c r="AR162" s="316" t="s">
        <v>514</v>
      </c>
      <c r="AS162" s="316" t="s">
        <v>515</v>
      </c>
      <c r="AT162" s="718">
        <v>0</v>
      </c>
      <c r="AU162" s="316" t="s">
        <v>533</v>
      </c>
      <c r="AV162" s="316" t="s">
        <v>534</v>
      </c>
      <c r="AW162" s="718">
        <v>0.01</v>
      </c>
      <c r="AX162" s="463">
        <f t="shared" ref="AX162:AX163" si="216">+AQ162+AT162+AW162</f>
        <v>0.5</v>
      </c>
      <c r="AY162" s="661">
        <v>0.49</v>
      </c>
      <c r="AZ162" s="316" t="s">
        <v>514</v>
      </c>
      <c r="BA162" s="316" t="s">
        <v>515</v>
      </c>
      <c r="BB162" s="463">
        <v>0</v>
      </c>
      <c r="BC162" s="316" t="s">
        <v>533</v>
      </c>
      <c r="BD162" s="316" t="s">
        <v>534</v>
      </c>
      <c r="BE162" s="463">
        <v>0.01</v>
      </c>
      <c r="BF162" s="728">
        <f t="shared" ref="BF162:BF163" si="217">+AY162+BB162+BE162</f>
        <v>0.5</v>
      </c>
      <c r="BG162" s="463"/>
      <c r="BH162" s="463">
        <v>0.49</v>
      </c>
      <c r="BI162" s="316" t="s">
        <v>514</v>
      </c>
      <c r="BJ162" s="316" t="s">
        <v>515</v>
      </c>
      <c r="BK162" s="463">
        <v>0</v>
      </c>
      <c r="BL162" s="316" t="s">
        <v>533</v>
      </c>
      <c r="BM162" s="316" t="s">
        <v>534</v>
      </c>
      <c r="BN162" s="463">
        <v>0.01</v>
      </c>
      <c r="BO162" s="728">
        <f t="shared" ref="BO162:BO163" si="218">+BH162+BK162+BN162</f>
        <v>0.5</v>
      </c>
      <c r="BP162" s="463">
        <v>0.49</v>
      </c>
      <c r="BQ162" s="316" t="s">
        <v>514</v>
      </c>
      <c r="BR162" s="316" t="s">
        <v>515</v>
      </c>
      <c r="BS162" s="463">
        <v>0</v>
      </c>
      <c r="BT162" s="316" t="s">
        <v>533</v>
      </c>
      <c r="BU162" s="316" t="s">
        <v>534</v>
      </c>
      <c r="BV162" s="463">
        <v>0.01</v>
      </c>
      <c r="BW162" s="463">
        <f t="shared" ref="BW162:BW163" si="219">+BP162+BS162+BV162</f>
        <v>0.5</v>
      </c>
      <c r="BX162" s="444"/>
      <c r="BY162" s="444"/>
      <c r="BZ162" s="444"/>
      <c r="CA162" s="436" t="s">
        <v>874</v>
      </c>
      <c r="CB162" s="723">
        <v>0.72199999999999998</v>
      </c>
      <c r="CC162" s="668" t="s">
        <v>950</v>
      </c>
      <c r="CD162" s="316" t="s">
        <v>514</v>
      </c>
      <c r="CE162" s="316" t="s">
        <v>515</v>
      </c>
      <c r="CF162" s="718">
        <v>0</v>
      </c>
      <c r="CG162" s="316" t="s">
        <v>533</v>
      </c>
      <c r="CH162" s="316" t="s">
        <v>534</v>
      </c>
      <c r="CI162" s="718">
        <v>0.01</v>
      </c>
    </row>
    <row r="163" spans="1:90" ht="15.75" customHeight="1" x14ac:dyDescent="0.2">
      <c r="A163" s="747" t="s">
        <v>206</v>
      </c>
      <c r="B163" s="469" t="s">
        <v>205</v>
      </c>
      <c r="C163" s="718">
        <v>0.4</v>
      </c>
      <c r="D163" s="469" t="s">
        <v>655</v>
      </c>
      <c r="E163" s="469" t="s">
        <v>656</v>
      </c>
      <c r="F163" s="718">
        <v>0.1</v>
      </c>
      <c r="G163" s="469" t="s">
        <v>514</v>
      </c>
      <c r="H163" s="469" t="s">
        <v>552</v>
      </c>
      <c r="I163" s="718">
        <v>0</v>
      </c>
      <c r="J163" s="748">
        <f t="shared" ref="J163:J175" si="220">+C163+F163+I163</f>
        <v>0.5</v>
      </c>
      <c r="K163" s="718">
        <v>0.4</v>
      </c>
      <c r="L163" s="316" t="s">
        <v>655</v>
      </c>
      <c r="M163" s="316" t="s">
        <v>656</v>
      </c>
      <c r="N163" s="718">
        <v>0.1</v>
      </c>
      <c r="O163" s="316" t="s">
        <v>514</v>
      </c>
      <c r="P163" s="316" t="s">
        <v>552</v>
      </c>
      <c r="Q163" s="718">
        <v>0</v>
      </c>
      <c r="R163" s="728">
        <f t="shared" si="68"/>
        <v>0.5</v>
      </c>
      <c r="S163" s="718">
        <v>0.4</v>
      </c>
      <c r="T163" s="316" t="s">
        <v>655</v>
      </c>
      <c r="U163" s="316" t="s">
        <v>656</v>
      </c>
      <c r="V163" s="718">
        <v>0.1</v>
      </c>
      <c r="W163" s="316" t="s">
        <v>514</v>
      </c>
      <c r="X163" s="316" t="s">
        <v>552</v>
      </c>
      <c r="Y163" s="718">
        <v>0</v>
      </c>
      <c r="Z163" s="728">
        <f t="shared" si="99"/>
        <v>0.5</v>
      </c>
      <c r="AA163" s="718">
        <v>0.4</v>
      </c>
      <c r="AB163" s="316" t="s">
        <v>655</v>
      </c>
      <c r="AC163" s="316" t="s">
        <v>656</v>
      </c>
      <c r="AD163" s="718">
        <v>0.1</v>
      </c>
      <c r="AE163" s="316" t="s">
        <v>514</v>
      </c>
      <c r="AF163" s="316" t="s">
        <v>552</v>
      </c>
      <c r="AG163" s="718">
        <v>0</v>
      </c>
      <c r="AH163" s="728">
        <f t="shared" si="214"/>
        <v>0.5</v>
      </c>
      <c r="AI163" s="718">
        <v>0.4</v>
      </c>
      <c r="AJ163" s="316" t="s">
        <v>655</v>
      </c>
      <c r="AK163" s="316" t="s">
        <v>656</v>
      </c>
      <c r="AL163" s="718">
        <v>0.1</v>
      </c>
      <c r="AM163" s="316" t="s">
        <v>514</v>
      </c>
      <c r="AN163" s="316" t="s">
        <v>552</v>
      </c>
      <c r="AO163" s="718">
        <v>0</v>
      </c>
      <c r="AP163" s="728">
        <f t="shared" si="215"/>
        <v>0.5</v>
      </c>
      <c r="AQ163" s="718">
        <v>0.4</v>
      </c>
      <c r="AR163" s="316" t="s">
        <v>655</v>
      </c>
      <c r="AS163" s="316" t="s">
        <v>656</v>
      </c>
      <c r="AT163" s="718">
        <v>0.1</v>
      </c>
      <c r="AU163" s="316" t="s">
        <v>514</v>
      </c>
      <c r="AV163" s="316" t="s">
        <v>552</v>
      </c>
      <c r="AW163" s="718">
        <v>0</v>
      </c>
      <c r="AX163" s="463">
        <f t="shared" si="216"/>
        <v>0.5</v>
      </c>
      <c r="AY163" s="661">
        <v>0.3</v>
      </c>
      <c r="AZ163" s="316" t="s">
        <v>655</v>
      </c>
      <c r="BA163" s="316" t="s">
        <v>656</v>
      </c>
      <c r="BB163" s="463">
        <v>0.7</v>
      </c>
      <c r="BC163" s="316" t="s">
        <v>514</v>
      </c>
      <c r="BD163" s="316" t="s">
        <v>552</v>
      </c>
      <c r="BE163" s="463">
        <v>0</v>
      </c>
      <c r="BF163" s="728">
        <f t="shared" si="217"/>
        <v>1</v>
      </c>
      <c r="BG163" s="463"/>
      <c r="BH163" s="463">
        <v>0.4</v>
      </c>
      <c r="BI163" s="316" t="s">
        <v>655</v>
      </c>
      <c r="BJ163" s="316" t="s">
        <v>656</v>
      </c>
      <c r="BK163" s="463">
        <v>0.1</v>
      </c>
      <c r="BL163" s="316" t="s">
        <v>514</v>
      </c>
      <c r="BM163" s="316" t="s">
        <v>552</v>
      </c>
      <c r="BN163" s="463">
        <v>0</v>
      </c>
      <c r="BO163" s="728">
        <f t="shared" si="218"/>
        <v>0.5</v>
      </c>
      <c r="BP163" s="463">
        <v>0.4</v>
      </c>
      <c r="BQ163" s="316" t="s">
        <v>655</v>
      </c>
      <c r="BR163" s="316" t="s">
        <v>656</v>
      </c>
      <c r="BS163" s="463">
        <v>0.1</v>
      </c>
      <c r="BT163" s="316" t="s">
        <v>514</v>
      </c>
      <c r="BU163" s="316" t="s">
        <v>552</v>
      </c>
      <c r="BV163" s="463">
        <v>0</v>
      </c>
      <c r="BW163" s="463">
        <f t="shared" si="219"/>
        <v>0.5</v>
      </c>
      <c r="BX163" s="444"/>
      <c r="BY163" s="444"/>
      <c r="BZ163" s="444"/>
      <c r="CA163" s="434"/>
      <c r="CB163" s="723">
        <v>0.70699999999999996</v>
      </c>
      <c r="CC163" s="668" t="s">
        <v>950</v>
      </c>
      <c r="CD163" s="316" t="s">
        <v>655</v>
      </c>
      <c r="CE163" s="316" t="s">
        <v>656</v>
      </c>
      <c r="CF163" s="718">
        <v>0.6</v>
      </c>
      <c r="CG163" s="316" t="s">
        <v>514</v>
      </c>
      <c r="CH163" s="316" t="s">
        <v>552</v>
      </c>
      <c r="CI163" s="718">
        <v>0</v>
      </c>
    </row>
    <row r="164" spans="1:90" ht="15.75" customHeight="1" x14ac:dyDescent="0.2">
      <c r="A164" s="747" t="s">
        <v>208</v>
      </c>
      <c r="B164" s="469" t="s">
        <v>207</v>
      </c>
      <c r="C164" s="718">
        <v>0.4</v>
      </c>
      <c r="D164" s="469" t="s">
        <v>589</v>
      </c>
      <c r="E164" s="469" t="s">
        <v>590</v>
      </c>
      <c r="F164" s="718">
        <v>0.09</v>
      </c>
      <c r="G164" s="469" t="s">
        <v>2290</v>
      </c>
      <c r="H164" s="469" t="s">
        <v>2291</v>
      </c>
      <c r="I164" s="718">
        <v>0.01</v>
      </c>
      <c r="J164" s="748">
        <f t="shared" si="220"/>
        <v>0.5</v>
      </c>
      <c r="K164" s="718">
        <v>0.4</v>
      </c>
      <c r="L164" s="316" t="s">
        <v>589</v>
      </c>
      <c r="M164" s="316" t="s">
        <v>590</v>
      </c>
      <c r="N164" s="718">
        <v>0.09</v>
      </c>
      <c r="O164" s="316" t="s">
        <v>2290</v>
      </c>
      <c r="P164" s="316" t="s">
        <v>2291</v>
      </c>
      <c r="Q164" s="718">
        <v>0.01</v>
      </c>
      <c r="R164" s="728">
        <f t="shared" si="68"/>
        <v>0.5</v>
      </c>
      <c r="S164" s="718">
        <v>0.4</v>
      </c>
      <c r="T164" s="316" t="s">
        <v>589</v>
      </c>
      <c r="U164" s="316" t="s">
        <v>590</v>
      </c>
      <c r="V164" s="718">
        <v>0.09</v>
      </c>
      <c r="W164" s="316" t="s">
        <v>2290</v>
      </c>
      <c r="X164" s="316" t="s">
        <v>2291</v>
      </c>
      <c r="Y164" s="718">
        <v>0.01</v>
      </c>
      <c r="Z164" s="728">
        <f t="shared" si="99"/>
        <v>0.5</v>
      </c>
      <c r="AA164" s="718">
        <v>0.4</v>
      </c>
      <c r="AB164" s="316" t="s">
        <v>589</v>
      </c>
      <c r="AC164" s="316" t="s">
        <v>590</v>
      </c>
      <c r="AD164" s="718">
        <v>0.09</v>
      </c>
      <c r="AE164" s="316" t="s">
        <v>2290</v>
      </c>
      <c r="AF164" s="316" t="s">
        <v>2291</v>
      </c>
      <c r="AG164" s="718">
        <v>0.01</v>
      </c>
      <c r="AH164" s="728">
        <f t="shared" ref="AH164:AH165" si="221">+AA164+AD164+AG164</f>
        <v>0.5</v>
      </c>
      <c r="AI164" s="718">
        <v>0.4</v>
      </c>
      <c r="AJ164" s="316" t="s">
        <v>589</v>
      </c>
      <c r="AK164" s="316" t="s">
        <v>590</v>
      </c>
      <c r="AL164" s="718">
        <v>0.09</v>
      </c>
      <c r="AM164" s="316" t="s">
        <v>586</v>
      </c>
      <c r="AN164" s="316" t="s">
        <v>1341</v>
      </c>
      <c r="AO164" s="718">
        <v>0.01</v>
      </c>
      <c r="AP164" s="728">
        <f t="shared" ref="AP164:AP165" si="222">+AI164+AL164+AO164</f>
        <v>0.5</v>
      </c>
      <c r="AQ164" s="718">
        <v>0.4</v>
      </c>
      <c r="AR164" s="316" t="s">
        <v>589</v>
      </c>
      <c r="AS164" s="316" t="s">
        <v>590</v>
      </c>
      <c r="AT164" s="718">
        <v>0.09</v>
      </c>
      <c r="AU164" s="316" t="s">
        <v>586</v>
      </c>
      <c r="AV164" s="316" t="s">
        <v>587</v>
      </c>
      <c r="AW164" s="718">
        <v>0.01</v>
      </c>
      <c r="AX164" s="463">
        <f t="shared" ref="AX164:AX165" si="223">+AQ164+AT164+AW164</f>
        <v>0.5</v>
      </c>
      <c r="AY164" s="661">
        <v>0.4</v>
      </c>
      <c r="AZ164" s="316" t="s">
        <v>589</v>
      </c>
      <c r="BA164" s="316" t="s">
        <v>590</v>
      </c>
      <c r="BB164" s="463">
        <v>0.09</v>
      </c>
      <c r="BC164" s="316" t="s">
        <v>586</v>
      </c>
      <c r="BD164" s="316" t="s">
        <v>587</v>
      </c>
      <c r="BE164" s="463">
        <v>0.01</v>
      </c>
      <c r="BF164" s="728">
        <f t="shared" ref="BF164:BF165" si="224">+AY164+BB164+BE164</f>
        <v>0.5</v>
      </c>
      <c r="BG164" s="463"/>
      <c r="BH164" s="463">
        <v>0.4</v>
      </c>
      <c r="BI164" s="316" t="s">
        <v>589</v>
      </c>
      <c r="BJ164" s="316" t="s">
        <v>590</v>
      </c>
      <c r="BK164" s="463">
        <v>0.09</v>
      </c>
      <c r="BL164" s="316" t="s">
        <v>586</v>
      </c>
      <c r="BM164" s="316" t="s">
        <v>587</v>
      </c>
      <c r="BN164" s="463">
        <v>0.01</v>
      </c>
      <c r="BO164" s="728">
        <f t="shared" ref="BO164:BO165" si="225">+BH164+BK164+BN164</f>
        <v>0.5</v>
      </c>
      <c r="BP164" s="463">
        <v>0.4</v>
      </c>
      <c r="BQ164" s="316" t="s">
        <v>589</v>
      </c>
      <c r="BR164" s="316" t="s">
        <v>590</v>
      </c>
      <c r="BS164" s="463">
        <v>0.09</v>
      </c>
      <c r="BT164" s="316" t="s">
        <v>586</v>
      </c>
      <c r="BU164" s="316" t="s">
        <v>587</v>
      </c>
      <c r="BV164" s="463">
        <v>0.01</v>
      </c>
      <c r="BW164" s="463">
        <f t="shared" ref="BW164:BW165" si="226">+BP164+BS164+BV164</f>
        <v>0.5</v>
      </c>
      <c r="BX164" s="444" t="s">
        <v>874</v>
      </c>
      <c r="BY164" s="444" t="s">
        <v>874</v>
      </c>
      <c r="BZ164" s="444"/>
      <c r="CA164" s="434"/>
      <c r="CB164" s="723">
        <v>0.69899999999999995</v>
      </c>
      <c r="CC164" s="668" t="s">
        <v>950</v>
      </c>
      <c r="CD164" s="316" t="s">
        <v>589</v>
      </c>
      <c r="CE164" s="316" t="s">
        <v>590</v>
      </c>
      <c r="CF164" s="718">
        <v>0.59</v>
      </c>
      <c r="CG164" s="316" t="s">
        <v>586</v>
      </c>
      <c r="CH164" s="316" t="s">
        <v>587</v>
      </c>
      <c r="CI164" s="718">
        <v>0.01</v>
      </c>
    </row>
    <row r="165" spans="1:90" ht="15" x14ac:dyDescent="0.2">
      <c r="A165" s="747" t="s">
        <v>210</v>
      </c>
      <c r="B165" s="469" t="s">
        <v>641</v>
      </c>
      <c r="C165" s="718">
        <v>0.4</v>
      </c>
      <c r="D165" s="469" t="s">
        <v>639</v>
      </c>
      <c r="E165" s="469" t="s">
        <v>640</v>
      </c>
      <c r="F165" s="718">
        <v>0.09</v>
      </c>
      <c r="G165" s="469" t="s">
        <v>637</v>
      </c>
      <c r="H165" s="469" t="s">
        <v>638</v>
      </c>
      <c r="I165" s="718">
        <v>0.01</v>
      </c>
      <c r="J165" s="748">
        <f t="shared" si="220"/>
        <v>0.5</v>
      </c>
      <c r="K165" s="718">
        <v>0.4</v>
      </c>
      <c r="L165" s="316" t="s">
        <v>639</v>
      </c>
      <c r="M165" s="316" t="s">
        <v>640</v>
      </c>
      <c r="N165" s="718">
        <v>0.09</v>
      </c>
      <c r="O165" s="316" t="s">
        <v>637</v>
      </c>
      <c r="P165" s="316" t="s">
        <v>638</v>
      </c>
      <c r="Q165" s="718">
        <v>0.01</v>
      </c>
      <c r="R165" s="728">
        <f t="shared" si="68"/>
        <v>0.5</v>
      </c>
      <c r="S165" s="718">
        <v>0.4</v>
      </c>
      <c r="T165" s="316" t="s">
        <v>639</v>
      </c>
      <c r="U165" s="316" t="s">
        <v>640</v>
      </c>
      <c r="V165" s="718">
        <v>0.09</v>
      </c>
      <c r="W165" s="316" t="s">
        <v>637</v>
      </c>
      <c r="X165" s="316" t="s">
        <v>638</v>
      </c>
      <c r="Y165" s="718">
        <v>0.01</v>
      </c>
      <c r="Z165" s="728">
        <f t="shared" si="99"/>
        <v>0.5</v>
      </c>
      <c r="AA165" s="718">
        <v>0.4</v>
      </c>
      <c r="AB165" s="316" t="s">
        <v>639</v>
      </c>
      <c r="AC165" s="316" t="s">
        <v>640</v>
      </c>
      <c r="AD165" s="718">
        <v>0.09</v>
      </c>
      <c r="AE165" s="316" t="s">
        <v>637</v>
      </c>
      <c r="AF165" s="316" t="s">
        <v>638</v>
      </c>
      <c r="AG165" s="718">
        <v>0.01</v>
      </c>
      <c r="AH165" s="728">
        <f t="shared" si="221"/>
        <v>0.5</v>
      </c>
      <c r="AI165" s="718">
        <v>0.4</v>
      </c>
      <c r="AJ165" s="316" t="s">
        <v>639</v>
      </c>
      <c r="AK165" s="316" t="s">
        <v>640</v>
      </c>
      <c r="AL165" s="718">
        <v>0.09</v>
      </c>
      <c r="AM165" s="316" t="s">
        <v>637</v>
      </c>
      <c r="AN165" s="316" t="s">
        <v>638</v>
      </c>
      <c r="AO165" s="718">
        <v>0.01</v>
      </c>
      <c r="AP165" s="728">
        <f t="shared" si="222"/>
        <v>0.5</v>
      </c>
      <c r="AQ165" s="718">
        <v>0.4</v>
      </c>
      <c r="AR165" s="316" t="s">
        <v>639</v>
      </c>
      <c r="AS165" s="316" t="s">
        <v>640</v>
      </c>
      <c r="AT165" s="718">
        <v>0.09</v>
      </c>
      <c r="AU165" s="316" t="s">
        <v>637</v>
      </c>
      <c r="AV165" s="316" t="s">
        <v>638</v>
      </c>
      <c r="AW165" s="718">
        <v>0.01</v>
      </c>
      <c r="AX165" s="463">
        <f t="shared" si="223"/>
        <v>0.5</v>
      </c>
      <c r="AY165" s="661">
        <v>0.4</v>
      </c>
      <c r="AZ165" s="316" t="s">
        <v>639</v>
      </c>
      <c r="BA165" s="316" t="s">
        <v>640</v>
      </c>
      <c r="BB165" s="463">
        <v>0.09</v>
      </c>
      <c r="BC165" s="316" t="s">
        <v>637</v>
      </c>
      <c r="BD165" s="316" t="s">
        <v>638</v>
      </c>
      <c r="BE165" s="463">
        <v>0.01</v>
      </c>
      <c r="BF165" s="728">
        <f t="shared" si="224"/>
        <v>0.5</v>
      </c>
      <c r="BG165" s="463"/>
      <c r="BH165" s="463">
        <v>0.4</v>
      </c>
      <c r="BI165" s="316" t="s">
        <v>639</v>
      </c>
      <c r="BJ165" s="316" t="s">
        <v>640</v>
      </c>
      <c r="BK165" s="463">
        <v>0.09</v>
      </c>
      <c r="BL165" s="316" t="s">
        <v>637</v>
      </c>
      <c r="BM165" s="316" t="s">
        <v>638</v>
      </c>
      <c r="BN165" s="463">
        <v>0.01</v>
      </c>
      <c r="BO165" s="728">
        <f t="shared" si="225"/>
        <v>0.5</v>
      </c>
      <c r="BP165" s="463">
        <v>0.4</v>
      </c>
      <c r="BQ165" s="316" t="s">
        <v>639</v>
      </c>
      <c r="BR165" s="316" t="s">
        <v>640</v>
      </c>
      <c r="BS165" s="463">
        <v>0.09</v>
      </c>
      <c r="BT165" s="316" t="s">
        <v>637</v>
      </c>
      <c r="BU165" s="316" t="s">
        <v>638</v>
      </c>
      <c r="BV165" s="463">
        <v>0.01</v>
      </c>
      <c r="BW165" s="463">
        <f t="shared" si="226"/>
        <v>0.5</v>
      </c>
      <c r="BX165" s="444"/>
      <c r="BY165" s="444"/>
      <c r="BZ165" s="444"/>
      <c r="CA165" s="434"/>
      <c r="CB165" s="723">
        <v>0.67300000000000004</v>
      </c>
      <c r="CC165" s="668" t="s">
        <v>950</v>
      </c>
      <c r="CD165" s="316" t="s">
        <v>639</v>
      </c>
      <c r="CE165" s="316" t="s">
        <v>640</v>
      </c>
      <c r="CF165" s="718">
        <v>0.59</v>
      </c>
      <c r="CG165" s="316" t="s">
        <v>637</v>
      </c>
      <c r="CH165" s="316" t="s">
        <v>638</v>
      </c>
      <c r="CI165" s="718">
        <v>0.01</v>
      </c>
    </row>
    <row r="166" spans="1:90" ht="15" x14ac:dyDescent="0.2">
      <c r="A166" s="747" t="s">
        <v>214</v>
      </c>
      <c r="B166" s="469" t="s">
        <v>213</v>
      </c>
      <c r="C166" s="718">
        <v>0.4</v>
      </c>
      <c r="D166" s="469" t="s">
        <v>651</v>
      </c>
      <c r="E166" s="469" t="s">
        <v>652</v>
      </c>
      <c r="F166" s="718">
        <v>0.09</v>
      </c>
      <c r="G166" s="469" t="s">
        <v>649</v>
      </c>
      <c r="H166" s="469" t="s">
        <v>1245</v>
      </c>
      <c r="I166" s="718">
        <v>0.01</v>
      </c>
      <c r="J166" s="748">
        <f t="shared" si="220"/>
        <v>0.5</v>
      </c>
      <c r="K166" s="718">
        <v>0.4</v>
      </c>
      <c r="L166" s="316" t="s">
        <v>651</v>
      </c>
      <c r="M166" s="316" t="s">
        <v>652</v>
      </c>
      <c r="N166" s="718">
        <v>0.09</v>
      </c>
      <c r="O166" s="316" t="s">
        <v>649</v>
      </c>
      <c r="P166" s="316" t="s">
        <v>1245</v>
      </c>
      <c r="Q166" s="718">
        <v>0.01</v>
      </c>
      <c r="R166" s="728">
        <f t="shared" ref="R166:R175" si="227">+K166+N166+Q166</f>
        <v>0.5</v>
      </c>
      <c r="S166" s="718">
        <v>0.4</v>
      </c>
      <c r="T166" s="316" t="s">
        <v>651</v>
      </c>
      <c r="U166" s="316" t="s">
        <v>652</v>
      </c>
      <c r="V166" s="718">
        <v>0.09</v>
      </c>
      <c r="W166" s="316" t="s">
        <v>649</v>
      </c>
      <c r="X166" s="316" t="s">
        <v>1245</v>
      </c>
      <c r="Y166" s="718">
        <v>0.01</v>
      </c>
      <c r="Z166" s="728">
        <f t="shared" si="99"/>
        <v>0.5</v>
      </c>
      <c r="AA166" s="718">
        <v>0.4</v>
      </c>
      <c r="AB166" s="316" t="s">
        <v>651</v>
      </c>
      <c r="AC166" s="316" t="s">
        <v>652</v>
      </c>
      <c r="AD166" s="718">
        <v>0.09</v>
      </c>
      <c r="AE166" s="316" t="s">
        <v>649</v>
      </c>
      <c r="AF166" s="316" t="s">
        <v>1245</v>
      </c>
      <c r="AG166" s="718">
        <v>0.01</v>
      </c>
      <c r="AH166" s="728">
        <f t="shared" ref="AH166:AH167" si="228">+AA166+AD166+AG166</f>
        <v>0.5</v>
      </c>
      <c r="AI166" s="718">
        <v>0.4</v>
      </c>
      <c r="AJ166" s="316" t="s">
        <v>651</v>
      </c>
      <c r="AK166" s="316" t="s">
        <v>652</v>
      </c>
      <c r="AL166" s="718">
        <v>0.09</v>
      </c>
      <c r="AM166" s="316" t="s">
        <v>649</v>
      </c>
      <c r="AN166" s="316" t="s">
        <v>1245</v>
      </c>
      <c r="AO166" s="718">
        <v>0.01</v>
      </c>
      <c r="AP166" s="728">
        <f t="shared" ref="AP166:AP167" si="229">+AI166+AL166+AO166</f>
        <v>0.5</v>
      </c>
      <c r="AQ166" s="718">
        <v>0.4</v>
      </c>
      <c r="AR166" s="316" t="s">
        <v>651</v>
      </c>
      <c r="AS166" s="316" t="s">
        <v>652</v>
      </c>
      <c r="AT166" s="718">
        <v>0.33999999999999997</v>
      </c>
      <c r="AU166" s="316" t="s">
        <v>649</v>
      </c>
      <c r="AV166" s="316" t="s">
        <v>1245</v>
      </c>
      <c r="AW166" s="718">
        <v>0.01</v>
      </c>
      <c r="AX166" s="463">
        <f t="shared" ref="AX166:AX167" si="230">+AQ166+AT166+AW166</f>
        <v>0.75</v>
      </c>
      <c r="AY166" s="661">
        <v>0.4</v>
      </c>
      <c r="AZ166" s="316" t="s">
        <v>651</v>
      </c>
      <c r="BA166" s="316" t="s">
        <v>652</v>
      </c>
      <c r="BB166" s="463">
        <v>0.09</v>
      </c>
      <c r="BC166" s="316" t="s">
        <v>649</v>
      </c>
      <c r="BD166" s="316" t="s">
        <v>650</v>
      </c>
      <c r="BE166" s="463">
        <v>0.01</v>
      </c>
      <c r="BF166" s="728">
        <f t="shared" ref="BF166:BF167" si="231">+AY166+BB166+BE166</f>
        <v>0.5</v>
      </c>
      <c r="BG166" s="463"/>
      <c r="BH166" s="463">
        <v>0.4</v>
      </c>
      <c r="BI166" s="316" t="s">
        <v>651</v>
      </c>
      <c r="BJ166" s="316" t="s">
        <v>652</v>
      </c>
      <c r="BK166" s="463">
        <v>0.09</v>
      </c>
      <c r="BL166" s="316" t="s">
        <v>649</v>
      </c>
      <c r="BM166" s="316" t="s">
        <v>650</v>
      </c>
      <c r="BN166" s="463">
        <v>0.01</v>
      </c>
      <c r="BO166" s="728">
        <f t="shared" ref="BO166:BO167" si="232">+BH166+BK166+BN166</f>
        <v>0.5</v>
      </c>
      <c r="BP166" s="463">
        <v>0.4</v>
      </c>
      <c r="BQ166" s="316" t="s">
        <v>651</v>
      </c>
      <c r="BR166" s="316" t="s">
        <v>652</v>
      </c>
      <c r="BS166" s="463">
        <v>0.09</v>
      </c>
      <c r="BT166" s="316" t="s">
        <v>649</v>
      </c>
      <c r="BU166" s="316" t="s">
        <v>650</v>
      </c>
      <c r="BV166" s="463">
        <v>0.01</v>
      </c>
      <c r="BW166" s="463">
        <f t="shared" ref="BW166:BW167" si="233">+BP166+BS166+BV166</f>
        <v>0.5</v>
      </c>
      <c r="BX166" s="444" t="s">
        <v>874</v>
      </c>
      <c r="BY166" s="444"/>
      <c r="BZ166" s="444"/>
      <c r="CA166" s="434"/>
      <c r="CB166" s="723">
        <v>0.66500000000000004</v>
      </c>
      <c r="CC166" s="668" t="s">
        <v>950</v>
      </c>
      <c r="CD166" s="316" t="s">
        <v>651</v>
      </c>
      <c r="CE166" s="316" t="s">
        <v>652</v>
      </c>
      <c r="CF166" s="718">
        <v>0.59</v>
      </c>
      <c r="CG166" s="316" t="s">
        <v>649</v>
      </c>
      <c r="CH166" s="316" t="s">
        <v>650</v>
      </c>
      <c r="CI166" s="718">
        <v>0.01</v>
      </c>
    </row>
    <row r="167" spans="1:90" ht="15" x14ac:dyDescent="0.2">
      <c r="A167" s="747" t="s">
        <v>212</v>
      </c>
      <c r="B167" s="998" t="s">
        <v>211</v>
      </c>
      <c r="C167" s="718">
        <v>0.49</v>
      </c>
      <c r="D167" s="469" t="s">
        <v>514</v>
      </c>
      <c r="E167" s="469" t="s">
        <v>666</v>
      </c>
      <c r="F167" s="718">
        <v>0</v>
      </c>
      <c r="G167" s="469" t="s">
        <v>673</v>
      </c>
      <c r="H167" s="469" t="s">
        <v>674</v>
      </c>
      <c r="I167" s="718">
        <v>0.01</v>
      </c>
      <c r="J167" s="748">
        <f t="shared" si="220"/>
        <v>0.5</v>
      </c>
      <c r="K167" s="718">
        <v>0.49</v>
      </c>
      <c r="L167" s="316" t="s">
        <v>514</v>
      </c>
      <c r="M167" s="316" t="s">
        <v>666</v>
      </c>
      <c r="N167" s="718">
        <v>0</v>
      </c>
      <c r="O167" s="316" t="s">
        <v>673</v>
      </c>
      <c r="P167" s="316" t="s">
        <v>674</v>
      </c>
      <c r="Q167" s="718">
        <v>0.01</v>
      </c>
      <c r="R167" s="728">
        <f t="shared" si="227"/>
        <v>0.5</v>
      </c>
      <c r="S167" s="718">
        <v>0.49</v>
      </c>
      <c r="T167" s="316" t="s">
        <v>514</v>
      </c>
      <c r="U167" s="316" t="s">
        <v>666</v>
      </c>
      <c r="V167" s="718">
        <v>0</v>
      </c>
      <c r="W167" s="316" t="s">
        <v>673</v>
      </c>
      <c r="X167" s="316" t="s">
        <v>674</v>
      </c>
      <c r="Y167" s="718">
        <v>0.01</v>
      </c>
      <c r="Z167" s="728">
        <f t="shared" si="99"/>
        <v>0.5</v>
      </c>
      <c r="AA167" s="718">
        <v>0.49</v>
      </c>
      <c r="AB167" s="316" t="s">
        <v>514</v>
      </c>
      <c r="AC167" s="316" t="s">
        <v>666</v>
      </c>
      <c r="AD167" s="718">
        <v>0</v>
      </c>
      <c r="AE167" s="316" t="s">
        <v>673</v>
      </c>
      <c r="AF167" s="316" t="s">
        <v>674</v>
      </c>
      <c r="AG167" s="718">
        <v>0.01</v>
      </c>
      <c r="AH167" s="728">
        <f t="shared" si="228"/>
        <v>0.5</v>
      </c>
      <c r="AI167" s="718">
        <v>0.49</v>
      </c>
      <c r="AJ167" s="316" t="s">
        <v>514</v>
      </c>
      <c r="AK167" s="316" t="s">
        <v>666</v>
      </c>
      <c r="AL167" s="718">
        <v>0</v>
      </c>
      <c r="AM167" s="316" t="s">
        <v>673</v>
      </c>
      <c r="AN167" s="316" t="s">
        <v>674</v>
      </c>
      <c r="AO167" s="718">
        <v>0.01</v>
      </c>
      <c r="AP167" s="728">
        <f t="shared" si="229"/>
        <v>0.5</v>
      </c>
      <c r="AQ167" s="718">
        <v>0.74</v>
      </c>
      <c r="AR167" s="316" t="s">
        <v>514</v>
      </c>
      <c r="AS167" s="316" t="s">
        <v>666</v>
      </c>
      <c r="AT167" s="718">
        <v>0</v>
      </c>
      <c r="AU167" s="316" t="s">
        <v>673</v>
      </c>
      <c r="AV167" s="316" t="s">
        <v>674</v>
      </c>
      <c r="AW167" s="718">
        <v>0.01</v>
      </c>
      <c r="AX167" s="463">
        <f t="shared" si="230"/>
        <v>0.75</v>
      </c>
      <c r="AY167" s="661">
        <v>0.49</v>
      </c>
      <c r="AZ167" s="316" t="s">
        <v>514</v>
      </c>
      <c r="BA167" s="316" t="s">
        <v>666</v>
      </c>
      <c r="BB167" s="463">
        <v>0</v>
      </c>
      <c r="BC167" s="316" t="s">
        <v>673</v>
      </c>
      <c r="BD167" s="316" t="s">
        <v>674</v>
      </c>
      <c r="BE167" s="463">
        <v>0.01</v>
      </c>
      <c r="BF167" s="728">
        <f t="shared" si="231"/>
        <v>0.5</v>
      </c>
      <c r="BG167" s="463"/>
      <c r="BH167" s="463">
        <v>0.49</v>
      </c>
      <c r="BI167" s="316" t="s">
        <v>514</v>
      </c>
      <c r="BJ167" s="316" t="s">
        <v>666</v>
      </c>
      <c r="BK167" s="463">
        <v>0</v>
      </c>
      <c r="BL167" s="316" t="s">
        <v>673</v>
      </c>
      <c r="BM167" s="316" t="s">
        <v>674</v>
      </c>
      <c r="BN167" s="463">
        <v>0.01</v>
      </c>
      <c r="BO167" s="728">
        <f t="shared" si="232"/>
        <v>0.5</v>
      </c>
      <c r="BP167" s="463">
        <v>0.49</v>
      </c>
      <c r="BQ167" s="316" t="s">
        <v>514</v>
      </c>
      <c r="BR167" s="316" t="s">
        <v>666</v>
      </c>
      <c r="BS167" s="463">
        <v>0</v>
      </c>
      <c r="BT167" s="316" t="s">
        <v>673</v>
      </c>
      <c r="BU167" s="316" t="s">
        <v>674</v>
      </c>
      <c r="BV167" s="463">
        <v>0.01</v>
      </c>
      <c r="BW167" s="463">
        <f t="shared" si="233"/>
        <v>0.5</v>
      </c>
      <c r="BX167" s="444" t="s">
        <v>874</v>
      </c>
      <c r="BY167" s="444"/>
      <c r="BZ167" s="444"/>
      <c r="CA167" s="436" t="s">
        <v>874</v>
      </c>
      <c r="CB167" s="723">
        <v>0.69199999999999995</v>
      </c>
      <c r="CC167" s="668" t="s">
        <v>950</v>
      </c>
      <c r="CD167" s="316" t="s">
        <v>514</v>
      </c>
      <c r="CE167" s="316" t="s">
        <v>666</v>
      </c>
      <c r="CF167" s="718">
        <v>0</v>
      </c>
      <c r="CG167" s="316" t="s">
        <v>673</v>
      </c>
      <c r="CH167" s="316" t="s">
        <v>674</v>
      </c>
      <c r="CI167" s="718">
        <v>0.01</v>
      </c>
    </row>
    <row r="168" spans="1:90" ht="15.75" customHeight="1" x14ac:dyDescent="0.2">
      <c r="A168" s="747" t="s">
        <v>216</v>
      </c>
      <c r="B168" s="469" t="s">
        <v>215</v>
      </c>
      <c r="C168" s="718">
        <v>0.3</v>
      </c>
      <c r="D168" s="469" t="s">
        <v>680</v>
      </c>
      <c r="E168" s="469" t="s">
        <v>681</v>
      </c>
      <c r="F168" s="718">
        <v>0.37</v>
      </c>
      <c r="G168" s="469" t="s">
        <v>514</v>
      </c>
      <c r="H168" s="469" t="s">
        <v>514</v>
      </c>
      <c r="I168" s="718">
        <v>0</v>
      </c>
      <c r="J168" s="748">
        <f t="shared" si="220"/>
        <v>0.66999999999999993</v>
      </c>
      <c r="K168" s="718">
        <v>0.3</v>
      </c>
      <c r="L168" s="316" t="s">
        <v>680</v>
      </c>
      <c r="M168" s="316" t="s">
        <v>681</v>
      </c>
      <c r="N168" s="718">
        <v>0.37</v>
      </c>
      <c r="O168" s="316" t="s">
        <v>514</v>
      </c>
      <c r="P168" s="316" t="s">
        <v>514</v>
      </c>
      <c r="Q168" s="718">
        <v>0</v>
      </c>
      <c r="R168" s="728">
        <f t="shared" si="227"/>
        <v>0.66999999999999993</v>
      </c>
      <c r="S168" s="718">
        <v>0.3</v>
      </c>
      <c r="T168" s="316" t="s">
        <v>680</v>
      </c>
      <c r="U168" s="316" t="s">
        <v>681</v>
      </c>
      <c r="V168" s="718">
        <v>0.37</v>
      </c>
      <c r="W168" s="316" t="s">
        <v>514</v>
      </c>
      <c r="X168" s="316" t="s">
        <v>514</v>
      </c>
      <c r="Y168" s="718">
        <v>0</v>
      </c>
      <c r="Z168" s="728">
        <f t="shared" si="99"/>
        <v>0.66999999999999993</v>
      </c>
      <c r="AA168" s="718">
        <v>0.3</v>
      </c>
      <c r="AB168" s="316" t="s">
        <v>680</v>
      </c>
      <c r="AC168" s="316" t="s">
        <v>681</v>
      </c>
      <c r="AD168" s="718">
        <v>0.37</v>
      </c>
      <c r="AE168" s="316" t="s">
        <v>514</v>
      </c>
      <c r="AF168" s="316" t="s">
        <v>514</v>
      </c>
      <c r="AG168" s="718">
        <v>0</v>
      </c>
      <c r="AH168" s="728">
        <f t="shared" ref="AH168:AH169" si="234">+AA168+AD168+AG168</f>
        <v>0.66999999999999993</v>
      </c>
      <c r="AI168" s="718">
        <v>0.3</v>
      </c>
      <c r="AJ168" s="316" t="s">
        <v>680</v>
      </c>
      <c r="AK168" s="316" t="s">
        <v>681</v>
      </c>
      <c r="AL168" s="718">
        <v>0.37</v>
      </c>
      <c r="AM168" s="316" t="s">
        <v>514</v>
      </c>
      <c r="AN168" s="316" t="s">
        <v>514</v>
      </c>
      <c r="AO168" s="718">
        <v>0</v>
      </c>
      <c r="AP168" s="728">
        <f t="shared" ref="AP168:AP169" si="235">+AI168+AL168+AO168</f>
        <v>0.66999999999999993</v>
      </c>
      <c r="AQ168" s="718">
        <v>0.48</v>
      </c>
      <c r="AR168" s="316" t="s">
        <v>680</v>
      </c>
      <c r="AS168" s="316" t="s">
        <v>681</v>
      </c>
      <c r="AT168" s="718">
        <v>0.27</v>
      </c>
      <c r="AU168" s="316" t="s">
        <v>514</v>
      </c>
      <c r="AV168" s="316" t="s">
        <v>514</v>
      </c>
      <c r="AW168" s="718">
        <v>0</v>
      </c>
      <c r="AX168" s="463">
        <f t="shared" ref="AX168:AX169" si="236">+AQ168+AT168+AW168</f>
        <v>0.75</v>
      </c>
      <c r="AY168" s="661">
        <v>0.64</v>
      </c>
      <c r="AZ168" s="316" t="s">
        <v>680</v>
      </c>
      <c r="BA168" s="316" t="s">
        <v>681</v>
      </c>
      <c r="BB168" s="463">
        <v>0.36</v>
      </c>
      <c r="BC168" s="316" t="s">
        <v>514</v>
      </c>
      <c r="BD168" s="316" t="s">
        <v>514</v>
      </c>
      <c r="BE168" s="463">
        <v>0</v>
      </c>
      <c r="BF168" s="728">
        <f t="shared" ref="BF168:BF169" si="237">+AY168+BB168+BE168</f>
        <v>1</v>
      </c>
      <c r="BG168" s="463"/>
      <c r="BH168" s="463">
        <v>0.3</v>
      </c>
      <c r="BI168" s="316" t="s">
        <v>680</v>
      </c>
      <c r="BJ168" s="316" t="s">
        <v>681</v>
      </c>
      <c r="BK168" s="463">
        <v>0.37</v>
      </c>
      <c r="BL168" s="316" t="s">
        <v>514</v>
      </c>
      <c r="BM168" s="316" t="s">
        <v>514</v>
      </c>
      <c r="BN168" s="463">
        <v>0</v>
      </c>
      <c r="BO168" s="728">
        <f t="shared" ref="BO168:BO169" si="238">+BH168+BK168+BN168</f>
        <v>0.66999999999999993</v>
      </c>
      <c r="BP168" s="463">
        <v>0.3</v>
      </c>
      <c r="BQ168" s="316" t="s">
        <v>680</v>
      </c>
      <c r="BR168" s="316" t="s">
        <v>681</v>
      </c>
      <c r="BS168" s="463">
        <v>0.2</v>
      </c>
      <c r="BT168" s="316" t="s">
        <v>514</v>
      </c>
      <c r="BU168" s="316" t="s">
        <v>514</v>
      </c>
      <c r="BV168" s="463">
        <v>0</v>
      </c>
      <c r="BW168" s="463">
        <f t="shared" ref="BW168:BW169" si="239">+BP168+BS168+BV168</f>
        <v>0.5</v>
      </c>
      <c r="BX168" s="444" t="s">
        <v>874</v>
      </c>
      <c r="BY168" s="444"/>
      <c r="BZ168" s="444"/>
      <c r="CA168" s="436" t="s">
        <v>874</v>
      </c>
      <c r="CB168" s="723">
        <v>0.74399999999999999</v>
      </c>
      <c r="CC168" s="668" t="s">
        <v>950</v>
      </c>
      <c r="CD168" s="316" t="s">
        <v>680</v>
      </c>
      <c r="CE168" s="316" t="s">
        <v>681</v>
      </c>
      <c r="CF168" s="718">
        <v>0.2</v>
      </c>
      <c r="CG168" s="316" t="s">
        <v>514</v>
      </c>
      <c r="CH168" s="316" t="s">
        <v>514</v>
      </c>
      <c r="CI168" s="718">
        <v>0</v>
      </c>
    </row>
    <row r="169" spans="1:90" ht="15.75" customHeight="1" x14ac:dyDescent="0.2">
      <c r="A169" s="747" t="s">
        <v>218</v>
      </c>
      <c r="B169" s="469" t="s">
        <v>217</v>
      </c>
      <c r="C169" s="718">
        <v>0.4</v>
      </c>
      <c r="D169" s="469" t="s">
        <v>563</v>
      </c>
      <c r="E169" s="469" t="s">
        <v>564</v>
      </c>
      <c r="F169" s="718">
        <v>0.09</v>
      </c>
      <c r="G169" s="469" t="s">
        <v>560</v>
      </c>
      <c r="H169" s="469" t="s">
        <v>561</v>
      </c>
      <c r="I169" s="718">
        <v>0.01</v>
      </c>
      <c r="J169" s="748">
        <f t="shared" si="220"/>
        <v>0.5</v>
      </c>
      <c r="K169" s="718">
        <v>0.4</v>
      </c>
      <c r="L169" s="316" t="s">
        <v>563</v>
      </c>
      <c r="M169" s="316" t="s">
        <v>564</v>
      </c>
      <c r="N169" s="718">
        <v>0.09</v>
      </c>
      <c r="O169" s="316" t="s">
        <v>560</v>
      </c>
      <c r="P169" s="316" t="s">
        <v>561</v>
      </c>
      <c r="Q169" s="718">
        <v>0.01</v>
      </c>
      <c r="R169" s="728">
        <f t="shared" si="227"/>
        <v>0.5</v>
      </c>
      <c r="S169" s="718">
        <v>0.4</v>
      </c>
      <c r="T169" s="316" t="s">
        <v>563</v>
      </c>
      <c r="U169" s="316" t="s">
        <v>564</v>
      </c>
      <c r="V169" s="718">
        <v>0.09</v>
      </c>
      <c r="W169" s="316" t="s">
        <v>560</v>
      </c>
      <c r="X169" s="316" t="s">
        <v>561</v>
      </c>
      <c r="Y169" s="718">
        <v>0.01</v>
      </c>
      <c r="Z169" s="728">
        <f t="shared" si="99"/>
        <v>0.5</v>
      </c>
      <c r="AA169" s="718">
        <v>0.4</v>
      </c>
      <c r="AB169" s="316" t="s">
        <v>563</v>
      </c>
      <c r="AC169" s="316" t="s">
        <v>564</v>
      </c>
      <c r="AD169" s="718">
        <v>0.09</v>
      </c>
      <c r="AE169" s="316" t="s">
        <v>560</v>
      </c>
      <c r="AF169" s="316" t="s">
        <v>561</v>
      </c>
      <c r="AG169" s="718">
        <v>0.01</v>
      </c>
      <c r="AH169" s="728">
        <f t="shared" si="234"/>
        <v>0.5</v>
      </c>
      <c r="AI169" s="718">
        <v>0.4</v>
      </c>
      <c r="AJ169" s="316" t="s">
        <v>563</v>
      </c>
      <c r="AK169" s="316" t="s">
        <v>564</v>
      </c>
      <c r="AL169" s="718">
        <v>0.09</v>
      </c>
      <c r="AM169" s="316" t="s">
        <v>560</v>
      </c>
      <c r="AN169" s="316" t="s">
        <v>561</v>
      </c>
      <c r="AO169" s="718">
        <v>0.01</v>
      </c>
      <c r="AP169" s="728">
        <f t="shared" si="235"/>
        <v>0.5</v>
      </c>
      <c r="AQ169" s="718">
        <v>0.4</v>
      </c>
      <c r="AR169" s="316" t="s">
        <v>563</v>
      </c>
      <c r="AS169" s="316" t="s">
        <v>564</v>
      </c>
      <c r="AT169" s="718">
        <v>0.09</v>
      </c>
      <c r="AU169" s="316" t="s">
        <v>560</v>
      </c>
      <c r="AV169" s="316" t="s">
        <v>561</v>
      </c>
      <c r="AW169" s="718">
        <v>0.01</v>
      </c>
      <c r="AX169" s="463">
        <f t="shared" si="236"/>
        <v>0.5</v>
      </c>
      <c r="AY169" s="661">
        <v>0.4</v>
      </c>
      <c r="AZ169" s="316" t="s">
        <v>563</v>
      </c>
      <c r="BA169" s="316" t="s">
        <v>564</v>
      </c>
      <c r="BB169" s="463">
        <v>0.59</v>
      </c>
      <c r="BC169" s="316" t="s">
        <v>560</v>
      </c>
      <c r="BD169" s="316" t="s">
        <v>561</v>
      </c>
      <c r="BE169" s="463">
        <v>0.01</v>
      </c>
      <c r="BF169" s="728">
        <f t="shared" si="237"/>
        <v>1</v>
      </c>
      <c r="BG169" s="463"/>
      <c r="BH169" s="463">
        <v>0.4</v>
      </c>
      <c r="BI169" s="316" t="s">
        <v>563</v>
      </c>
      <c r="BJ169" s="316" t="s">
        <v>564</v>
      </c>
      <c r="BK169" s="463">
        <v>0.09</v>
      </c>
      <c r="BL169" s="316" t="s">
        <v>560</v>
      </c>
      <c r="BM169" s="316" t="s">
        <v>561</v>
      </c>
      <c r="BN169" s="463">
        <v>0.01</v>
      </c>
      <c r="BO169" s="728">
        <f t="shared" si="238"/>
        <v>0.5</v>
      </c>
      <c r="BP169" s="463">
        <v>0.4</v>
      </c>
      <c r="BQ169" s="316" t="s">
        <v>563</v>
      </c>
      <c r="BR169" s="316" t="s">
        <v>564</v>
      </c>
      <c r="BS169" s="463">
        <v>0.09</v>
      </c>
      <c r="BT169" s="316" t="s">
        <v>560</v>
      </c>
      <c r="BU169" s="316" t="s">
        <v>561</v>
      </c>
      <c r="BV169" s="463">
        <v>0.01</v>
      </c>
      <c r="BW169" s="463">
        <f t="shared" si="239"/>
        <v>0.5</v>
      </c>
      <c r="BX169" s="444"/>
      <c r="BY169" s="444"/>
      <c r="BZ169" s="444"/>
      <c r="CA169" s="434"/>
      <c r="CB169" s="723">
        <v>0.64700000000000002</v>
      </c>
      <c r="CC169" s="668" t="s">
        <v>950</v>
      </c>
      <c r="CD169" s="316" t="s">
        <v>563</v>
      </c>
      <c r="CE169" s="316" t="s">
        <v>564</v>
      </c>
      <c r="CF169" s="718">
        <v>0.59</v>
      </c>
      <c r="CG169" s="316" t="s">
        <v>560</v>
      </c>
      <c r="CH169" s="316" t="s">
        <v>561</v>
      </c>
      <c r="CI169" s="718">
        <v>0.01</v>
      </c>
    </row>
    <row r="170" spans="1:90" customFormat="1" ht="15" x14ac:dyDescent="0.2">
      <c r="A170" s="469" t="s">
        <v>220</v>
      </c>
      <c r="B170" s="469" t="s">
        <v>219</v>
      </c>
      <c r="C170" s="718">
        <v>0.4</v>
      </c>
      <c r="D170" s="469" t="s">
        <v>556</v>
      </c>
      <c r="E170" s="469" t="s">
        <v>557</v>
      </c>
      <c r="F170" s="718">
        <v>0.09</v>
      </c>
      <c r="G170" s="469" t="s">
        <v>554</v>
      </c>
      <c r="H170" s="469" t="s">
        <v>555</v>
      </c>
      <c r="I170" s="718">
        <v>0.01</v>
      </c>
      <c r="J170" s="748">
        <f t="shared" si="220"/>
        <v>0.5</v>
      </c>
      <c r="K170" s="718">
        <v>0.4</v>
      </c>
      <c r="L170" s="316" t="s">
        <v>556</v>
      </c>
      <c r="M170" s="316" t="s">
        <v>557</v>
      </c>
      <c r="N170" s="718">
        <v>0.09</v>
      </c>
      <c r="O170" s="316" t="s">
        <v>554</v>
      </c>
      <c r="P170" s="316" t="s">
        <v>555</v>
      </c>
      <c r="Q170" s="718">
        <v>0.01</v>
      </c>
      <c r="R170" s="728">
        <f t="shared" si="227"/>
        <v>0.5</v>
      </c>
      <c r="S170" s="718">
        <v>0.4</v>
      </c>
      <c r="T170" s="316" t="s">
        <v>556</v>
      </c>
      <c r="U170" s="316" t="s">
        <v>557</v>
      </c>
      <c r="V170" s="718">
        <v>0.09</v>
      </c>
      <c r="W170" s="316" t="s">
        <v>554</v>
      </c>
      <c r="X170" s="316" t="s">
        <v>555</v>
      </c>
      <c r="Y170" s="718">
        <v>0.01</v>
      </c>
      <c r="Z170" s="728">
        <f t="shared" si="99"/>
        <v>0.5</v>
      </c>
      <c r="AA170" s="718">
        <v>0.4</v>
      </c>
      <c r="AB170" s="316" t="s">
        <v>556</v>
      </c>
      <c r="AC170" s="316" t="s">
        <v>557</v>
      </c>
      <c r="AD170" s="718">
        <v>0.09</v>
      </c>
      <c r="AE170" s="316" t="s">
        <v>554</v>
      </c>
      <c r="AF170" s="316" t="s">
        <v>555</v>
      </c>
      <c r="AG170" s="718">
        <v>0.01</v>
      </c>
      <c r="AH170" s="728">
        <f t="shared" ref="AH170:AH171" si="240">+AA170+AD170+AG170</f>
        <v>0.5</v>
      </c>
      <c r="AI170" s="718">
        <v>0.4</v>
      </c>
      <c r="AJ170" s="316" t="s">
        <v>556</v>
      </c>
      <c r="AK170" s="316" t="s">
        <v>557</v>
      </c>
      <c r="AL170" s="718">
        <v>0.09</v>
      </c>
      <c r="AM170" s="316" t="s">
        <v>554</v>
      </c>
      <c r="AN170" s="316" t="s">
        <v>555</v>
      </c>
      <c r="AO170" s="718">
        <v>0.01</v>
      </c>
      <c r="AP170" s="728">
        <f t="shared" ref="AP170:AP171" si="241">+AI170+AL170+AO170</f>
        <v>0.5</v>
      </c>
      <c r="AQ170" s="718">
        <v>0.4</v>
      </c>
      <c r="AR170" s="316" t="s">
        <v>556</v>
      </c>
      <c r="AS170" s="316" t="s">
        <v>557</v>
      </c>
      <c r="AT170" s="718">
        <v>0.09</v>
      </c>
      <c r="AU170" s="316" t="s">
        <v>554</v>
      </c>
      <c r="AV170" s="316" t="s">
        <v>555</v>
      </c>
      <c r="AW170" s="718">
        <v>0.01</v>
      </c>
      <c r="AX170" s="463">
        <f t="shared" ref="AX170:AX171" si="242">+AQ170+AT170+AW170</f>
        <v>0.5</v>
      </c>
      <c r="AY170" s="661">
        <v>0.5</v>
      </c>
      <c r="AZ170" s="316" t="s">
        <v>556</v>
      </c>
      <c r="BA170" s="316" t="s">
        <v>557</v>
      </c>
      <c r="BB170" s="463">
        <v>0.49</v>
      </c>
      <c r="BC170" s="316" t="s">
        <v>554</v>
      </c>
      <c r="BD170" s="316" t="s">
        <v>555</v>
      </c>
      <c r="BE170" s="463">
        <v>0.01</v>
      </c>
      <c r="BF170" s="728">
        <f t="shared" ref="BF170:BF171" si="243">+AY170+BB170+BE170</f>
        <v>1</v>
      </c>
      <c r="BG170" s="463"/>
      <c r="BH170" s="463">
        <v>0.4</v>
      </c>
      <c r="BI170" s="316" t="s">
        <v>556</v>
      </c>
      <c r="BJ170" s="316" t="s">
        <v>557</v>
      </c>
      <c r="BK170" s="463">
        <v>0.09</v>
      </c>
      <c r="BL170" s="316" t="s">
        <v>554</v>
      </c>
      <c r="BM170" s="316" t="s">
        <v>555</v>
      </c>
      <c r="BN170" s="463">
        <v>0.01</v>
      </c>
      <c r="BO170" s="728">
        <f t="shared" ref="BO170:BO171" si="244">+BH170+BK170+BN170</f>
        <v>0.5</v>
      </c>
      <c r="BP170" s="463">
        <v>0.4</v>
      </c>
      <c r="BQ170" s="316" t="s">
        <v>556</v>
      </c>
      <c r="BR170" s="316" t="s">
        <v>557</v>
      </c>
      <c r="BS170" s="463">
        <v>0.09</v>
      </c>
      <c r="BT170" s="316" t="s">
        <v>554</v>
      </c>
      <c r="BU170" s="316" t="s">
        <v>555</v>
      </c>
      <c r="BV170" s="463">
        <v>0.01</v>
      </c>
      <c r="BW170" s="463">
        <f t="shared" ref="BW170:BW171" si="245">+BP170+BS170+BV170</f>
        <v>0.5</v>
      </c>
      <c r="BX170" s="444"/>
      <c r="BY170" s="444"/>
      <c r="BZ170" s="444"/>
      <c r="CA170" s="434"/>
      <c r="CB170" s="723">
        <v>0.65600000000000003</v>
      </c>
      <c r="CC170" s="668" t="s">
        <v>950</v>
      </c>
      <c r="CD170" s="316" t="s">
        <v>556</v>
      </c>
      <c r="CE170" s="316" t="s">
        <v>557</v>
      </c>
      <c r="CF170" s="718">
        <v>0.59</v>
      </c>
      <c r="CG170" s="316" t="s">
        <v>554</v>
      </c>
      <c r="CH170" s="316" t="s">
        <v>555</v>
      </c>
      <c r="CI170" s="718">
        <v>0.01</v>
      </c>
      <c r="CK170" s="457"/>
      <c r="CL170" s="457"/>
    </row>
    <row r="171" spans="1:90" s="544" customFormat="1" ht="15.75" customHeight="1" x14ac:dyDescent="0.2">
      <c r="A171" s="754" t="s">
        <v>222</v>
      </c>
      <c r="B171" s="755" t="s">
        <v>602</v>
      </c>
      <c r="C171" s="468">
        <v>0.49</v>
      </c>
      <c r="D171" s="755" t="s">
        <v>514</v>
      </c>
      <c r="E171" s="755" t="s">
        <v>515</v>
      </c>
      <c r="F171" s="720">
        <v>0</v>
      </c>
      <c r="G171" s="755" t="s">
        <v>599</v>
      </c>
      <c r="H171" s="755" t="s">
        <v>600</v>
      </c>
      <c r="I171" s="720">
        <v>0.01</v>
      </c>
      <c r="J171" s="756">
        <f t="shared" si="220"/>
        <v>0.5</v>
      </c>
      <c r="K171" s="468">
        <v>0.49</v>
      </c>
      <c r="L171" s="755" t="s">
        <v>514</v>
      </c>
      <c r="M171" s="755" t="s">
        <v>515</v>
      </c>
      <c r="N171" s="720">
        <v>0</v>
      </c>
      <c r="O171" s="755" t="s">
        <v>599</v>
      </c>
      <c r="P171" s="755" t="s">
        <v>600</v>
      </c>
      <c r="Q171" s="720">
        <v>0.01</v>
      </c>
      <c r="R171" s="756">
        <f t="shared" si="227"/>
        <v>0.5</v>
      </c>
      <c r="S171" s="468">
        <v>0.49</v>
      </c>
      <c r="T171" s="755" t="s">
        <v>514</v>
      </c>
      <c r="U171" s="755" t="s">
        <v>515</v>
      </c>
      <c r="V171" s="720">
        <v>0</v>
      </c>
      <c r="W171" s="755" t="s">
        <v>599</v>
      </c>
      <c r="X171" s="755" t="s">
        <v>600</v>
      </c>
      <c r="Y171" s="720">
        <v>0.01</v>
      </c>
      <c r="Z171" s="756">
        <f t="shared" si="99"/>
        <v>0.5</v>
      </c>
      <c r="AA171" s="468">
        <v>0.49</v>
      </c>
      <c r="AB171" s="755" t="s">
        <v>514</v>
      </c>
      <c r="AC171" s="755" t="s">
        <v>515</v>
      </c>
      <c r="AD171" s="720">
        <v>0</v>
      </c>
      <c r="AE171" s="755" t="s">
        <v>599</v>
      </c>
      <c r="AF171" s="755" t="s">
        <v>600</v>
      </c>
      <c r="AG171" s="720">
        <v>0.01</v>
      </c>
      <c r="AH171" s="756">
        <f t="shared" si="240"/>
        <v>0.5</v>
      </c>
      <c r="AI171" s="468">
        <v>0.49</v>
      </c>
      <c r="AJ171" s="755" t="s">
        <v>514</v>
      </c>
      <c r="AK171" s="755" t="s">
        <v>515</v>
      </c>
      <c r="AL171" s="720">
        <v>0</v>
      </c>
      <c r="AM171" s="755" t="s">
        <v>599</v>
      </c>
      <c r="AN171" s="755" t="s">
        <v>600</v>
      </c>
      <c r="AO171" s="720">
        <v>0.01</v>
      </c>
      <c r="AP171" s="756">
        <f t="shared" si="241"/>
        <v>0.5</v>
      </c>
      <c r="AQ171" s="468">
        <v>0.49</v>
      </c>
      <c r="AR171" s="755" t="s">
        <v>514</v>
      </c>
      <c r="AS171" s="755" t="s">
        <v>515</v>
      </c>
      <c r="AT171" s="720">
        <v>0</v>
      </c>
      <c r="AU171" s="755" t="s">
        <v>599</v>
      </c>
      <c r="AV171" s="755" t="s">
        <v>600</v>
      </c>
      <c r="AW171" s="720">
        <v>0.01</v>
      </c>
      <c r="AX171" s="721">
        <f t="shared" si="242"/>
        <v>0.5</v>
      </c>
      <c r="AY171" s="757">
        <v>0.49</v>
      </c>
      <c r="AZ171" s="755" t="s">
        <v>514</v>
      </c>
      <c r="BA171" s="755" t="s">
        <v>515</v>
      </c>
      <c r="BB171" s="720">
        <v>0</v>
      </c>
      <c r="BC171" s="755" t="s">
        <v>599</v>
      </c>
      <c r="BD171" s="755" t="s">
        <v>600</v>
      </c>
      <c r="BE171" s="720">
        <v>0.01</v>
      </c>
      <c r="BF171" s="756">
        <f t="shared" si="243"/>
        <v>0.5</v>
      </c>
      <c r="BG171" s="721"/>
      <c r="BH171" s="720">
        <v>0.49</v>
      </c>
      <c r="BI171" s="755" t="s">
        <v>514</v>
      </c>
      <c r="BJ171" s="755" t="s">
        <v>515</v>
      </c>
      <c r="BK171" s="720">
        <v>0</v>
      </c>
      <c r="BL171" s="755" t="s">
        <v>599</v>
      </c>
      <c r="BM171" s="755" t="s">
        <v>600</v>
      </c>
      <c r="BN171" s="720">
        <v>0.01</v>
      </c>
      <c r="BO171" s="756">
        <f t="shared" si="244"/>
        <v>0.5</v>
      </c>
      <c r="BP171" s="720">
        <v>0.49</v>
      </c>
      <c r="BQ171" s="755" t="s">
        <v>514</v>
      </c>
      <c r="BR171" s="755" t="s">
        <v>515</v>
      </c>
      <c r="BS171" s="720">
        <v>0</v>
      </c>
      <c r="BT171" s="755" t="s">
        <v>599</v>
      </c>
      <c r="BU171" s="755" t="s">
        <v>600</v>
      </c>
      <c r="BV171" s="720">
        <v>0.01</v>
      </c>
      <c r="BW171" s="721">
        <f t="shared" si="245"/>
        <v>0.5</v>
      </c>
      <c r="BX171" s="720" t="s">
        <v>874</v>
      </c>
      <c r="BY171" s="720"/>
      <c r="BZ171" s="720"/>
      <c r="CA171" s="758" t="s">
        <v>874</v>
      </c>
      <c r="CB171" s="723">
        <v>0.65600000000000003</v>
      </c>
      <c r="CC171" s="751" t="s">
        <v>950</v>
      </c>
      <c r="CD171" s="755" t="s">
        <v>514</v>
      </c>
      <c r="CE171" s="755" t="s">
        <v>515</v>
      </c>
      <c r="CF171" s="718">
        <v>0</v>
      </c>
      <c r="CG171" s="755" t="s">
        <v>599</v>
      </c>
      <c r="CH171" s="755" t="s">
        <v>600</v>
      </c>
      <c r="CI171" s="720">
        <v>0.01</v>
      </c>
      <c r="CK171" s="457"/>
      <c r="CL171" s="457"/>
    </row>
    <row r="172" spans="1:90" ht="15.75" customHeight="1" x14ac:dyDescent="0.2">
      <c r="A172" s="747" t="s">
        <v>224</v>
      </c>
      <c r="B172" s="469" t="s">
        <v>223</v>
      </c>
      <c r="C172" s="718">
        <v>0.4</v>
      </c>
      <c r="D172" s="469" t="s">
        <v>596</v>
      </c>
      <c r="E172" s="469" t="s">
        <v>597</v>
      </c>
      <c r="F172" s="718">
        <v>0.1</v>
      </c>
      <c r="G172" s="469" t="s">
        <v>514</v>
      </c>
      <c r="H172" s="469" t="s">
        <v>552</v>
      </c>
      <c r="I172" s="718">
        <v>0</v>
      </c>
      <c r="J172" s="748">
        <f t="shared" si="220"/>
        <v>0.5</v>
      </c>
      <c r="K172" s="718">
        <v>0.4</v>
      </c>
      <c r="L172" s="316" t="s">
        <v>596</v>
      </c>
      <c r="M172" s="316" t="s">
        <v>597</v>
      </c>
      <c r="N172" s="718">
        <v>0.1</v>
      </c>
      <c r="O172" s="316" t="s">
        <v>514</v>
      </c>
      <c r="P172" s="316" t="s">
        <v>552</v>
      </c>
      <c r="Q172" s="718">
        <v>0</v>
      </c>
      <c r="R172" s="728">
        <f t="shared" si="227"/>
        <v>0.5</v>
      </c>
      <c r="S172" s="718">
        <v>0.4</v>
      </c>
      <c r="T172" s="316" t="s">
        <v>596</v>
      </c>
      <c r="U172" s="316" t="s">
        <v>597</v>
      </c>
      <c r="V172" s="718">
        <v>0.1</v>
      </c>
      <c r="W172" s="316" t="s">
        <v>514</v>
      </c>
      <c r="X172" s="316" t="s">
        <v>552</v>
      </c>
      <c r="Y172" s="718">
        <v>0</v>
      </c>
      <c r="Z172" s="728">
        <f t="shared" si="99"/>
        <v>0.5</v>
      </c>
      <c r="AA172" s="718">
        <v>0.4</v>
      </c>
      <c r="AB172" s="316" t="s">
        <v>596</v>
      </c>
      <c r="AC172" s="316" t="s">
        <v>597</v>
      </c>
      <c r="AD172" s="718">
        <v>0.1</v>
      </c>
      <c r="AE172" s="316" t="s">
        <v>514</v>
      </c>
      <c r="AF172" s="316" t="s">
        <v>552</v>
      </c>
      <c r="AG172" s="718">
        <v>0</v>
      </c>
      <c r="AH172" s="728">
        <f t="shared" ref="AH172:AH173" si="246">+AA172+AD172+AG172</f>
        <v>0.5</v>
      </c>
      <c r="AI172" s="718">
        <v>0.4</v>
      </c>
      <c r="AJ172" s="316" t="s">
        <v>596</v>
      </c>
      <c r="AK172" s="316" t="s">
        <v>597</v>
      </c>
      <c r="AL172" s="718">
        <v>0.1</v>
      </c>
      <c r="AM172" s="316" t="s">
        <v>514</v>
      </c>
      <c r="AN172" s="316" t="s">
        <v>552</v>
      </c>
      <c r="AO172" s="718">
        <v>0</v>
      </c>
      <c r="AP172" s="728">
        <f t="shared" ref="AP172:AP173" si="247">+AI172+AL172+AO172</f>
        <v>0.5</v>
      </c>
      <c r="AQ172" s="718">
        <v>0.35</v>
      </c>
      <c r="AR172" s="316" t="s">
        <v>596</v>
      </c>
      <c r="AS172" s="316" t="s">
        <v>597</v>
      </c>
      <c r="AT172" s="718">
        <v>0.4</v>
      </c>
      <c r="AU172" s="316" t="s">
        <v>514</v>
      </c>
      <c r="AV172" s="316" t="s">
        <v>552</v>
      </c>
      <c r="AW172" s="718">
        <v>0</v>
      </c>
      <c r="AX172" s="463">
        <f t="shared" ref="AX172:AX173" si="248">+AQ172+AT172+AW172</f>
        <v>0.75</v>
      </c>
      <c r="AY172" s="661">
        <v>0.4</v>
      </c>
      <c r="AZ172" s="316" t="s">
        <v>596</v>
      </c>
      <c r="BA172" s="316" t="s">
        <v>597</v>
      </c>
      <c r="BB172" s="463">
        <v>0.1</v>
      </c>
      <c r="BC172" s="316" t="s">
        <v>514</v>
      </c>
      <c r="BD172" s="316" t="s">
        <v>552</v>
      </c>
      <c r="BE172" s="463">
        <v>0</v>
      </c>
      <c r="BF172" s="728">
        <f t="shared" ref="BF172:BF173" si="249">+AY172+BB172+BE172</f>
        <v>0.5</v>
      </c>
      <c r="BG172" s="463"/>
      <c r="BH172" s="463">
        <v>0.4</v>
      </c>
      <c r="BI172" s="316" t="s">
        <v>596</v>
      </c>
      <c r="BJ172" s="316" t="s">
        <v>597</v>
      </c>
      <c r="BK172" s="463">
        <v>0.1</v>
      </c>
      <c r="BL172" s="316" t="s">
        <v>514</v>
      </c>
      <c r="BM172" s="316" t="s">
        <v>552</v>
      </c>
      <c r="BN172" s="463">
        <v>0</v>
      </c>
      <c r="BO172" s="728">
        <f t="shared" ref="BO172:BO173" si="250">+BH172+BK172+BN172</f>
        <v>0.5</v>
      </c>
      <c r="BP172" s="463">
        <v>0.4</v>
      </c>
      <c r="BQ172" s="316" t="s">
        <v>596</v>
      </c>
      <c r="BR172" s="316" t="s">
        <v>597</v>
      </c>
      <c r="BS172" s="463">
        <v>0.1</v>
      </c>
      <c r="BT172" s="316" t="s">
        <v>514</v>
      </c>
      <c r="BU172" s="316" t="s">
        <v>552</v>
      </c>
      <c r="BV172" s="463">
        <v>0</v>
      </c>
      <c r="BW172" s="463">
        <f t="shared" ref="BW172:BW173" si="251">+BP172+BS172+BV172</f>
        <v>0.5</v>
      </c>
      <c r="BX172" s="444"/>
      <c r="BY172" s="444"/>
      <c r="BZ172" s="444"/>
      <c r="CA172" s="435"/>
      <c r="CB172" s="723">
        <v>0.70699999999999996</v>
      </c>
      <c r="CC172" s="668" t="s">
        <v>950</v>
      </c>
      <c r="CD172" s="316" t="s">
        <v>596</v>
      </c>
      <c r="CE172" s="316" t="s">
        <v>597</v>
      </c>
      <c r="CF172" s="718">
        <v>0.6</v>
      </c>
      <c r="CG172" s="316" t="s">
        <v>514</v>
      </c>
      <c r="CH172" s="316" t="s">
        <v>552</v>
      </c>
      <c r="CI172" s="718">
        <v>0</v>
      </c>
    </row>
    <row r="173" spans="1:90" customFormat="1" ht="15" x14ac:dyDescent="0.2">
      <c r="A173" s="469" t="s">
        <v>226</v>
      </c>
      <c r="B173" s="469" t="s">
        <v>225</v>
      </c>
      <c r="C173" s="718">
        <v>0.4</v>
      </c>
      <c r="D173" s="469" t="s">
        <v>625</v>
      </c>
      <c r="E173" s="469" t="s">
        <v>626</v>
      </c>
      <c r="F173" s="718">
        <v>0.1</v>
      </c>
      <c r="G173" s="469" t="s">
        <v>514</v>
      </c>
      <c r="H173" s="469" t="s">
        <v>552</v>
      </c>
      <c r="I173" s="718">
        <v>0</v>
      </c>
      <c r="J173" s="748">
        <f t="shared" si="220"/>
        <v>0.5</v>
      </c>
      <c r="K173" s="718">
        <v>0.4</v>
      </c>
      <c r="L173" s="316" t="s">
        <v>625</v>
      </c>
      <c r="M173" s="316" t="s">
        <v>626</v>
      </c>
      <c r="N173" s="718">
        <v>0.1</v>
      </c>
      <c r="O173" s="316" t="s">
        <v>514</v>
      </c>
      <c r="P173" s="316" t="s">
        <v>552</v>
      </c>
      <c r="Q173" s="718">
        <v>0</v>
      </c>
      <c r="R173" s="728">
        <f t="shared" si="227"/>
        <v>0.5</v>
      </c>
      <c r="S173" s="718">
        <v>0.4</v>
      </c>
      <c r="T173" s="316" t="s">
        <v>625</v>
      </c>
      <c r="U173" s="316" t="s">
        <v>626</v>
      </c>
      <c r="V173" s="718">
        <v>0.1</v>
      </c>
      <c r="W173" s="316" t="s">
        <v>514</v>
      </c>
      <c r="X173" s="316" t="s">
        <v>552</v>
      </c>
      <c r="Y173" s="718">
        <v>0</v>
      </c>
      <c r="Z173" s="728">
        <f t="shared" si="99"/>
        <v>0.5</v>
      </c>
      <c r="AA173" s="718">
        <v>0.4</v>
      </c>
      <c r="AB173" s="316" t="s">
        <v>625</v>
      </c>
      <c r="AC173" s="316" t="s">
        <v>626</v>
      </c>
      <c r="AD173" s="718">
        <v>0.1</v>
      </c>
      <c r="AE173" s="316" t="s">
        <v>514</v>
      </c>
      <c r="AF173" s="316" t="s">
        <v>552</v>
      </c>
      <c r="AG173" s="718">
        <v>0</v>
      </c>
      <c r="AH173" s="728">
        <f t="shared" si="246"/>
        <v>0.5</v>
      </c>
      <c r="AI173" s="718">
        <v>0.4</v>
      </c>
      <c r="AJ173" s="316" t="s">
        <v>625</v>
      </c>
      <c r="AK173" s="316" t="s">
        <v>626</v>
      </c>
      <c r="AL173" s="718">
        <v>0.1</v>
      </c>
      <c r="AM173" s="316" t="s">
        <v>514</v>
      </c>
      <c r="AN173" s="316" t="s">
        <v>552</v>
      </c>
      <c r="AO173" s="718">
        <v>0</v>
      </c>
      <c r="AP173" s="728">
        <f t="shared" si="247"/>
        <v>0.5</v>
      </c>
      <c r="AQ173" s="718">
        <v>0.4</v>
      </c>
      <c r="AR173" s="316" t="s">
        <v>625</v>
      </c>
      <c r="AS173" s="316" t="s">
        <v>626</v>
      </c>
      <c r="AT173" s="718">
        <v>0.1</v>
      </c>
      <c r="AU173" s="316" t="s">
        <v>514</v>
      </c>
      <c r="AV173" s="316" t="s">
        <v>552</v>
      </c>
      <c r="AW173" s="718">
        <v>0</v>
      </c>
      <c r="AX173" s="463">
        <f t="shared" si="248"/>
        <v>0.5</v>
      </c>
      <c r="AY173" s="661">
        <v>0.6</v>
      </c>
      <c r="AZ173" s="316" t="s">
        <v>625</v>
      </c>
      <c r="BA173" s="316" t="s">
        <v>626</v>
      </c>
      <c r="BB173" s="463">
        <v>0.4</v>
      </c>
      <c r="BC173" s="316" t="s">
        <v>514</v>
      </c>
      <c r="BD173" s="316" t="s">
        <v>552</v>
      </c>
      <c r="BE173" s="463">
        <v>0</v>
      </c>
      <c r="BF173" s="728">
        <f t="shared" si="249"/>
        <v>1</v>
      </c>
      <c r="BG173" s="463"/>
      <c r="BH173" s="463">
        <v>0.4</v>
      </c>
      <c r="BI173" s="316" t="s">
        <v>625</v>
      </c>
      <c r="BJ173" s="316" t="s">
        <v>626</v>
      </c>
      <c r="BK173" s="463">
        <v>0.1</v>
      </c>
      <c r="BL173" s="316" t="s">
        <v>514</v>
      </c>
      <c r="BM173" s="316" t="s">
        <v>552</v>
      </c>
      <c r="BN173" s="463">
        <v>0</v>
      </c>
      <c r="BO173" s="728">
        <f t="shared" si="250"/>
        <v>0.5</v>
      </c>
      <c r="BP173" s="463">
        <v>0.4</v>
      </c>
      <c r="BQ173" s="316" t="s">
        <v>625</v>
      </c>
      <c r="BR173" s="316" t="s">
        <v>626</v>
      </c>
      <c r="BS173" s="463">
        <v>0.1</v>
      </c>
      <c r="BT173" s="316" t="s">
        <v>514</v>
      </c>
      <c r="BU173" s="316" t="s">
        <v>552</v>
      </c>
      <c r="BV173" s="463">
        <v>0</v>
      </c>
      <c r="BW173" s="463">
        <f t="shared" si="251"/>
        <v>0.5</v>
      </c>
      <c r="BX173" s="444"/>
      <c r="BY173" s="444"/>
      <c r="BZ173" s="444"/>
      <c r="CA173" s="435"/>
      <c r="CB173" s="723">
        <v>0.66200000000000003</v>
      </c>
      <c r="CC173" s="668" t="s">
        <v>950</v>
      </c>
      <c r="CD173" s="316" t="s">
        <v>625</v>
      </c>
      <c r="CE173" s="316" t="s">
        <v>626</v>
      </c>
      <c r="CF173" s="718">
        <v>0.6</v>
      </c>
      <c r="CG173" s="316" t="s">
        <v>514</v>
      </c>
      <c r="CH173" s="316" t="s">
        <v>552</v>
      </c>
      <c r="CI173" s="718">
        <v>0</v>
      </c>
      <c r="CK173" s="457"/>
      <c r="CL173" s="457"/>
    </row>
    <row r="174" spans="1:90" s="544" customFormat="1" x14ac:dyDescent="0.2">
      <c r="A174" s="754" t="s">
        <v>228</v>
      </c>
      <c r="B174" s="755" t="s">
        <v>603</v>
      </c>
      <c r="C174" s="468">
        <v>0.49</v>
      </c>
      <c r="D174" s="755" t="s">
        <v>514</v>
      </c>
      <c r="E174" s="755" t="s">
        <v>515</v>
      </c>
      <c r="F174" s="720">
        <v>0</v>
      </c>
      <c r="G174" s="755" t="s">
        <v>599</v>
      </c>
      <c r="H174" s="755" t="s">
        <v>600</v>
      </c>
      <c r="I174" s="720">
        <v>0.01</v>
      </c>
      <c r="J174" s="756">
        <f t="shared" si="220"/>
        <v>0.5</v>
      </c>
      <c r="K174" s="468">
        <v>0.49</v>
      </c>
      <c r="L174" s="755" t="s">
        <v>514</v>
      </c>
      <c r="M174" s="755" t="s">
        <v>515</v>
      </c>
      <c r="N174" s="720">
        <v>0</v>
      </c>
      <c r="O174" s="755" t="s">
        <v>599</v>
      </c>
      <c r="P174" s="755" t="s">
        <v>600</v>
      </c>
      <c r="Q174" s="720">
        <v>0.01</v>
      </c>
      <c r="R174" s="756">
        <f t="shared" si="227"/>
        <v>0.5</v>
      </c>
      <c r="S174" s="468">
        <v>0.49</v>
      </c>
      <c r="T174" s="755" t="s">
        <v>514</v>
      </c>
      <c r="U174" s="755" t="s">
        <v>515</v>
      </c>
      <c r="V174" s="720">
        <v>0</v>
      </c>
      <c r="W174" s="755" t="s">
        <v>599</v>
      </c>
      <c r="X174" s="755" t="s">
        <v>600</v>
      </c>
      <c r="Y174" s="720">
        <v>0.01</v>
      </c>
      <c r="Z174" s="756">
        <f t="shared" si="99"/>
        <v>0.5</v>
      </c>
      <c r="AA174" s="468">
        <v>0.49</v>
      </c>
      <c r="AB174" s="755" t="s">
        <v>514</v>
      </c>
      <c r="AC174" s="755" t="s">
        <v>515</v>
      </c>
      <c r="AD174" s="720">
        <v>0</v>
      </c>
      <c r="AE174" s="755" t="s">
        <v>599</v>
      </c>
      <c r="AF174" s="755" t="s">
        <v>600</v>
      </c>
      <c r="AG174" s="720">
        <v>0.01</v>
      </c>
      <c r="AH174" s="756">
        <f t="shared" ref="AH174:AH175" si="252">+AA174+AD174+AG174</f>
        <v>0.5</v>
      </c>
      <c r="AI174" s="468">
        <v>0.49</v>
      </c>
      <c r="AJ174" s="755" t="s">
        <v>514</v>
      </c>
      <c r="AK174" s="755" t="s">
        <v>515</v>
      </c>
      <c r="AL174" s="720">
        <v>0</v>
      </c>
      <c r="AM174" s="755" t="s">
        <v>599</v>
      </c>
      <c r="AN174" s="755" t="s">
        <v>600</v>
      </c>
      <c r="AO174" s="720">
        <v>0.01</v>
      </c>
      <c r="AP174" s="756">
        <f t="shared" ref="AP174:AP175" si="253">+AI174+AL174+AO174</f>
        <v>0.5</v>
      </c>
      <c r="AQ174" s="468">
        <v>0.49</v>
      </c>
      <c r="AR174" s="755" t="s">
        <v>514</v>
      </c>
      <c r="AS174" s="755" t="s">
        <v>515</v>
      </c>
      <c r="AT174" s="720">
        <v>0</v>
      </c>
      <c r="AU174" s="755" t="s">
        <v>599</v>
      </c>
      <c r="AV174" s="755" t="s">
        <v>600</v>
      </c>
      <c r="AW174" s="720">
        <v>0.01</v>
      </c>
      <c r="AX174" s="721">
        <f t="shared" ref="AX174:AX175" si="254">+AQ174+AT174+AW174</f>
        <v>0.5</v>
      </c>
      <c r="AY174" s="757">
        <v>0.99</v>
      </c>
      <c r="AZ174" s="755" t="s">
        <v>514</v>
      </c>
      <c r="BA174" s="755" t="s">
        <v>515</v>
      </c>
      <c r="BB174" s="720">
        <v>0</v>
      </c>
      <c r="BC174" s="755" t="s">
        <v>599</v>
      </c>
      <c r="BD174" s="755" t="s">
        <v>600</v>
      </c>
      <c r="BE174" s="720">
        <v>0.01</v>
      </c>
      <c r="BF174" s="756">
        <f t="shared" ref="BF174:BF175" si="255">+AY174+BB174+BE174</f>
        <v>1</v>
      </c>
      <c r="BG174" s="721"/>
      <c r="BH174" s="720">
        <v>0.49</v>
      </c>
      <c r="BI174" s="755" t="s">
        <v>514</v>
      </c>
      <c r="BJ174" s="755" t="s">
        <v>515</v>
      </c>
      <c r="BK174" s="720">
        <v>0</v>
      </c>
      <c r="BL174" s="755" t="s">
        <v>599</v>
      </c>
      <c r="BM174" s="755" t="s">
        <v>600</v>
      </c>
      <c r="BN174" s="720">
        <v>0.01</v>
      </c>
      <c r="BO174" s="756">
        <f t="shared" ref="BO174:BO175" si="256">+BH174+BK174+BN174</f>
        <v>0.5</v>
      </c>
      <c r="BP174" s="720">
        <v>0.49</v>
      </c>
      <c r="BQ174" s="755" t="s">
        <v>514</v>
      </c>
      <c r="BR174" s="755" t="s">
        <v>515</v>
      </c>
      <c r="BS174" s="720">
        <v>0</v>
      </c>
      <c r="BT174" s="755" t="s">
        <v>599</v>
      </c>
      <c r="BU174" s="755" t="s">
        <v>600</v>
      </c>
      <c r="BV174" s="720">
        <v>0.01</v>
      </c>
      <c r="BW174" s="721">
        <f t="shared" ref="BW174:BW175" si="257">+BP174+BS174+BV174</f>
        <v>0.5</v>
      </c>
      <c r="BX174" s="720" t="s">
        <v>874</v>
      </c>
      <c r="BY174" s="468" t="s">
        <v>874</v>
      </c>
      <c r="BZ174" s="468"/>
      <c r="CA174" s="758" t="s">
        <v>874</v>
      </c>
      <c r="CB174" s="723">
        <v>0.65800000000000003</v>
      </c>
      <c r="CC174" s="751" t="s">
        <v>950</v>
      </c>
      <c r="CD174" s="755" t="s">
        <v>514</v>
      </c>
      <c r="CE174" s="755" t="s">
        <v>515</v>
      </c>
      <c r="CF174" s="718">
        <v>0</v>
      </c>
      <c r="CG174" s="755" t="s">
        <v>599</v>
      </c>
      <c r="CH174" s="755" t="s">
        <v>600</v>
      </c>
      <c r="CI174" s="720">
        <v>0.01</v>
      </c>
      <c r="CK174" s="457"/>
      <c r="CL174" s="457"/>
    </row>
    <row r="175" spans="1:90" ht="15" x14ac:dyDescent="0.2">
      <c r="A175" s="747" t="s">
        <v>230</v>
      </c>
      <c r="B175" s="469" t="s">
        <v>229</v>
      </c>
      <c r="C175" s="718">
        <v>0.4</v>
      </c>
      <c r="D175" s="469" t="s">
        <v>627</v>
      </c>
      <c r="E175" s="469" t="s">
        <v>628</v>
      </c>
      <c r="F175" s="718">
        <v>0.1</v>
      </c>
      <c r="G175" s="469" t="s">
        <v>514</v>
      </c>
      <c r="H175" s="469" t="s">
        <v>552</v>
      </c>
      <c r="I175" s="718">
        <v>0</v>
      </c>
      <c r="J175" s="748">
        <f t="shared" si="220"/>
        <v>0.5</v>
      </c>
      <c r="K175" s="718">
        <v>0.4</v>
      </c>
      <c r="L175" s="316" t="s">
        <v>627</v>
      </c>
      <c r="M175" s="316" t="s">
        <v>628</v>
      </c>
      <c r="N175" s="718">
        <v>0.1</v>
      </c>
      <c r="O175" s="316" t="s">
        <v>514</v>
      </c>
      <c r="P175" s="316" t="s">
        <v>552</v>
      </c>
      <c r="Q175" s="718">
        <v>0</v>
      </c>
      <c r="R175" s="728">
        <f t="shared" si="227"/>
        <v>0.5</v>
      </c>
      <c r="S175" s="718">
        <v>0.4</v>
      </c>
      <c r="T175" s="316" t="s">
        <v>627</v>
      </c>
      <c r="U175" s="316" t="s">
        <v>628</v>
      </c>
      <c r="V175" s="718">
        <v>0.1</v>
      </c>
      <c r="W175" s="316" t="s">
        <v>514</v>
      </c>
      <c r="X175" s="316" t="s">
        <v>552</v>
      </c>
      <c r="Y175" s="718">
        <v>0</v>
      </c>
      <c r="Z175" s="728">
        <f t="shared" si="99"/>
        <v>0.5</v>
      </c>
      <c r="AA175" s="718">
        <v>0.4</v>
      </c>
      <c r="AB175" s="316" t="s">
        <v>627</v>
      </c>
      <c r="AC175" s="316" t="s">
        <v>628</v>
      </c>
      <c r="AD175" s="718">
        <v>0.1</v>
      </c>
      <c r="AE175" s="316" t="s">
        <v>514</v>
      </c>
      <c r="AF175" s="316" t="s">
        <v>552</v>
      </c>
      <c r="AG175" s="718">
        <v>0</v>
      </c>
      <c r="AH175" s="728">
        <f t="shared" si="252"/>
        <v>0.5</v>
      </c>
      <c r="AI175" s="718">
        <v>0.4</v>
      </c>
      <c r="AJ175" s="316" t="s">
        <v>627</v>
      </c>
      <c r="AK175" s="316" t="s">
        <v>628</v>
      </c>
      <c r="AL175" s="718">
        <v>0.1</v>
      </c>
      <c r="AM175" s="316" t="s">
        <v>514</v>
      </c>
      <c r="AN175" s="316" t="s">
        <v>552</v>
      </c>
      <c r="AO175" s="718">
        <v>0</v>
      </c>
      <c r="AP175" s="728">
        <f t="shared" si="253"/>
        <v>0.5</v>
      </c>
      <c r="AQ175" s="718">
        <v>0.42499999999999999</v>
      </c>
      <c r="AR175" s="316" t="s">
        <v>627</v>
      </c>
      <c r="AS175" s="316" t="s">
        <v>628</v>
      </c>
      <c r="AT175" s="718">
        <v>0.32500000000000001</v>
      </c>
      <c r="AU175" s="316" t="s">
        <v>514</v>
      </c>
      <c r="AV175" s="316" t="s">
        <v>552</v>
      </c>
      <c r="AW175" s="718">
        <v>0</v>
      </c>
      <c r="AX175" s="463">
        <f t="shared" si="254"/>
        <v>0.75</v>
      </c>
      <c r="AY175" s="661">
        <v>0.4</v>
      </c>
      <c r="AZ175" s="316" t="s">
        <v>627</v>
      </c>
      <c r="BA175" s="316" t="s">
        <v>628</v>
      </c>
      <c r="BB175" s="463">
        <v>0.1</v>
      </c>
      <c r="BC175" s="316" t="s">
        <v>514</v>
      </c>
      <c r="BD175" s="316" t="s">
        <v>552</v>
      </c>
      <c r="BE175" s="463">
        <v>0</v>
      </c>
      <c r="BF175" s="728">
        <f t="shared" si="255"/>
        <v>0.5</v>
      </c>
      <c r="BG175" s="463"/>
      <c r="BH175" s="463">
        <v>0.4</v>
      </c>
      <c r="BI175" s="316" t="s">
        <v>627</v>
      </c>
      <c r="BJ175" s="316" t="s">
        <v>628</v>
      </c>
      <c r="BK175" s="463">
        <v>0.1</v>
      </c>
      <c r="BL175" s="316" t="s">
        <v>514</v>
      </c>
      <c r="BM175" s="316" t="s">
        <v>552</v>
      </c>
      <c r="BN175" s="463">
        <v>0</v>
      </c>
      <c r="BO175" s="728">
        <f t="shared" si="256"/>
        <v>0.5</v>
      </c>
      <c r="BP175" s="463">
        <v>0.4</v>
      </c>
      <c r="BQ175" s="316" t="s">
        <v>627</v>
      </c>
      <c r="BR175" s="316" t="s">
        <v>628</v>
      </c>
      <c r="BS175" s="463">
        <v>0.1</v>
      </c>
      <c r="BT175" s="316" t="s">
        <v>514</v>
      </c>
      <c r="BU175" s="316" t="s">
        <v>552</v>
      </c>
      <c r="BV175" s="463">
        <v>0</v>
      </c>
      <c r="BW175" s="463">
        <f t="shared" si="257"/>
        <v>0.5</v>
      </c>
      <c r="BX175" s="444" t="s">
        <v>874</v>
      </c>
      <c r="BY175" s="444"/>
      <c r="BZ175" s="444"/>
      <c r="CA175" s="434"/>
      <c r="CB175" s="723">
        <v>0.63</v>
      </c>
      <c r="CC175" s="668" t="s">
        <v>950</v>
      </c>
      <c r="CD175" s="316" t="s">
        <v>627</v>
      </c>
      <c r="CE175" s="316" t="s">
        <v>628</v>
      </c>
      <c r="CF175" s="718">
        <v>0.6</v>
      </c>
      <c r="CG175" s="316" t="s">
        <v>514</v>
      </c>
      <c r="CH175" s="316" t="s">
        <v>552</v>
      </c>
      <c r="CI175" s="718">
        <v>0</v>
      </c>
    </row>
    <row r="176" spans="1:90" ht="15" x14ac:dyDescent="0.2">
      <c r="A176" s="469" t="s">
        <v>1379</v>
      </c>
      <c r="B176" s="469" t="s">
        <v>1336</v>
      </c>
      <c r="C176" s="718">
        <v>0.49</v>
      </c>
      <c r="D176" s="469" t="s">
        <v>514</v>
      </c>
      <c r="E176" s="469" t="s">
        <v>515</v>
      </c>
      <c r="F176" s="718">
        <v>0</v>
      </c>
      <c r="G176" s="469" t="s">
        <v>2335</v>
      </c>
      <c r="H176" s="469" t="s">
        <v>1228</v>
      </c>
      <c r="I176" s="718">
        <v>0.01</v>
      </c>
      <c r="J176" s="748">
        <f>+C176+F176+I176</f>
        <v>0.5</v>
      </c>
      <c r="K176" s="718">
        <v>0.49</v>
      </c>
      <c r="L176" s="469" t="s">
        <v>514</v>
      </c>
      <c r="M176" s="469" t="s">
        <v>515</v>
      </c>
      <c r="N176" s="718">
        <v>0</v>
      </c>
      <c r="O176" s="469" t="s">
        <v>2335</v>
      </c>
      <c r="P176" s="469" t="s">
        <v>1228</v>
      </c>
      <c r="Q176" s="718">
        <v>0.01</v>
      </c>
      <c r="R176" s="748">
        <f>+K176+N176+Q176</f>
        <v>0.5</v>
      </c>
      <c r="S176" s="718">
        <v>0.49</v>
      </c>
      <c r="T176" s="469" t="s">
        <v>514</v>
      </c>
      <c r="U176" s="469" t="s">
        <v>515</v>
      </c>
      <c r="V176" s="718">
        <v>0</v>
      </c>
      <c r="W176" s="469" t="s">
        <v>2335</v>
      </c>
      <c r="X176" s="469" t="s">
        <v>1228</v>
      </c>
      <c r="Y176" s="718">
        <v>0.01</v>
      </c>
      <c r="Z176" s="748">
        <f>+S176+V176+Y176</f>
        <v>0.5</v>
      </c>
      <c r="AA176" s="842">
        <v>0.49</v>
      </c>
      <c r="AB176" s="843" t="s">
        <v>514</v>
      </c>
      <c r="AC176" s="843" t="s">
        <v>515</v>
      </c>
      <c r="AD176" s="842">
        <v>0</v>
      </c>
      <c r="AE176" s="843" t="s">
        <v>2335</v>
      </c>
      <c r="AF176" s="843" t="s">
        <v>1228</v>
      </c>
      <c r="AG176" s="842">
        <v>0.01</v>
      </c>
      <c r="AH176" s="844">
        <f>+AA176+AD176+AG176</f>
        <v>0.5</v>
      </c>
      <c r="AI176" s="842">
        <v>0.49</v>
      </c>
      <c r="AJ176" s="843" t="s">
        <v>514</v>
      </c>
      <c r="AK176" s="843" t="s">
        <v>515</v>
      </c>
      <c r="AL176" s="842">
        <v>0</v>
      </c>
      <c r="AM176" s="843" t="s">
        <v>1229</v>
      </c>
      <c r="AN176" s="843" t="s">
        <v>1228</v>
      </c>
      <c r="AO176" s="842">
        <v>0.01</v>
      </c>
      <c r="AP176" s="844">
        <f>+AI176+AL176+AO176</f>
        <v>0.5</v>
      </c>
      <c r="AQ176" s="842">
        <v>0.74</v>
      </c>
      <c r="AR176" s="843" t="s">
        <v>514</v>
      </c>
      <c r="AS176" s="843" t="s">
        <v>515</v>
      </c>
      <c r="AT176" s="842">
        <v>0</v>
      </c>
      <c r="AU176" s="843" t="s">
        <v>1229</v>
      </c>
      <c r="AV176" s="843" t="s">
        <v>1228</v>
      </c>
      <c r="AW176" s="842">
        <v>0.01</v>
      </c>
      <c r="AX176" s="844">
        <f>+AQ176+AT176+AW176</f>
        <v>0.75</v>
      </c>
      <c r="AY176" s="842">
        <v>0.49</v>
      </c>
      <c r="AZ176" s="843" t="s">
        <v>514</v>
      </c>
      <c r="BA176" s="843" t="s">
        <v>515</v>
      </c>
      <c r="BB176" s="842">
        <v>0</v>
      </c>
      <c r="BC176" s="843" t="s">
        <v>1229</v>
      </c>
      <c r="BD176" s="843" t="s">
        <v>1228</v>
      </c>
      <c r="BE176" s="842">
        <v>0.01</v>
      </c>
      <c r="BF176" s="844">
        <f>+AY176+BB176+BE176</f>
        <v>0.5</v>
      </c>
      <c r="BG176" s="842"/>
      <c r="BH176" s="842">
        <v>0.49</v>
      </c>
      <c r="BI176" s="843" t="s">
        <v>514</v>
      </c>
      <c r="BJ176" s="843" t="s">
        <v>515</v>
      </c>
      <c r="BK176" s="842">
        <v>0</v>
      </c>
      <c r="BL176" s="843" t="s">
        <v>1229</v>
      </c>
      <c r="BM176" s="843" t="s">
        <v>1228</v>
      </c>
      <c r="BN176" s="842">
        <v>0.01</v>
      </c>
      <c r="BO176" s="844">
        <f>+BH176+BK176+BN176</f>
        <v>0.5</v>
      </c>
      <c r="BP176" s="842">
        <v>0.49</v>
      </c>
      <c r="BQ176" s="843" t="s">
        <v>514</v>
      </c>
      <c r="BR176" s="843" t="s">
        <v>515</v>
      </c>
      <c r="BS176" s="842">
        <v>0</v>
      </c>
      <c r="BT176" s="843" t="s">
        <v>1229</v>
      </c>
      <c r="BU176" s="843" t="s">
        <v>1228</v>
      </c>
      <c r="BV176" s="842">
        <v>0.01</v>
      </c>
      <c r="BW176" s="844">
        <f>+BP176+BS176+BV176</f>
        <v>0.5</v>
      </c>
      <c r="BX176" s="845"/>
      <c r="BY176" s="845"/>
      <c r="BZ176" s="845"/>
      <c r="CA176" s="996" t="s">
        <v>874</v>
      </c>
      <c r="CB176" s="723">
        <v>0.67800000000000005</v>
      </c>
      <c r="CC176" s="751" t="s">
        <v>950</v>
      </c>
      <c r="CD176" s="469" t="s">
        <v>634</v>
      </c>
      <c r="CE176" s="469" t="s">
        <v>635</v>
      </c>
      <c r="CF176" s="718">
        <v>0.59</v>
      </c>
      <c r="CG176" s="469" t="s">
        <v>1229</v>
      </c>
      <c r="CH176" s="469" t="s">
        <v>1228</v>
      </c>
      <c r="CI176" s="718">
        <v>0.01</v>
      </c>
    </row>
    <row r="177" spans="1:87" ht="15" x14ac:dyDescent="0.2">
      <c r="A177" s="747" t="s">
        <v>232</v>
      </c>
      <c r="B177" s="469" t="s">
        <v>520</v>
      </c>
      <c r="C177" s="718">
        <v>0.49</v>
      </c>
      <c r="D177" s="469" t="s">
        <v>514</v>
      </c>
      <c r="E177" s="469" t="s">
        <v>515</v>
      </c>
      <c r="F177" s="718">
        <v>0</v>
      </c>
      <c r="G177" s="469" t="s">
        <v>516</v>
      </c>
      <c r="H177" s="469" t="s">
        <v>517</v>
      </c>
      <c r="I177" s="718">
        <v>0.01</v>
      </c>
      <c r="J177" s="748">
        <f t="shared" ref="J177:J234" si="258">+C177+F177+I177</f>
        <v>0.5</v>
      </c>
      <c r="K177" s="718">
        <v>0.49</v>
      </c>
      <c r="L177" s="316" t="s">
        <v>514</v>
      </c>
      <c r="M177" s="316" t="s">
        <v>515</v>
      </c>
      <c r="N177" s="718">
        <v>0</v>
      </c>
      <c r="O177" s="316" t="s">
        <v>516</v>
      </c>
      <c r="P177" s="316" t="s">
        <v>517</v>
      </c>
      <c r="Q177" s="718">
        <v>0.01</v>
      </c>
      <c r="R177" s="728">
        <f t="shared" ref="R177:R240" si="259">+K177+N177+Q177</f>
        <v>0.5</v>
      </c>
      <c r="S177" s="718">
        <v>0.49</v>
      </c>
      <c r="T177" s="316" t="s">
        <v>514</v>
      </c>
      <c r="U177" s="316" t="s">
        <v>515</v>
      </c>
      <c r="V177" s="718">
        <v>0</v>
      </c>
      <c r="W177" s="316" t="s">
        <v>516</v>
      </c>
      <c r="X177" s="316" t="s">
        <v>517</v>
      </c>
      <c r="Y177" s="718">
        <v>0.01</v>
      </c>
      <c r="Z177" s="728">
        <f t="shared" ref="Z177:Z178" si="260">+S177+V177+Y177</f>
        <v>0.5</v>
      </c>
      <c r="AA177" s="718">
        <v>0.49</v>
      </c>
      <c r="AB177" s="316" t="s">
        <v>514</v>
      </c>
      <c r="AC177" s="316" t="s">
        <v>515</v>
      </c>
      <c r="AD177" s="718">
        <v>0</v>
      </c>
      <c r="AE177" s="316" t="s">
        <v>516</v>
      </c>
      <c r="AF177" s="316" t="s">
        <v>517</v>
      </c>
      <c r="AG177" s="718">
        <v>0.01</v>
      </c>
      <c r="AH177" s="728">
        <f t="shared" ref="AH177" si="261">+AA177+AD177+AG177</f>
        <v>0.5</v>
      </c>
      <c r="AI177" s="718">
        <v>0.49</v>
      </c>
      <c r="AJ177" s="316" t="s">
        <v>514</v>
      </c>
      <c r="AK177" s="316" t="s">
        <v>515</v>
      </c>
      <c r="AL177" s="718">
        <v>0</v>
      </c>
      <c r="AM177" s="316" t="s">
        <v>516</v>
      </c>
      <c r="AN177" s="316" t="s">
        <v>517</v>
      </c>
      <c r="AO177" s="718">
        <v>0.01</v>
      </c>
      <c r="AP177" s="728">
        <f t="shared" ref="AP177:AP178" si="262">+AI177+AL177+AO177</f>
        <v>0.5</v>
      </c>
      <c r="AQ177" s="718">
        <v>0.49</v>
      </c>
      <c r="AR177" s="316" t="s">
        <v>514</v>
      </c>
      <c r="AS177" s="316" t="s">
        <v>515</v>
      </c>
      <c r="AT177" s="718">
        <v>0</v>
      </c>
      <c r="AU177" s="316" t="s">
        <v>516</v>
      </c>
      <c r="AV177" s="316" t="s">
        <v>517</v>
      </c>
      <c r="AW177" s="718">
        <v>0.01</v>
      </c>
      <c r="AX177" s="463">
        <f t="shared" ref="AX177:AX178" si="263">+AQ177+AT177+AW177</f>
        <v>0.5</v>
      </c>
      <c r="AY177" s="661">
        <v>0.49</v>
      </c>
      <c r="AZ177" s="316" t="s">
        <v>514</v>
      </c>
      <c r="BA177" s="316" t="s">
        <v>515</v>
      </c>
      <c r="BB177" s="463">
        <v>0</v>
      </c>
      <c r="BC177" s="316" t="s">
        <v>516</v>
      </c>
      <c r="BD177" s="316" t="s">
        <v>517</v>
      </c>
      <c r="BE177" s="463">
        <v>0.01</v>
      </c>
      <c r="BF177" s="728">
        <f t="shared" ref="BF177:BF178" si="264">+AY177+BB177+BE177</f>
        <v>0.5</v>
      </c>
      <c r="BG177" s="463"/>
      <c r="BH177" s="463">
        <v>0.49</v>
      </c>
      <c r="BI177" s="316" t="s">
        <v>514</v>
      </c>
      <c r="BJ177" s="316" t="s">
        <v>515</v>
      </c>
      <c r="BK177" s="463">
        <v>0</v>
      </c>
      <c r="BL177" s="316" t="s">
        <v>516</v>
      </c>
      <c r="BM177" s="316" t="s">
        <v>517</v>
      </c>
      <c r="BN177" s="463">
        <v>0.01</v>
      </c>
      <c r="BO177" s="728">
        <f t="shared" ref="BO177:BO178" si="265">+BH177+BK177+BN177</f>
        <v>0.5</v>
      </c>
      <c r="BP177" s="463">
        <v>0.49</v>
      </c>
      <c r="BQ177" s="316" t="s">
        <v>514</v>
      </c>
      <c r="BR177" s="316" t="s">
        <v>515</v>
      </c>
      <c r="BS177" s="463">
        <v>0</v>
      </c>
      <c r="BT177" s="316" t="s">
        <v>516</v>
      </c>
      <c r="BU177" s="316" t="s">
        <v>517</v>
      </c>
      <c r="BV177" s="463">
        <v>0.01</v>
      </c>
      <c r="BW177" s="463">
        <f t="shared" ref="BW177:BW178" si="266">+BP177+BS177+BV177</f>
        <v>0.5</v>
      </c>
      <c r="BX177" s="444" t="s">
        <v>874</v>
      </c>
      <c r="BY177" s="444"/>
      <c r="BZ177" s="444"/>
      <c r="CA177" s="436" t="s">
        <v>874</v>
      </c>
      <c r="CB177" s="723">
        <v>0.69199999999999995</v>
      </c>
      <c r="CC177" s="668" t="s">
        <v>950</v>
      </c>
      <c r="CD177" s="316" t="s">
        <v>514</v>
      </c>
      <c r="CE177" s="316" t="s">
        <v>515</v>
      </c>
      <c r="CF177" s="718">
        <v>0</v>
      </c>
      <c r="CG177" s="316" t="s">
        <v>516</v>
      </c>
      <c r="CH177" s="316" t="s">
        <v>517</v>
      </c>
      <c r="CI177" s="718">
        <v>0.01</v>
      </c>
    </row>
    <row r="178" spans="1:87" ht="15.75" customHeight="1" x14ac:dyDescent="0.2">
      <c r="A178" s="747" t="s">
        <v>234</v>
      </c>
      <c r="B178" s="469" t="s">
        <v>233</v>
      </c>
      <c r="C178" s="718">
        <v>0.49</v>
      </c>
      <c r="D178" s="469" t="s">
        <v>514</v>
      </c>
      <c r="E178" s="469" t="s">
        <v>666</v>
      </c>
      <c r="F178" s="718">
        <v>0</v>
      </c>
      <c r="G178" s="469" t="s">
        <v>673</v>
      </c>
      <c r="H178" s="469" t="s">
        <v>674</v>
      </c>
      <c r="I178" s="718">
        <v>0.01</v>
      </c>
      <c r="J178" s="748">
        <f t="shared" si="258"/>
        <v>0.5</v>
      </c>
      <c r="K178" s="718">
        <v>0.49</v>
      </c>
      <c r="L178" s="316" t="s">
        <v>514</v>
      </c>
      <c r="M178" s="316" t="s">
        <v>666</v>
      </c>
      <c r="N178" s="718">
        <v>0</v>
      </c>
      <c r="O178" s="316" t="s">
        <v>673</v>
      </c>
      <c r="P178" s="316" t="s">
        <v>674</v>
      </c>
      <c r="Q178" s="718">
        <v>0.01</v>
      </c>
      <c r="R178" s="728">
        <f t="shared" si="259"/>
        <v>0.5</v>
      </c>
      <c r="S178" s="718">
        <v>0.49</v>
      </c>
      <c r="T178" s="316" t="s">
        <v>514</v>
      </c>
      <c r="U178" s="316" t="s">
        <v>666</v>
      </c>
      <c r="V178" s="718">
        <v>0</v>
      </c>
      <c r="W178" s="316" t="s">
        <v>673</v>
      </c>
      <c r="X178" s="316" t="s">
        <v>674</v>
      </c>
      <c r="Y178" s="718">
        <v>0.01</v>
      </c>
      <c r="Z178" s="728">
        <f t="shared" si="260"/>
        <v>0.5</v>
      </c>
      <c r="AA178" s="718">
        <v>0.49</v>
      </c>
      <c r="AB178" s="316" t="s">
        <v>514</v>
      </c>
      <c r="AC178" s="316" t="s">
        <v>666</v>
      </c>
      <c r="AD178" s="718">
        <v>0</v>
      </c>
      <c r="AE178" s="316" t="s">
        <v>673</v>
      </c>
      <c r="AF178" s="316" t="s">
        <v>674</v>
      </c>
      <c r="AG178" s="718">
        <v>0.01</v>
      </c>
      <c r="AH178" s="728">
        <f t="shared" ref="AH178:AH179" si="267">+AA178+AD178+AG178</f>
        <v>0.5</v>
      </c>
      <c r="AI178" s="718">
        <v>0.49</v>
      </c>
      <c r="AJ178" s="316" t="s">
        <v>514</v>
      </c>
      <c r="AK178" s="316" t="s">
        <v>666</v>
      </c>
      <c r="AL178" s="718">
        <v>0</v>
      </c>
      <c r="AM178" s="316" t="s">
        <v>673</v>
      </c>
      <c r="AN178" s="316" t="s">
        <v>674</v>
      </c>
      <c r="AO178" s="718">
        <v>0.01</v>
      </c>
      <c r="AP178" s="728">
        <f t="shared" si="262"/>
        <v>0.5</v>
      </c>
      <c r="AQ178" s="718">
        <v>0.74</v>
      </c>
      <c r="AR178" s="316" t="s">
        <v>514</v>
      </c>
      <c r="AS178" s="316" t="s">
        <v>666</v>
      </c>
      <c r="AT178" s="718">
        <v>0</v>
      </c>
      <c r="AU178" s="316" t="s">
        <v>673</v>
      </c>
      <c r="AV178" s="316" t="s">
        <v>674</v>
      </c>
      <c r="AW178" s="718">
        <v>0.01</v>
      </c>
      <c r="AX178" s="463">
        <f t="shared" si="263"/>
        <v>0.75</v>
      </c>
      <c r="AY178" s="661">
        <v>0.49</v>
      </c>
      <c r="AZ178" s="316" t="s">
        <v>514</v>
      </c>
      <c r="BA178" s="316" t="s">
        <v>666</v>
      </c>
      <c r="BB178" s="463">
        <v>0</v>
      </c>
      <c r="BC178" s="316" t="s">
        <v>673</v>
      </c>
      <c r="BD178" s="316" t="s">
        <v>674</v>
      </c>
      <c r="BE178" s="463">
        <v>0.01</v>
      </c>
      <c r="BF178" s="728">
        <f t="shared" si="264"/>
        <v>0.5</v>
      </c>
      <c r="BG178" s="463"/>
      <c r="BH178" s="463">
        <v>0.49</v>
      </c>
      <c r="BI178" s="316" t="s">
        <v>514</v>
      </c>
      <c r="BJ178" s="316" t="s">
        <v>666</v>
      </c>
      <c r="BK178" s="463">
        <v>0</v>
      </c>
      <c r="BL178" s="316" t="s">
        <v>673</v>
      </c>
      <c r="BM178" s="316" t="s">
        <v>674</v>
      </c>
      <c r="BN178" s="463">
        <v>0.01</v>
      </c>
      <c r="BO178" s="728">
        <f t="shared" si="265"/>
        <v>0.5</v>
      </c>
      <c r="BP178" s="463">
        <v>0.49</v>
      </c>
      <c r="BQ178" s="316" t="s">
        <v>514</v>
      </c>
      <c r="BR178" s="316" t="s">
        <v>666</v>
      </c>
      <c r="BS178" s="463">
        <v>0</v>
      </c>
      <c r="BT178" s="316" t="s">
        <v>673</v>
      </c>
      <c r="BU178" s="316" t="s">
        <v>674</v>
      </c>
      <c r="BV178" s="463">
        <v>0.01</v>
      </c>
      <c r="BW178" s="463">
        <f t="shared" si="266"/>
        <v>0.5</v>
      </c>
      <c r="BX178" s="444" t="s">
        <v>874</v>
      </c>
      <c r="BY178" s="444"/>
      <c r="BZ178" s="444"/>
      <c r="CA178" s="436" t="s">
        <v>874</v>
      </c>
      <c r="CB178" s="723">
        <v>0.68500000000000005</v>
      </c>
      <c r="CC178" s="668" t="s">
        <v>950</v>
      </c>
      <c r="CD178" s="316" t="s">
        <v>514</v>
      </c>
      <c r="CE178" s="316" t="s">
        <v>666</v>
      </c>
      <c r="CF178" s="718">
        <v>0</v>
      </c>
      <c r="CG178" s="316" t="s">
        <v>673</v>
      </c>
      <c r="CH178" s="316" t="s">
        <v>674</v>
      </c>
      <c r="CI178" s="718">
        <v>0.01</v>
      </c>
    </row>
    <row r="179" spans="1:87" ht="15.75" customHeight="1" x14ac:dyDescent="0.2">
      <c r="A179" s="747" t="s">
        <v>236</v>
      </c>
      <c r="B179" s="469" t="s">
        <v>235</v>
      </c>
      <c r="C179" s="718">
        <v>0.4</v>
      </c>
      <c r="D179" s="469" t="s">
        <v>658</v>
      </c>
      <c r="E179" s="469" t="s">
        <v>659</v>
      </c>
      <c r="F179" s="718">
        <v>0.1</v>
      </c>
      <c r="G179" s="469" t="s">
        <v>514</v>
      </c>
      <c r="H179" s="469" t="s">
        <v>552</v>
      </c>
      <c r="I179" s="718">
        <v>0</v>
      </c>
      <c r="J179" s="748">
        <f t="shared" si="258"/>
        <v>0.5</v>
      </c>
      <c r="K179" s="718">
        <v>0.4</v>
      </c>
      <c r="L179" s="316" t="s">
        <v>658</v>
      </c>
      <c r="M179" s="316" t="s">
        <v>659</v>
      </c>
      <c r="N179" s="718">
        <v>0.1</v>
      </c>
      <c r="O179" s="316" t="s">
        <v>514</v>
      </c>
      <c r="P179" s="316" t="s">
        <v>552</v>
      </c>
      <c r="Q179" s="718">
        <v>0</v>
      </c>
      <c r="R179" s="728">
        <f t="shared" si="259"/>
        <v>0.5</v>
      </c>
      <c r="S179" s="718">
        <v>0.4</v>
      </c>
      <c r="T179" s="316" t="s">
        <v>658</v>
      </c>
      <c r="U179" s="316" t="s">
        <v>659</v>
      </c>
      <c r="V179" s="718">
        <v>0.1</v>
      </c>
      <c r="W179" s="316" t="s">
        <v>514</v>
      </c>
      <c r="X179" s="316" t="s">
        <v>552</v>
      </c>
      <c r="Y179" s="718">
        <v>0</v>
      </c>
      <c r="Z179" s="728">
        <f t="shared" ref="Z179:Z185" si="268">+S179+V179+Y179</f>
        <v>0.5</v>
      </c>
      <c r="AA179" s="718">
        <v>0.4</v>
      </c>
      <c r="AB179" s="316" t="s">
        <v>658</v>
      </c>
      <c r="AC179" s="316" t="s">
        <v>659</v>
      </c>
      <c r="AD179" s="718">
        <v>0.1</v>
      </c>
      <c r="AE179" s="316" t="s">
        <v>514</v>
      </c>
      <c r="AF179" s="316" t="s">
        <v>552</v>
      </c>
      <c r="AG179" s="718">
        <v>0</v>
      </c>
      <c r="AH179" s="728">
        <f t="shared" si="267"/>
        <v>0.5</v>
      </c>
      <c r="AI179" s="718">
        <v>0.4</v>
      </c>
      <c r="AJ179" s="316" t="s">
        <v>658</v>
      </c>
      <c r="AK179" s="316" t="s">
        <v>659</v>
      </c>
      <c r="AL179" s="718">
        <v>0.1</v>
      </c>
      <c r="AM179" s="316" t="s">
        <v>514</v>
      </c>
      <c r="AN179" s="316" t="s">
        <v>552</v>
      </c>
      <c r="AO179" s="718">
        <v>0</v>
      </c>
      <c r="AP179" s="728">
        <f t="shared" ref="AP179:AP188" si="269">+AI179+AL179+AO179</f>
        <v>0.5</v>
      </c>
      <c r="AQ179" s="718">
        <v>0.4</v>
      </c>
      <c r="AR179" s="316" t="s">
        <v>658</v>
      </c>
      <c r="AS179" s="316" t="s">
        <v>659</v>
      </c>
      <c r="AT179" s="718">
        <v>0.1</v>
      </c>
      <c r="AU179" s="316" t="s">
        <v>514</v>
      </c>
      <c r="AV179" s="316" t="s">
        <v>552</v>
      </c>
      <c r="AW179" s="718">
        <v>0</v>
      </c>
      <c r="AX179" s="463">
        <f t="shared" ref="AX179:AX188" si="270">+AQ179+AT179+AW179</f>
        <v>0.5</v>
      </c>
      <c r="AY179" s="661">
        <v>0.4</v>
      </c>
      <c r="AZ179" s="316" t="s">
        <v>658</v>
      </c>
      <c r="BA179" s="316" t="s">
        <v>659</v>
      </c>
      <c r="BB179" s="463">
        <v>0.1</v>
      </c>
      <c r="BC179" s="316" t="s">
        <v>514</v>
      </c>
      <c r="BD179" s="316" t="s">
        <v>552</v>
      </c>
      <c r="BE179" s="463">
        <v>0</v>
      </c>
      <c r="BF179" s="728">
        <f t="shared" ref="BF179:BF188" si="271">+AY179+BB179+BE179</f>
        <v>0.5</v>
      </c>
      <c r="BG179" s="463"/>
      <c r="BH179" s="463">
        <v>0.4</v>
      </c>
      <c r="BI179" s="316" t="s">
        <v>658</v>
      </c>
      <c r="BJ179" s="316" t="s">
        <v>659</v>
      </c>
      <c r="BK179" s="463">
        <v>0.1</v>
      </c>
      <c r="BL179" s="316" t="s">
        <v>514</v>
      </c>
      <c r="BM179" s="316" t="s">
        <v>552</v>
      </c>
      <c r="BN179" s="463">
        <v>0</v>
      </c>
      <c r="BO179" s="728">
        <f t="shared" ref="BO179:BO188" si="272">+BH179+BK179+BN179</f>
        <v>0.5</v>
      </c>
      <c r="BP179" s="463">
        <v>0.4</v>
      </c>
      <c r="BQ179" s="316" t="s">
        <v>658</v>
      </c>
      <c r="BR179" s="316" t="s">
        <v>659</v>
      </c>
      <c r="BS179" s="463">
        <v>0.1</v>
      </c>
      <c r="BT179" s="316" t="s">
        <v>514</v>
      </c>
      <c r="BU179" s="316" t="s">
        <v>552</v>
      </c>
      <c r="BV179" s="463">
        <v>0</v>
      </c>
      <c r="BW179" s="463">
        <f t="shared" ref="BW179:BW188" si="273">+BP179+BS179+BV179</f>
        <v>0.5</v>
      </c>
      <c r="BX179" s="444"/>
      <c r="BY179" s="444"/>
      <c r="BZ179" s="444"/>
      <c r="CA179" s="434"/>
      <c r="CB179" s="723">
        <v>0.68</v>
      </c>
      <c r="CC179" s="668" t="s">
        <v>950</v>
      </c>
      <c r="CD179" s="316" t="s">
        <v>658</v>
      </c>
      <c r="CE179" s="316" t="s">
        <v>659</v>
      </c>
      <c r="CF179" s="718">
        <v>0.6</v>
      </c>
      <c r="CG179" s="316" t="s">
        <v>514</v>
      </c>
      <c r="CH179" s="316" t="s">
        <v>552</v>
      </c>
      <c r="CI179" s="718">
        <v>0</v>
      </c>
    </row>
    <row r="180" spans="1:87" ht="15" x14ac:dyDescent="0.2">
      <c r="A180" s="747" t="s">
        <v>249</v>
      </c>
      <c r="B180" s="469" t="s">
        <v>248</v>
      </c>
      <c r="C180" s="718">
        <v>0.4</v>
      </c>
      <c r="D180" s="469" t="s">
        <v>621</v>
      </c>
      <c r="E180" s="469" t="s">
        <v>622</v>
      </c>
      <c r="F180" s="718">
        <v>0.09</v>
      </c>
      <c r="G180" s="469" t="s">
        <v>618</v>
      </c>
      <c r="H180" s="469" t="s">
        <v>619</v>
      </c>
      <c r="I180" s="718">
        <v>0.01</v>
      </c>
      <c r="J180" s="748">
        <f t="shared" si="258"/>
        <v>0.5</v>
      </c>
      <c r="K180" s="718">
        <v>0.4</v>
      </c>
      <c r="L180" s="316" t="s">
        <v>621</v>
      </c>
      <c r="M180" s="316" t="s">
        <v>622</v>
      </c>
      <c r="N180" s="718">
        <v>0.09</v>
      </c>
      <c r="O180" s="316" t="s">
        <v>618</v>
      </c>
      <c r="P180" s="316" t="s">
        <v>619</v>
      </c>
      <c r="Q180" s="718">
        <v>0.01</v>
      </c>
      <c r="R180" s="728">
        <f t="shared" si="259"/>
        <v>0.5</v>
      </c>
      <c r="S180" s="718">
        <v>0.4</v>
      </c>
      <c r="T180" s="316" t="s">
        <v>621</v>
      </c>
      <c r="U180" s="316" t="s">
        <v>622</v>
      </c>
      <c r="V180" s="718">
        <v>0.09</v>
      </c>
      <c r="W180" s="316" t="s">
        <v>618</v>
      </c>
      <c r="X180" s="316" t="s">
        <v>619</v>
      </c>
      <c r="Y180" s="718">
        <v>0.01</v>
      </c>
      <c r="Z180" s="728">
        <f t="shared" si="268"/>
        <v>0.5</v>
      </c>
      <c r="AA180" s="718">
        <v>0.4</v>
      </c>
      <c r="AB180" s="316" t="s">
        <v>621</v>
      </c>
      <c r="AC180" s="316" t="s">
        <v>622</v>
      </c>
      <c r="AD180" s="718">
        <v>0.09</v>
      </c>
      <c r="AE180" s="316" t="s">
        <v>618</v>
      </c>
      <c r="AF180" s="316" t="s">
        <v>619</v>
      </c>
      <c r="AG180" s="718">
        <v>0.01</v>
      </c>
      <c r="AH180" s="728">
        <f t="shared" ref="AH180:AH181" si="274">+AA180+AD180+AG180</f>
        <v>0.5</v>
      </c>
      <c r="AI180" s="718">
        <v>0.4</v>
      </c>
      <c r="AJ180" s="316" t="s">
        <v>621</v>
      </c>
      <c r="AK180" s="316" t="s">
        <v>622</v>
      </c>
      <c r="AL180" s="718">
        <v>0.09</v>
      </c>
      <c r="AM180" s="316" t="s">
        <v>618</v>
      </c>
      <c r="AN180" s="316" t="s">
        <v>619</v>
      </c>
      <c r="AO180" s="718">
        <v>0.01</v>
      </c>
      <c r="AP180" s="728">
        <f t="shared" si="269"/>
        <v>0.5</v>
      </c>
      <c r="AQ180" s="718">
        <v>0.375</v>
      </c>
      <c r="AR180" s="316" t="s">
        <v>621</v>
      </c>
      <c r="AS180" s="316" t="s">
        <v>622</v>
      </c>
      <c r="AT180" s="718">
        <v>0.36499999999999999</v>
      </c>
      <c r="AU180" s="316" t="s">
        <v>618</v>
      </c>
      <c r="AV180" s="316" t="s">
        <v>619</v>
      </c>
      <c r="AW180" s="718">
        <v>0.01</v>
      </c>
      <c r="AX180" s="463">
        <f t="shared" si="270"/>
        <v>0.75</v>
      </c>
      <c r="AY180" s="661">
        <v>0.4</v>
      </c>
      <c r="AZ180" s="316" t="s">
        <v>621</v>
      </c>
      <c r="BA180" s="316" t="s">
        <v>622</v>
      </c>
      <c r="BB180" s="463">
        <v>0.09</v>
      </c>
      <c r="BC180" s="316" t="s">
        <v>618</v>
      </c>
      <c r="BD180" s="316" t="s">
        <v>619</v>
      </c>
      <c r="BE180" s="463">
        <v>0.01</v>
      </c>
      <c r="BF180" s="728">
        <f t="shared" si="271"/>
        <v>0.5</v>
      </c>
      <c r="BG180" s="463"/>
      <c r="BH180" s="463">
        <v>0.4</v>
      </c>
      <c r="BI180" s="316" t="s">
        <v>621</v>
      </c>
      <c r="BJ180" s="316" t="s">
        <v>622</v>
      </c>
      <c r="BK180" s="463">
        <v>0.09</v>
      </c>
      <c r="BL180" s="316" t="s">
        <v>618</v>
      </c>
      <c r="BM180" s="316" t="s">
        <v>619</v>
      </c>
      <c r="BN180" s="463">
        <v>0.01</v>
      </c>
      <c r="BO180" s="728">
        <f t="shared" si="272"/>
        <v>0.5</v>
      </c>
      <c r="BP180" s="463">
        <v>0.4</v>
      </c>
      <c r="BQ180" s="316" t="s">
        <v>621</v>
      </c>
      <c r="BR180" s="316" t="s">
        <v>622</v>
      </c>
      <c r="BS180" s="463">
        <v>0.09</v>
      </c>
      <c r="BT180" s="316" t="s">
        <v>618</v>
      </c>
      <c r="BU180" s="316" t="s">
        <v>619</v>
      </c>
      <c r="BV180" s="463">
        <v>0.01</v>
      </c>
      <c r="BW180" s="463">
        <f t="shared" si="273"/>
        <v>0.5</v>
      </c>
      <c r="BX180" s="444" t="s">
        <v>874</v>
      </c>
      <c r="BY180" s="444" t="s">
        <v>874</v>
      </c>
      <c r="BZ180" s="444"/>
      <c r="CA180" s="434"/>
      <c r="CB180" s="723">
        <v>0.66300000000000003</v>
      </c>
      <c r="CC180" s="668" t="s">
        <v>950</v>
      </c>
      <c r="CD180" s="316" t="s">
        <v>621</v>
      </c>
      <c r="CE180" s="316" t="s">
        <v>622</v>
      </c>
      <c r="CF180" s="718">
        <v>0.59</v>
      </c>
      <c r="CG180" s="316" t="s">
        <v>618</v>
      </c>
      <c r="CH180" s="316" t="s">
        <v>619</v>
      </c>
      <c r="CI180" s="718">
        <v>0.01</v>
      </c>
    </row>
    <row r="181" spans="1:87" ht="15" x14ac:dyDescent="0.2">
      <c r="A181" s="747" t="s">
        <v>2430</v>
      </c>
      <c r="B181" s="469" t="s">
        <v>633</v>
      </c>
      <c r="C181" s="718">
        <v>0.49</v>
      </c>
      <c r="D181" s="469" t="s">
        <v>514</v>
      </c>
      <c r="E181" s="469" t="s">
        <v>515</v>
      </c>
      <c r="F181" s="718">
        <v>0</v>
      </c>
      <c r="G181" s="469" t="s">
        <v>631</v>
      </c>
      <c r="H181" s="469" t="s">
        <v>632</v>
      </c>
      <c r="I181" s="718">
        <v>0.01</v>
      </c>
      <c r="J181" s="748">
        <f t="shared" si="258"/>
        <v>0.5</v>
      </c>
      <c r="K181" s="842">
        <v>0.49</v>
      </c>
      <c r="L181" s="843" t="s">
        <v>514</v>
      </c>
      <c r="M181" s="843" t="s">
        <v>515</v>
      </c>
      <c r="N181" s="842">
        <v>0</v>
      </c>
      <c r="O181" s="843" t="s">
        <v>631</v>
      </c>
      <c r="P181" s="843" t="s">
        <v>632</v>
      </c>
      <c r="Q181" s="842">
        <v>0.01</v>
      </c>
      <c r="R181" s="844">
        <f t="shared" si="259"/>
        <v>0.5</v>
      </c>
      <c r="S181" s="842">
        <v>0.49</v>
      </c>
      <c r="T181" s="843" t="s">
        <v>514</v>
      </c>
      <c r="U181" s="843" t="s">
        <v>515</v>
      </c>
      <c r="V181" s="842">
        <v>0</v>
      </c>
      <c r="W181" s="843" t="s">
        <v>631</v>
      </c>
      <c r="X181" s="843" t="s">
        <v>632</v>
      </c>
      <c r="Y181" s="842">
        <v>0.01</v>
      </c>
      <c r="Z181" s="844">
        <f t="shared" si="268"/>
        <v>0.5</v>
      </c>
      <c r="AA181" s="842">
        <v>0.49</v>
      </c>
      <c r="AB181" s="843" t="s">
        <v>514</v>
      </c>
      <c r="AC181" s="843" t="s">
        <v>515</v>
      </c>
      <c r="AD181" s="842">
        <v>0</v>
      </c>
      <c r="AE181" s="843" t="s">
        <v>631</v>
      </c>
      <c r="AF181" s="843" t="s">
        <v>632</v>
      </c>
      <c r="AG181" s="842">
        <v>0.01</v>
      </c>
      <c r="AH181" s="844">
        <f t="shared" si="274"/>
        <v>0.5</v>
      </c>
      <c r="AI181" s="842">
        <v>0.49</v>
      </c>
      <c r="AJ181" s="843" t="s">
        <v>514</v>
      </c>
      <c r="AK181" s="843" t="s">
        <v>515</v>
      </c>
      <c r="AL181" s="842">
        <v>0</v>
      </c>
      <c r="AM181" s="843" t="s">
        <v>631</v>
      </c>
      <c r="AN181" s="843" t="s">
        <v>632</v>
      </c>
      <c r="AO181" s="842">
        <v>0.01</v>
      </c>
      <c r="AP181" s="844">
        <f t="shared" si="269"/>
        <v>0.5</v>
      </c>
      <c r="AQ181" s="842">
        <v>0.74</v>
      </c>
      <c r="AR181" s="843" t="s">
        <v>514</v>
      </c>
      <c r="AS181" s="843" t="s">
        <v>515</v>
      </c>
      <c r="AT181" s="842">
        <v>0</v>
      </c>
      <c r="AU181" s="843" t="s">
        <v>631</v>
      </c>
      <c r="AV181" s="843" t="s">
        <v>632</v>
      </c>
      <c r="AW181" s="842">
        <v>0.01</v>
      </c>
      <c r="AX181" s="844">
        <f t="shared" si="270"/>
        <v>0.75</v>
      </c>
      <c r="AY181" s="842">
        <v>0.49</v>
      </c>
      <c r="AZ181" s="843" t="s">
        <v>514</v>
      </c>
      <c r="BA181" s="843" t="s">
        <v>515</v>
      </c>
      <c r="BB181" s="842">
        <v>0</v>
      </c>
      <c r="BC181" s="843" t="s">
        <v>631</v>
      </c>
      <c r="BD181" s="843" t="s">
        <v>632</v>
      </c>
      <c r="BE181" s="842">
        <v>0.01</v>
      </c>
      <c r="BF181" s="844">
        <f t="shared" si="271"/>
        <v>0.5</v>
      </c>
      <c r="BG181" s="842"/>
      <c r="BH181" s="842">
        <v>0.49</v>
      </c>
      <c r="BI181" s="843" t="s">
        <v>514</v>
      </c>
      <c r="BJ181" s="843" t="s">
        <v>515</v>
      </c>
      <c r="BK181" s="842">
        <v>0</v>
      </c>
      <c r="BL181" s="843" t="s">
        <v>631</v>
      </c>
      <c r="BM181" s="843" t="s">
        <v>632</v>
      </c>
      <c r="BN181" s="842">
        <v>0.01</v>
      </c>
      <c r="BO181" s="844">
        <f t="shared" si="272"/>
        <v>0.5</v>
      </c>
      <c r="BP181" s="842">
        <v>0.49</v>
      </c>
      <c r="BQ181" s="843" t="s">
        <v>514</v>
      </c>
      <c r="BR181" s="843" t="s">
        <v>515</v>
      </c>
      <c r="BS181" s="842">
        <v>0</v>
      </c>
      <c r="BT181" s="843" t="s">
        <v>631</v>
      </c>
      <c r="BU181" s="843" t="s">
        <v>632</v>
      </c>
      <c r="BV181" s="842">
        <v>0.01</v>
      </c>
      <c r="BW181" s="844">
        <f t="shared" si="273"/>
        <v>0.5</v>
      </c>
      <c r="BX181" s="444"/>
      <c r="BY181" s="444"/>
      <c r="BZ181" s="444"/>
      <c r="CA181" s="436" t="s">
        <v>874</v>
      </c>
      <c r="CB181" s="723">
        <v>0.66</v>
      </c>
      <c r="CC181" s="668" t="s">
        <v>950</v>
      </c>
      <c r="CD181" s="316" t="s">
        <v>514</v>
      </c>
      <c r="CE181" s="316" t="s">
        <v>515</v>
      </c>
      <c r="CF181" s="718">
        <v>0</v>
      </c>
      <c r="CG181" s="316" t="s">
        <v>631</v>
      </c>
      <c r="CH181" s="316" t="s">
        <v>632</v>
      </c>
      <c r="CI181" s="718">
        <v>0.01</v>
      </c>
    </row>
    <row r="182" spans="1:87" ht="15.75" customHeight="1" x14ac:dyDescent="0.2">
      <c r="A182" s="747" t="s">
        <v>251</v>
      </c>
      <c r="B182" s="469" t="s">
        <v>250</v>
      </c>
      <c r="C182" s="718">
        <v>0.5</v>
      </c>
      <c r="D182" s="469" t="s">
        <v>514</v>
      </c>
      <c r="E182" s="469" t="s">
        <v>515</v>
      </c>
      <c r="F182" s="718">
        <v>0</v>
      </c>
      <c r="G182" s="469" t="s">
        <v>514</v>
      </c>
      <c r="H182" s="469" t="s">
        <v>552</v>
      </c>
      <c r="I182" s="718">
        <v>0</v>
      </c>
      <c r="J182" s="748">
        <f t="shared" si="258"/>
        <v>0.5</v>
      </c>
      <c r="K182" s="718">
        <v>0.5</v>
      </c>
      <c r="L182" s="316" t="s">
        <v>514</v>
      </c>
      <c r="M182" s="316" t="s">
        <v>515</v>
      </c>
      <c r="N182" s="718">
        <v>0</v>
      </c>
      <c r="O182" s="316" t="s">
        <v>514</v>
      </c>
      <c r="P182" s="316" t="s">
        <v>552</v>
      </c>
      <c r="Q182" s="718">
        <v>0</v>
      </c>
      <c r="R182" s="728">
        <f t="shared" si="259"/>
        <v>0.5</v>
      </c>
      <c r="S182" s="718">
        <v>0.5</v>
      </c>
      <c r="T182" s="316" t="s">
        <v>514</v>
      </c>
      <c r="U182" s="316" t="s">
        <v>515</v>
      </c>
      <c r="V182" s="718">
        <v>0</v>
      </c>
      <c r="W182" s="316" t="s">
        <v>514</v>
      </c>
      <c r="X182" s="316" t="s">
        <v>552</v>
      </c>
      <c r="Y182" s="718">
        <v>0</v>
      </c>
      <c r="Z182" s="728">
        <f t="shared" si="268"/>
        <v>0.5</v>
      </c>
      <c r="AA182" s="718">
        <v>0.5</v>
      </c>
      <c r="AB182" s="316" t="s">
        <v>514</v>
      </c>
      <c r="AC182" s="316" t="s">
        <v>515</v>
      </c>
      <c r="AD182" s="718">
        <v>0</v>
      </c>
      <c r="AE182" s="316" t="s">
        <v>514</v>
      </c>
      <c r="AF182" s="316" t="s">
        <v>552</v>
      </c>
      <c r="AG182" s="718">
        <v>0</v>
      </c>
      <c r="AH182" s="728">
        <f t="shared" ref="AH182:AH183" si="275">+AA182+AD182+AG182</f>
        <v>0.5</v>
      </c>
      <c r="AI182" s="718">
        <v>0.5</v>
      </c>
      <c r="AJ182" s="316" t="s">
        <v>514</v>
      </c>
      <c r="AK182" s="316" t="s">
        <v>515</v>
      </c>
      <c r="AL182" s="718">
        <v>0</v>
      </c>
      <c r="AM182" s="316" t="s">
        <v>514</v>
      </c>
      <c r="AN182" s="316" t="s">
        <v>552</v>
      </c>
      <c r="AO182" s="718">
        <v>0</v>
      </c>
      <c r="AP182" s="728">
        <f t="shared" si="269"/>
        <v>0.5</v>
      </c>
      <c r="AQ182" s="718">
        <v>0.75</v>
      </c>
      <c r="AR182" s="316" t="s">
        <v>514</v>
      </c>
      <c r="AS182" s="316" t="s">
        <v>515</v>
      </c>
      <c r="AT182" s="718">
        <v>0</v>
      </c>
      <c r="AU182" s="316" t="s">
        <v>514</v>
      </c>
      <c r="AV182" s="316" t="s">
        <v>552</v>
      </c>
      <c r="AW182" s="718">
        <v>0</v>
      </c>
      <c r="AX182" s="463">
        <f t="shared" si="270"/>
        <v>0.75</v>
      </c>
      <c r="AY182" s="661">
        <v>0.5</v>
      </c>
      <c r="AZ182" s="316" t="s">
        <v>514</v>
      </c>
      <c r="BA182" s="316" t="s">
        <v>515</v>
      </c>
      <c r="BB182" s="463">
        <v>0</v>
      </c>
      <c r="BC182" s="316" t="s">
        <v>514</v>
      </c>
      <c r="BD182" s="316" t="s">
        <v>552</v>
      </c>
      <c r="BE182" s="463">
        <v>0</v>
      </c>
      <c r="BF182" s="728">
        <f t="shared" si="271"/>
        <v>0.5</v>
      </c>
      <c r="BG182" s="463"/>
      <c r="BH182" s="463">
        <v>0.5</v>
      </c>
      <c r="BI182" s="316" t="s">
        <v>514</v>
      </c>
      <c r="BJ182" s="316" t="s">
        <v>515</v>
      </c>
      <c r="BK182" s="463">
        <v>0</v>
      </c>
      <c r="BL182" s="316" t="s">
        <v>514</v>
      </c>
      <c r="BM182" s="316" t="s">
        <v>552</v>
      </c>
      <c r="BN182" s="463">
        <v>0</v>
      </c>
      <c r="BO182" s="728">
        <f t="shared" si="272"/>
        <v>0.5</v>
      </c>
      <c r="BP182" s="463">
        <v>0.5</v>
      </c>
      <c r="BQ182" s="316" t="s">
        <v>514</v>
      </c>
      <c r="BR182" s="316" t="s">
        <v>515</v>
      </c>
      <c r="BS182" s="463">
        <v>0</v>
      </c>
      <c r="BT182" s="316" t="s">
        <v>514</v>
      </c>
      <c r="BU182" s="316" t="s">
        <v>552</v>
      </c>
      <c r="BV182" s="463">
        <v>0</v>
      </c>
      <c r="BW182" s="463">
        <f t="shared" si="273"/>
        <v>0.5</v>
      </c>
      <c r="BX182" s="444" t="s">
        <v>874</v>
      </c>
      <c r="BY182" s="444"/>
      <c r="BZ182" s="444" t="s">
        <v>874</v>
      </c>
      <c r="CA182" s="436" t="s">
        <v>874</v>
      </c>
      <c r="CB182" s="723">
        <v>0.65700000000000003</v>
      </c>
      <c r="CC182" s="668" t="s">
        <v>950</v>
      </c>
      <c r="CD182" s="316" t="s">
        <v>514</v>
      </c>
      <c r="CE182" s="316" t="s">
        <v>515</v>
      </c>
      <c r="CF182" s="718">
        <v>0</v>
      </c>
      <c r="CG182" s="316" t="s">
        <v>514</v>
      </c>
      <c r="CH182" s="316" t="s">
        <v>552</v>
      </c>
      <c r="CI182" s="718">
        <v>0</v>
      </c>
    </row>
    <row r="183" spans="1:87" ht="15" x14ac:dyDescent="0.2">
      <c r="A183" s="747" t="s">
        <v>253</v>
      </c>
      <c r="B183" s="469" t="s">
        <v>252</v>
      </c>
      <c r="C183" s="718">
        <v>0.4</v>
      </c>
      <c r="D183" s="469" t="s">
        <v>627</v>
      </c>
      <c r="E183" s="469" t="s">
        <v>628</v>
      </c>
      <c r="F183" s="718">
        <v>0.1</v>
      </c>
      <c r="G183" s="469" t="s">
        <v>514</v>
      </c>
      <c r="H183" s="469" t="s">
        <v>552</v>
      </c>
      <c r="I183" s="718">
        <v>0</v>
      </c>
      <c r="J183" s="748">
        <f t="shared" si="258"/>
        <v>0.5</v>
      </c>
      <c r="K183" s="718">
        <v>0.4</v>
      </c>
      <c r="L183" s="316" t="s">
        <v>627</v>
      </c>
      <c r="M183" s="316" t="s">
        <v>628</v>
      </c>
      <c r="N183" s="718">
        <v>0.1</v>
      </c>
      <c r="O183" s="316" t="s">
        <v>514</v>
      </c>
      <c r="P183" s="316" t="s">
        <v>552</v>
      </c>
      <c r="Q183" s="718">
        <v>0</v>
      </c>
      <c r="R183" s="728">
        <f t="shared" si="259"/>
        <v>0.5</v>
      </c>
      <c r="S183" s="718">
        <v>0.4</v>
      </c>
      <c r="T183" s="316" t="s">
        <v>627</v>
      </c>
      <c r="U183" s="316" t="s">
        <v>628</v>
      </c>
      <c r="V183" s="718">
        <v>0.1</v>
      </c>
      <c r="W183" s="316" t="s">
        <v>514</v>
      </c>
      <c r="X183" s="316" t="s">
        <v>552</v>
      </c>
      <c r="Y183" s="718">
        <v>0</v>
      </c>
      <c r="Z183" s="728">
        <f t="shared" si="268"/>
        <v>0.5</v>
      </c>
      <c r="AA183" s="718">
        <v>0.4</v>
      </c>
      <c r="AB183" s="316" t="s">
        <v>627</v>
      </c>
      <c r="AC183" s="316" t="s">
        <v>628</v>
      </c>
      <c r="AD183" s="718">
        <v>0.1</v>
      </c>
      <c r="AE183" s="316" t="s">
        <v>514</v>
      </c>
      <c r="AF183" s="316" t="s">
        <v>552</v>
      </c>
      <c r="AG183" s="718">
        <v>0</v>
      </c>
      <c r="AH183" s="728">
        <f t="shared" si="275"/>
        <v>0.5</v>
      </c>
      <c r="AI183" s="718">
        <v>0.4</v>
      </c>
      <c r="AJ183" s="316" t="s">
        <v>627</v>
      </c>
      <c r="AK183" s="316" t="s">
        <v>628</v>
      </c>
      <c r="AL183" s="718">
        <v>0.1</v>
      </c>
      <c r="AM183" s="316" t="s">
        <v>514</v>
      </c>
      <c r="AN183" s="316" t="s">
        <v>552</v>
      </c>
      <c r="AO183" s="718">
        <v>0</v>
      </c>
      <c r="AP183" s="728">
        <f t="shared" si="269"/>
        <v>0.5</v>
      </c>
      <c r="AQ183" s="718">
        <v>0.42499999999999999</v>
      </c>
      <c r="AR183" s="316" t="s">
        <v>627</v>
      </c>
      <c r="AS183" s="316" t="s">
        <v>628</v>
      </c>
      <c r="AT183" s="718">
        <v>0.32500000000000001</v>
      </c>
      <c r="AU183" s="316" t="s">
        <v>514</v>
      </c>
      <c r="AV183" s="316" t="s">
        <v>552</v>
      </c>
      <c r="AW183" s="718">
        <v>0</v>
      </c>
      <c r="AX183" s="463">
        <f t="shared" si="270"/>
        <v>0.75</v>
      </c>
      <c r="AY183" s="661">
        <v>0.4</v>
      </c>
      <c r="AZ183" s="316" t="s">
        <v>627</v>
      </c>
      <c r="BA183" s="316" t="s">
        <v>628</v>
      </c>
      <c r="BB183" s="463">
        <v>0.1</v>
      </c>
      <c r="BC183" s="316" t="s">
        <v>514</v>
      </c>
      <c r="BD183" s="316" t="s">
        <v>552</v>
      </c>
      <c r="BE183" s="463">
        <v>0</v>
      </c>
      <c r="BF183" s="728">
        <f t="shared" si="271"/>
        <v>0.5</v>
      </c>
      <c r="BG183" s="463"/>
      <c r="BH183" s="463">
        <v>0.4</v>
      </c>
      <c r="BI183" s="316" t="s">
        <v>627</v>
      </c>
      <c r="BJ183" s="316" t="s">
        <v>628</v>
      </c>
      <c r="BK183" s="463">
        <v>0.1</v>
      </c>
      <c r="BL183" s="316" t="s">
        <v>514</v>
      </c>
      <c r="BM183" s="316" t="s">
        <v>552</v>
      </c>
      <c r="BN183" s="463">
        <v>0</v>
      </c>
      <c r="BO183" s="728">
        <f t="shared" si="272"/>
        <v>0.5</v>
      </c>
      <c r="BP183" s="463">
        <v>0.4</v>
      </c>
      <c r="BQ183" s="316" t="s">
        <v>627</v>
      </c>
      <c r="BR183" s="316" t="s">
        <v>628</v>
      </c>
      <c r="BS183" s="463">
        <v>0.1</v>
      </c>
      <c r="BT183" s="316" t="s">
        <v>514</v>
      </c>
      <c r="BU183" s="316" t="s">
        <v>552</v>
      </c>
      <c r="BV183" s="463">
        <v>0</v>
      </c>
      <c r="BW183" s="463">
        <f t="shared" si="273"/>
        <v>0.5</v>
      </c>
      <c r="BX183" s="444"/>
      <c r="BY183" s="444"/>
      <c r="BZ183" s="444"/>
      <c r="CA183" s="434"/>
      <c r="CB183" s="723">
        <v>0.69799999999999995</v>
      </c>
      <c r="CC183" s="668" t="s">
        <v>950</v>
      </c>
      <c r="CD183" s="316" t="s">
        <v>627</v>
      </c>
      <c r="CE183" s="316" t="s">
        <v>628</v>
      </c>
      <c r="CF183" s="718">
        <v>0.6</v>
      </c>
      <c r="CG183" s="316" t="s">
        <v>514</v>
      </c>
      <c r="CH183" s="316" t="s">
        <v>552</v>
      </c>
      <c r="CI183" s="718">
        <v>0</v>
      </c>
    </row>
    <row r="184" spans="1:87" ht="15.75" customHeight="1" x14ac:dyDescent="0.2">
      <c r="A184" s="747" t="s">
        <v>255</v>
      </c>
      <c r="B184" s="469" t="s">
        <v>636</v>
      </c>
      <c r="C184" s="718">
        <v>0.49</v>
      </c>
      <c r="D184" s="469" t="s">
        <v>514</v>
      </c>
      <c r="E184" s="469" t="s">
        <v>515</v>
      </c>
      <c r="F184" s="718">
        <v>0</v>
      </c>
      <c r="G184" s="469" t="s">
        <v>637</v>
      </c>
      <c r="H184" s="469" t="s">
        <v>638</v>
      </c>
      <c r="I184" s="718">
        <v>0.01</v>
      </c>
      <c r="J184" s="748">
        <f t="shared" si="258"/>
        <v>0.5</v>
      </c>
      <c r="K184" s="718">
        <v>0.49</v>
      </c>
      <c r="L184" s="316" t="s">
        <v>514</v>
      </c>
      <c r="M184" s="316" t="s">
        <v>515</v>
      </c>
      <c r="N184" s="718">
        <v>0</v>
      </c>
      <c r="O184" s="316" t="s">
        <v>637</v>
      </c>
      <c r="P184" s="316" t="s">
        <v>638</v>
      </c>
      <c r="Q184" s="718">
        <v>0.01</v>
      </c>
      <c r="R184" s="728">
        <f t="shared" si="259"/>
        <v>0.5</v>
      </c>
      <c r="S184" s="718">
        <v>0.49</v>
      </c>
      <c r="T184" s="316" t="s">
        <v>514</v>
      </c>
      <c r="U184" s="316" t="s">
        <v>515</v>
      </c>
      <c r="V184" s="718">
        <v>0</v>
      </c>
      <c r="W184" s="316" t="s">
        <v>637</v>
      </c>
      <c r="X184" s="316" t="s">
        <v>638</v>
      </c>
      <c r="Y184" s="718">
        <v>0.01</v>
      </c>
      <c r="Z184" s="728">
        <f t="shared" si="268"/>
        <v>0.5</v>
      </c>
      <c r="AA184" s="718">
        <v>0.49</v>
      </c>
      <c r="AB184" s="316" t="s">
        <v>514</v>
      </c>
      <c r="AC184" s="316" t="s">
        <v>515</v>
      </c>
      <c r="AD184" s="718">
        <v>0</v>
      </c>
      <c r="AE184" s="316" t="s">
        <v>637</v>
      </c>
      <c r="AF184" s="316" t="s">
        <v>638</v>
      </c>
      <c r="AG184" s="718">
        <v>0.01</v>
      </c>
      <c r="AH184" s="728">
        <f t="shared" ref="AH184:AH192" si="276">+AA184+AD184+AG184</f>
        <v>0.5</v>
      </c>
      <c r="AI184" s="718">
        <v>0.49</v>
      </c>
      <c r="AJ184" s="316" t="s">
        <v>514</v>
      </c>
      <c r="AK184" s="316" t="s">
        <v>515</v>
      </c>
      <c r="AL184" s="718">
        <v>0</v>
      </c>
      <c r="AM184" s="316" t="s">
        <v>637</v>
      </c>
      <c r="AN184" s="316" t="s">
        <v>638</v>
      </c>
      <c r="AO184" s="718">
        <v>0.01</v>
      </c>
      <c r="AP184" s="728">
        <f t="shared" si="269"/>
        <v>0.5</v>
      </c>
      <c r="AQ184" s="718">
        <v>0.49</v>
      </c>
      <c r="AR184" s="316" t="s">
        <v>514</v>
      </c>
      <c r="AS184" s="316" t="s">
        <v>515</v>
      </c>
      <c r="AT184" s="718">
        <v>0</v>
      </c>
      <c r="AU184" s="316" t="s">
        <v>637</v>
      </c>
      <c r="AV184" s="316" t="s">
        <v>638</v>
      </c>
      <c r="AW184" s="718">
        <v>0.01</v>
      </c>
      <c r="AX184" s="463">
        <f t="shared" si="270"/>
        <v>0.5</v>
      </c>
      <c r="AY184" s="661">
        <v>0.49</v>
      </c>
      <c r="AZ184" s="316" t="s">
        <v>514</v>
      </c>
      <c r="BA184" s="316" t="s">
        <v>515</v>
      </c>
      <c r="BB184" s="463">
        <v>0</v>
      </c>
      <c r="BC184" s="316" t="s">
        <v>637</v>
      </c>
      <c r="BD184" s="316" t="s">
        <v>638</v>
      </c>
      <c r="BE184" s="463">
        <v>0.01</v>
      </c>
      <c r="BF184" s="728">
        <f t="shared" si="271"/>
        <v>0.5</v>
      </c>
      <c r="BG184" s="463"/>
      <c r="BH184" s="463">
        <v>0.49</v>
      </c>
      <c r="BI184" s="316" t="s">
        <v>514</v>
      </c>
      <c r="BJ184" s="316" t="s">
        <v>515</v>
      </c>
      <c r="BK184" s="463">
        <v>0</v>
      </c>
      <c r="BL184" s="316" t="s">
        <v>637</v>
      </c>
      <c r="BM184" s="316" t="s">
        <v>638</v>
      </c>
      <c r="BN184" s="463">
        <v>0.01</v>
      </c>
      <c r="BO184" s="728">
        <f t="shared" si="272"/>
        <v>0.5</v>
      </c>
      <c r="BP184" s="463">
        <v>0.49</v>
      </c>
      <c r="BQ184" s="316" t="s">
        <v>514</v>
      </c>
      <c r="BR184" s="316" t="s">
        <v>515</v>
      </c>
      <c r="BS184" s="463">
        <v>0</v>
      </c>
      <c r="BT184" s="316" t="s">
        <v>637</v>
      </c>
      <c r="BU184" s="316" t="s">
        <v>638</v>
      </c>
      <c r="BV184" s="463">
        <v>0.01</v>
      </c>
      <c r="BW184" s="463">
        <f t="shared" si="273"/>
        <v>0.5</v>
      </c>
      <c r="BX184" s="444" t="s">
        <v>874</v>
      </c>
      <c r="BY184" s="444"/>
      <c r="BZ184" s="444"/>
      <c r="CA184" s="436" t="s">
        <v>874</v>
      </c>
      <c r="CB184" s="723">
        <v>0.67100000000000004</v>
      </c>
      <c r="CC184" s="668" t="s">
        <v>950</v>
      </c>
      <c r="CD184" s="316" t="s">
        <v>514</v>
      </c>
      <c r="CE184" s="316" t="s">
        <v>515</v>
      </c>
      <c r="CF184" s="718">
        <v>0</v>
      </c>
      <c r="CG184" s="316" t="s">
        <v>637</v>
      </c>
      <c r="CH184" s="316" t="s">
        <v>638</v>
      </c>
      <c r="CI184" s="718">
        <v>0.01</v>
      </c>
    </row>
    <row r="185" spans="1:87" ht="15.75" customHeight="1" x14ac:dyDescent="0.2">
      <c r="A185" s="747" t="s">
        <v>257</v>
      </c>
      <c r="B185" s="469" t="s">
        <v>660</v>
      </c>
      <c r="C185" s="718">
        <v>0.4</v>
      </c>
      <c r="D185" s="469" t="s">
        <v>658</v>
      </c>
      <c r="E185" s="469" t="s">
        <v>659</v>
      </c>
      <c r="F185" s="718">
        <v>0.1</v>
      </c>
      <c r="G185" s="469" t="s">
        <v>514</v>
      </c>
      <c r="H185" s="469" t="s">
        <v>552</v>
      </c>
      <c r="I185" s="718">
        <v>0</v>
      </c>
      <c r="J185" s="748">
        <f t="shared" si="258"/>
        <v>0.5</v>
      </c>
      <c r="K185" s="718">
        <v>0.4</v>
      </c>
      <c r="L185" s="316" t="s">
        <v>658</v>
      </c>
      <c r="M185" s="316" t="s">
        <v>659</v>
      </c>
      <c r="N185" s="718">
        <v>0.1</v>
      </c>
      <c r="O185" s="316" t="s">
        <v>514</v>
      </c>
      <c r="P185" s="316" t="s">
        <v>552</v>
      </c>
      <c r="Q185" s="718">
        <v>0</v>
      </c>
      <c r="R185" s="728">
        <f t="shared" si="259"/>
        <v>0.5</v>
      </c>
      <c r="S185" s="718">
        <v>0.4</v>
      </c>
      <c r="T185" s="316" t="s">
        <v>658</v>
      </c>
      <c r="U185" s="316" t="s">
        <v>659</v>
      </c>
      <c r="V185" s="718">
        <v>0.1</v>
      </c>
      <c r="W185" s="316" t="s">
        <v>514</v>
      </c>
      <c r="X185" s="316" t="s">
        <v>552</v>
      </c>
      <c r="Y185" s="718">
        <v>0</v>
      </c>
      <c r="Z185" s="728">
        <f t="shared" si="268"/>
        <v>0.5</v>
      </c>
      <c r="AA185" s="718">
        <v>0.4</v>
      </c>
      <c r="AB185" s="316" t="s">
        <v>658</v>
      </c>
      <c r="AC185" s="316" t="s">
        <v>659</v>
      </c>
      <c r="AD185" s="718">
        <v>0.1</v>
      </c>
      <c r="AE185" s="316" t="s">
        <v>514</v>
      </c>
      <c r="AF185" s="316" t="s">
        <v>552</v>
      </c>
      <c r="AG185" s="718">
        <v>0</v>
      </c>
      <c r="AH185" s="728">
        <f t="shared" si="276"/>
        <v>0.5</v>
      </c>
      <c r="AI185" s="718">
        <v>0.4</v>
      </c>
      <c r="AJ185" s="316" t="s">
        <v>658</v>
      </c>
      <c r="AK185" s="316" t="s">
        <v>659</v>
      </c>
      <c r="AL185" s="718">
        <v>0.1</v>
      </c>
      <c r="AM185" s="316" t="s">
        <v>514</v>
      </c>
      <c r="AN185" s="316" t="s">
        <v>552</v>
      </c>
      <c r="AO185" s="718">
        <v>0</v>
      </c>
      <c r="AP185" s="728">
        <f t="shared" si="269"/>
        <v>0.5</v>
      </c>
      <c r="AQ185" s="718">
        <v>0.4</v>
      </c>
      <c r="AR185" s="316" t="s">
        <v>658</v>
      </c>
      <c r="AS185" s="316" t="s">
        <v>659</v>
      </c>
      <c r="AT185" s="718">
        <v>0.1</v>
      </c>
      <c r="AU185" s="316" t="s">
        <v>514</v>
      </c>
      <c r="AV185" s="316" t="s">
        <v>552</v>
      </c>
      <c r="AW185" s="718">
        <v>0</v>
      </c>
      <c r="AX185" s="463">
        <f t="shared" si="270"/>
        <v>0.5</v>
      </c>
      <c r="AY185" s="661">
        <v>0.4</v>
      </c>
      <c r="AZ185" s="316" t="s">
        <v>658</v>
      </c>
      <c r="BA185" s="316" t="s">
        <v>659</v>
      </c>
      <c r="BB185" s="463">
        <v>0.1</v>
      </c>
      <c r="BC185" s="316" t="s">
        <v>514</v>
      </c>
      <c r="BD185" s="316" t="s">
        <v>552</v>
      </c>
      <c r="BE185" s="463">
        <v>0</v>
      </c>
      <c r="BF185" s="728">
        <f t="shared" si="271"/>
        <v>0.5</v>
      </c>
      <c r="BG185" s="463"/>
      <c r="BH185" s="463">
        <v>0.4</v>
      </c>
      <c r="BI185" s="316" t="s">
        <v>658</v>
      </c>
      <c r="BJ185" s="316" t="s">
        <v>659</v>
      </c>
      <c r="BK185" s="463">
        <v>0.1</v>
      </c>
      <c r="BL185" s="316" t="s">
        <v>514</v>
      </c>
      <c r="BM185" s="316" t="s">
        <v>552</v>
      </c>
      <c r="BN185" s="463">
        <v>0</v>
      </c>
      <c r="BO185" s="728">
        <f t="shared" si="272"/>
        <v>0.5</v>
      </c>
      <c r="BP185" s="463">
        <v>0.4</v>
      </c>
      <c r="BQ185" s="316" t="s">
        <v>658</v>
      </c>
      <c r="BR185" s="316" t="s">
        <v>659</v>
      </c>
      <c r="BS185" s="463">
        <v>0.1</v>
      </c>
      <c r="BT185" s="316" t="s">
        <v>514</v>
      </c>
      <c r="BU185" s="316" t="s">
        <v>552</v>
      </c>
      <c r="BV185" s="463">
        <v>0</v>
      </c>
      <c r="BW185" s="463">
        <f t="shared" si="273"/>
        <v>0.5</v>
      </c>
      <c r="BX185" s="444"/>
      <c r="BY185" s="444"/>
      <c r="BZ185" s="444"/>
      <c r="CA185" s="434"/>
      <c r="CB185" s="723">
        <v>0.69799999999999995</v>
      </c>
      <c r="CC185" s="668" t="s">
        <v>950</v>
      </c>
      <c r="CD185" s="316" t="s">
        <v>658</v>
      </c>
      <c r="CE185" s="316" t="s">
        <v>659</v>
      </c>
      <c r="CF185" s="718">
        <v>0.6</v>
      </c>
      <c r="CG185" s="316" t="s">
        <v>514</v>
      </c>
      <c r="CH185" s="316" t="s">
        <v>552</v>
      </c>
      <c r="CI185" s="718">
        <v>0</v>
      </c>
    </row>
    <row r="186" spans="1:87" ht="15.75" customHeight="1" x14ac:dyDescent="0.2">
      <c r="A186" s="747" t="s">
        <v>259</v>
      </c>
      <c r="B186" s="469" t="s">
        <v>624</v>
      </c>
      <c r="C186" s="718">
        <v>0.4</v>
      </c>
      <c r="D186" s="469" t="s">
        <v>621</v>
      </c>
      <c r="E186" s="469" t="s">
        <v>622</v>
      </c>
      <c r="F186" s="718">
        <v>0.09</v>
      </c>
      <c r="G186" s="469" t="s">
        <v>618</v>
      </c>
      <c r="H186" s="469" t="s">
        <v>619</v>
      </c>
      <c r="I186" s="718">
        <v>0.01</v>
      </c>
      <c r="J186" s="748">
        <f t="shared" si="258"/>
        <v>0.5</v>
      </c>
      <c r="K186" s="718">
        <v>0.4</v>
      </c>
      <c r="L186" s="316" t="s">
        <v>621</v>
      </c>
      <c r="M186" s="316" t="s">
        <v>622</v>
      </c>
      <c r="N186" s="718">
        <v>0.09</v>
      </c>
      <c r="O186" s="316" t="s">
        <v>618</v>
      </c>
      <c r="P186" s="316" t="s">
        <v>619</v>
      </c>
      <c r="Q186" s="718">
        <v>0.01</v>
      </c>
      <c r="R186" s="728">
        <f t="shared" si="259"/>
        <v>0.5</v>
      </c>
      <c r="S186" s="718">
        <v>0.4</v>
      </c>
      <c r="T186" s="316" t="s">
        <v>621</v>
      </c>
      <c r="U186" s="316" t="s">
        <v>622</v>
      </c>
      <c r="V186" s="718">
        <v>0.09</v>
      </c>
      <c r="W186" s="316" t="s">
        <v>618</v>
      </c>
      <c r="X186" s="316" t="s">
        <v>619</v>
      </c>
      <c r="Y186" s="718">
        <v>0.01</v>
      </c>
      <c r="Z186" s="728">
        <f t="shared" ref="Z186:Z192" si="277">+S186+V186+Y186</f>
        <v>0.5</v>
      </c>
      <c r="AA186" s="718">
        <v>0.4</v>
      </c>
      <c r="AB186" s="316" t="s">
        <v>621</v>
      </c>
      <c r="AC186" s="316" t="s">
        <v>622</v>
      </c>
      <c r="AD186" s="718">
        <v>0.09</v>
      </c>
      <c r="AE186" s="316" t="s">
        <v>618</v>
      </c>
      <c r="AF186" s="316" t="s">
        <v>619</v>
      </c>
      <c r="AG186" s="718">
        <v>0.01</v>
      </c>
      <c r="AH186" s="728">
        <f t="shared" si="276"/>
        <v>0.5</v>
      </c>
      <c r="AI186" s="718">
        <v>0.4</v>
      </c>
      <c r="AJ186" s="316" t="s">
        <v>621</v>
      </c>
      <c r="AK186" s="316" t="s">
        <v>622</v>
      </c>
      <c r="AL186" s="718">
        <v>0.09</v>
      </c>
      <c r="AM186" s="316" t="s">
        <v>618</v>
      </c>
      <c r="AN186" s="316" t="s">
        <v>619</v>
      </c>
      <c r="AO186" s="718">
        <v>0.01</v>
      </c>
      <c r="AP186" s="728">
        <f t="shared" si="269"/>
        <v>0.5</v>
      </c>
      <c r="AQ186" s="718">
        <v>0.375</v>
      </c>
      <c r="AR186" s="316" t="s">
        <v>621</v>
      </c>
      <c r="AS186" s="316" t="s">
        <v>622</v>
      </c>
      <c r="AT186" s="718">
        <v>0.36499999999999999</v>
      </c>
      <c r="AU186" s="316" t="s">
        <v>618</v>
      </c>
      <c r="AV186" s="316" t="s">
        <v>619</v>
      </c>
      <c r="AW186" s="718">
        <v>0.01</v>
      </c>
      <c r="AX186" s="463">
        <f t="shared" si="270"/>
        <v>0.75</v>
      </c>
      <c r="AY186" s="661">
        <v>0.4</v>
      </c>
      <c r="AZ186" s="316" t="s">
        <v>621</v>
      </c>
      <c r="BA186" s="316" t="s">
        <v>622</v>
      </c>
      <c r="BB186" s="463">
        <v>0.09</v>
      </c>
      <c r="BC186" s="316" t="s">
        <v>618</v>
      </c>
      <c r="BD186" s="316" t="s">
        <v>619</v>
      </c>
      <c r="BE186" s="463">
        <v>0.01</v>
      </c>
      <c r="BF186" s="728">
        <f t="shared" si="271"/>
        <v>0.5</v>
      </c>
      <c r="BG186" s="463"/>
      <c r="BH186" s="463">
        <v>0.4</v>
      </c>
      <c r="BI186" s="316" t="s">
        <v>621</v>
      </c>
      <c r="BJ186" s="316" t="s">
        <v>622</v>
      </c>
      <c r="BK186" s="463">
        <v>0.09</v>
      </c>
      <c r="BL186" s="316" t="s">
        <v>618</v>
      </c>
      <c r="BM186" s="316" t="s">
        <v>619</v>
      </c>
      <c r="BN186" s="463">
        <v>0.01</v>
      </c>
      <c r="BO186" s="728">
        <f t="shared" si="272"/>
        <v>0.5</v>
      </c>
      <c r="BP186" s="463">
        <v>0.4</v>
      </c>
      <c r="BQ186" s="316" t="s">
        <v>621</v>
      </c>
      <c r="BR186" s="316" t="s">
        <v>622</v>
      </c>
      <c r="BS186" s="463">
        <v>0.09</v>
      </c>
      <c r="BT186" s="316" t="s">
        <v>618</v>
      </c>
      <c r="BU186" s="316" t="s">
        <v>619</v>
      </c>
      <c r="BV186" s="463">
        <v>0.01</v>
      </c>
      <c r="BW186" s="463">
        <f t="shared" si="273"/>
        <v>0.5</v>
      </c>
      <c r="BX186" s="444"/>
      <c r="BY186" s="444"/>
      <c r="BZ186" s="444"/>
      <c r="CA186" s="434"/>
      <c r="CB186" s="723">
        <v>0.71699999999999997</v>
      </c>
      <c r="CC186" s="668" t="s">
        <v>950</v>
      </c>
      <c r="CD186" s="316" t="s">
        <v>621</v>
      </c>
      <c r="CE186" s="316" t="s">
        <v>622</v>
      </c>
      <c r="CF186" s="718">
        <v>0.59</v>
      </c>
      <c r="CG186" s="316" t="s">
        <v>618</v>
      </c>
      <c r="CH186" s="316" t="s">
        <v>619</v>
      </c>
      <c r="CI186" s="718">
        <v>0.01</v>
      </c>
    </row>
    <row r="187" spans="1:87" ht="15.75" customHeight="1" x14ac:dyDescent="0.2">
      <c r="A187" s="747" t="s">
        <v>261</v>
      </c>
      <c r="B187" s="469" t="s">
        <v>260</v>
      </c>
      <c r="C187" s="718">
        <v>0.99</v>
      </c>
      <c r="D187" s="469" t="s">
        <v>514</v>
      </c>
      <c r="E187" s="469" t="s">
        <v>666</v>
      </c>
      <c r="F187" s="718">
        <v>0</v>
      </c>
      <c r="G187" s="469" t="s">
        <v>1328</v>
      </c>
      <c r="H187" s="469" t="s">
        <v>1243</v>
      </c>
      <c r="I187" s="718">
        <v>0.01</v>
      </c>
      <c r="J187" s="748">
        <f t="shared" si="258"/>
        <v>1</v>
      </c>
      <c r="K187" s="718">
        <v>0.99</v>
      </c>
      <c r="L187" s="316" t="s">
        <v>514</v>
      </c>
      <c r="M187" s="316" t="s">
        <v>666</v>
      </c>
      <c r="N187" s="718">
        <v>0</v>
      </c>
      <c r="O187" s="316" t="s">
        <v>1328</v>
      </c>
      <c r="P187" s="316" t="s">
        <v>1243</v>
      </c>
      <c r="Q187" s="718">
        <v>0.01</v>
      </c>
      <c r="R187" s="728">
        <f t="shared" si="259"/>
        <v>1</v>
      </c>
      <c r="S187" s="718">
        <v>0.99</v>
      </c>
      <c r="T187" s="316" t="s">
        <v>514</v>
      </c>
      <c r="U187" s="316" t="s">
        <v>666</v>
      </c>
      <c r="V187" s="718">
        <v>0</v>
      </c>
      <c r="W187" s="316" t="s">
        <v>1328</v>
      </c>
      <c r="X187" s="316" t="s">
        <v>1243</v>
      </c>
      <c r="Y187" s="718">
        <v>0.01</v>
      </c>
      <c r="Z187" s="728">
        <f t="shared" si="277"/>
        <v>1</v>
      </c>
      <c r="AA187" s="718">
        <v>0.99</v>
      </c>
      <c r="AB187" s="316" t="s">
        <v>514</v>
      </c>
      <c r="AC187" s="316" t="s">
        <v>666</v>
      </c>
      <c r="AD187" s="718">
        <v>0</v>
      </c>
      <c r="AE187" s="316" t="s">
        <v>1328</v>
      </c>
      <c r="AF187" s="316" t="s">
        <v>1243</v>
      </c>
      <c r="AG187" s="718">
        <v>0.01</v>
      </c>
      <c r="AH187" s="728">
        <f t="shared" si="276"/>
        <v>1</v>
      </c>
      <c r="AI187" s="718">
        <v>0.99</v>
      </c>
      <c r="AJ187" s="316" t="s">
        <v>514</v>
      </c>
      <c r="AK187" s="316" t="s">
        <v>666</v>
      </c>
      <c r="AL187" s="718">
        <v>0</v>
      </c>
      <c r="AM187" s="316" t="s">
        <v>1328</v>
      </c>
      <c r="AN187" s="316" t="s">
        <v>1243</v>
      </c>
      <c r="AO187" s="718">
        <v>0.01</v>
      </c>
      <c r="AP187" s="728">
        <f t="shared" si="269"/>
        <v>1</v>
      </c>
      <c r="AQ187" s="718">
        <v>0.99</v>
      </c>
      <c r="AR187" s="316" t="s">
        <v>514</v>
      </c>
      <c r="AS187" s="316" t="s">
        <v>666</v>
      </c>
      <c r="AT187" s="718">
        <v>0</v>
      </c>
      <c r="AU187" s="316" t="s">
        <v>667</v>
      </c>
      <c r="AV187" s="316" t="s">
        <v>1243</v>
      </c>
      <c r="AW187" s="718">
        <v>0.01</v>
      </c>
      <c r="AX187" s="463">
        <f t="shared" si="270"/>
        <v>1</v>
      </c>
      <c r="AY187" s="661">
        <v>0.99</v>
      </c>
      <c r="AZ187" s="316" t="s">
        <v>514</v>
      </c>
      <c r="BA187" s="316" t="s">
        <v>666</v>
      </c>
      <c r="BB187" s="463">
        <v>0</v>
      </c>
      <c r="BC187" s="316" t="s">
        <v>667</v>
      </c>
      <c r="BD187" s="316" t="s">
        <v>668</v>
      </c>
      <c r="BE187" s="463">
        <v>0.01</v>
      </c>
      <c r="BF187" s="728">
        <f t="shared" si="271"/>
        <v>1</v>
      </c>
      <c r="BG187" s="463"/>
      <c r="BH187" s="463">
        <v>0.99</v>
      </c>
      <c r="BI187" s="316" t="s">
        <v>514</v>
      </c>
      <c r="BJ187" s="316" t="s">
        <v>666</v>
      </c>
      <c r="BK187" s="463">
        <v>0</v>
      </c>
      <c r="BL187" s="316" t="s">
        <v>667</v>
      </c>
      <c r="BM187" s="316" t="s">
        <v>668</v>
      </c>
      <c r="BN187" s="463">
        <v>0.01</v>
      </c>
      <c r="BO187" s="728">
        <f t="shared" si="272"/>
        <v>1</v>
      </c>
      <c r="BP187" s="463">
        <v>0.49</v>
      </c>
      <c r="BQ187" s="316" t="s">
        <v>514</v>
      </c>
      <c r="BR187" s="316" t="s">
        <v>666</v>
      </c>
      <c r="BS187" s="463">
        <v>0</v>
      </c>
      <c r="BT187" s="316" t="s">
        <v>667</v>
      </c>
      <c r="BU187" s="316" t="s">
        <v>668</v>
      </c>
      <c r="BV187" s="463">
        <v>0.01</v>
      </c>
      <c r="BW187" s="463">
        <f t="shared" si="273"/>
        <v>0.5</v>
      </c>
      <c r="CA187" s="436" t="s">
        <v>874</v>
      </c>
      <c r="CB187" s="723">
        <v>0.66</v>
      </c>
      <c r="CC187" s="668" t="s">
        <v>950</v>
      </c>
      <c r="CD187" s="316" t="s">
        <v>514</v>
      </c>
      <c r="CE187" s="316" t="s">
        <v>666</v>
      </c>
      <c r="CF187" s="718">
        <v>0</v>
      </c>
      <c r="CG187" s="316" t="s">
        <v>667</v>
      </c>
      <c r="CH187" s="316" t="s">
        <v>668</v>
      </c>
      <c r="CI187" s="718">
        <v>0.01</v>
      </c>
    </row>
    <row r="188" spans="1:87" ht="15.75" customHeight="1" x14ac:dyDescent="0.2">
      <c r="A188" s="747" t="s">
        <v>263</v>
      </c>
      <c r="B188" s="469" t="s">
        <v>262</v>
      </c>
      <c r="C188" s="718">
        <v>0.4</v>
      </c>
      <c r="D188" s="469" t="s">
        <v>642</v>
      </c>
      <c r="E188" s="469" t="s">
        <v>643</v>
      </c>
      <c r="F188" s="718">
        <v>0.1</v>
      </c>
      <c r="G188" s="469" t="s">
        <v>514</v>
      </c>
      <c r="H188" s="469" t="s">
        <v>552</v>
      </c>
      <c r="I188" s="718">
        <v>0</v>
      </c>
      <c r="J188" s="748">
        <f t="shared" si="258"/>
        <v>0.5</v>
      </c>
      <c r="K188" s="718">
        <v>0.4</v>
      </c>
      <c r="L188" s="316" t="s">
        <v>642</v>
      </c>
      <c r="M188" s="316" t="s">
        <v>643</v>
      </c>
      <c r="N188" s="718">
        <v>0.1</v>
      </c>
      <c r="O188" s="316" t="s">
        <v>514</v>
      </c>
      <c r="P188" s="316" t="s">
        <v>552</v>
      </c>
      <c r="Q188" s="718">
        <v>0</v>
      </c>
      <c r="R188" s="728">
        <f t="shared" si="259"/>
        <v>0.5</v>
      </c>
      <c r="S188" s="718">
        <v>0.4</v>
      </c>
      <c r="T188" s="316" t="s">
        <v>642</v>
      </c>
      <c r="U188" s="316" t="s">
        <v>643</v>
      </c>
      <c r="V188" s="718">
        <v>0.1</v>
      </c>
      <c r="W188" s="316" t="s">
        <v>514</v>
      </c>
      <c r="X188" s="316" t="s">
        <v>552</v>
      </c>
      <c r="Y188" s="718">
        <v>0</v>
      </c>
      <c r="Z188" s="728">
        <f t="shared" si="277"/>
        <v>0.5</v>
      </c>
      <c r="AA188" s="718">
        <v>0.4</v>
      </c>
      <c r="AB188" s="316" t="s">
        <v>642</v>
      </c>
      <c r="AC188" s="316" t="s">
        <v>643</v>
      </c>
      <c r="AD188" s="718">
        <v>0.1</v>
      </c>
      <c r="AE188" s="316" t="s">
        <v>514</v>
      </c>
      <c r="AF188" s="316" t="s">
        <v>552</v>
      </c>
      <c r="AG188" s="718">
        <v>0</v>
      </c>
      <c r="AH188" s="728">
        <f t="shared" si="276"/>
        <v>0.5</v>
      </c>
      <c r="AI188" s="718">
        <v>0.4</v>
      </c>
      <c r="AJ188" s="316" t="s">
        <v>642</v>
      </c>
      <c r="AK188" s="316" t="s">
        <v>643</v>
      </c>
      <c r="AL188" s="718">
        <v>0.1</v>
      </c>
      <c r="AM188" s="316" t="s">
        <v>514</v>
      </c>
      <c r="AN188" s="316" t="s">
        <v>552</v>
      </c>
      <c r="AO188" s="718">
        <v>0</v>
      </c>
      <c r="AP188" s="728">
        <f t="shared" si="269"/>
        <v>0.5</v>
      </c>
      <c r="AQ188" s="718">
        <v>0.4</v>
      </c>
      <c r="AR188" s="316" t="s">
        <v>642</v>
      </c>
      <c r="AS188" s="316" t="s">
        <v>643</v>
      </c>
      <c r="AT188" s="718">
        <v>0.1</v>
      </c>
      <c r="AU188" s="316" t="s">
        <v>514</v>
      </c>
      <c r="AV188" s="316" t="s">
        <v>552</v>
      </c>
      <c r="AW188" s="718">
        <v>0</v>
      </c>
      <c r="AX188" s="463">
        <f t="shared" si="270"/>
        <v>0.5</v>
      </c>
      <c r="AY188" s="661">
        <v>0.4</v>
      </c>
      <c r="AZ188" s="316" t="s">
        <v>642</v>
      </c>
      <c r="BA188" s="316" t="s">
        <v>643</v>
      </c>
      <c r="BB188" s="463">
        <v>0.1</v>
      </c>
      <c r="BC188" s="316" t="s">
        <v>514</v>
      </c>
      <c r="BD188" s="316" t="s">
        <v>552</v>
      </c>
      <c r="BE188" s="463">
        <v>0</v>
      </c>
      <c r="BF188" s="728">
        <f t="shared" si="271"/>
        <v>0.5</v>
      </c>
      <c r="BG188" s="463"/>
      <c r="BH188" s="463">
        <v>0.4</v>
      </c>
      <c r="BI188" s="316" t="s">
        <v>642</v>
      </c>
      <c r="BJ188" s="316" t="s">
        <v>643</v>
      </c>
      <c r="BK188" s="463">
        <v>0.1</v>
      </c>
      <c r="BL188" s="316" t="s">
        <v>514</v>
      </c>
      <c r="BM188" s="316" t="s">
        <v>552</v>
      </c>
      <c r="BN188" s="463">
        <v>0</v>
      </c>
      <c r="BO188" s="728">
        <f t="shared" si="272"/>
        <v>0.5</v>
      </c>
      <c r="BP188" s="463">
        <v>0.4</v>
      </c>
      <c r="BQ188" s="316" t="s">
        <v>642</v>
      </c>
      <c r="BR188" s="316" t="s">
        <v>643</v>
      </c>
      <c r="BS188" s="463">
        <v>0.1</v>
      </c>
      <c r="BT188" s="316" t="s">
        <v>514</v>
      </c>
      <c r="BU188" s="316" t="s">
        <v>552</v>
      </c>
      <c r="BV188" s="463">
        <v>0</v>
      </c>
      <c r="BW188" s="463">
        <f t="shared" si="273"/>
        <v>0.5</v>
      </c>
      <c r="BX188" s="444"/>
      <c r="BY188" s="444"/>
      <c r="BZ188" s="444"/>
      <c r="CA188" s="434"/>
      <c r="CB188" s="723">
        <v>0.72699999999999998</v>
      </c>
      <c r="CC188" s="668" t="s">
        <v>950</v>
      </c>
      <c r="CD188" s="316" t="s">
        <v>642</v>
      </c>
      <c r="CE188" s="316" t="s">
        <v>643</v>
      </c>
      <c r="CF188" s="718">
        <v>0.6</v>
      </c>
      <c r="CG188" s="316" t="s">
        <v>514</v>
      </c>
      <c r="CH188" s="316" t="s">
        <v>552</v>
      </c>
      <c r="CI188" s="718">
        <v>0</v>
      </c>
    </row>
    <row r="189" spans="1:87" ht="15.75" customHeight="1" x14ac:dyDescent="0.2">
      <c r="A189" s="747" t="s">
        <v>265</v>
      </c>
      <c r="B189" s="469" t="s">
        <v>264</v>
      </c>
      <c r="C189" s="718">
        <v>0.4</v>
      </c>
      <c r="D189" s="469" t="s">
        <v>615</v>
      </c>
      <c r="E189" s="469" t="s">
        <v>616</v>
      </c>
      <c r="F189" s="718">
        <v>0.09</v>
      </c>
      <c r="G189" s="469" t="s">
        <v>612</v>
      </c>
      <c r="H189" s="469" t="s">
        <v>613</v>
      </c>
      <c r="I189" s="718">
        <v>0.01</v>
      </c>
      <c r="J189" s="748">
        <f t="shared" si="258"/>
        <v>0.5</v>
      </c>
      <c r="K189" s="718">
        <v>0.4</v>
      </c>
      <c r="L189" s="316" t="s">
        <v>615</v>
      </c>
      <c r="M189" s="316" t="s">
        <v>616</v>
      </c>
      <c r="N189" s="718">
        <v>0.09</v>
      </c>
      <c r="O189" s="316" t="s">
        <v>612</v>
      </c>
      <c r="P189" s="316" t="s">
        <v>613</v>
      </c>
      <c r="Q189" s="718">
        <v>0.01</v>
      </c>
      <c r="R189" s="728">
        <f t="shared" si="259"/>
        <v>0.5</v>
      </c>
      <c r="S189" s="718">
        <v>0.4</v>
      </c>
      <c r="T189" s="316" t="s">
        <v>615</v>
      </c>
      <c r="U189" s="316" t="s">
        <v>616</v>
      </c>
      <c r="V189" s="718">
        <v>0.09</v>
      </c>
      <c r="W189" s="316" t="s">
        <v>612</v>
      </c>
      <c r="X189" s="316" t="s">
        <v>613</v>
      </c>
      <c r="Y189" s="718">
        <v>0.01</v>
      </c>
      <c r="Z189" s="728">
        <f t="shared" si="277"/>
        <v>0.5</v>
      </c>
      <c r="AA189" s="718">
        <v>0.4</v>
      </c>
      <c r="AB189" s="316" t="s">
        <v>615</v>
      </c>
      <c r="AC189" s="316" t="s">
        <v>616</v>
      </c>
      <c r="AD189" s="718">
        <v>0.09</v>
      </c>
      <c r="AE189" s="316" t="s">
        <v>612</v>
      </c>
      <c r="AF189" s="316" t="s">
        <v>613</v>
      </c>
      <c r="AG189" s="718">
        <v>0.01</v>
      </c>
      <c r="AH189" s="728">
        <f t="shared" si="276"/>
        <v>0.5</v>
      </c>
      <c r="AI189" s="718">
        <v>0.4</v>
      </c>
      <c r="AJ189" s="316" t="s">
        <v>615</v>
      </c>
      <c r="AK189" s="316" t="s">
        <v>616</v>
      </c>
      <c r="AL189" s="718">
        <v>0.09</v>
      </c>
      <c r="AM189" s="316" t="s">
        <v>612</v>
      </c>
      <c r="AN189" s="316" t="s">
        <v>613</v>
      </c>
      <c r="AO189" s="718">
        <v>0.01</v>
      </c>
      <c r="AP189" s="728">
        <f t="shared" ref="AP189:AP198" si="278">+AI189+AL189+AO189</f>
        <v>0.5</v>
      </c>
      <c r="AQ189" s="718">
        <v>0.56000000000000005</v>
      </c>
      <c r="AR189" s="316" t="s">
        <v>615</v>
      </c>
      <c r="AS189" s="316" t="s">
        <v>616</v>
      </c>
      <c r="AT189" s="718">
        <v>0.17499999999999999</v>
      </c>
      <c r="AU189" s="316" t="s">
        <v>612</v>
      </c>
      <c r="AV189" s="316" t="s">
        <v>613</v>
      </c>
      <c r="AW189" s="718">
        <v>1.4999999999999999E-2</v>
      </c>
      <c r="AX189" s="463">
        <f t="shared" ref="AX189:AX198" si="279">+AQ189+AT189+AW189</f>
        <v>0.75000000000000011</v>
      </c>
      <c r="AY189" s="661">
        <v>0.4</v>
      </c>
      <c r="AZ189" s="316" t="s">
        <v>615</v>
      </c>
      <c r="BA189" s="316" t="s">
        <v>616</v>
      </c>
      <c r="BB189" s="463">
        <v>0.09</v>
      </c>
      <c r="BC189" s="316" t="s">
        <v>612</v>
      </c>
      <c r="BD189" s="316" t="s">
        <v>613</v>
      </c>
      <c r="BE189" s="463">
        <v>0.01</v>
      </c>
      <c r="BF189" s="728">
        <f t="shared" ref="BF189:BF198" si="280">+AY189+BB189+BE189</f>
        <v>0.5</v>
      </c>
      <c r="BG189" s="463"/>
      <c r="BH189" s="463">
        <v>0.4</v>
      </c>
      <c r="BI189" s="316" t="s">
        <v>615</v>
      </c>
      <c r="BJ189" s="316" t="s">
        <v>616</v>
      </c>
      <c r="BK189" s="463">
        <v>0.09</v>
      </c>
      <c r="BL189" s="316" t="s">
        <v>612</v>
      </c>
      <c r="BM189" s="316" t="s">
        <v>613</v>
      </c>
      <c r="BN189" s="463">
        <v>0.01</v>
      </c>
      <c r="BO189" s="728">
        <f t="shared" ref="BO189:BO198" si="281">+BH189+BK189+BN189</f>
        <v>0.5</v>
      </c>
      <c r="BP189" s="463">
        <v>0.4</v>
      </c>
      <c r="BQ189" s="316" t="s">
        <v>615</v>
      </c>
      <c r="BR189" s="316" t="s">
        <v>616</v>
      </c>
      <c r="BS189" s="463">
        <v>0.09</v>
      </c>
      <c r="BT189" s="316" t="s">
        <v>612</v>
      </c>
      <c r="BU189" s="316" t="s">
        <v>613</v>
      </c>
      <c r="BV189" s="463">
        <v>0.01</v>
      </c>
      <c r="BW189" s="463">
        <f t="shared" ref="BW189:BW198" si="282">+BP189+BS189+BV189</f>
        <v>0.5</v>
      </c>
      <c r="BX189" s="444"/>
      <c r="BY189" s="444"/>
      <c r="BZ189" s="444"/>
      <c r="CA189" s="434"/>
      <c r="CB189" s="723">
        <v>0.61399999999999999</v>
      </c>
      <c r="CC189" s="668" t="s">
        <v>874</v>
      </c>
      <c r="CD189" s="316" t="s">
        <v>615</v>
      </c>
      <c r="CE189" s="316" t="s">
        <v>616</v>
      </c>
      <c r="CF189" s="718">
        <v>0.59</v>
      </c>
      <c r="CG189" s="316" t="s">
        <v>612</v>
      </c>
      <c r="CH189" s="316" t="s">
        <v>613</v>
      </c>
      <c r="CI189" s="718">
        <v>0.01</v>
      </c>
    </row>
    <row r="190" spans="1:87" ht="15.75" customHeight="1" x14ac:dyDescent="0.2">
      <c r="A190" s="747" t="s">
        <v>267</v>
      </c>
      <c r="B190" s="469" t="s">
        <v>536</v>
      </c>
      <c r="C190" s="718">
        <v>0.49</v>
      </c>
      <c r="D190" s="469" t="s">
        <v>514</v>
      </c>
      <c r="E190" s="469" t="s">
        <v>515</v>
      </c>
      <c r="F190" s="718">
        <v>0</v>
      </c>
      <c r="G190" s="469" t="s">
        <v>537</v>
      </c>
      <c r="H190" s="469" t="s">
        <v>538</v>
      </c>
      <c r="I190" s="718">
        <v>0.01</v>
      </c>
      <c r="J190" s="748">
        <f t="shared" si="258"/>
        <v>0.5</v>
      </c>
      <c r="K190" s="718">
        <v>0.49</v>
      </c>
      <c r="L190" s="316" t="s">
        <v>514</v>
      </c>
      <c r="M190" s="316" t="s">
        <v>515</v>
      </c>
      <c r="N190" s="718">
        <v>0</v>
      </c>
      <c r="O190" s="316" t="s">
        <v>537</v>
      </c>
      <c r="P190" s="316" t="s">
        <v>538</v>
      </c>
      <c r="Q190" s="718">
        <v>0.01</v>
      </c>
      <c r="R190" s="728">
        <f t="shared" si="259"/>
        <v>0.5</v>
      </c>
      <c r="S190" s="718">
        <v>0.49</v>
      </c>
      <c r="T190" s="316" t="s">
        <v>514</v>
      </c>
      <c r="U190" s="316" t="s">
        <v>515</v>
      </c>
      <c r="V190" s="718">
        <v>0</v>
      </c>
      <c r="W190" s="316" t="s">
        <v>537</v>
      </c>
      <c r="X190" s="316" t="s">
        <v>538</v>
      </c>
      <c r="Y190" s="718">
        <v>0.01</v>
      </c>
      <c r="Z190" s="728">
        <f t="shared" si="277"/>
        <v>0.5</v>
      </c>
      <c r="AA190" s="718">
        <v>0.49</v>
      </c>
      <c r="AB190" s="316" t="s">
        <v>514</v>
      </c>
      <c r="AC190" s="316" t="s">
        <v>515</v>
      </c>
      <c r="AD190" s="718">
        <v>0</v>
      </c>
      <c r="AE190" s="316" t="s">
        <v>537</v>
      </c>
      <c r="AF190" s="316" t="s">
        <v>538</v>
      </c>
      <c r="AG190" s="718">
        <v>0.01</v>
      </c>
      <c r="AH190" s="728">
        <f t="shared" si="276"/>
        <v>0.5</v>
      </c>
      <c r="AI190" s="718">
        <v>0.49</v>
      </c>
      <c r="AJ190" s="316" t="s">
        <v>514</v>
      </c>
      <c r="AK190" s="316" t="s">
        <v>515</v>
      </c>
      <c r="AL190" s="718">
        <v>0</v>
      </c>
      <c r="AM190" s="316" t="s">
        <v>537</v>
      </c>
      <c r="AN190" s="316" t="s">
        <v>538</v>
      </c>
      <c r="AO190" s="718">
        <v>0.01</v>
      </c>
      <c r="AP190" s="728">
        <f t="shared" si="278"/>
        <v>0.5</v>
      </c>
      <c r="AQ190" s="718">
        <v>0.49</v>
      </c>
      <c r="AR190" s="316" t="s">
        <v>514</v>
      </c>
      <c r="AS190" s="316" t="s">
        <v>515</v>
      </c>
      <c r="AT190" s="718">
        <v>0</v>
      </c>
      <c r="AU190" s="316" t="s">
        <v>537</v>
      </c>
      <c r="AV190" s="316" t="s">
        <v>538</v>
      </c>
      <c r="AW190" s="718">
        <v>0.01</v>
      </c>
      <c r="AX190" s="463">
        <f t="shared" si="279"/>
        <v>0.5</v>
      </c>
      <c r="AY190" s="661">
        <v>0.49</v>
      </c>
      <c r="AZ190" s="316" t="s">
        <v>514</v>
      </c>
      <c r="BA190" s="316" t="s">
        <v>515</v>
      </c>
      <c r="BB190" s="463">
        <v>0</v>
      </c>
      <c r="BC190" s="316" t="s">
        <v>537</v>
      </c>
      <c r="BD190" s="316" t="s">
        <v>538</v>
      </c>
      <c r="BE190" s="463">
        <v>0.01</v>
      </c>
      <c r="BF190" s="728">
        <f t="shared" si="280"/>
        <v>0.5</v>
      </c>
      <c r="BG190" s="463"/>
      <c r="BH190" s="463">
        <v>0.49</v>
      </c>
      <c r="BI190" s="316" t="s">
        <v>514</v>
      </c>
      <c r="BJ190" s="316" t="s">
        <v>515</v>
      </c>
      <c r="BK190" s="463">
        <v>0</v>
      </c>
      <c r="BL190" s="316" t="s">
        <v>537</v>
      </c>
      <c r="BM190" s="316" t="s">
        <v>538</v>
      </c>
      <c r="BN190" s="463">
        <v>0.01</v>
      </c>
      <c r="BO190" s="728">
        <f t="shared" si="281"/>
        <v>0.5</v>
      </c>
      <c r="BP190" s="463">
        <v>0.49</v>
      </c>
      <c r="BQ190" s="316" t="s">
        <v>514</v>
      </c>
      <c r="BR190" s="316" t="s">
        <v>515</v>
      </c>
      <c r="BS190" s="463">
        <v>0</v>
      </c>
      <c r="BT190" s="316" t="s">
        <v>537</v>
      </c>
      <c r="BU190" s="316" t="s">
        <v>538</v>
      </c>
      <c r="BV190" s="463">
        <v>0.01</v>
      </c>
      <c r="BW190" s="463">
        <f t="shared" si="282"/>
        <v>0.5</v>
      </c>
      <c r="BX190" s="444"/>
      <c r="BY190" s="444"/>
      <c r="BZ190" s="444"/>
      <c r="CA190" s="436" t="s">
        <v>874</v>
      </c>
      <c r="CB190" s="723">
        <v>0.71099999999999997</v>
      </c>
      <c r="CC190" s="668" t="s">
        <v>950</v>
      </c>
      <c r="CD190" s="316" t="s">
        <v>514</v>
      </c>
      <c r="CE190" s="316" t="s">
        <v>515</v>
      </c>
      <c r="CF190" s="718">
        <v>0</v>
      </c>
      <c r="CG190" s="316" t="s">
        <v>537</v>
      </c>
      <c r="CH190" s="316" t="s">
        <v>538</v>
      </c>
      <c r="CI190" s="718">
        <v>0.01</v>
      </c>
    </row>
    <row r="191" spans="1:87" ht="15.75" customHeight="1" x14ac:dyDescent="0.2">
      <c r="A191" s="747" t="s">
        <v>269</v>
      </c>
      <c r="B191" s="469" t="s">
        <v>559</v>
      </c>
      <c r="C191" s="718">
        <v>0.49</v>
      </c>
      <c r="D191" s="469" t="s">
        <v>514</v>
      </c>
      <c r="E191" s="469" t="s">
        <v>515</v>
      </c>
      <c r="F191" s="718">
        <v>0</v>
      </c>
      <c r="G191" s="469" t="s">
        <v>560</v>
      </c>
      <c r="H191" s="469" t="s">
        <v>561</v>
      </c>
      <c r="I191" s="718">
        <v>0.01</v>
      </c>
      <c r="J191" s="748">
        <f t="shared" si="258"/>
        <v>0.5</v>
      </c>
      <c r="K191" s="718">
        <v>0.49</v>
      </c>
      <c r="L191" s="316" t="s">
        <v>514</v>
      </c>
      <c r="M191" s="316" t="s">
        <v>515</v>
      </c>
      <c r="N191" s="718">
        <v>0</v>
      </c>
      <c r="O191" s="316" t="s">
        <v>560</v>
      </c>
      <c r="P191" s="316" t="s">
        <v>561</v>
      </c>
      <c r="Q191" s="718">
        <v>0.01</v>
      </c>
      <c r="R191" s="728">
        <f t="shared" si="259"/>
        <v>0.5</v>
      </c>
      <c r="S191" s="718">
        <v>0.49</v>
      </c>
      <c r="T191" s="316" t="s">
        <v>514</v>
      </c>
      <c r="U191" s="316" t="s">
        <v>515</v>
      </c>
      <c r="V191" s="718">
        <v>0</v>
      </c>
      <c r="W191" s="316" t="s">
        <v>560</v>
      </c>
      <c r="X191" s="316" t="s">
        <v>561</v>
      </c>
      <c r="Y191" s="718">
        <v>0.01</v>
      </c>
      <c r="Z191" s="728">
        <f t="shared" si="277"/>
        <v>0.5</v>
      </c>
      <c r="AA191" s="718">
        <v>0.49</v>
      </c>
      <c r="AB191" s="316" t="s">
        <v>514</v>
      </c>
      <c r="AC191" s="316" t="s">
        <v>515</v>
      </c>
      <c r="AD191" s="718">
        <v>0</v>
      </c>
      <c r="AE191" s="316" t="s">
        <v>560</v>
      </c>
      <c r="AF191" s="316" t="s">
        <v>561</v>
      </c>
      <c r="AG191" s="718">
        <v>0.01</v>
      </c>
      <c r="AH191" s="728">
        <f t="shared" si="276"/>
        <v>0.5</v>
      </c>
      <c r="AI191" s="718">
        <v>0.49</v>
      </c>
      <c r="AJ191" s="316" t="s">
        <v>514</v>
      </c>
      <c r="AK191" s="316" t="s">
        <v>515</v>
      </c>
      <c r="AL191" s="718">
        <v>0</v>
      </c>
      <c r="AM191" s="316" t="s">
        <v>560</v>
      </c>
      <c r="AN191" s="316" t="s">
        <v>561</v>
      </c>
      <c r="AO191" s="718">
        <v>0.01</v>
      </c>
      <c r="AP191" s="728">
        <f t="shared" si="278"/>
        <v>0.5</v>
      </c>
      <c r="AQ191" s="718">
        <v>0.49</v>
      </c>
      <c r="AR191" s="316" t="s">
        <v>514</v>
      </c>
      <c r="AS191" s="316" t="s">
        <v>515</v>
      </c>
      <c r="AT191" s="718">
        <v>0</v>
      </c>
      <c r="AU191" s="316" t="s">
        <v>560</v>
      </c>
      <c r="AV191" s="316" t="s">
        <v>561</v>
      </c>
      <c r="AW191" s="718">
        <v>0.01</v>
      </c>
      <c r="AX191" s="463">
        <f t="shared" si="279"/>
        <v>0.5</v>
      </c>
      <c r="AY191" s="661">
        <v>0.99</v>
      </c>
      <c r="AZ191" s="316" t="s">
        <v>514</v>
      </c>
      <c r="BA191" s="316" t="s">
        <v>515</v>
      </c>
      <c r="BB191" s="463">
        <v>0</v>
      </c>
      <c r="BC191" s="316" t="s">
        <v>560</v>
      </c>
      <c r="BD191" s="316" t="s">
        <v>561</v>
      </c>
      <c r="BE191" s="463">
        <v>0.01</v>
      </c>
      <c r="BF191" s="728">
        <f t="shared" si="280"/>
        <v>1</v>
      </c>
      <c r="BG191" s="463"/>
      <c r="BH191" s="463">
        <v>0.49</v>
      </c>
      <c r="BI191" s="316" t="s">
        <v>514</v>
      </c>
      <c r="BJ191" s="316" t="s">
        <v>515</v>
      </c>
      <c r="BK191" s="463">
        <v>0</v>
      </c>
      <c r="BL191" s="316" t="s">
        <v>560</v>
      </c>
      <c r="BM191" s="316" t="s">
        <v>561</v>
      </c>
      <c r="BN191" s="463">
        <v>0.01</v>
      </c>
      <c r="BO191" s="728">
        <f t="shared" si="281"/>
        <v>0.5</v>
      </c>
      <c r="BP191" s="463">
        <v>0.49</v>
      </c>
      <c r="BQ191" s="316" t="s">
        <v>514</v>
      </c>
      <c r="BR191" s="316" t="s">
        <v>515</v>
      </c>
      <c r="BS191" s="463">
        <v>0</v>
      </c>
      <c r="BT191" s="316" t="s">
        <v>560</v>
      </c>
      <c r="BU191" s="316" t="s">
        <v>561</v>
      </c>
      <c r="BV191" s="463">
        <v>0.01</v>
      </c>
      <c r="BW191" s="463">
        <f t="shared" si="282"/>
        <v>0.5</v>
      </c>
      <c r="BX191" s="489" t="s">
        <v>874</v>
      </c>
      <c r="BY191" s="489" t="s">
        <v>874</v>
      </c>
      <c r="BZ191" s="489"/>
      <c r="CA191" s="436" t="s">
        <v>874</v>
      </c>
      <c r="CB191" s="723">
        <v>0.69399999999999995</v>
      </c>
      <c r="CC191" s="668" t="s">
        <v>950</v>
      </c>
      <c r="CD191" s="316" t="s">
        <v>514</v>
      </c>
      <c r="CE191" s="316" t="s">
        <v>515</v>
      </c>
      <c r="CF191" s="718">
        <v>0</v>
      </c>
      <c r="CG191" s="316" t="s">
        <v>560</v>
      </c>
      <c r="CH191" s="316" t="s">
        <v>561</v>
      </c>
      <c r="CI191" s="718">
        <v>0.01</v>
      </c>
    </row>
    <row r="192" spans="1:87" ht="15.75" customHeight="1" x14ac:dyDescent="0.2">
      <c r="A192" s="747" t="s">
        <v>271</v>
      </c>
      <c r="B192" s="469" t="s">
        <v>585</v>
      </c>
      <c r="C192" s="718">
        <v>0.49</v>
      </c>
      <c r="D192" s="469" t="s">
        <v>514</v>
      </c>
      <c r="E192" s="469" t="s">
        <v>515</v>
      </c>
      <c r="F192" s="718">
        <v>0</v>
      </c>
      <c r="G192" s="469" t="s">
        <v>2290</v>
      </c>
      <c r="H192" s="469" t="s">
        <v>2291</v>
      </c>
      <c r="I192" s="718">
        <v>0.01</v>
      </c>
      <c r="J192" s="748">
        <f t="shared" si="258"/>
        <v>0.5</v>
      </c>
      <c r="K192" s="718">
        <v>0.49</v>
      </c>
      <c r="L192" s="316" t="s">
        <v>514</v>
      </c>
      <c r="M192" s="316" t="s">
        <v>515</v>
      </c>
      <c r="N192" s="718">
        <v>0</v>
      </c>
      <c r="O192" s="316" t="s">
        <v>2290</v>
      </c>
      <c r="P192" s="316" t="s">
        <v>2291</v>
      </c>
      <c r="Q192" s="718">
        <v>0.01</v>
      </c>
      <c r="R192" s="728">
        <f t="shared" si="259"/>
        <v>0.5</v>
      </c>
      <c r="S192" s="718">
        <v>0.49</v>
      </c>
      <c r="T192" s="316" t="s">
        <v>514</v>
      </c>
      <c r="U192" s="316" t="s">
        <v>515</v>
      </c>
      <c r="V192" s="718">
        <v>0</v>
      </c>
      <c r="W192" s="316" t="s">
        <v>2290</v>
      </c>
      <c r="X192" s="316" t="s">
        <v>2291</v>
      </c>
      <c r="Y192" s="718">
        <v>0.01</v>
      </c>
      <c r="Z192" s="728">
        <f t="shared" si="277"/>
        <v>0.5</v>
      </c>
      <c r="AA192" s="718">
        <v>0.49</v>
      </c>
      <c r="AB192" s="316" t="s">
        <v>514</v>
      </c>
      <c r="AC192" s="316" t="s">
        <v>515</v>
      </c>
      <c r="AD192" s="718">
        <v>0</v>
      </c>
      <c r="AE192" s="316" t="s">
        <v>2290</v>
      </c>
      <c r="AF192" s="316" t="s">
        <v>2291</v>
      </c>
      <c r="AG192" s="718">
        <v>0.01</v>
      </c>
      <c r="AH192" s="728">
        <f t="shared" si="276"/>
        <v>0.5</v>
      </c>
      <c r="AI192" s="718">
        <v>0.49</v>
      </c>
      <c r="AJ192" s="316" t="s">
        <v>514</v>
      </c>
      <c r="AK192" s="316" t="s">
        <v>515</v>
      </c>
      <c r="AL192" s="718">
        <v>0</v>
      </c>
      <c r="AM192" s="316" t="s">
        <v>586</v>
      </c>
      <c r="AN192" s="316" t="s">
        <v>1341</v>
      </c>
      <c r="AO192" s="718">
        <v>0.01</v>
      </c>
      <c r="AP192" s="728">
        <f t="shared" si="278"/>
        <v>0.5</v>
      </c>
      <c r="AQ192" s="718">
        <v>0.74</v>
      </c>
      <c r="AR192" s="316" t="s">
        <v>514</v>
      </c>
      <c r="AS192" s="316" t="s">
        <v>515</v>
      </c>
      <c r="AT192" s="718">
        <v>0</v>
      </c>
      <c r="AU192" s="316" t="s">
        <v>586</v>
      </c>
      <c r="AV192" s="316" t="s">
        <v>587</v>
      </c>
      <c r="AW192" s="718">
        <v>0.01</v>
      </c>
      <c r="AX192" s="463">
        <f t="shared" si="279"/>
        <v>0.75</v>
      </c>
      <c r="AY192" s="661">
        <v>0.99</v>
      </c>
      <c r="AZ192" s="316" t="s">
        <v>514</v>
      </c>
      <c r="BA192" s="316" t="s">
        <v>515</v>
      </c>
      <c r="BB192" s="463">
        <v>0</v>
      </c>
      <c r="BC192" s="316" t="s">
        <v>586</v>
      </c>
      <c r="BD192" s="316" t="s">
        <v>587</v>
      </c>
      <c r="BE192" s="463">
        <v>0.01</v>
      </c>
      <c r="BF192" s="728">
        <f t="shared" si="280"/>
        <v>1</v>
      </c>
      <c r="BG192" s="463"/>
      <c r="BH192" s="463">
        <v>0.49</v>
      </c>
      <c r="BI192" s="316" t="s">
        <v>514</v>
      </c>
      <c r="BJ192" s="316" t="s">
        <v>515</v>
      </c>
      <c r="BK192" s="463">
        <v>0</v>
      </c>
      <c r="BL192" s="316" t="s">
        <v>586</v>
      </c>
      <c r="BM192" s="316" t="s">
        <v>587</v>
      </c>
      <c r="BN192" s="463">
        <v>0.01</v>
      </c>
      <c r="BO192" s="728">
        <f t="shared" si="281"/>
        <v>0.5</v>
      </c>
      <c r="BP192" s="463">
        <v>0.49</v>
      </c>
      <c r="BQ192" s="316" t="s">
        <v>514</v>
      </c>
      <c r="BR192" s="316" t="s">
        <v>515</v>
      </c>
      <c r="BS192" s="463">
        <v>0</v>
      </c>
      <c r="BT192" s="316" t="s">
        <v>586</v>
      </c>
      <c r="BU192" s="316" t="s">
        <v>587</v>
      </c>
      <c r="BV192" s="463">
        <v>0.01</v>
      </c>
      <c r="BW192" s="463">
        <f t="shared" si="282"/>
        <v>0.5</v>
      </c>
      <c r="BX192" s="444"/>
      <c r="BY192" s="444"/>
      <c r="BZ192" s="444"/>
      <c r="CA192" s="436" t="s">
        <v>874</v>
      </c>
      <c r="CB192" s="723">
        <v>0.70199999999999996</v>
      </c>
      <c r="CC192" s="668" t="s">
        <v>950</v>
      </c>
      <c r="CD192" s="316" t="s">
        <v>514</v>
      </c>
      <c r="CE192" s="316" t="s">
        <v>515</v>
      </c>
      <c r="CF192" s="718">
        <v>0</v>
      </c>
      <c r="CG192" s="316" t="s">
        <v>586</v>
      </c>
      <c r="CH192" s="316" t="s">
        <v>587</v>
      </c>
      <c r="CI192" s="718">
        <v>0.01</v>
      </c>
    </row>
    <row r="193" spans="1:90" ht="15.75" customHeight="1" x14ac:dyDescent="0.2">
      <c r="A193" s="747" t="s">
        <v>273</v>
      </c>
      <c r="B193" s="469" t="s">
        <v>272</v>
      </c>
      <c r="C193" s="718">
        <v>0.4</v>
      </c>
      <c r="D193" s="469" t="s">
        <v>615</v>
      </c>
      <c r="E193" s="469" t="s">
        <v>616</v>
      </c>
      <c r="F193" s="718">
        <v>0.09</v>
      </c>
      <c r="G193" s="469" t="s">
        <v>612</v>
      </c>
      <c r="H193" s="469" t="s">
        <v>613</v>
      </c>
      <c r="I193" s="718">
        <v>0.01</v>
      </c>
      <c r="J193" s="748">
        <f t="shared" si="258"/>
        <v>0.5</v>
      </c>
      <c r="K193" s="718">
        <v>0.4</v>
      </c>
      <c r="L193" s="316" t="s">
        <v>615</v>
      </c>
      <c r="M193" s="316" t="s">
        <v>616</v>
      </c>
      <c r="N193" s="718">
        <v>0.09</v>
      </c>
      <c r="O193" s="316" t="s">
        <v>612</v>
      </c>
      <c r="P193" s="316" t="s">
        <v>613</v>
      </c>
      <c r="Q193" s="718">
        <v>0.01</v>
      </c>
      <c r="R193" s="728">
        <f t="shared" si="259"/>
        <v>0.5</v>
      </c>
      <c r="S193" s="718">
        <v>0.4</v>
      </c>
      <c r="T193" s="316" t="s">
        <v>615</v>
      </c>
      <c r="U193" s="316" t="s">
        <v>616</v>
      </c>
      <c r="V193" s="718">
        <v>0.09</v>
      </c>
      <c r="W193" s="316" t="s">
        <v>612</v>
      </c>
      <c r="X193" s="316" t="s">
        <v>613</v>
      </c>
      <c r="Y193" s="718">
        <v>0.01</v>
      </c>
      <c r="Z193" s="728">
        <f t="shared" ref="Z193:Z199" si="283">+S193+V193+Y193</f>
        <v>0.5</v>
      </c>
      <c r="AA193" s="718">
        <v>0.4</v>
      </c>
      <c r="AB193" s="316" t="s">
        <v>615</v>
      </c>
      <c r="AC193" s="316" t="s">
        <v>616</v>
      </c>
      <c r="AD193" s="718">
        <v>0.09</v>
      </c>
      <c r="AE193" s="316" t="s">
        <v>612</v>
      </c>
      <c r="AF193" s="316" t="s">
        <v>613</v>
      </c>
      <c r="AG193" s="718">
        <v>0.01</v>
      </c>
      <c r="AH193" s="728">
        <f t="shared" ref="AH193:AH201" si="284">+AA193+AD193+AG193</f>
        <v>0.5</v>
      </c>
      <c r="AI193" s="718">
        <v>0.4</v>
      </c>
      <c r="AJ193" s="316" t="s">
        <v>615</v>
      </c>
      <c r="AK193" s="316" t="s">
        <v>616</v>
      </c>
      <c r="AL193" s="718">
        <v>0.09</v>
      </c>
      <c r="AM193" s="316" t="s">
        <v>612</v>
      </c>
      <c r="AN193" s="316" t="s">
        <v>613</v>
      </c>
      <c r="AO193" s="718">
        <v>0.01</v>
      </c>
      <c r="AP193" s="728">
        <f t="shared" si="278"/>
        <v>0.5</v>
      </c>
      <c r="AQ193" s="718">
        <v>0.56000000000000005</v>
      </c>
      <c r="AR193" s="316" t="s">
        <v>615</v>
      </c>
      <c r="AS193" s="316" t="s">
        <v>616</v>
      </c>
      <c r="AT193" s="718">
        <v>0.17499999999999999</v>
      </c>
      <c r="AU193" s="316" t="s">
        <v>612</v>
      </c>
      <c r="AV193" s="316" t="s">
        <v>613</v>
      </c>
      <c r="AW193" s="718">
        <v>1.4999999999999999E-2</v>
      </c>
      <c r="AX193" s="463">
        <f t="shared" si="279"/>
        <v>0.75000000000000011</v>
      </c>
      <c r="AY193" s="661">
        <v>0.4</v>
      </c>
      <c r="AZ193" s="316" t="s">
        <v>615</v>
      </c>
      <c r="BA193" s="316" t="s">
        <v>616</v>
      </c>
      <c r="BB193" s="463">
        <v>0.09</v>
      </c>
      <c r="BC193" s="316" t="s">
        <v>612</v>
      </c>
      <c r="BD193" s="316" t="s">
        <v>613</v>
      </c>
      <c r="BE193" s="463">
        <v>0.01</v>
      </c>
      <c r="BF193" s="728">
        <f t="shared" si="280"/>
        <v>0.5</v>
      </c>
      <c r="BG193" s="463"/>
      <c r="BH193" s="463">
        <v>0.4</v>
      </c>
      <c r="BI193" s="316" t="s">
        <v>615</v>
      </c>
      <c r="BJ193" s="316" t="s">
        <v>616</v>
      </c>
      <c r="BK193" s="463">
        <v>0.09</v>
      </c>
      <c r="BL193" s="316" t="s">
        <v>612</v>
      </c>
      <c r="BM193" s="316" t="s">
        <v>613</v>
      </c>
      <c r="BN193" s="463">
        <v>0.01</v>
      </c>
      <c r="BO193" s="728">
        <f t="shared" si="281"/>
        <v>0.5</v>
      </c>
      <c r="BP193" s="463">
        <v>0.4</v>
      </c>
      <c r="BQ193" s="316" t="s">
        <v>615</v>
      </c>
      <c r="BR193" s="316" t="s">
        <v>616</v>
      </c>
      <c r="BS193" s="463">
        <v>0.09</v>
      </c>
      <c r="BT193" s="316" t="s">
        <v>612</v>
      </c>
      <c r="BU193" s="316" t="s">
        <v>613</v>
      </c>
      <c r="BV193" s="463">
        <v>0.01</v>
      </c>
      <c r="BW193" s="463">
        <f t="shared" si="282"/>
        <v>0.5</v>
      </c>
      <c r="BX193" s="444"/>
      <c r="BY193" s="444"/>
      <c r="BZ193" s="444"/>
      <c r="CA193" s="434"/>
      <c r="CB193" s="723">
        <v>0.67</v>
      </c>
      <c r="CC193" s="668" t="s">
        <v>874</v>
      </c>
      <c r="CD193" s="316" t="s">
        <v>615</v>
      </c>
      <c r="CE193" s="316" t="s">
        <v>616</v>
      </c>
      <c r="CF193" s="718">
        <v>0.59</v>
      </c>
      <c r="CG193" s="316" t="s">
        <v>612</v>
      </c>
      <c r="CH193" s="316" t="s">
        <v>613</v>
      </c>
      <c r="CI193" s="718">
        <v>0.01</v>
      </c>
    </row>
    <row r="194" spans="1:90" ht="15.75" customHeight="1" x14ac:dyDescent="0.2">
      <c r="A194" s="747" t="s">
        <v>275</v>
      </c>
      <c r="B194" s="469" t="s">
        <v>528</v>
      </c>
      <c r="C194" s="718">
        <v>0.49</v>
      </c>
      <c r="D194" s="469" t="s">
        <v>514</v>
      </c>
      <c r="E194" s="469" t="s">
        <v>515</v>
      </c>
      <c r="F194" s="718">
        <v>0</v>
      </c>
      <c r="G194" s="469" t="s">
        <v>525</v>
      </c>
      <c r="H194" s="469" t="s">
        <v>526</v>
      </c>
      <c r="I194" s="718">
        <v>0.01</v>
      </c>
      <c r="J194" s="748">
        <f t="shared" si="258"/>
        <v>0.5</v>
      </c>
      <c r="K194" s="718">
        <v>0.49</v>
      </c>
      <c r="L194" s="316" t="s">
        <v>514</v>
      </c>
      <c r="M194" s="316" t="s">
        <v>515</v>
      </c>
      <c r="N194" s="718">
        <v>0</v>
      </c>
      <c r="O194" s="316" t="s">
        <v>525</v>
      </c>
      <c r="P194" s="316" t="s">
        <v>526</v>
      </c>
      <c r="Q194" s="718">
        <v>0.01</v>
      </c>
      <c r="R194" s="728">
        <f t="shared" si="259"/>
        <v>0.5</v>
      </c>
      <c r="S194" s="718">
        <v>0.49</v>
      </c>
      <c r="T194" s="316" t="s">
        <v>514</v>
      </c>
      <c r="U194" s="316" t="s">
        <v>515</v>
      </c>
      <c r="V194" s="718">
        <v>0</v>
      </c>
      <c r="W194" s="316" t="s">
        <v>525</v>
      </c>
      <c r="X194" s="316" t="s">
        <v>526</v>
      </c>
      <c r="Y194" s="718">
        <v>0.01</v>
      </c>
      <c r="Z194" s="728">
        <f t="shared" si="283"/>
        <v>0.5</v>
      </c>
      <c r="AA194" s="718">
        <v>0.49</v>
      </c>
      <c r="AB194" s="316" t="s">
        <v>514</v>
      </c>
      <c r="AC194" s="316" t="s">
        <v>515</v>
      </c>
      <c r="AD194" s="718">
        <v>0</v>
      </c>
      <c r="AE194" s="316" t="s">
        <v>525</v>
      </c>
      <c r="AF194" s="316" t="s">
        <v>526</v>
      </c>
      <c r="AG194" s="718">
        <v>0.01</v>
      </c>
      <c r="AH194" s="728">
        <f t="shared" si="284"/>
        <v>0.5</v>
      </c>
      <c r="AI194" s="718">
        <v>0.49</v>
      </c>
      <c r="AJ194" s="316" t="s">
        <v>514</v>
      </c>
      <c r="AK194" s="316" t="s">
        <v>515</v>
      </c>
      <c r="AL194" s="718">
        <v>0</v>
      </c>
      <c r="AM194" s="316" t="s">
        <v>525</v>
      </c>
      <c r="AN194" s="316" t="s">
        <v>526</v>
      </c>
      <c r="AO194" s="718">
        <v>0.01</v>
      </c>
      <c r="AP194" s="728">
        <f t="shared" si="278"/>
        <v>0.5</v>
      </c>
      <c r="AQ194" s="718">
        <v>0.74</v>
      </c>
      <c r="AR194" s="316" t="s">
        <v>514</v>
      </c>
      <c r="AS194" s="316" t="s">
        <v>515</v>
      </c>
      <c r="AT194" s="718">
        <v>0</v>
      </c>
      <c r="AU194" s="316" t="s">
        <v>525</v>
      </c>
      <c r="AV194" s="316" t="s">
        <v>526</v>
      </c>
      <c r="AW194" s="718">
        <v>0.01</v>
      </c>
      <c r="AX194" s="463">
        <f t="shared" si="279"/>
        <v>0.75</v>
      </c>
      <c r="AY194" s="661">
        <v>0.99</v>
      </c>
      <c r="AZ194" s="316" t="s">
        <v>514</v>
      </c>
      <c r="BA194" s="316" t="s">
        <v>515</v>
      </c>
      <c r="BB194" s="463">
        <v>0</v>
      </c>
      <c r="BC194" s="316" t="s">
        <v>525</v>
      </c>
      <c r="BD194" s="316" t="s">
        <v>526</v>
      </c>
      <c r="BE194" s="463">
        <v>0.01</v>
      </c>
      <c r="BF194" s="728">
        <f t="shared" si="280"/>
        <v>1</v>
      </c>
      <c r="BG194" s="463"/>
      <c r="BH194" s="463">
        <v>0.49</v>
      </c>
      <c r="BI194" s="316" t="s">
        <v>514</v>
      </c>
      <c r="BJ194" s="316" t="s">
        <v>515</v>
      </c>
      <c r="BK194" s="463">
        <v>0</v>
      </c>
      <c r="BL194" s="316" t="s">
        <v>525</v>
      </c>
      <c r="BM194" s="316" t="s">
        <v>526</v>
      </c>
      <c r="BN194" s="463">
        <v>0.01</v>
      </c>
      <c r="BO194" s="728">
        <f t="shared" si="281"/>
        <v>0.5</v>
      </c>
      <c r="BP194" s="463">
        <v>0.49</v>
      </c>
      <c r="BQ194" s="316" t="s">
        <v>514</v>
      </c>
      <c r="BR194" s="316" t="s">
        <v>515</v>
      </c>
      <c r="BS194" s="463">
        <v>0</v>
      </c>
      <c r="BT194" s="316" t="s">
        <v>525</v>
      </c>
      <c r="BU194" s="316" t="s">
        <v>526</v>
      </c>
      <c r="BV194" s="463">
        <v>0.01</v>
      </c>
      <c r="BW194" s="463">
        <f t="shared" si="282"/>
        <v>0.5</v>
      </c>
      <c r="BX194" s="444"/>
      <c r="BY194" s="444"/>
      <c r="BZ194" s="444"/>
      <c r="CA194" s="436" t="s">
        <v>874</v>
      </c>
      <c r="CB194" s="723">
        <v>0.72</v>
      </c>
      <c r="CC194" s="668" t="s">
        <v>950</v>
      </c>
      <c r="CD194" s="316" t="s">
        <v>514</v>
      </c>
      <c r="CE194" s="316" t="s">
        <v>515</v>
      </c>
      <c r="CF194" s="718">
        <v>0</v>
      </c>
      <c r="CG194" s="316" t="s">
        <v>525</v>
      </c>
      <c r="CH194" s="316" t="s">
        <v>526</v>
      </c>
      <c r="CI194" s="718">
        <v>0.01</v>
      </c>
    </row>
    <row r="195" spans="1:90" ht="15" x14ac:dyDescent="0.2">
      <c r="A195" s="747" t="s">
        <v>277</v>
      </c>
      <c r="B195" s="469" t="s">
        <v>276</v>
      </c>
      <c r="C195" s="718">
        <v>0.3</v>
      </c>
      <c r="D195" s="469" t="s">
        <v>680</v>
      </c>
      <c r="E195" s="469" t="s">
        <v>681</v>
      </c>
      <c r="F195" s="718">
        <v>0.37</v>
      </c>
      <c r="G195" s="469" t="s">
        <v>514</v>
      </c>
      <c r="H195" s="469" t="s">
        <v>514</v>
      </c>
      <c r="I195" s="718">
        <v>0</v>
      </c>
      <c r="J195" s="748">
        <f t="shared" si="258"/>
        <v>0.66999999999999993</v>
      </c>
      <c r="K195" s="718">
        <v>0.3</v>
      </c>
      <c r="L195" s="316" t="s">
        <v>680</v>
      </c>
      <c r="M195" s="316" t="s">
        <v>681</v>
      </c>
      <c r="N195" s="718">
        <v>0.37</v>
      </c>
      <c r="O195" s="316" t="s">
        <v>514</v>
      </c>
      <c r="P195" s="316" t="s">
        <v>514</v>
      </c>
      <c r="Q195" s="718">
        <v>0</v>
      </c>
      <c r="R195" s="728">
        <f t="shared" si="259"/>
        <v>0.66999999999999993</v>
      </c>
      <c r="S195" s="718">
        <v>0.3</v>
      </c>
      <c r="T195" s="316" t="s">
        <v>680</v>
      </c>
      <c r="U195" s="316" t="s">
        <v>681</v>
      </c>
      <c r="V195" s="718">
        <v>0.37</v>
      </c>
      <c r="W195" s="316" t="s">
        <v>514</v>
      </c>
      <c r="X195" s="316" t="s">
        <v>514</v>
      </c>
      <c r="Y195" s="718">
        <v>0</v>
      </c>
      <c r="Z195" s="728">
        <f t="shared" si="283"/>
        <v>0.66999999999999993</v>
      </c>
      <c r="AA195" s="718">
        <v>0.3</v>
      </c>
      <c r="AB195" s="316" t="s">
        <v>680</v>
      </c>
      <c r="AC195" s="316" t="s">
        <v>681</v>
      </c>
      <c r="AD195" s="718">
        <v>0.37</v>
      </c>
      <c r="AE195" s="316" t="s">
        <v>514</v>
      </c>
      <c r="AF195" s="316" t="s">
        <v>514</v>
      </c>
      <c r="AG195" s="718">
        <v>0</v>
      </c>
      <c r="AH195" s="728">
        <f t="shared" si="284"/>
        <v>0.66999999999999993</v>
      </c>
      <c r="AI195" s="718">
        <v>0.3</v>
      </c>
      <c r="AJ195" s="316" t="s">
        <v>680</v>
      </c>
      <c r="AK195" s="316" t="s">
        <v>681</v>
      </c>
      <c r="AL195" s="718">
        <v>0.37</v>
      </c>
      <c r="AM195" s="316" t="s">
        <v>514</v>
      </c>
      <c r="AN195" s="316" t="s">
        <v>514</v>
      </c>
      <c r="AO195" s="718">
        <v>0</v>
      </c>
      <c r="AP195" s="728">
        <f t="shared" si="278"/>
        <v>0.66999999999999993</v>
      </c>
      <c r="AQ195" s="718">
        <v>0.48</v>
      </c>
      <c r="AR195" s="316" t="s">
        <v>680</v>
      </c>
      <c r="AS195" s="316" t="s">
        <v>681</v>
      </c>
      <c r="AT195" s="718">
        <v>0.27</v>
      </c>
      <c r="AU195" s="316" t="s">
        <v>514</v>
      </c>
      <c r="AV195" s="316" t="s">
        <v>514</v>
      </c>
      <c r="AW195" s="718">
        <v>0</v>
      </c>
      <c r="AX195" s="463">
        <f t="shared" si="279"/>
        <v>0.75</v>
      </c>
      <c r="AY195" s="661">
        <v>0.64</v>
      </c>
      <c r="AZ195" s="316" t="s">
        <v>680</v>
      </c>
      <c r="BA195" s="316" t="s">
        <v>681</v>
      </c>
      <c r="BB195" s="463">
        <v>0.36</v>
      </c>
      <c r="BC195" s="316" t="s">
        <v>514</v>
      </c>
      <c r="BD195" s="316" t="s">
        <v>514</v>
      </c>
      <c r="BE195" s="463">
        <v>0</v>
      </c>
      <c r="BF195" s="728">
        <f t="shared" si="280"/>
        <v>1</v>
      </c>
      <c r="BG195" s="463"/>
      <c r="BH195" s="463">
        <v>0.3</v>
      </c>
      <c r="BI195" s="316" t="s">
        <v>680</v>
      </c>
      <c r="BJ195" s="316" t="s">
        <v>681</v>
      </c>
      <c r="BK195" s="463">
        <v>0.37</v>
      </c>
      <c r="BL195" s="316" t="s">
        <v>514</v>
      </c>
      <c r="BM195" s="316" t="s">
        <v>514</v>
      </c>
      <c r="BN195" s="463">
        <v>0</v>
      </c>
      <c r="BO195" s="728">
        <f t="shared" si="281"/>
        <v>0.66999999999999993</v>
      </c>
      <c r="BP195" s="463">
        <v>0.3</v>
      </c>
      <c r="BQ195" s="316" t="s">
        <v>680</v>
      </c>
      <c r="BR195" s="316" t="s">
        <v>681</v>
      </c>
      <c r="BS195" s="463">
        <v>0.2</v>
      </c>
      <c r="BT195" s="316" t="s">
        <v>514</v>
      </c>
      <c r="BU195" s="316" t="s">
        <v>514</v>
      </c>
      <c r="BV195" s="463">
        <v>0</v>
      </c>
      <c r="BW195" s="463">
        <f t="shared" si="282"/>
        <v>0.5</v>
      </c>
      <c r="BX195" s="444"/>
      <c r="BY195" s="444"/>
      <c r="BZ195" s="444"/>
      <c r="CA195" s="436" t="s">
        <v>874</v>
      </c>
      <c r="CB195" s="723">
        <v>0.76100000000000001</v>
      </c>
      <c r="CC195" s="668" t="s">
        <v>950</v>
      </c>
      <c r="CD195" s="316" t="s">
        <v>680</v>
      </c>
      <c r="CE195" s="316" t="s">
        <v>681</v>
      </c>
      <c r="CF195" s="718">
        <v>0.2</v>
      </c>
      <c r="CG195" s="316" t="s">
        <v>514</v>
      </c>
      <c r="CH195" s="316" t="s">
        <v>514</v>
      </c>
      <c r="CI195" s="718">
        <v>0</v>
      </c>
    </row>
    <row r="196" spans="1:90" ht="15.75" customHeight="1" x14ac:dyDescent="0.2">
      <c r="A196" s="747" t="s">
        <v>279</v>
      </c>
      <c r="B196" s="469" t="s">
        <v>550</v>
      </c>
      <c r="C196" s="718">
        <v>0.49</v>
      </c>
      <c r="D196" s="469" t="s">
        <v>514</v>
      </c>
      <c r="E196" s="469" t="s">
        <v>515</v>
      </c>
      <c r="F196" s="718">
        <v>0</v>
      </c>
      <c r="G196" s="469" t="s">
        <v>547</v>
      </c>
      <c r="H196" s="469" t="s">
        <v>548</v>
      </c>
      <c r="I196" s="718">
        <v>0.01</v>
      </c>
      <c r="J196" s="748">
        <f t="shared" si="258"/>
        <v>0.5</v>
      </c>
      <c r="K196" s="718">
        <v>0.49</v>
      </c>
      <c r="L196" s="316" t="s">
        <v>514</v>
      </c>
      <c r="M196" s="316" t="s">
        <v>515</v>
      </c>
      <c r="N196" s="718">
        <v>0</v>
      </c>
      <c r="O196" s="316" t="s">
        <v>547</v>
      </c>
      <c r="P196" s="316" t="s">
        <v>548</v>
      </c>
      <c r="Q196" s="718">
        <v>0.01</v>
      </c>
      <c r="R196" s="728">
        <f t="shared" si="259"/>
        <v>0.5</v>
      </c>
      <c r="S196" s="718">
        <v>0.49</v>
      </c>
      <c r="T196" s="316" t="s">
        <v>514</v>
      </c>
      <c r="U196" s="316" t="s">
        <v>515</v>
      </c>
      <c r="V196" s="718">
        <v>0</v>
      </c>
      <c r="W196" s="316" t="s">
        <v>547</v>
      </c>
      <c r="X196" s="316" t="s">
        <v>548</v>
      </c>
      <c r="Y196" s="718">
        <v>0.01</v>
      </c>
      <c r="Z196" s="728">
        <f t="shared" si="283"/>
        <v>0.5</v>
      </c>
      <c r="AA196" s="718">
        <v>0.49</v>
      </c>
      <c r="AB196" s="316" t="s">
        <v>514</v>
      </c>
      <c r="AC196" s="316" t="s">
        <v>515</v>
      </c>
      <c r="AD196" s="718">
        <v>0</v>
      </c>
      <c r="AE196" s="316" t="s">
        <v>547</v>
      </c>
      <c r="AF196" s="316" t="s">
        <v>548</v>
      </c>
      <c r="AG196" s="718">
        <v>0.01</v>
      </c>
      <c r="AH196" s="728">
        <f t="shared" si="284"/>
        <v>0.5</v>
      </c>
      <c r="AI196" s="718">
        <v>0.49</v>
      </c>
      <c r="AJ196" s="316" t="s">
        <v>514</v>
      </c>
      <c r="AK196" s="316" t="s">
        <v>515</v>
      </c>
      <c r="AL196" s="718">
        <v>0</v>
      </c>
      <c r="AM196" s="316" t="s">
        <v>547</v>
      </c>
      <c r="AN196" s="316" t="s">
        <v>548</v>
      </c>
      <c r="AO196" s="718">
        <v>0.01</v>
      </c>
      <c r="AP196" s="728">
        <f t="shared" si="278"/>
        <v>0.5</v>
      </c>
      <c r="AQ196" s="718">
        <v>0.49</v>
      </c>
      <c r="AR196" s="316" t="s">
        <v>514</v>
      </c>
      <c r="AS196" s="316" t="s">
        <v>515</v>
      </c>
      <c r="AT196" s="718">
        <v>0</v>
      </c>
      <c r="AU196" s="316" t="s">
        <v>547</v>
      </c>
      <c r="AV196" s="316" t="s">
        <v>548</v>
      </c>
      <c r="AW196" s="718">
        <v>0.01</v>
      </c>
      <c r="AX196" s="463">
        <f t="shared" si="279"/>
        <v>0.5</v>
      </c>
      <c r="AY196" s="661">
        <v>0.49</v>
      </c>
      <c r="AZ196" s="316" t="s">
        <v>514</v>
      </c>
      <c r="BA196" s="316" t="s">
        <v>515</v>
      </c>
      <c r="BB196" s="463">
        <v>0</v>
      </c>
      <c r="BC196" s="316" t="s">
        <v>547</v>
      </c>
      <c r="BD196" s="316" t="s">
        <v>548</v>
      </c>
      <c r="BE196" s="463">
        <v>0.01</v>
      </c>
      <c r="BF196" s="728">
        <f t="shared" si="280"/>
        <v>0.5</v>
      </c>
      <c r="BG196" s="463"/>
      <c r="BH196" s="463">
        <v>0.49</v>
      </c>
      <c r="BI196" s="316" t="s">
        <v>514</v>
      </c>
      <c r="BJ196" s="316" t="s">
        <v>515</v>
      </c>
      <c r="BK196" s="463">
        <v>0</v>
      </c>
      <c r="BL196" s="316" t="s">
        <v>547</v>
      </c>
      <c r="BM196" s="316" t="s">
        <v>548</v>
      </c>
      <c r="BN196" s="463">
        <v>0.01</v>
      </c>
      <c r="BO196" s="728">
        <f t="shared" si="281"/>
        <v>0.5</v>
      </c>
      <c r="BP196" s="463">
        <v>0.49</v>
      </c>
      <c r="BQ196" s="316" t="s">
        <v>514</v>
      </c>
      <c r="BR196" s="316" t="s">
        <v>515</v>
      </c>
      <c r="BS196" s="463">
        <v>0</v>
      </c>
      <c r="BT196" s="316" t="s">
        <v>547</v>
      </c>
      <c r="BU196" s="316" t="s">
        <v>548</v>
      </c>
      <c r="BV196" s="463">
        <v>0.01</v>
      </c>
      <c r="BW196" s="463">
        <f t="shared" si="282"/>
        <v>0.5</v>
      </c>
      <c r="BX196" s="444" t="s">
        <v>874</v>
      </c>
      <c r="BY196" s="444" t="s">
        <v>874</v>
      </c>
      <c r="BZ196" s="444"/>
      <c r="CA196" s="436" t="s">
        <v>874</v>
      </c>
      <c r="CB196" s="723">
        <v>0.63900000000000001</v>
      </c>
      <c r="CC196" s="668" t="s">
        <v>950</v>
      </c>
      <c r="CD196" s="316" t="s">
        <v>514</v>
      </c>
      <c r="CE196" s="316" t="s">
        <v>515</v>
      </c>
      <c r="CF196" s="718">
        <v>0</v>
      </c>
      <c r="CG196" s="316" t="s">
        <v>547</v>
      </c>
      <c r="CH196" s="316" t="s">
        <v>548</v>
      </c>
      <c r="CI196" s="718">
        <v>0.01</v>
      </c>
    </row>
    <row r="197" spans="1:90" ht="15.75" customHeight="1" x14ac:dyDescent="0.2">
      <c r="A197" s="747" t="s">
        <v>281</v>
      </c>
      <c r="B197" s="469" t="s">
        <v>280</v>
      </c>
      <c r="C197" s="718">
        <v>0.4</v>
      </c>
      <c r="D197" s="469" t="s">
        <v>594</v>
      </c>
      <c r="E197" s="469" t="s">
        <v>595</v>
      </c>
      <c r="F197" s="718">
        <v>0.09</v>
      </c>
      <c r="G197" s="469" t="s">
        <v>592</v>
      </c>
      <c r="H197" s="469" t="s">
        <v>593</v>
      </c>
      <c r="I197" s="718">
        <v>0.01</v>
      </c>
      <c r="J197" s="748">
        <f t="shared" si="258"/>
        <v>0.5</v>
      </c>
      <c r="K197" s="718">
        <v>0.4</v>
      </c>
      <c r="L197" s="316" t="s">
        <v>594</v>
      </c>
      <c r="M197" s="316" t="s">
        <v>595</v>
      </c>
      <c r="N197" s="718">
        <v>0.09</v>
      </c>
      <c r="O197" s="316" t="s">
        <v>592</v>
      </c>
      <c r="P197" s="316" t="s">
        <v>593</v>
      </c>
      <c r="Q197" s="718">
        <v>0.01</v>
      </c>
      <c r="R197" s="728">
        <f t="shared" si="259"/>
        <v>0.5</v>
      </c>
      <c r="S197" s="718">
        <v>0.4</v>
      </c>
      <c r="T197" s="316" t="s">
        <v>594</v>
      </c>
      <c r="U197" s="316" t="s">
        <v>595</v>
      </c>
      <c r="V197" s="718">
        <v>0.09</v>
      </c>
      <c r="W197" s="316" t="s">
        <v>592</v>
      </c>
      <c r="X197" s="316" t="s">
        <v>593</v>
      </c>
      <c r="Y197" s="718">
        <v>0.01</v>
      </c>
      <c r="Z197" s="728">
        <f t="shared" si="283"/>
        <v>0.5</v>
      </c>
      <c r="AA197" s="718">
        <v>0.4</v>
      </c>
      <c r="AB197" s="316" t="s">
        <v>594</v>
      </c>
      <c r="AC197" s="316" t="s">
        <v>595</v>
      </c>
      <c r="AD197" s="718">
        <v>0.09</v>
      </c>
      <c r="AE197" s="316" t="s">
        <v>592</v>
      </c>
      <c r="AF197" s="316" t="s">
        <v>593</v>
      </c>
      <c r="AG197" s="718">
        <v>0.01</v>
      </c>
      <c r="AH197" s="728">
        <f t="shared" si="284"/>
        <v>0.5</v>
      </c>
      <c r="AI197" s="718">
        <v>0.4</v>
      </c>
      <c r="AJ197" s="316" t="s">
        <v>594</v>
      </c>
      <c r="AK197" s="316" t="s">
        <v>595</v>
      </c>
      <c r="AL197" s="718">
        <v>0.09</v>
      </c>
      <c r="AM197" s="316" t="s">
        <v>592</v>
      </c>
      <c r="AN197" s="316" t="s">
        <v>593</v>
      </c>
      <c r="AO197" s="718">
        <v>0.01</v>
      </c>
      <c r="AP197" s="728">
        <f t="shared" si="278"/>
        <v>0.5</v>
      </c>
      <c r="AQ197" s="718">
        <v>0</v>
      </c>
      <c r="AR197" s="316" t="s">
        <v>594</v>
      </c>
      <c r="AS197" s="316" t="s">
        <v>595</v>
      </c>
      <c r="AT197" s="718">
        <v>0.74</v>
      </c>
      <c r="AU197" s="316" t="s">
        <v>592</v>
      </c>
      <c r="AV197" s="316" t="s">
        <v>593</v>
      </c>
      <c r="AW197" s="718">
        <v>0.01</v>
      </c>
      <c r="AX197" s="463">
        <f t="shared" si="279"/>
        <v>0.75</v>
      </c>
      <c r="AY197" s="661">
        <v>0.4</v>
      </c>
      <c r="AZ197" s="316" t="s">
        <v>594</v>
      </c>
      <c r="BA197" s="316" t="s">
        <v>595</v>
      </c>
      <c r="BB197" s="463">
        <v>0.09</v>
      </c>
      <c r="BC197" s="316" t="s">
        <v>592</v>
      </c>
      <c r="BD197" s="316" t="s">
        <v>593</v>
      </c>
      <c r="BE197" s="463">
        <v>0.01</v>
      </c>
      <c r="BF197" s="728">
        <f t="shared" si="280"/>
        <v>0.5</v>
      </c>
      <c r="BG197" s="463"/>
      <c r="BH197" s="463">
        <v>0.4</v>
      </c>
      <c r="BI197" s="316" t="s">
        <v>594</v>
      </c>
      <c r="BJ197" s="316" t="s">
        <v>595</v>
      </c>
      <c r="BK197" s="463">
        <v>0.09</v>
      </c>
      <c r="BL197" s="316" t="s">
        <v>592</v>
      </c>
      <c r="BM197" s="316" t="s">
        <v>593</v>
      </c>
      <c r="BN197" s="463">
        <v>0.01</v>
      </c>
      <c r="BO197" s="728">
        <f t="shared" si="281"/>
        <v>0.5</v>
      </c>
      <c r="BP197" s="463">
        <v>0.4</v>
      </c>
      <c r="BQ197" s="316" t="s">
        <v>594</v>
      </c>
      <c r="BR197" s="316" t="s">
        <v>595</v>
      </c>
      <c r="BS197" s="463">
        <v>0.09</v>
      </c>
      <c r="BT197" s="316" t="s">
        <v>592</v>
      </c>
      <c r="BU197" s="316" t="s">
        <v>593</v>
      </c>
      <c r="BV197" s="463">
        <v>0.01</v>
      </c>
      <c r="BW197" s="463">
        <f t="shared" si="282"/>
        <v>0.5</v>
      </c>
      <c r="BX197" s="444"/>
      <c r="BY197" s="444"/>
      <c r="BZ197" s="444"/>
      <c r="CA197" s="434"/>
      <c r="CB197" s="723">
        <v>0.68899999999999995</v>
      </c>
      <c r="CC197" s="668" t="s">
        <v>950</v>
      </c>
      <c r="CD197" s="316" t="s">
        <v>594</v>
      </c>
      <c r="CE197" s="316" t="s">
        <v>595</v>
      </c>
      <c r="CF197" s="718">
        <v>0.59</v>
      </c>
      <c r="CG197" s="316" t="s">
        <v>592</v>
      </c>
      <c r="CH197" s="316" t="s">
        <v>593</v>
      </c>
      <c r="CI197" s="718">
        <v>0.01</v>
      </c>
    </row>
    <row r="198" spans="1:90" ht="15" x14ac:dyDescent="0.2">
      <c r="A198" s="747" t="s">
        <v>283</v>
      </c>
      <c r="B198" s="469" t="s">
        <v>657</v>
      </c>
      <c r="C198" s="718">
        <v>0.4</v>
      </c>
      <c r="D198" s="469" t="s">
        <v>655</v>
      </c>
      <c r="E198" s="469" t="s">
        <v>656</v>
      </c>
      <c r="F198" s="718">
        <v>0.1</v>
      </c>
      <c r="G198" s="469" t="s">
        <v>514</v>
      </c>
      <c r="H198" s="469" t="s">
        <v>552</v>
      </c>
      <c r="I198" s="718">
        <v>0</v>
      </c>
      <c r="J198" s="748">
        <f t="shared" si="258"/>
        <v>0.5</v>
      </c>
      <c r="K198" s="718">
        <v>0.4</v>
      </c>
      <c r="L198" s="316" t="s">
        <v>655</v>
      </c>
      <c r="M198" s="316" t="s">
        <v>656</v>
      </c>
      <c r="N198" s="718">
        <v>0.1</v>
      </c>
      <c r="O198" s="316" t="s">
        <v>514</v>
      </c>
      <c r="P198" s="316" t="s">
        <v>552</v>
      </c>
      <c r="Q198" s="718">
        <v>0</v>
      </c>
      <c r="R198" s="728">
        <f t="shared" si="259"/>
        <v>0.5</v>
      </c>
      <c r="S198" s="718">
        <v>0.4</v>
      </c>
      <c r="T198" s="316" t="s">
        <v>655</v>
      </c>
      <c r="U198" s="316" t="s">
        <v>656</v>
      </c>
      <c r="V198" s="718">
        <v>0.1</v>
      </c>
      <c r="W198" s="316" t="s">
        <v>514</v>
      </c>
      <c r="X198" s="316" t="s">
        <v>552</v>
      </c>
      <c r="Y198" s="718">
        <v>0</v>
      </c>
      <c r="Z198" s="728">
        <f t="shared" si="283"/>
        <v>0.5</v>
      </c>
      <c r="AA198" s="718">
        <v>0.4</v>
      </c>
      <c r="AB198" s="316" t="s">
        <v>655</v>
      </c>
      <c r="AC198" s="316" t="s">
        <v>656</v>
      </c>
      <c r="AD198" s="718">
        <v>0.1</v>
      </c>
      <c r="AE198" s="316" t="s">
        <v>514</v>
      </c>
      <c r="AF198" s="316" t="s">
        <v>552</v>
      </c>
      <c r="AG198" s="718">
        <v>0</v>
      </c>
      <c r="AH198" s="728">
        <f t="shared" si="284"/>
        <v>0.5</v>
      </c>
      <c r="AI198" s="718">
        <v>0.4</v>
      </c>
      <c r="AJ198" s="316" t="s">
        <v>655</v>
      </c>
      <c r="AK198" s="316" t="s">
        <v>656</v>
      </c>
      <c r="AL198" s="718">
        <v>0.1</v>
      </c>
      <c r="AM198" s="316" t="s">
        <v>514</v>
      </c>
      <c r="AN198" s="316" t="s">
        <v>552</v>
      </c>
      <c r="AO198" s="718">
        <v>0</v>
      </c>
      <c r="AP198" s="728">
        <f t="shared" si="278"/>
        <v>0.5</v>
      </c>
      <c r="AQ198" s="718">
        <v>0.4</v>
      </c>
      <c r="AR198" s="316" t="s">
        <v>655</v>
      </c>
      <c r="AS198" s="316" t="s">
        <v>656</v>
      </c>
      <c r="AT198" s="718">
        <v>0.1</v>
      </c>
      <c r="AU198" s="316" t="s">
        <v>514</v>
      </c>
      <c r="AV198" s="316" t="s">
        <v>552</v>
      </c>
      <c r="AW198" s="718">
        <v>0</v>
      </c>
      <c r="AX198" s="463">
        <f t="shared" si="279"/>
        <v>0.5</v>
      </c>
      <c r="AY198" s="661">
        <v>0.3</v>
      </c>
      <c r="AZ198" s="316" t="s">
        <v>655</v>
      </c>
      <c r="BA198" s="316" t="s">
        <v>656</v>
      </c>
      <c r="BB198" s="463">
        <v>0.7</v>
      </c>
      <c r="BC198" s="316" t="s">
        <v>514</v>
      </c>
      <c r="BD198" s="316" t="s">
        <v>552</v>
      </c>
      <c r="BE198" s="463">
        <v>0</v>
      </c>
      <c r="BF198" s="728">
        <f t="shared" si="280"/>
        <v>1</v>
      </c>
      <c r="BG198" s="463"/>
      <c r="BH198" s="463">
        <v>0.4</v>
      </c>
      <c r="BI198" s="316" t="s">
        <v>655</v>
      </c>
      <c r="BJ198" s="316" t="s">
        <v>656</v>
      </c>
      <c r="BK198" s="463">
        <v>0.1</v>
      </c>
      <c r="BL198" s="316" t="s">
        <v>514</v>
      </c>
      <c r="BM198" s="316" t="s">
        <v>552</v>
      </c>
      <c r="BN198" s="463">
        <v>0</v>
      </c>
      <c r="BO198" s="728">
        <f t="shared" si="281"/>
        <v>0.5</v>
      </c>
      <c r="BP198" s="463">
        <v>0.4</v>
      </c>
      <c r="BQ198" s="316" t="s">
        <v>655</v>
      </c>
      <c r="BR198" s="316" t="s">
        <v>656</v>
      </c>
      <c r="BS198" s="463">
        <v>0.1</v>
      </c>
      <c r="BT198" s="316" t="s">
        <v>514</v>
      </c>
      <c r="BU198" s="316" t="s">
        <v>552</v>
      </c>
      <c r="BV198" s="463">
        <v>0</v>
      </c>
      <c r="BW198" s="463">
        <f t="shared" si="282"/>
        <v>0.5</v>
      </c>
      <c r="BX198" s="444"/>
      <c r="BY198" s="444"/>
      <c r="BZ198" s="444"/>
      <c r="CA198" s="434"/>
      <c r="CB198" s="723">
        <v>0.70699999999999996</v>
      </c>
      <c r="CC198" s="668" t="s">
        <v>950</v>
      </c>
      <c r="CD198" s="316" t="s">
        <v>655</v>
      </c>
      <c r="CE198" s="316" t="s">
        <v>656</v>
      </c>
      <c r="CF198" s="718">
        <v>0.6</v>
      </c>
      <c r="CG198" s="316" t="s">
        <v>514</v>
      </c>
      <c r="CH198" s="316" t="s">
        <v>552</v>
      </c>
      <c r="CI198" s="718">
        <v>0</v>
      </c>
    </row>
    <row r="199" spans="1:90" ht="15.75" customHeight="1" x14ac:dyDescent="0.2">
      <c r="A199" s="747" t="s">
        <v>285</v>
      </c>
      <c r="B199" s="469" t="s">
        <v>284</v>
      </c>
      <c r="C199" s="718">
        <v>0.4</v>
      </c>
      <c r="D199" s="469" t="s">
        <v>615</v>
      </c>
      <c r="E199" s="469" t="s">
        <v>616</v>
      </c>
      <c r="F199" s="718">
        <v>0.09</v>
      </c>
      <c r="G199" s="469" t="s">
        <v>612</v>
      </c>
      <c r="H199" s="469" t="s">
        <v>613</v>
      </c>
      <c r="I199" s="718">
        <v>0.01</v>
      </c>
      <c r="J199" s="748">
        <f t="shared" si="258"/>
        <v>0.5</v>
      </c>
      <c r="K199" s="718">
        <v>0.4</v>
      </c>
      <c r="L199" s="316" t="s">
        <v>615</v>
      </c>
      <c r="M199" s="316" t="s">
        <v>616</v>
      </c>
      <c r="N199" s="718">
        <v>0.09</v>
      </c>
      <c r="O199" s="316" t="s">
        <v>612</v>
      </c>
      <c r="P199" s="316" t="s">
        <v>613</v>
      </c>
      <c r="Q199" s="718">
        <v>0.01</v>
      </c>
      <c r="R199" s="728">
        <f t="shared" si="259"/>
        <v>0.5</v>
      </c>
      <c r="S199" s="718">
        <v>0.4</v>
      </c>
      <c r="T199" s="316" t="s">
        <v>615</v>
      </c>
      <c r="U199" s="316" t="s">
        <v>616</v>
      </c>
      <c r="V199" s="718">
        <v>0.09</v>
      </c>
      <c r="W199" s="316" t="s">
        <v>612</v>
      </c>
      <c r="X199" s="316" t="s">
        <v>613</v>
      </c>
      <c r="Y199" s="718">
        <v>0.01</v>
      </c>
      <c r="Z199" s="728">
        <f t="shared" si="283"/>
        <v>0.5</v>
      </c>
      <c r="AA199" s="718">
        <v>0.4</v>
      </c>
      <c r="AB199" s="316" t="s">
        <v>615</v>
      </c>
      <c r="AC199" s="316" t="s">
        <v>616</v>
      </c>
      <c r="AD199" s="718">
        <v>0.09</v>
      </c>
      <c r="AE199" s="316" t="s">
        <v>612</v>
      </c>
      <c r="AF199" s="316" t="s">
        <v>613</v>
      </c>
      <c r="AG199" s="718">
        <v>0.01</v>
      </c>
      <c r="AH199" s="728">
        <f t="shared" si="284"/>
        <v>0.5</v>
      </c>
      <c r="AI199" s="718">
        <v>0.4</v>
      </c>
      <c r="AJ199" s="316" t="s">
        <v>615</v>
      </c>
      <c r="AK199" s="316" t="s">
        <v>616</v>
      </c>
      <c r="AL199" s="718">
        <v>0.09</v>
      </c>
      <c r="AM199" s="316" t="s">
        <v>612</v>
      </c>
      <c r="AN199" s="316" t="s">
        <v>613</v>
      </c>
      <c r="AO199" s="718">
        <v>0.01</v>
      </c>
      <c r="AP199" s="728">
        <f t="shared" ref="AP199:AP208" si="285">+AI199+AL199+AO199</f>
        <v>0.5</v>
      </c>
      <c r="AQ199" s="718">
        <v>0.56000000000000005</v>
      </c>
      <c r="AR199" s="316" t="s">
        <v>615</v>
      </c>
      <c r="AS199" s="316" t="s">
        <v>616</v>
      </c>
      <c r="AT199" s="718">
        <v>0.17499999999999999</v>
      </c>
      <c r="AU199" s="316" t="s">
        <v>612</v>
      </c>
      <c r="AV199" s="316" t="s">
        <v>613</v>
      </c>
      <c r="AW199" s="718">
        <v>1.4999999999999999E-2</v>
      </c>
      <c r="AX199" s="463">
        <f t="shared" ref="AX199:AX208" si="286">+AQ199+AT199+AW199</f>
        <v>0.75000000000000011</v>
      </c>
      <c r="AY199" s="661">
        <v>0.4</v>
      </c>
      <c r="AZ199" s="316" t="s">
        <v>615</v>
      </c>
      <c r="BA199" s="316" t="s">
        <v>616</v>
      </c>
      <c r="BB199" s="463">
        <v>0.09</v>
      </c>
      <c r="BC199" s="316" t="s">
        <v>612</v>
      </c>
      <c r="BD199" s="316" t="s">
        <v>613</v>
      </c>
      <c r="BE199" s="463">
        <v>0.01</v>
      </c>
      <c r="BF199" s="728">
        <f t="shared" ref="BF199:BF208" si="287">+AY199+BB199+BE199</f>
        <v>0.5</v>
      </c>
      <c r="BG199" s="463"/>
      <c r="BH199" s="463">
        <v>0.4</v>
      </c>
      <c r="BI199" s="316" t="s">
        <v>615</v>
      </c>
      <c r="BJ199" s="316" t="s">
        <v>616</v>
      </c>
      <c r="BK199" s="463">
        <v>0.09</v>
      </c>
      <c r="BL199" s="316" t="s">
        <v>612</v>
      </c>
      <c r="BM199" s="316" t="s">
        <v>613</v>
      </c>
      <c r="BN199" s="463">
        <v>0.01</v>
      </c>
      <c r="BO199" s="728">
        <f t="shared" ref="BO199:BO208" si="288">+BH199+BK199+BN199</f>
        <v>0.5</v>
      </c>
      <c r="BP199" s="463">
        <v>0.4</v>
      </c>
      <c r="BQ199" s="316" t="s">
        <v>615</v>
      </c>
      <c r="BR199" s="316" t="s">
        <v>616</v>
      </c>
      <c r="BS199" s="463">
        <v>0.09</v>
      </c>
      <c r="BT199" s="316" t="s">
        <v>612</v>
      </c>
      <c r="BU199" s="316" t="s">
        <v>613</v>
      </c>
      <c r="BV199" s="463">
        <v>0.01</v>
      </c>
      <c r="BW199" s="463">
        <f t="shared" ref="BW199:BW208" si="289">+BP199+BS199+BV199</f>
        <v>0.5</v>
      </c>
      <c r="BX199" s="444" t="s">
        <v>874</v>
      </c>
      <c r="BY199" s="444"/>
      <c r="BZ199" s="444"/>
      <c r="CA199" s="434"/>
      <c r="CB199" s="723">
        <v>0.66400000000000003</v>
      </c>
      <c r="CC199" s="668" t="s">
        <v>874</v>
      </c>
      <c r="CD199" s="316" t="s">
        <v>615</v>
      </c>
      <c r="CE199" s="316" t="s">
        <v>616</v>
      </c>
      <c r="CF199" s="718">
        <v>0.59</v>
      </c>
      <c r="CG199" s="316" t="s">
        <v>612</v>
      </c>
      <c r="CH199" s="316" t="s">
        <v>613</v>
      </c>
      <c r="CI199" s="718">
        <v>0.01</v>
      </c>
    </row>
    <row r="200" spans="1:90" ht="15.75" customHeight="1" x14ac:dyDescent="0.2">
      <c r="A200" s="747" t="s">
        <v>287</v>
      </c>
      <c r="B200" s="998" t="s">
        <v>686</v>
      </c>
      <c r="C200" s="718">
        <v>0.3</v>
      </c>
      <c r="D200" s="469" t="s">
        <v>680</v>
      </c>
      <c r="E200" s="469" t="s">
        <v>681</v>
      </c>
      <c r="F200" s="718">
        <v>0.37</v>
      </c>
      <c r="G200" s="469" t="s">
        <v>514</v>
      </c>
      <c r="H200" s="469" t="s">
        <v>514</v>
      </c>
      <c r="I200" s="718">
        <v>0</v>
      </c>
      <c r="J200" s="748">
        <f t="shared" si="258"/>
        <v>0.66999999999999993</v>
      </c>
      <c r="K200" s="718">
        <v>0.3</v>
      </c>
      <c r="L200" s="316" t="s">
        <v>680</v>
      </c>
      <c r="M200" s="316" t="s">
        <v>681</v>
      </c>
      <c r="N200" s="718">
        <v>0.37</v>
      </c>
      <c r="O200" s="316" t="s">
        <v>514</v>
      </c>
      <c r="P200" s="316" t="s">
        <v>514</v>
      </c>
      <c r="Q200" s="718">
        <v>0</v>
      </c>
      <c r="R200" s="728">
        <f t="shared" si="259"/>
        <v>0.66999999999999993</v>
      </c>
      <c r="S200" s="718">
        <v>0.3</v>
      </c>
      <c r="T200" s="316" t="s">
        <v>680</v>
      </c>
      <c r="U200" s="316" t="s">
        <v>681</v>
      </c>
      <c r="V200" s="718">
        <v>0.37</v>
      </c>
      <c r="W200" s="316" t="s">
        <v>514</v>
      </c>
      <c r="X200" s="316" t="s">
        <v>514</v>
      </c>
      <c r="Y200" s="718">
        <v>0</v>
      </c>
      <c r="Z200" s="728">
        <f t="shared" ref="Z200:Z206" si="290">+S200+V200+Y200</f>
        <v>0.66999999999999993</v>
      </c>
      <c r="AA200" s="718">
        <v>0.3</v>
      </c>
      <c r="AB200" s="316" t="s">
        <v>680</v>
      </c>
      <c r="AC200" s="316" t="s">
        <v>681</v>
      </c>
      <c r="AD200" s="718">
        <v>0.37</v>
      </c>
      <c r="AE200" s="316" t="s">
        <v>514</v>
      </c>
      <c r="AF200" s="316" t="s">
        <v>514</v>
      </c>
      <c r="AG200" s="718">
        <v>0</v>
      </c>
      <c r="AH200" s="728">
        <f t="shared" si="284"/>
        <v>0.66999999999999993</v>
      </c>
      <c r="AI200" s="718">
        <v>0.3</v>
      </c>
      <c r="AJ200" s="316" t="s">
        <v>680</v>
      </c>
      <c r="AK200" s="316" t="s">
        <v>681</v>
      </c>
      <c r="AL200" s="718">
        <v>0.37</v>
      </c>
      <c r="AM200" s="316" t="s">
        <v>514</v>
      </c>
      <c r="AN200" s="316" t="s">
        <v>514</v>
      </c>
      <c r="AO200" s="718">
        <v>0</v>
      </c>
      <c r="AP200" s="728">
        <f t="shared" si="285"/>
        <v>0.66999999999999993</v>
      </c>
      <c r="AQ200" s="718">
        <v>0.48</v>
      </c>
      <c r="AR200" s="316" t="s">
        <v>680</v>
      </c>
      <c r="AS200" s="316" t="s">
        <v>681</v>
      </c>
      <c r="AT200" s="718">
        <v>0.27</v>
      </c>
      <c r="AU200" s="316" t="s">
        <v>514</v>
      </c>
      <c r="AV200" s="316" t="s">
        <v>514</v>
      </c>
      <c r="AW200" s="718">
        <v>0</v>
      </c>
      <c r="AX200" s="463">
        <f t="shared" si="286"/>
        <v>0.75</v>
      </c>
      <c r="AY200" s="661">
        <v>0.64</v>
      </c>
      <c r="AZ200" s="316" t="s">
        <v>680</v>
      </c>
      <c r="BA200" s="316" t="s">
        <v>681</v>
      </c>
      <c r="BB200" s="463">
        <v>0.36</v>
      </c>
      <c r="BC200" s="316" t="s">
        <v>514</v>
      </c>
      <c r="BD200" s="316" t="s">
        <v>514</v>
      </c>
      <c r="BE200" s="463">
        <v>0</v>
      </c>
      <c r="BF200" s="728">
        <f t="shared" si="287"/>
        <v>1</v>
      </c>
      <c r="BG200" s="463"/>
      <c r="BH200" s="463">
        <v>0.3</v>
      </c>
      <c r="BI200" s="316" t="s">
        <v>680</v>
      </c>
      <c r="BJ200" s="316" t="s">
        <v>681</v>
      </c>
      <c r="BK200" s="463">
        <v>0.37</v>
      </c>
      <c r="BL200" s="316" t="s">
        <v>514</v>
      </c>
      <c r="BM200" s="316" t="s">
        <v>514</v>
      </c>
      <c r="BN200" s="463">
        <v>0</v>
      </c>
      <c r="BO200" s="728">
        <f t="shared" si="288"/>
        <v>0.66999999999999993</v>
      </c>
      <c r="BP200" s="463">
        <v>0.3</v>
      </c>
      <c r="BQ200" s="316" t="s">
        <v>680</v>
      </c>
      <c r="BR200" s="316" t="s">
        <v>681</v>
      </c>
      <c r="BS200" s="463">
        <v>0.2</v>
      </c>
      <c r="BT200" s="316" t="s">
        <v>514</v>
      </c>
      <c r="BU200" s="316" t="s">
        <v>514</v>
      </c>
      <c r="BV200" s="463">
        <v>0</v>
      </c>
      <c r="BW200" s="463">
        <f t="shared" si="289"/>
        <v>0.5</v>
      </c>
      <c r="BX200" s="444"/>
      <c r="BY200" s="444"/>
      <c r="BZ200" s="444"/>
      <c r="CA200" s="436" t="s">
        <v>874</v>
      </c>
      <c r="CB200" s="723">
        <v>0.76900000000000002</v>
      </c>
      <c r="CC200" s="668" t="s">
        <v>950</v>
      </c>
      <c r="CD200" s="316" t="s">
        <v>680</v>
      </c>
      <c r="CE200" s="316" t="s">
        <v>681</v>
      </c>
      <c r="CF200" s="718">
        <v>0.2</v>
      </c>
      <c r="CG200" s="316" t="s">
        <v>514</v>
      </c>
      <c r="CH200" s="316" t="s">
        <v>514</v>
      </c>
      <c r="CI200" s="718">
        <v>0</v>
      </c>
    </row>
    <row r="201" spans="1:90" ht="15.75" customHeight="1" x14ac:dyDescent="0.2">
      <c r="A201" s="747" t="s">
        <v>289</v>
      </c>
      <c r="B201" s="469" t="s">
        <v>288</v>
      </c>
      <c r="C201" s="718">
        <v>0.99</v>
      </c>
      <c r="D201" s="469" t="s">
        <v>514</v>
      </c>
      <c r="E201" s="469" t="s">
        <v>666</v>
      </c>
      <c r="F201" s="718">
        <v>0</v>
      </c>
      <c r="G201" s="469" t="s">
        <v>1328</v>
      </c>
      <c r="H201" s="469" t="s">
        <v>1243</v>
      </c>
      <c r="I201" s="718">
        <v>0.01</v>
      </c>
      <c r="J201" s="748">
        <f t="shared" si="258"/>
        <v>1</v>
      </c>
      <c r="K201" s="718">
        <v>0.99</v>
      </c>
      <c r="L201" s="316" t="s">
        <v>514</v>
      </c>
      <c r="M201" s="316" t="s">
        <v>666</v>
      </c>
      <c r="N201" s="718">
        <v>0</v>
      </c>
      <c r="O201" s="316" t="s">
        <v>1328</v>
      </c>
      <c r="P201" s="316" t="s">
        <v>1243</v>
      </c>
      <c r="Q201" s="718">
        <v>0.01</v>
      </c>
      <c r="R201" s="728">
        <f t="shared" si="259"/>
        <v>1</v>
      </c>
      <c r="S201" s="718">
        <v>0.99</v>
      </c>
      <c r="T201" s="316" t="s">
        <v>514</v>
      </c>
      <c r="U201" s="316" t="s">
        <v>666</v>
      </c>
      <c r="V201" s="718">
        <v>0</v>
      </c>
      <c r="W201" s="316" t="s">
        <v>1328</v>
      </c>
      <c r="X201" s="316" t="s">
        <v>1243</v>
      </c>
      <c r="Y201" s="718">
        <v>0.01</v>
      </c>
      <c r="Z201" s="728">
        <f t="shared" si="290"/>
        <v>1</v>
      </c>
      <c r="AA201" s="718">
        <v>0.99</v>
      </c>
      <c r="AB201" s="316" t="s">
        <v>514</v>
      </c>
      <c r="AC201" s="316" t="s">
        <v>666</v>
      </c>
      <c r="AD201" s="718">
        <v>0</v>
      </c>
      <c r="AE201" s="316" t="s">
        <v>1328</v>
      </c>
      <c r="AF201" s="316" t="s">
        <v>1243</v>
      </c>
      <c r="AG201" s="718">
        <v>0.01</v>
      </c>
      <c r="AH201" s="728">
        <f t="shared" si="284"/>
        <v>1</v>
      </c>
      <c r="AI201" s="718">
        <v>0.99</v>
      </c>
      <c r="AJ201" s="316" t="s">
        <v>514</v>
      </c>
      <c r="AK201" s="316" t="s">
        <v>666</v>
      </c>
      <c r="AL201" s="718">
        <v>0</v>
      </c>
      <c r="AM201" s="316" t="s">
        <v>1328</v>
      </c>
      <c r="AN201" s="316" t="s">
        <v>1243</v>
      </c>
      <c r="AO201" s="718">
        <v>0.01</v>
      </c>
      <c r="AP201" s="728">
        <f t="shared" si="285"/>
        <v>1</v>
      </c>
      <c r="AQ201" s="718">
        <v>0.99</v>
      </c>
      <c r="AR201" s="316" t="s">
        <v>514</v>
      </c>
      <c r="AS201" s="316" t="s">
        <v>666</v>
      </c>
      <c r="AT201" s="718">
        <v>0</v>
      </c>
      <c r="AU201" s="316" t="s">
        <v>667</v>
      </c>
      <c r="AV201" s="316" t="s">
        <v>1243</v>
      </c>
      <c r="AW201" s="718">
        <v>0.01</v>
      </c>
      <c r="AX201" s="463">
        <f t="shared" si="286"/>
        <v>1</v>
      </c>
      <c r="AY201" s="661">
        <v>0.99</v>
      </c>
      <c r="AZ201" s="316" t="s">
        <v>514</v>
      </c>
      <c r="BA201" s="316" t="s">
        <v>666</v>
      </c>
      <c r="BB201" s="463">
        <v>0</v>
      </c>
      <c r="BC201" s="316" t="s">
        <v>667</v>
      </c>
      <c r="BD201" s="316" t="s">
        <v>668</v>
      </c>
      <c r="BE201" s="463">
        <v>0.01</v>
      </c>
      <c r="BF201" s="728">
        <f t="shared" si="287"/>
        <v>1</v>
      </c>
      <c r="BG201" s="463"/>
      <c r="BH201" s="463">
        <v>0.99</v>
      </c>
      <c r="BI201" s="316" t="s">
        <v>514</v>
      </c>
      <c r="BJ201" s="316" t="s">
        <v>666</v>
      </c>
      <c r="BK201" s="463">
        <v>0</v>
      </c>
      <c r="BL201" s="316" t="s">
        <v>667</v>
      </c>
      <c r="BM201" s="316" t="s">
        <v>668</v>
      </c>
      <c r="BN201" s="463">
        <v>0.01</v>
      </c>
      <c r="BO201" s="728">
        <f t="shared" si="288"/>
        <v>1</v>
      </c>
      <c r="BP201" s="463">
        <v>0.49</v>
      </c>
      <c r="BQ201" s="316" t="s">
        <v>514</v>
      </c>
      <c r="BR201" s="316" t="s">
        <v>666</v>
      </c>
      <c r="BS201" s="463">
        <v>0</v>
      </c>
      <c r="BT201" s="316" t="s">
        <v>667</v>
      </c>
      <c r="BU201" s="316" t="s">
        <v>668</v>
      </c>
      <c r="BV201" s="463">
        <v>0.01</v>
      </c>
      <c r="BW201" s="463">
        <f t="shared" si="289"/>
        <v>0.5</v>
      </c>
      <c r="BX201" s="444" t="s">
        <v>874</v>
      </c>
      <c r="BY201" s="444"/>
      <c r="BZ201" s="444" t="s">
        <v>874</v>
      </c>
      <c r="CA201" s="436" t="s">
        <v>874</v>
      </c>
      <c r="CB201" s="723">
        <v>0.65300000000000002</v>
      </c>
      <c r="CC201" s="668" t="s">
        <v>950</v>
      </c>
      <c r="CD201" s="316" t="s">
        <v>514</v>
      </c>
      <c r="CE201" s="316" t="s">
        <v>666</v>
      </c>
      <c r="CF201" s="718">
        <v>0</v>
      </c>
      <c r="CG201" s="316" t="s">
        <v>667</v>
      </c>
      <c r="CH201" s="316" t="s">
        <v>668</v>
      </c>
      <c r="CI201" s="718">
        <v>0.01</v>
      </c>
    </row>
    <row r="202" spans="1:90" s="450" customFormat="1" ht="15.75" customHeight="1" x14ac:dyDescent="0.25">
      <c r="A202" s="747" t="s">
        <v>291</v>
      </c>
      <c r="B202" s="469" t="s">
        <v>290</v>
      </c>
      <c r="C202" s="718">
        <v>0.4</v>
      </c>
      <c r="D202" s="469" t="s">
        <v>581</v>
      </c>
      <c r="E202" s="469" t="s">
        <v>582</v>
      </c>
      <c r="F202" s="718">
        <v>0.09</v>
      </c>
      <c r="G202" s="469" t="s">
        <v>578</v>
      </c>
      <c r="H202" s="469" t="s">
        <v>1244</v>
      </c>
      <c r="I202" s="718">
        <v>0.01</v>
      </c>
      <c r="J202" s="748">
        <f t="shared" si="258"/>
        <v>0.5</v>
      </c>
      <c r="K202" s="718">
        <v>0.4</v>
      </c>
      <c r="L202" s="316" t="s">
        <v>581</v>
      </c>
      <c r="M202" s="316" t="s">
        <v>582</v>
      </c>
      <c r="N202" s="718">
        <v>0.09</v>
      </c>
      <c r="O202" s="316" t="s">
        <v>578</v>
      </c>
      <c r="P202" s="316" t="s">
        <v>1244</v>
      </c>
      <c r="Q202" s="718">
        <v>0.01</v>
      </c>
      <c r="R202" s="728">
        <f t="shared" si="259"/>
        <v>0.5</v>
      </c>
      <c r="S202" s="718">
        <v>0.4</v>
      </c>
      <c r="T202" s="316" t="s">
        <v>581</v>
      </c>
      <c r="U202" s="316" t="s">
        <v>582</v>
      </c>
      <c r="V202" s="718">
        <v>0.09</v>
      </c>
      <c r="W202" s="316" t="s">
        <v>578</v>
      </c>
      <c r="X202" s="316" t="s">
        <v>1244</v>
      </c>
      <c r="Y202" s="718">
        <v>0.01</v>
      </c>
      <c r="Z202" s="728">
        <f t="shared" si="290"/>
        <v>0.5</v>
      </c>
      <c r="AA202" s="718">
        <v>0.4</v>
      </c>
      <c r="AB202" s="316" t="s">
        <v>581</v>
      </c>
      <c r="AC202" s="316" t="s">
        <v>582</v>
      </c>
      <c r="AD202" s="718">
        <v>0.09</v>
      </c>
      <c r="AE202" s="316" t="s">
        <v>578</v>
      </c>
      <c r="AF202" s="316" t="s">
        <v>1244</v>
      </c>
      <c r="AG202" s="718">
        <v>0.01</v>
      </c>
      <c r="AH202" s="728">
        <f t="shared" ref="AH202:AH210" si="291">+AA202+AD202+AG202</f>
        <v>0.5</v>
      </c>
      <c r="AI202" s="718">
        <v>0.4</v>
      </c>
      <c r="AJ202" s="316" t="s">
        <v>581</v>
      </c>
      <c r="AK202" s="316" t="s">
        <v>582</v>
      </c>
      <c r="AL202" s="718">
        <v>0.09</v>
      </c>
      <c r="AM202" s="316" t="s">
        <v>578</v>
      </c>
      <c r="AN202" s="316" t="s">
        <v>1244</v>
      </c>
      <c r="AO202" s="718">
        <v>0.01</v>
      </c>
      <c r="AP202" s="728">
        <f t="shared" si="285"/>
        <v>0.5</v>
      </c>
      <c r="AQ202" s="718">
        <v>0.4</v>
      </c>
      <c r="AR202" s="316" t="s">
        <v>581</v>
      </c>
      <c r="AS202" s="316" t="s">
        <v>582</v>
      </c>
      <c r="AT202" s="718">
        <v>0.09</v>
      </c>
      <c r="AU202" s="316" t="s">
        <v>578</v>
      </c>
      <c r="AV202" s="316" t="s">
        <v>1244</v>
      </c>
      <c r="AW202" s="718">
        <v>0.01</v>
      </c>
      <c r="AX202" s="463">
        <f t="shared" si="286"/>
        <v>0.5</v>
      </c>
      <c r="AY202" s="661">
        <v>0.4</v>
      </c>
      <c r="AZ202" s="316" t="s">
        <v>581</v>
      </c>
      <c r="BA202" s="316" t="s">
        <v>582</v>
      </c>
      <c r="BB202" s="463">
        <v>0.09</v>
      </c>
      <c r="BC202" s="316" t="s">
        <v>578</v>
      </c>
      <c r="BD202" s="316" t="s">
        <v>579</v>
      </c>
      <c r="BE202" s="463">
        <v>0.01</v>
      </c>
      <c r="BF202" s="728">
        <f t="shared" si="287"/>
        <v>0.5</v>
      </c>
      <c r="BG202" s="463"/>
      <c r="BH202" s="463">
        <v>0.4</v>
      </c>
      <c r="BI202" s="316" t="s">
        <v>581</v>
      </c>
      <c r="BJ202" s="316" t="s">
        <v>582</v>
      </c>
      <c r="BK202" s="463">
        <v>0.09</v>
      </c>
      <c r="BL202" s="316" t="s">
        <v>578</v>
      </c>
      <c r="BM202" s="316" t="s">
        <v>579</v>
      </c>
      <c r="BN202" s="463">
        <v>0.01</v>
      </c>
      <c r="BO202" s="728">
        <f t="shared" si="288"/>
        <v>0.5</v>
      </c>
      <c r="BP202" s="463">
        <v>0.4</v>
      </c>
      <c r="BQ202" s="316" t="s">
        <v>581</v>
      </c>
      <c r="BR202" s="316" t="s">
        <v>582</v>
      </c>
      <c r="BS202" s="463">
        <v>0.09</v>
      </c>
      <c r="BT202" s="316" t="s">
        <v>578</v>
      </c>
      <c r="BU202" s="316" t="s">
        <v>579</v>
      </c>
      <c r="BV202" s="463">
        <v>0.01</v>
      </c>
      <c r="BW202" s="463">
        <f t="shared" si="289"/>
        <v>0.5</v>
      </c>
      <c r="BX202" s="444"/>
      <c r="BY202" s="444"/>
      <c r="BZ202" s="444"/>
      <c r="CA202" s="434"/>
      <c r="CB202" s="723">
        <v>0.70599999999999996</v>
      </c>
      <c r="CC202" s="668" t="s">
        <v>950</v>
      </c>
      <c r="CD202" s="316" t="s">
        <v>581</v>
      </c>
      <c r="CE202" s="316" t="s">
        <v>582</v>
      </c>
      <c r="CF202" s="718">
        <v>0.59</v>
      </c>
      <c r="CG202" s="316" t="s">
        <v>578</v>
      </c>
      <c r="CH202" s="316" t="s">
        <v>579</v>
      </c>
      <c r="CI202" s="718">
        <v>0.01</v>
      </c>
      <c r="CK202" s="457"/>
      <c r="CL202" s="457"/>
    </row>
    <row r="203" spans="1:90" ht="15.75" customHeight="1" x14ac:dyDescent="0.2">
      <c r="A203" s="747" t="s">
        <v>293</v>
      </c>
      <c r="B203" s="469" t="s">
        <v>292</v>
      </c>
      <c r="C203" s="718">
        <v>0.4</v>
      </c>
      <c r="D203" s="469" t="s">
        <v>615</v>
      </c>
      <c r="E203" s="469" t="s">
        <v>616</v>
      </c>
      <c r="F203" s="718">
        <v>0.09</v>
      </c>
      <c r="G203" s="469" t="s">
        <v>612</v>
      </c>
      <c r="H203" s="469" t="s">
        <v>613</v>
      </c>
      <c r="I203" s="718">
        <v>0.01</v>
      </c>
      <c r="J203" s="748">
        <f t="shared" si="258"/>
        <v>0.5</v>
      </c>
      <c r="K203" s="718">
        <v>0.4</v>
      </c>
      <c r="L203" s="316" t="s">
        <v>615</v>
      </c>
      <c r="M203" s="316" t="s">
        <v>616</v>
      </c>
      <c r="N203" s="718">
        <v>0.09</v>
      </c>
      <c r="O203" s="316" t="s">
        <v>612</v>
      </c>
      <c r="P203" s="316" t="s">
        <v>613</v>
      </c>
      <c r="Q203" s="718">
        <v>0.01</v>
      </c>
      <c r="R203" s="728">
        <f t="shared" si="259"/>
        <v>0.5</v>
      </c>
      <c r="S203" s="718">
        <v>0.4</v>
      </c>
      <c r="T203" s="316" t="s">
        <v>615</v>
      </c>
      <c r="U203" s="316" t="s">
        <v>616</v>
      </c>
      <c r="V203" s="718">
        <v>0.09</v>
      </c>
      <c r="W203" s="316" t="s">
        <v>612</v>
      </c>
      <c r="X203" s="316" t="s">
        <v>613</v>
      </c>
      <c r="Y203" s="718">
        <v>0.01</v>
      </c>
      <c r="Z203" s="728">
        <f t="shared" si="290"/>
        <v>0.5</v>
      </c>
      <c r="AA203" s="718">
        <v>0.4</v>
      </c>
      <c r="AB203" s="316" t="s">
        <v>615</v>
      </c>
      <c r="AC203" s="316" t="s">
        <v>616</v>
      </c>
      <c r="AD203" s="718">
        <v>0.09</v>
      </c>
      <c r="AE203" s="316" t="s">
        <v>612</v>
      </c>
      <c r="AF203" s="316" t="s">
        <v>613</v>
      </c>
      <c r="AG203" s="718">
        <v>0.01</v>
      </c>
      <c r="AH203" s="728">
        <f t="shared" si="291"/>
        <v>0.5</v>
      </c>
      <c r="AI203" s="718">
        <v>0.4</v>
      </c>
      <c r="AJ203" s="316" t="s">
        <v>615</v>
      </c>
      <c r="AK203" s="316" t="s">
        <v>616</v>
      </c>
      <c r="AL203" s="718">
        <v>0.09</v>
      </c>
      <c r="AM203" s="316" t="s">
        <v>612</v>
      </c>
      <c r="AN203" s="316" t="s">
        <v>613</v>
      </c>
      <c r="AO203" s="718">
        <v>0.01</v>
      </c>
      <c r="AP203" s="728">
        <f t="shared" si="285"/>
        <v>0.5</v>
      </c>
      <c r="AQ203" s="718">
        <v>0.56000000000000005</v>
      </c>
      <c r="AR203" s="316" t="s">
        <v>615</v>
      </c>
      <c r="AS203" s="316" t="s">
        <v>616</v>
      </c>
      <c r="AT203" s="718">
        <v>0.17499999999999999</v>
      </c>
      <c r="AU203" s="316" t="s">
        <v>612</v>
      </c>
      <c r="AV203" s="316" t="s">
        <v>613</v>
      </c>
      <c r="AW203" s="718">
        <v>1.4999999999999999E-2</v>
      </c>
      <c r="AX203" s="463">
        <f t="shared" si="286"/>
        <v>0.75000000000000011</v>
      </c>
      <c r="AY203" s="661">
        <v>0.4</v>
      </c>
      <c r="AZ203" s="316" t="s">
        <v>615</v>
      </c>
      <c r="BA203" s="316" t="s">
        <v>616</v>
      </c>
      <c r="BB203" s="463">
        <v>0.09</v>
      </c>
      <c r="BC203" s="316" t="s">
        <v>612</v>
      </c>
      <c r="BD203" s="316" t="s">
        <v>613</v>
      </c>
      <c r="BE203" s="463">
        <v>0.01</v>
      </c>
      <c r="BF203" s="728">
        <f t="shared" si="287"/>
        <v>0.5</v>
      </c>
      <c r="BG203" s="463"/>
      <c r="BH203" s="463">
        <v>0.4</v>
      </c>
      <c r="BI203" s="316" t="s">
        <v>615</v>
      </c>
      <c r="BJ203" s="316" t="s">
        <v>616</v>
      </c>
      <c r="BK203" s="463">
        <v>0.09</v>
      </c>
      <c r="BL203" s="316" t="s">
        <v>612</v>
      </c>
      <c r="BM203" s="316" t="s">
        <v>613</v>
      </c>
      <c r="BN203" s="463">
        <v>0.01</v>
      </c>
      <c r="BO203" s="728">
        <f t="shared" si="288"/>
        <v>0.5</v>
      </c>
      <c r="BP203" s="463">
        <v>0.4</v>
      </c>
      <c r="BQ203" s="316" t="s">
        <v>615</v>
      </c>
      <c r="BR203" s="316" t="s">
        <v>616</v>
      </c>
      <c r="BS203" s="463">
        <v>0.09</v>
      </c>
      <c r="BT203" s="316" t="s">
        <v>612</v>
      </c>
      <c r="BU203" s="316" t="s">
        <v>613</v>
      </c>
      <c r="BV203" s="463">
        <v>0.01</v>
      </c>
      <c r="BW203" s="463">
        <f t="shared" si="289"/>
        <v>0.5</v>
      </c>
      <c r="BX203" s="444"/>
      <c r="BY203" s="444"/>
      <c r="BZ203" s="444"/>
      <c r="CA203" s="434"/>
      <c r="CB203" s="723">
        <v>0.63300000000000001</v>
      </c>
      <c r="CC203" s="668" t="s">
        <v>874</v>
      </c>
      <c r="CD203" s="316" t="s">
        <v>615</v>
      </c>
      <c r="CE203" s="316" t="s">
        <v>616</v>
      </c>
      <c r="CF203" s="718">
        <v>0.59</v>
      </c>
      <c r="CG203" s="316" t="s">
        <v>612</v>
      </c>
      <c r="CH203" s="316" t="s">
        <v>613</v>
      </c>
      <c r="CI203" s="718">
        <v>0.01</v>
      </c>
    </row>
    <row r="204" spans="1:90" ht="15" x14ac:dyDescent="0.2">
      <c r="A204" s="747" t="s">
        <v>295</v>
      </c>
      <c r="B204" s="469" t="s">
        <v>294</v>
      </c>
      <c r="C204" s="718">
        <v>0.4</v>
      </c>
      <c r="D204" s="469" t="s">
        <v>575</v>
      </c>
      <c r="E204" s="469" t="s">
        <v>576</v>
      </c>
      <c r="F204" s="718">
        <v>0.09</v>
      </c>
      <c r="G204" s="469" t="s">
        <v>573</v>
      </c>
      <c r="H204" s="469" t="s">
        <v>574</v>
      </c>
      <c r="I204" s="718">
        <v>0.01</v>
      </c>
      <c r="J204" s="748">
        <f t="shared" si="258"/>
        <v>0.5</v>
      </c>
      <c r="K204" s="718">
        <v>0.4</v>
      </c>
      <c r="L204" s="316" t="s">
        <v>575</v>
      </c>
      <c r="M204" s="316" t="s">
        <v>576</v>
      </c>
      <c r="N204" s="718">
        <v>0.09</v>
      </c>
      <c r="O204" s="316" t="s">
        <v>573</v>
      </c>
      <c r="P204" s="316" t="s">
        <v>574</v>
      </c>
      <c r="Q204" s="718">
        <v>0.01</v>
      </c>
      <c r="R204" s="728">
        <f t="shared" si="259"/>
        <v>0.5</v>
      </c>
      <c r="S204" s="718">
        <v>0.4</v>
      </c>
      <c r="T204" s="316" t="s">
        <v>575</v>
      </c>
      <c r="U204" s="316" t="s">
        <v>576</v>
      </c>
      <c r="V204" s="718">
        <v>0.09</v>
      </c>
      <c r="W204" s="316" t="s">
        <v>573</v>
      </c>
      <c r="X204" s="316" t="s">
        <v>574</v>
      </c>
      <c r="Y204" s="718">
        <v>0.01</v>
      </c>
      <c r="Z204" s="728">
        <f t="shared" si="290"/>
        <v>0.5</v>
      </c>
      <c r="AA204" s="718">
        <v>0.4</v>
      </c>
      <c r="AB204" s="316" t="s">
        <v>575</v>
      </c>
      <c r="AC204" s="316" t="s">
        <v>576</v>
      </c>
      <c r="AD204" s="718">
        <v>0.09</v>
      </c>
      <c r="AE204" s="316" t="s">
        <v>573</v>
      </c>
      <c r="AF204" s="316" t="s">
        <v>574</v>
      </c>
      <c r="AG204" s="718">
        <v>0.01</v>
      </c>
      <c r="AH204" s="728">
        <f t="shared" si="291"/>
        <v>0.5</v>
      </c>
      <c r="AI204" s="718">
        <v>0.4</v>
      </c>
      <c r="AJ204" s="316" t="s">
        <v>575</v>
      </c>
      <c r="AK204" s="316" t="s">
        <v>576</v>
      </c>
      <c r="AL204" s="718">
        <v>0.09</v>
      </c>
      <c r="AM204" s="316" t="s">
        <v>573</v>
      </c>
      <c r="AN204" s="316" t="s">
        <v>574</v>
      </c>
      <c r="AO204" s="718">
        <v>0.01</v>
      </c>
      <c r="AP204" s="728">
        <f t="shared" si="285"/>
        <v>0.5</v>
      </c>
      <c r="AQ204" s="718">
        <v>0.44</v>
      </c>
      <c r="AR204" s="316" t="s">
        <v>575</v>
      </c>
      <c r="AS204" s="316" t="s">
        <v>576</v>
      </c>
      <c r="AT204" s="718">
        <v>0.26</v>
      </c>
      <c r="AU204" s="316" t="s">
        <v>573</v>
      </c>
      <c r="AV204" s="316" t="s">
        <v>574</v>
      </c>
      <c r="AW204" s="718">
        <v>0.05</v>
      </c>
      <c r="AX204" s="463">
        <f t="shared" si="286"/>
        <v>0.75</v>
      </c>
      <c r="AY204" s="661">
        <v>0.4</v>
      </c>
      <c r="AZ204" s="316" t="s">
        <v>575</v>
      </c>
      <c r="BA204" s="316" t="s">
        <v>576</v>
      </c>
      <c r="BB204" s="463">
        <v>0.09</v>
      </c>
      <c r="BC204" s="316" t="s">
        <v>573</v>
      </c>
      <c r="BD204" s="316" t="s">
        <v>574</v>
      </c>
      <c r="BE204" s="463">
        <v>0.01</v>
      </c>
      <c r="BF204" s="728">
        <f t="shared" si="287"/>
        <v>0.5</v>
      </c>
      <c r="BG204" s="463"/>
      <c r="BH204" s="463">
        <v>0.4</v>
      </c>
      <c r="BI204" s="316" t="s">
        <v>575</v>
      </c>
      <c r="BJ204" s="316" t="s">
        <v>576</v>
      </c>
      <c r="BK204" s="463">
        <v>0.09</v>
      </c>
      <c r="BL204" s="316" t="s">
        <v>573</v>
      </c>
      <c r="BM204" s="316" t="s">
        <v>574</v>
      </c>
      <c r="BN204" s="463">
        <v>0.01</v>
      </c>
      <c r="BO204" s="728">
        <f t="shared" si="288"/>
        <v>0.5</v>
      </c>
      <c r="BP204" s="463">
        <v>0.4</v>
      </c>
      <c r="BQ204" s="316" t="s">
        <v>575</v>
      </c>
      <c r="BR204" s="316" t="s">
        <v>576</v>
      </c>
      <c r="BS204" s="463">
        <v>0.09</v>
      </c>
      <c r="BT204" s="316" t="s">
        <v>573</v>
      </c>
      <c r="BU204" s="316" t="s">
        <v>574</v>
      </c>
      <c r="BV204" s="463">
        <v>0.01</v>
      </c>
      <c r="BW204" s="463">
        <f t="shared" si="289"/>
        <v>0.5</v>
      </c>
      <c r="BX204" s="444"/>
      <c r="BY204" s="444"/>
      <c r="BZ204" s="444"/>
      <c r="CA204" s="434"/>
      <c r="CB204" s="723">
        <v>0.66200000000000003</v>
      </c>
      <c r="CC204" s="668" t="s">
        <v>950</v>
      </c>
      <c r="CD204" s="316" t="s">
        <v>575</v>
      </c>
      <c r="CE204" s="316" t="s">
        <v>576</v>
      </c>
      <c r="CF204" s="718">
        <v>0.59</v>
      </c>
      <c r="CG204" s="316" t="s">
        <v>573</v>
      </c>
      <c r="CH204" s="316" t="s">
        <v>574</v>
      </c>
      <c r="CI204" s="718">
        <v>0.01</v>
      </c>
    </row>
    <row r="205" spans="1:90" ht="15.75" customHeight="1" x14ac:dyDescent="0.2">
      <c r="A205" s="747" t="s">
        <v>297</v>
      </c>
      <c r="B205" s="469" t="s">
        <v>296</v>
      </c>
      <c r="C205" s="718">
        <v>0.49</v>
      </c>
      <c r="D205" s="469" t="s">
        <v>514</v>
      </c>
      <c r="E205" s="469" t="s">
        <v>666</v>
      </c>
      <c r="F205" s="718">
        <v>0</v>
      </c>
      <c r="G205" s="469" t="s">
        <v>671</v>
      </c>
      <c r="H205" s="469" t="s">
        <v>672</v>
      </c>
      <c r="I205" s="718">
        <v>0.01</v>
      </c>
      <c r="J205" s="748">
        <f t="shared" si="258"/>
        <v>0.5</v>
      </c>
      <c r="K205" s="718">
        <v>0.49</v>
      </c>
      <c r="L205" s="316" t="s">
        <v>514</v>
      </c>
      <c r="M205" s="316" t="s">
        <v>666</v>
      </c>
      <c r="N205" s="718">
        <v>0</v>
      </c>
      <c r="O205" s="316" t="s">
        <v>671</v>
      </c>
      <c r="P205" s="316" t="s">
        <v>672</v>
      </c>
      <c r="Q205" s="718">
        <v>0.01</v>
      </c>
      <c r="R205" s="728">
        <f t="shared" si="259"/>
        <v>0.5</v>
      </c>
      <c r="S205" s="718">
        <v>0.49</v>
      </c>
      <c r="T205" s="316" t="s">
        <v>514</v>
      </c>
      <c r="U205" s="316" t="s">
        <v>666</v>
      </c>
      <c r="V205" s="718">
        <v>0</v>
      </c>
      <c r="W205" s="316" t="s">
        <v>671</v>
      </c>
      <c r="X205" s="316" t="s">
        <v>672</v>
      </c>
      <c r="Y205" s="718">
        <v>0.01</v>
      </c>
      <c r="Z205" s="728">
        <f t="shared" si="290"/>
        <v>0.5</v>
      </c>
      <c r="AA205" s="718">
        <v>0.49</v>
      </c>
      <c r="AB205" s="316" t="s">
        <v>514</v>
      </c>
      <c r="AC205" s="316" t="s">
        <v>666</v>
      </c>
      <c r="AD205" s="718">
        <v>0</v>
      </c>
      <c r="AE205" s="316" t="s">
        <v>671</v>
      </c>
      <c r="AF205" s="316" t="s">
        <v>672</v>
      </c>
      <c r="AG205" s="718">
        <v>0.01</v>
      </c>
      <c r="AH205" s="728">
        <f t="shared" si="291"/>
        <v>0.5</v>
      </c>
      <c r="AI205" s="718">
        <v>0.49</v>
      </c>
      <c r="AJ205" s="316" t="s">
        <v>514</v>
      </c>
      <c r="AK205" s="316" t="s">
        <v>666</v>
      </c>
      <c r="AL205" s="718">
        <v>0</v>
      </c>
      <c r="AM205" s="316" t="s">
        <v>671</v>
      </c>
      <c r="AN205" s="316" t="s">
        <v>672</v>
      </c>
      <c r="AO205" s="718">
        <v>0.01</v>
      </c>
      <c r="AP205" s="728">
        <f t="shared" si="285"/>
        <v>0.5</v>
      </c>
      <c r="AQ205" s="718">
        <v>0.49</v>
      </c>
      <c r="AR205" s="316" t="s">
        <v>514</v>
      </c>
      <c r="AS205" s="316" t="s">
        <v>666</v>
      </c>
      <c r="AT205" s="718">
        <v>0</v>
      </c>
      <c r="AU205" s="316" t="s">
        <v>671</v>
      </c>
      <c r="AV205" s="316" t="s">
        <v>672</v>
      </c>
      <c r="AW205" s="718">
        <v>0.01</v>
      </c>
      <c r="AX205" s="463">
        <f t="shared" si="286"/>
        <v>0.5</v>
      </c>
      <c r="AY205" s="661">
        <v>0.49</v>
      </c>
      <c r="AZ205" s="316" t="s">
        <v>514</v>
      </c>
      <c r="BA205" s="316" t="s">
        <v>666</v>
      </c>
      <c r="BB205" s="463">
        <v>0</v>
      </c>
      <c r="BC205" s="316" t="s">
        <v>671</v>
      </c>
      <c r="BD205" s="316" t="s">
        <v>672</v>
      </c>
      <c r="BE205" s="463">
        <v>0.01</v>
      </c>
      <c r="BF205" s="728">
        <f t="shared" si="287"/>
        <v>0.5</v>
      </c>
      <c r="BG205" s="463"/>
      <c r="BH205" s="463">
        <v>0.49</v>
      </c>
      <c r="BI205" s="316" t="s">
        <v>514</v>
      </c>
      <c r="BJ205" s="316" t="s">
        <v>666</v>
      </c>
      <c r="BK205" s="463">
        <v>0</v>
      </c>
      <c r="BL205" s="316" t="s">
        <v>671</v>
      </c>
      <c r="BM205" s="316" t="s">
        <v>672</v>
      </c>
      <c r="BN205" s="463">
        <v>0.01</v>
      </c>
      <c r="BO205" s="728">
        <f t="shared" si="288"/>
        <v>0.5</v>
      </c>
      <c r="BP205" s="463">
        <v>0.49</v>
      </c>
      <c r="BQ205" s="316" t="s">
        <v>514</v>
      </c>
      <c r="BR205" s="316" t="s">
        <v>666</v>
      </c>
      <c r="BS205" s="463">
        <v>0</v>
      </c>
      <c r="BT205" s="316" t="s">
        <v>671</v>
      </c>
      <c r="BU205" s="316" t="s">
        <v>672</v>
      </c>
      <c r="BV205" s="463">
        <v>0.01</v>
      </c>
      <c r="BW205" s="463">
        <f t="shared" si="289"/>
        <v>0.5</v>
      </c>
      <c r="BX205" s="444" t="s">
        <v>874</v>
      </c>
      <c r="BY205" s="444"/>
      <c r="BZ205" s="444"/>
      <c r="CA205" s="436" t="s">
        <v>874</v>
      </c>
      <c r="CB205" s="723">
        <v>0.66</v>
      </c>
      <c r="CC205" s="668" t="s">
        <v>950</v>
      </c>
      <c r="CD205" s="316" t="s">
        <v>514</v>
      </c>
      <c r="CE205" s="316" t="s">
        <v>666</v>
      </c>
      <c r="CF205" s="718">
        <v>0</v>
      </c>
      <c r="CG205" s="316" t="s">
        <v>671</v>
      </c>
      <c r="CH205" s="316" t="s">
        <v>672</v>
      </c>
      <c r="CI205" s="718">
        <v>0.01</v>
      </c>
    </row>
    <row r="206" spans="1:90" ht="15.75" customHeight="1" x14ac:dyDescent="0.2">
      <c r="A206" s="747" t="s">
        <v>299</v>
      </c>
      <c r="B206" s="469" t="s">
        <v>298</v>
      </c>
      <c r="C206" s="718">
        <v>0.4</v>
      </c>
      <c r="D206" s="469" t="s">
        <v>658</v>
      </c>
      <c r="E206" s="469" t="s">
        <v>659</v>
      </c>
      <c r="F206" s="718">
        <v>0.1</v>
      </c>
      <c r="G206" s="469" t="s">
        <v>514</v>
      </c>
      <c r="H206" s="469" t="s">
        <v>552</v>
      </c>
      <c r="I206" s="718">
        <v>0</v>
      </c>
      <c r="J206" s="748">
        <f t="shared" si="258"/>
        <v>0.5</v>
      </c>
      <c r="K206" s="718">
        <v>0.4</v>
      </c>
      <c r="L206" s="316" t="s">
        <v>658</v>
      </c>
      <c r="M206" s="316" t="s">
        <v>659</v>
      </c>
      <c r="N206" s="718">
        <v>0.1</v>
      </c>
      <c r="O206" s="316" t="s">
        <v>514</v>
      </c>
      <c r="P206" s="316" t="s">
        <v>552</v>
      </c>
      <c r="Q206" s="718">
        <v>0</v>
      </c>
      <c r="R206" s="728">
        <f t="shared" si="259"/>
        <v>0.5</v>
      </c>
      <c r="S206" s="718">
        <v>0.4</v>
      </c>
      <c r="T206" s="316" t="s">
        <v>658</v>
      </c>
      <c r="U206" s="316" t="s">
        <v>659</v>
      </c>
      <c r="V206" s="718">
        <v>0.1</v>
      </c>
      <c r="W206" s="316" t="s">
        <v>514</v>
      </c>
      <c r="X206" s="316" t="s">
        <v>552</v>
      </c>
      <c r="Y206" s="718">
        <v>0</v>
      </c>
      <c r="Z206" s="728">
        <f t="shared" si="290"/>
        <v>0.5</v>
      </c>
      <c r="AA206" s="718">
        <v>0.4</v>
      </c>
      <c r="AB206" s="316" t="s">
        <v>658</v>
      </c>
      <c r="AC206" s="316" t="s">
        <v>659</v>
      </c>
      <c r="AD206" s="718">
        <v>0.1</v>
      </c>
      <c r="AE206" s="316" t="s">
        <v>514</v>
      </c>
      <c r="AF206" s="316" t="s">
        <v>552</v>
      </c>
      <c r="AG206" s="718">
        <v>0</v>
      </c>
      <c r="AH206" s="728">
        <f t="shared" si="291"/>
        <v>0.5</v>
      </c>
      <c r="AI206" s="718">
        <v>0.4</v>
      </c>
      <c r="AJ206" s="316" t="s">
        <v>658</v>
      </c>
      <c r="AK206" s="316" t="s">
        <v>659</v>
      </c>
      <c r="AL206" s="718">
        <v>0.1</v>
      </c>
      <c r="AM206" s="316" t="s">
        <v>514</v>
      </c>
      <c r="AN206" s="316" t="s">
        <v>552</v>
      </c>
      <c r="AO206" s="718">
        <v>0</v>
      </c>
      <c r="AP206" s="728">
        <f t="shared" si="285"/>
        <v>0.5</v>
      </c>
      <c r="AQ206" s="718">
        <v>0.4</v>
      </c>
      <c r="AR206" s="316" t="s">
        <v>658</v>
      </c>
      <c r="AS206" s="316" t="s">
        <v>659</v>
      </c>
      <c r="AT206" s="718">
        <v>0.1</v>
      </c>
      <c r="AU206" s="316" t="s">
        <v>514</v>
      </c>
      <c r="AV206" s="316" t="s">
        <v>552</v>
      </c>
      <c r="AW206" s="718">
        <v>0</v>
      </c>
      <c r="AX206" s="463">
        <f t="shared" si="286"/>
        <v>0.5</v>
      </c>
      <c r="AY206" s="661">
        <v>0.4</v>
      </c>
      <c r="AZ206" s="316" t="s">
        <v>658</v>
      </c>
      <c r="BA206" s="316" t="s">
        <v>659</v>
      </c>
      <c r="BB206" s="463">
        <v>0.1</v>
      </c>
      <c r="BC206" s="316" t="s">
        <v>514</v>
      </c>
      <c r="BD206" s="316" t="s">
        <v>552</v>
      </c>
      <c r="BE206" s="463">
        <v>0</v>
      </c>
      <c r="BF206" s="728">
        <f t="shared" si="287"/>
        <v>0.5</v>
      </c>
      <c r="BG206" s="463"/>
      <c r="BH206" s="463">
        <v>0.4</v>
      </c>
      <c r="BI206" s="316" t="s">
        <v>658</v>
      </c>
      <c r="BJ206" s="316" t="s">
        <v>659</v>
      </c>
      <c r="BK206" s="463">
        <v>0.1</v>
      </c>
      <c r="BL206" s="316" t="s">
        <v>514</v>
      </c>
      <c r="BM206" s="316" t="s">
        <v>552</v>
      </c>
      <c r="BN206" s="463">
        <v>0</v>
      </c>
      <c r="BO206" s="728">
        <f t="shared" si="288"/>
        <v>0.5</v>
      </c>
      <c r="BP206" s="463">
        <v>0.4</v>
      </c>
      <c r="BQ206" s="316" t="s">
        <v>658</v>
      </c>
      <c r="BR206" s="316" t="s">
        <v>659</v>
      </c>
      <c r="BS206" s="463">
        <v>0.1</v>
      </c>
      <c r="BT206" s="316" t="s">
        <v>514</v>
      </c>
      <c r="BU206" s="316" t="s">
        <v>552</v>
      </c>
      <c r="BV206" s="463">
        <v>0</v>
      </c>
      <c r="BW206" s="463">
        <f t="shared" si="289"/>
        <v>0.5</v>
      </c>
      <c r="BX206" s="444"/>
      <c r="BY206" s="444"/>
      <c r="BZ206" s="444"/>
      <c r="CA206" s="434"/>
      <c r="CB206" s="723">
        <v>0.7</v>
      </c>
      <c r="CC206" s="668" t="s">
        <v>950</v>
      </c>
      <c r="CD206" s="316" t="s">
        <v>658</v>
      </c>
      <c r="CE206" s="316" t="s">
        <v>659</v>
      </c>
      <c r="CF206" s="718">
        <v>0.6</v>
      </c>
      <c r="CG206" s="316" t="s">
        <v>514</v>
      </c>
      <c r="CH206" s="316" t="s">
        <v>552</v>
      </c>
      <c r="CI206" s="718">
        <v>0</v>
      </c>
    </row>
    <row r="207" spans="1:90" ht="15.75" customHeight="1" x14ac:dyDescent="0.2">
      <c r="A207" s="747" t="s">
        <v>301</v>
      </c>
      <c r="B207" s="469" t="s">
        <v>300</v>
      </c>
      <c r="C207" s="718">
        <v>0.4</v>
      </c>
      <c r="D207" s="469" t="s">
        <v>655</v>
      </c>
      <c r="E207" s="469" t="s">
        <v>656</v>
      </c>
      <c r="F207" s="718">
        <v>0.1</v>
      </c>
      <c r="G207" s="469" t="s">
        <v>514</v>
      </c>
      <c r="H207" s="469" t="s">
        <v>552</v>
      </c>
      <c r="I207" s="718">
        <v>0</v>
      </c>
      <c r="J207" s="748">
        <f t="shared" si="258"/>
        <v>0.5</v>
      </c>
      <c r="K207" s="718">
        <v>0.4</v>
      </c>
      <c r="L207" s="316" t="s">
        <v>655</v>
      </c>
      <c r="M207" s="316" t="s">
        <v>656</v>
      </c>
      <c r="N207" s="718">
        <v>0.1</v>
      </c>
      <c r="O207" s="316" t="s">
        <v>514</v>
      </c>
      <c r="P207" s="316" t="s">
        <v>552</v>
      </c>
      <c r="Q207" s="718">
        <v>0</v>
      </c>
      <c r="R207" s="728">
        <f t="shared" si="259"/>
        <v>0.5</v>
      </c>
      <c r="S207" s="718">
        <v>0.4</v>
      </c>
      <c r="T207" s="316" t="s">
        <v>655</v>
      </c>
      <c r="U207" s="316" t="s">
        <v>656</v>
      </c>
      <c r="V207" s="718">
        <v>0.1</v>
      </c>
      <c r="W207" s="316" t="s">
        <v>514</v>
      </c>
      <c r="X207" s="316" t="s">
        <v>552</v>
      </c>
      <c r="Y207" s="718">
        <v>0</v>
      </c>
      <c r="Z207" s="728">
        <f t="shared" ref="Z207:Z213" si="292">+S207+V207+Y207</f>
        <v>0.5</v>
      </c>
      <c r="AA207" s="718">
        <v>0.4</v>
      </c>
      <c r="AB207" s="316" t="s">
        <v>655</v>
      </c>
      <c r="AC207" s="316" t="s">
        <v>656</v>
      </c>
      <c r="AD207" s="718">
        <v>0.1</v>
      </c>
      <c r="AE207" s="316" t="s">
        <v>514</v>
      </c>
      <c r="AF207" s="316" t="s">
        <v>552</v>
      </c>
      <c r="AG207" s="718">
        <v>0</v>
      </c>
      <c r="AH207" s="728">
        <f t="shared" si="291"/>
        <v>0.5</v>
      </c>
      <c r="AI207" s="718">
        <v>0.4</v>
      </c>
      <c r="AJ207" s="316" t="s">
        <v>655</v>
      </c>
      <c r="AK207" s="316" t="s">
        <v>656</v>
      </c>
      <c r="AL207" s="718">
        <v>0.1</v>
      </c>
      <c r="AM207" s="316" t="s">
        <v>514</v>
      </c>
      <c r="AN207" s="316" t="s">
        <v>552</v>
      </c>
      <c r="AO207" s="718">
        <v>0</v>
      </c>
      <c r="AP207" s="728">
        <f t="shared" si="285"/>
        <v>0.5</v>
      </c>
      <c r="AQ207" s="718">
        <v>0.4</v>
      </c>
      <c r="AR207" s="316" t="s">
        <v>655</v>
      </c>
      <c r="AS207" s="316" t="s">
        <v>656</v>
      </c>
      <c r="AT207" s="718">
        <v>0.1</v>
      </c>
      <c r="AU207" s="316" t="s">
        <v>514</v>
      </c>
      <c r="AV207" s="316" t="s">
        <v>552</v>
      </c>
      <c r="AW207" s="718">
        <v>0</v>
      </c>
      <c r="AX207" s="463">
        <f t="shared" si="286"/>
        <v>0.5</v>
      </c>
      <c r="AY207" s="661">
        <v>0.3</v>
      </c>
      <c r="AZ207" s="316" t="s">
        <v>655</v>
      </c>
      <c r="BA207" s="316" t="s">
        <v>656</v>
      </c>
      <c r="BB207" s="463">
        <v>0.7</v>
      </c>
      <c r="BC207" s="316" t="s">
        <v>514</v>
      </c>
      <c r="BD207" s="316" t="s">
        <v>552</v>
      </c>
      <c r="BE207" s="463">
        <v>0</v>
      </c>
      <c r="BF207" s="728">
        <f t="shared" si="287"/>
        <v>1</v>
      </c>
      <c r="BG207" s="463"/>
      <c r="BH207" s="463">
        <v>0.4</v>
      </c>
      <c r="BI207" s="316" t="s">
        <v>655</v>
      </c>
      <c r="BJ207" s="316" t="s">
        <v>656</v>
      </c>
      <c r="BK207" s="463">
        <v>0.1</v>
      </c>
      <c r="BL207" s="316" t="s">
        <v>514</v>
      </c>
      <c r="BM207" s="316" t="s">
        <v>552</v>
      </c>
      <c r="BN207" s="463">
        <v>0</v>
      </c>
      <c r="BO207" s="728">
        <f t="shared" si="288"/>
        <v>0.5</v>
      </c>
      <c r="BP207" s="463">
        <v>0.4</v>
      </c>
      <c r="BQ207" s="316" t="s">
        <v>655</v>
      </c>
      <c r="BR207" s="316" t="s">
        <v>656</v>
      </c>
      <c r="BS207" s="463">
        <v>0.1</v>
      </c>
      <c r="BT207" s="316" t="s">
        <v>514</v>
      </c>
      <c r="BU207" s="316" t="s">
        <v>552</v>
      </c>
      <c r="BV207" s="463">
        <v>0</v>
      </c>
      <c r="BW207" s="463">
        <f t="shared" si="289"/>
        <v>0.5</v>
      </c>
      <c r="BX207" s="489" t="s">
        <v>874</v>
      </c>
      <c r="BY207" s="489"/>
      <c r="BZ207" s="489"/>
      <c r="CA207" s="434"/>
      <c r="CB207" s="723">
        <v>0.73099999999999998</v>
      </c>
      <c r="CC207" s="668" t="s">
        <v>950</v>
      </c>
      <c r="CD207" s="316" t="s">
        <v>655</v>
      </c>
      <c r="CE207" s="316" t="s">
        <v>656</v>
      </c>
      <c r="CF207" s="718">
        <v>0.6</v>
      </c>
      <c r="CG207" s="316" t="s">
        <v>514</v>
      </c>
      <c r="CH207" s="316" t="s">
        <v>552</v>
      </c>
      <c r="CI207" s="718">
        <v>0</v>
      </c>
    </row>
    <row r="208" spans="1:90" ht="15.75" customHeight="1" x14ac:dyDescent="0.2">
      <c r="A208" s="747" t="s">
        <v>303</v>
      </c>
      <c r="B208" s="469" t="s">
        <v>302</v>
      </c>
      <c r="C208" s="718">
        <v>0.4</v>
      </c>
      <c r="D208" s="469" t="s">
        <v>639</v>
      </c>
      <c r="E208" s="469" t="s">
        <v>640</v>
      </c>
      <c r="F208" s="718">
        <v>0.09</v>
      </c>
      <c r="G208" s="469" t="s">
        <v>637</v>
      </c>
      <c r="H208" s="469" t="s">
        <v>638</v>
      </c>
      <c r="I208" s="718">
        <v>0.01</v>
      </c>
      <c r="J208" s="748">
        <f t="shared" si="258"/>
        <v>0.5</v>
      </c>
      <c r="K208" s="718">
        <v>0.4</v>
      </c>
      <c r="L208" s="316" t="s">
        <v>639</v>
      </c>
      <c r="M208" s="316" t="s">
        <v>640</v>
      </c>
      <c r="N208" s="718">
        <v>0.09</v>
      </c>
      <c r="O208" s="316" t="s">
        <v>637</v>
      </c>
      <c r="P208" s="316" t="s">
        <v>638</v>
      </c>
      <c r="Q208" s="718">
        <v>0.01</v>
      </c>
      <c r="R208" s="728">
        <f t="shared" si="259"/>
        <v>0.5</v>
      </c>
      <c r="S208" s="718">
        <v>0.4</v>
      </c>
      <c r="T208" s="316" t="s">
        <v>639</v>
      </c>
      <c r="U208" s="316" t="s">
        <v>640</v>
      </c>
      <c r="V208" s="718">
        <v>0.09</v>
      </c>
      <c r="W208" s="316" t="s">
        <v>637</v>
      </c>
      <c r="X208" s="316" t="s">
        <v>638</v>
      </c>
      <c r="Y208" s="718">
        <v>0.01</v>
      </c>
      <c r="Z208" s="728">
        <f t="shared" si="292"/>
        <v>0.5</v>
      </c>
      <c r="AA208" s="718">
        <v>0.4</v>
      </c>
      <c r="AB208" s="316" t="s">
        <v>639</v>
      </c>
      <c r="AC208" s="316" t="s">
        <v>640</v>
      </c>
      <c r="AD208" s="718">
        <v>0.09</v>
      </c>
      <c r="AE208" s="316" t="s">
        <v>637</v>
      </c>
      <c r="AF208" s="316" t="s">
        <v>638</v>
      </c>
      <c r="AG208" s="718">
        <v>0.01</v>
      </c>
      <c r="AH208" s="728">
        <f t="shared" si="291"/>
        <v>0.5</v>
      </c>
      <c r="AI208" s="718">
        <v>0.4</v>
      </c>
      <c r="AJ208" s="316" t="s">
        <v>639</v>
      </c>
      <c r="AK208" s="316" t="s">
        <v>640</v>
      </c>
      <c r="AL208" s="718">
        <v>0.09</v>
      </c>
      <c r="AM208" s="316" t="s">
        <v>637</v>
      </c>
      <c r="AN208" s="316" t="s">
        <v>638</v>
      </c>
      <c r="AO208" s="718">
        <v>0.01</v>
      </c>
      <c r="AP208" s="728">
        <f t="shared" si="285"/>
        <v>0.5</v>
      </c>
      <c r="AQ208" s="718">
        <v>0.4</v>
      </c>
      <c r="AR208" s="316" t="s">
        <v>639</v>
      </c>
      <c r="AS208" s="316" t="s">
        <v>640</v>
      </c>
      <c r="AT208" s="718">
        <v>0.09</v>
      </c>
      <c r="AU208" s="316" t="s">
        <v>637</v>
      </c>
      <c r="AV208" s="316" t="s">
        <v>638</v>
      </c>
      <c r="AW208" s="718">
        <v>0.01</v>
      </c>
      <c r="AX208" s="463">
        <f t="shared" si="286"/>
        <v>0.5</v>
      </c>
      <c r="AY208" s="661">
        <v>0.4</v>
      </c>
      <c r="AZ208" s="316" t="s">
        <v>639</v>
      </c>
      <c r="BA208" s="316" t="s">
        <v>640</v>
      </c>
      <c r="BB208" s="463">
        <v>0.09</v>
      </c>
      <c r="BC208" s="316" t="s">
        <v>637</v>
      </c>
      <c r="BD208" s="316" t="s">
        <v>638</v>
      </c>
      <c r="BE208" s="463">
        <v>0.01</v>
      </c>
      <c r="BF208" s="728">
        <f t="shared" si="287"/>
        <v>0.5</v>
      </c>
      <c r="BG208" s="463"/>
      <c r="BH208" s="463">
        <v>0.4</v>
      </c>
      <c r="BI208" s="316" t="s">
        <v>639</v>
      </c>
      <c r="BJ208" s="316" t="s">
        <v>640</v>
      </c>
      <c r="BK208" s="463">
        <v>0.09</v>
      </c>
      <c r="BL208" s="316" t="s">
        <v>637</v>
      </c>
      <c r="BM208" s="316" t="s">
        <v>638</v>
      </c>
      <c r="BN208" s="463">
        <v>0.01</v>
      </c>
      <c r="BO208" s="728">
        <f t="shared" si="288"/>
        <v>0.5</v>
      </c>
      <c r="BP208" s="463">
        <v>0.4</v>
      </c>
      <c r="BQ208" s="316" t="s">
        <v>639</v>
      </c>
      <c r="BR208" s="316" t="s">
        <v>640</v>
      </c>
      <c r="BS208" s="463">
        <v>0.09</v>
      </c>
      <c r="BT208" s="316" t="s">
        <v>637</v>
      </c>
      <c r="BU208" s="316" t="s">
        <v>638</v>
      </c>
      <c r="BV208" s="463">
        <v>0.01</v>
      </c>
      <c r="BW208" s="463">
        <f t="shared" si="289"/>
        <v>0.5</v>
      </c>
      <c r="BX208" s="444" t="s">
        <v>874</v>
      </c>
      <c r="BY208" s="444" t="s">
        <v>874</v>
      </c>
      <c r="BZ208" s="444"/>
      <c r="CA208" s="434"/>
      <c r="CB208" s="723">
        <v>0.68100000000000005</v>
      </c>
      <c r="CC208" s="668" t="s">
        <v>950</v>
      </c>
      <c r="CD208" s="316" t="s">
        <v>639</v>
      </c>
      <c r="CE208" s="316" t="s">
        <v>640</v>
      </c>
      <c r="CF208" s="718">
        <v>0.59</v>
      </c>
      <c r="CG208" s="316" t="s">
        <v>637</v>
      </c>
      <c r="CH208" s="316" t="s">
        <v>638</v>
      </c>
      <c r="CI208" s="718">
        <v>0.01</v>
      </c>
    </row>
    <row r="209" spans="1:87" ht="15.75" customHeight="1" x14ac:dyDescent="0.2">
      <c r="A209" s="747" t="s">
        <v>305</v>
      </c>
      <c r="B209" s="469" t="s">
        <v>304</v>
      </c>
      <c r="C209" s="718">
        <v>0.4</v>
      </c>
      <c r="D209" s="469" t="s">
        <v>589</v>
      </c>
      <c r="E209" s="469" t="s">
        <v>590</v>
      </c>
      <c r="F209" s="718">
        <v>0.09</v>
      </c>
      <c r="G209" s="469" t="s">
        <v>2290</v>
      </c>
      <c r="H209" s="469" t="s">
        <v>2291</v>
      </c>
      <c r="I209" s="718">
        <v>0.01</v>
      </c>
      <c r="J209" s="748">
        <f t="shared" si="258"/>
        <v>0.5</v>
      </c>
      <c r="K209" s="718">
        <v>0.4</v>
      </c>
      <c r="L209" s="316" t="s">
        <v>589</v>
      </c>
      <c r="M209" s="316" t="s">
        <v>590</v>
      </c>
      <c r="N209" s="718">
        <v>0.09</v>
      </c>
      <c r="O209" s="316" t="s">
        <v>2290</v>
      </c>
      <c r="P209" s="316" t="s">
        <v>2291</v>
      </c>
      <c r="Q209" s="718">
        <v>0.01</v>
      </c>
      <c r="R209" s="728">
        <f t="shared" si="259"/>
        <v>0.5</v>
      </c>
      <c r="S209" s="718">
        <v>0.4</v>
      </c>
      <c r="T209" s="316" t="s">
        <v>589</v>
      </c>
      <c r="U209" s="316" t="s">
        <v>590</v>
      </c>
      <c r="V209" s="718">
        <v>0.09</v>
      </c>
      <c r="W209" s="316" t="s">
        <v>2290</v>
      </c>
      <c r="X209" s="316" t="s">
        <v>2291</v>
      </c>
      <c r="Y209" s="718">
        <v>0.01</v>
      </c>
      <c r="Z209" s="728">
        <f t="shared" si="292"/>
        <v>0.5</v>
      </c>
      <c r="AA209" s="718">
        <v>0.4</v>
      </c>
      <c r="AB209" s="316" t="s">
        <v>589</v>
      </c>
      <c r="AC209" s="316" t="s">
        <v>590</v>
      </c>
      <c r="AD209" s="718">
        <v>0.09</v>
      </c>
      <c r="AE209" s="316" t="s">
        <v>2290</v>
      </c>
      <c r="AF209" s="316" t="s">
        <v>2291</v>
      </c>
      <c r="AG209" s="718">
        <v>0.01</v>
      </c>
      <c r="AH209" s="728">
        <f t="shared" si="291"/>
        <v>0.5</v>
      </c>
      <c r="AI209" s="718">
        <v>0.4</v>
      </c>
      <c r="AJ209" s="316" t="s">
        <v>589</v>
      </c>
      <c r="AK209" s="316" t="s">
        <v>590</v>
      </c>
      <c r="AL209" s="718">
        <v>0.09</v>
      </c>
      <c r="AM209" s="316" t="s">
        <v>586</v>
      </c>
      <c r="AN209" s="316" t="s">
        <v>1341</v>
      </c>
      <c r="AO209" s="718">
        <v>0.01</v>
      </c>
      <c r="AP209" s="728">
        <f t="shared" ref="AP209:AP218" si="293">+AI209+AL209+AO209</f>
        <v>0.5</v>
      </c>
      <c r="AQ209" s="718">
        <v>0.4</v>
      </c>
      <c r="AR209" s="316" t="s">
        <v>589</v>
      </c>
      <c r="AS209" s="316" t="s">
        <v>590</v>
      </c>
      <c r="AT209" s="718">
        <v>0.09</v>
      </c>
      <c r="AU209" s="316" t="s">
        <v>586</v>
      </c>
      <c r="AV209" s="316" t="s">
        <v>587</v>
      </c>
      <c r="AW209" s="718">
        <v>0.01</v>
      </c>
      <c r="AX209" s="463">
        <f t="shared" ref="AX209:AX218" si="294">+AQ209+AT209+AW209</f>
        <v>0.5</v>
      </c>
      <c r="AY209" s="661">
        <v>0.4</v>
      </c>
      <c r="AZ209" s="316" t="s">
        <v>589</v>
      </c>
      <c r="BA209" s="316" t="s">
        <v>590</v>
      </c>
      <c r="BB209" s="463">
        <v>0.09</v>
      </c>
      <c r="BC209" s="316" t="s">
        <v>586</v>
      </c>
      <c r="BD209" s="316" t="s">
        <v>587</v>
      </c>
      <c r="BE209" s="463">
        <v>0.01</v>
      </c>
      <c r="BF209" s="728">
        <f t="shared" ref="BF209:BF218" si="295">+AY209+BB209+BE209</f>
        <v>0.5</v>
      </c>
      <c r="BG209" s="463"/>
      <c r="BH209" s="463">
        <v>0.4</v>
      </c>
      <c r="BI209" s="316" t="s">
        <v>589</v>
      </c>
      <c r="BJ209" s="316" t="s">
        <v>590</v>
      </c>
      <c r="BK209" s="463">
        <v>0.09</v>
      </c>
      <c r="BL209" s="316" t="s">
        <v>586</v>
      </c>
      <c r="BM209" s="316" t="s">
        <v>587</v>
      </c>
      <c r="BN209" s="463">
        <v>0.01</v>
      </c>
      <c r="BO209" s="728">
        <f t="shared" ref="BO209:BO218" si="296">+BH209+BK209+BN209</f>
        <v>0.5</v>
      </c>
      <c r="BP209" s="463">
        <v>0.4</v>
      </c>
      <c r="BQ209" s="316" t="s">
        <v>589</v>
      </c>
      <c r="BR209" s="316" t="s">
        <v>590</v>
      </c>
      <c r="BS209" s="463">
        <v>0.09</v>
      </c>
      <c r="BT209" s="316" t="s">
        <v>586</v>
      </c>
      <c r="BU209" s="316" t="s">
        <v>587</v>
      </c>
      <c r="BV209" s="463">
        <v>0.01</v>
      </c>
      <c r="BW209" s="463">
        <f t="shared" ref="BW209:BW218" si="297">+BP209+BS209+BV209</f>
        <v>0.5</v>
      </c>
      <c r="BX209" s="444"/>
      <c r="BY209" s="444"/>
      <c r="BZ209" s="444"/>
      <c r="CA209" s="434"/>
      <c r="CB209" s="723">
        <v>0.73099999999999998</v>
      </c>
      <c r="CC209" s="668" t="s">
        <v>950</v>
      </c>
      <c r="CD209" s="316" t="s">
        <v>589</v>
      </c>
      <c r="CE209" s="316" t="s">
        <v>590</v>
      </c>
      <c r="CF209" s="718">
        <v>0.59</v>
      </c>
      <c r="CG209" s="316" t="s">
        <v>586</v>
      </c>
      <c r="CH209" s="316" t="s">
        <v>587</v>
      </c>
      <c r="CI209" s="718">
        <v>0.01</v>
      </c>
    </row>
    <row r="210" spans="1:87" ht="15.75" customHeight="1" x14ac:dyDescent="0.2">
      <c r="A210" s="747" t="s">
        <v>307</v>
      </c>
      <c r="B210" s="469" t="s">
        <v>620</v>
      </c>
      <c r="C210" s="718">
        <v>0.49</v>
      </c>
      <c r="D210" s="469" t="s">
        <v>514</v>
      </c>
      <c r="E210" s="469" t="s">
        <v>515</v>
      </c>
      <c r="F210" s="718">
        <v>0</v>
      </c>
      <c r="G210" s="469" t="s">
        <v>618</v>
      </c>
      <c r="H210" s="469" t="s">
        <v>619</v>
      </c>
      <c r="I210" s="718">
        <v>0.01</v>
      </c>
      <c r="J210" s="748">
        <f t="shared" si="258"/>
        <v>0.5</v>
      </c>
      <c r="K210" s="718">
        <v>0.49</v>
      </c>
      <c r="L210" s="316" t="s">
        <v>514</v>
      </c>
      <c r="M210" s="316" t="s">
        <v>515</v>
      </c>
      <c r="N210" s="718">
        <v>0</v>
      </c>
      <c r="O210" s="316" t="s">
        <v>618</v>
      </c>
      <c r="P210" s="316" t="s">
        <v>619</v>
      </c>
      <c r="Q210" s="718">
        <v>0.01</v>
      </c>
      <c r="R210" s="728">
        <f t="shared" si="259"/>
        <v>0.5</v>
      </c>
      <c r="S210" s="718">
        <v>0.49</v>
      </c>
      <c r="T210" s="316" t="s">
        <v>514</v>
      </c>
      <c r="U210" s="316" t="s">
        <v>515</v>
      </c>
      <c r="V210" s="718">
        <v>0</v>
      </c>
      <c r="W210" s="316" t="s">
        <v>618</v>
      </c>
      <c r="X210" s="316" t="s">
        <v>619</v>
      </c>
      <c r="Y210" s="718">
        <v>0.01</v>
      </c>
      <c r="Z210" s="728">
        <f t="shared" si="292"/>
        <v>0.5</v>
      </c>
      <c r="AA210" s="718">
        <v>0.49</v>
      </c>
      <c r="AB210" s="316" t="s">
        <v>514</v>
      </c>
      <c r="AC210" s="316" t="s">
        <v>515</v>
      </c>
      <c r="AD210" s="718">
        <v>0</v>
      </c>
      <c r="AE210" s="316" t="s">
        <v>618</v>
      </c>
      <c r="AF210" s="316" t="s">
        <v>619</v>
      </c>
      <c r="AG210" s="718">
        <v>0.01</v>
      </c>
      <c r="AH210" s="728">
        <f t="shared" si="291"/>
        <v>0.5</v>
      </c>
      <c r="AI210" s="718">
        <v>0.49</v>
      </c>
      <c r="AJ210" s="316" t="s">
        <v>514</v>
      </c>
      <c r="AK210" s="316" t="s">
        <v>515</v>
      </c>
      <c r="AL210" s="718">
        <v>0</v>
      </c>
      <c r="AM210" s="316" t="s">
        <v>618</v>
      </c>
      <c r="AN210" s="316" t="s">
        <v>619</v>
      </c>
      <c r="AO210" s="718">
        <v>0.01</v>
      </c>
      <c r="AP210" s="728">
        <f t="shared" si="293"/>
        <v>0.5</v>
      </c>
      <c r="AQ210" s="718">
        <v>0.49</v>
      </c>
      <c r="AR210" s="316" t="s">
        <v>514</v>
      </c>
      <c r="AS210" s="316" t="s">
        <v>515</v>
      </c>
      <c r="AT210" s="718">
        <v>0</v>
      </c>
      <c r="AU210" s="316" t="s">
        <v>618</v>
      </c>
      <c r="AV210" s="316" t="s">
        <v>619</v>
      </c>
      <c r="AW210" s="718">
        <v>0.01</v>
      </c>
      <c r="AX210" s="463">
        <f t="shared" si="294"/>
        <v>0.5</v>
      </c>
      <c r="AY210" s="661">
        <v>0.49</v>
      </c>
      <c r="AZ210" s="316" t="s">
        <v>514</v>
      </c>
      <c r="BA210" s="316" t="s">
        <v>515</v>
      </c>
      <c r="BB210" s="463">
        <v>0</v>
      </c>
      <c r="BC210" s="316" t="s">
        <v>618</v>
      </c>
      <c r="BD210" s="316" t="s">
        <v>619</v>
      </c>
      <c r="BE210" s="463">
        <v>0.01</v>
      </c>
      <c r="BF210" s="728">
        <f t="shared" si="295"/>
        <v>0.5</v>
      </c>
      <c r="BG210" s="463"/>
      <c r="BH210" s="463">
        <v>0.49</v>
      </c>
      <c r="BI210" s="316" t="s">
        <v>514</v>
      </c>
      <c r="BJ210" s="316" t="s">
        <v>515</v>
      </c>
      <c r="BK210" s="463">
        <v>0</v>
      </c>
      <c r="BL210" s="316" t="s">
        <v>618</v>
      </c>
      <c r="BM210" s="316" t="s">
        <v>619</v>
      </c>
      <c r="BN210" s="463">
        <v>0.01</v>
      </c>
      <c r="BO210" s="728">
        <f t="shared" si="296"/>
        <v>0.5</v>
      </c>
      <c r="BP210" s="463">
        <v>0.49</v>
      </c>
      <c r="BQ210" s="316" t="s">
        <v>514</v>
      </c>
      <c r="BR210" s="316" t="s">
        <v>515</v>
      </c>
      <c r="BS210" s="463">
        <v>0</v>
      </c>
      <c r="BT210" s="316" t="s">
        <v>618</v>
      </c>
      <c r="BU210" s="316" t="s">
        <v>619</v>
      </c>
      <c r="BV210" s="463">
        <v>0.01</v>
      </c>
      <c r="BW210" s="463">
        <f t="shared" si="297"/>
        <v>0.5</v>
      </c>
      <c r="BX210" s="444"/>
      <c r="BY210" s="444"/>
      <c r="BZ210" s="444"/>
      <c r="CA210" s="436" t="s">
        <v>874</v>
      </c>
      <c r="CB210" s="723">
        <v>0.67200000000000004</v>
      </c>
      <c r="CC210" s="668" t="s">
        <v>950</v>
      </c>
      <c r="CD210" s="316" t="s">
        <v>514</v>
      </c>
      <c r="CE210" s="316" t="s">
        <v>515</v>
      </c>
      <c r="CF210" s="718">
        <v>0</v>
      </c>
      <c r="CG210" s="316" t="s">
        <v>618</v>
      </c>
      <c r="CH210" s="316" t="s">
        <v>619</v>
      </c>
      <c r="CI210" s="718">
        <v>0.01</v>
      </c>
    </row>
    <row r="211" spans="1:87" ht="15.75" customHeight="1" x14ac:dyDescent="0.2">
      <c r="A211" s="747" t="s">
        <v>309</v>
      </c>
      <c r="B211" s="469" t="s">
        <v>308</v>
      </c>
      <c r="C211" s="718">
        <v>0.99</v>
      </c>
      <c r="D211" s="469" t="s">
        <v>514</v>
      </c>
      <c r="E211" s="469" t="s">
        <v>666</v>
      </c>
      <c r="F211" s="718">
        <v>0</v>
      </c>
      <c r="G211" s="469" t="s">
        <v>1328</v>
      </c>
      <c r="H211" s="469" t="s">
        <v>1243</v>
      </c>
      <c r="I211" s="718">
        <v>0.01</v>
      </c>
      <c r="J211" s="748">
        <f t="shared" si="258"/>
        <v>1</v>
      </c>
      <c r="K211" s="718">
        <v>0.99</v>
      </c>
      <c r="L211" s="316" t="s">
        <v>514</v>
      </c>
      <c r="M211" s="316" t="s">
        <v>666</v>
      </c>
      <c r="N211" s="718">
        <v>0</v>
      </c>
      <c r="O211" s="316" t="s">
        <v>1328</v>
      </c>
      <c r="P211" s="316" t="s">
        <v>1243</v>
      </c>
      <c r="Q211" s="718">
        <v>0.01</v>
      </c>
      <c r="R211" s="728">
        <f t="shared" si="259"/>
        <v>1</v>
      </c>
      <c r="S211" s="718">
        <v>0.99</v>
      </c>
      <c r="T211" s="316" t="s">
        <v>514</v>
      </c>
      <c r="U211" s="316" t="s">
        <v>666</v>
      </c>
      <c r="V211" s="718">
        <v>0</v>
      </c>
      <c r="W211" s="316" t="s">
        <v>1328</v>
      </c>
      <c r="X211" s="316" t="s">
        <v>1243</v>
      </c>
      <c r="Y211" s="718">
        <v>0.01</v>
      </c>
      <c r="Z211" s="728">
        <f t="shared" si="292"/>
        <v>1</v>
      </c>
      <c r="AA211" s="718">
        <v>0.99</v>
      </c>
      <c r="AB211" s="316" t="s">
        <v>514</v>
      </c>
      <c r="AC211" s="316" t="s">
        <v>666</v>
      </c>
      <c r="AD211" s="718">
        <v>0</v>
      </c>
      <c r="AE211" s="316" t="s">
        <v>1328</v>
      </c>
      <c r="AF211" s="316" t="s">
        <v>1243</v>
      </c>
      <c r="AG211" s="718">
        <v>0.01</v>
      </c>
      <c r="AH211" s="728">
        <f t="shared" ref="AH211:AH219" si="298">+AA211+AD211+AG211</f>
        <v>1</v>
      </c>
      <c r="AI211" s="718">
        <v>0.99</v>
      </c>
      <c r="AJ211" s="316" t="s">
        <v>514</v>
      </c>
      <c r="AK211" s="316" t="s">
        <v>666</v>
      </c>
      <c r="AL211" s="718">
        <v>0</v>
      </c>
      <c r="AM211" s="316" t="s">
        <v>1328</v>
      </c>
      <c r="AN211" s="316" t="s">
        <v>1243</v>
      </c>
      <c r="AO211" s="718">
        <v>0.01</v>
      </c>
      <c r="AP211" s="728">
        <f t="shared" si="293"/>
        <v>1</v>
      </c>
      <c r="AQ211" s="718">
        <v>0.99</v>
      </c>
      <c r="AR211" s="316" t="s">
        <v>514</v>
      </c>
      <c r="AS211" s="316" t="s">
        <v>666</v>
      </c>
      <c r="AT211" s="718">
        <v>0</v>
      </c>
      <c r="AU211" s="316" t="s">
        <v>667</v>
      </c>
      <c r="AV211" s="316" t="s">
        <v>1243</v>
      </c>
      <c r="AW211" s="718">
        <v>0.01</v>
      </c>
      <c r="AX211" s="463">
        <f t="shared" si="294"/>
        <v>1</v>
      </c>
      <c r="AY211" s="661">
        <v>0.99</v>
      </c>
      <c r="AZ211" s="316" t="s">
        <v>514</v>
      </c>
      <c r="BA211" s="316" t="s">
        <v>666</v>
      </c>
      <c r="BB211" s="463">
        <v>0</v>
      </c>
      <c r="BC211" s="316" t="s">
        <v>667</v>
      </c>
      <c r="BD211" s="316" t="s">
        <v>668</v>
      </c>
      <c r="BE211" s="463">
        <v>0.01</v>
      </c>
      <c r="BF211" s="728">
        <f t="shared" si="295"/>
        <v>1</v>
      </c>
      <c r="BG211" s="463"/>
      <c r="BH211" s="463">
        <v>0.99</v>
      </c>
      <c r="BI211" s="316" t="s">
        <v>514</v>
      </c>
      <c r="BJ211" s="316" t="s">
        <v>666</v>
      </c>
      <c r="BK211" s="463">
        <v>0</v>
      </c>
      <c r="BL211" s="316" t="s">
        <v>667</v>
      </c>
      <c r="BM211" s="316" t="s">
        <v>668</v>
      </c>
      <c r="BN211" s="463">
        <v>0.01</v>
      </c>
      <c r="BO211" s="728">
        <f t="shared" si="296"/>
        <v>1</v>
      </c>
      <c r="BP211" s="463">
        <v>0.49</v>
      </c>
      <c r="BQ211" s="316" t="s">
        <v>514</v>
      </c>
      <c r="BR211" s="316" t="s">
        <v>666</v>
      </c>
      <c r="BS211" s="463">
        <v>0</v>
      </c>
      <c r="BT211" s="316" t="s">
        <v>667</v>
      </c>
      <c r="BU211" s="316" t="s">
        <v>668</v>
      </c>
      <c r="BV211" s="463">
        <v>0.01</v>
      </c>
      <c r="BW211" s="463">
        <f t="shared" si="297"/>
        <v>0.5</v>
      </c>
      <c r="BX211" s="444" t="s">
        <v>874</v>
      </c>
      <c r="BY211" s="444"/>
      <c r="BZ211" s="444" t="s">
        <v>874</v>
      </c>
      <c r="CA211" s="436" t="s">
        <v>874</v>
      </c>
      <c r="CB211" s="723">
        <v>0.66800000000000004</v>
      </c>
      <c r="CC211" s="668" t="s">
        <v>950</v>
      </c>
      <c r="CD211" s="316" t="s">
        <v>514</v>
      </c>
      <c r="CE211" s="316" t="s">
        <v>666</v>
      </c>
      <c r="CF211" s="718">
        <v>0</v>
      </c>
      <c r="CG211" s="316" t="s">
        <v>667</v>
      </c>
      <c r="CH211" s="316" t="s">
        <v>668</v>
      </c>
      <c r="CI211" s="718">
        <v>0.01</v>
      </c>
    </row>
    <row r="212" spans="1:87" ht="15.75" customHeight="1" x14ac:dyDescent="0.2">
      <c r="A212" s="747" t="s">
        <v>311</v>
      </c>
      <c r="B212" s="469" t="s">
        <v>310</v>
      </c>
      <c r="C212" s="718">
        <v>0.99</v>
      </c>
      <c r="D212" s="469" t="s">
        <v>514</v>
      </c>
      <c r="E212" s="469" t="s">
        <v>666</v>
      </c>
      <c r="F212" s="718">
        <v>0</v>
      </c>
      <c r="G212" s="469" t="s">
        <v>675</v>
      </c>
      <c r="H212" s="469" t="s">
        <v>676</v>
      </c>
      <c r="I212" s="718">
        <v>0.01</v>
      </c>
      <c r="J212" s="748">
        <f t="shared" si="258"/>
        <v>1</v>
      </c>
      <c r="K212" s="718">
        <v>0.99</v>
      </c>
      <c r="L212" s="316" t="s">
        <v>514</v>
      </c>
      <c r="M212" s="316" t="s">
        <v>666</v>
      </c>
      <c r="N212" s="718">
        <v>0</v>
      </c>
      <c r="O212" s="316" t="s">
        <v>675</v>
      </c>
      <c r="P212" s="316" t="s">
        <v>676</v>
      </c>
      <c r="Q212" s="718">
        <v>0.01</v>
      </c>
      <c r="R212" s="728">
        <f t="shared" si="259"/>
        <v>1</v>
      </c>
      <c r="S212" s="718">
        <v>0.99</v>
      </c>
      <c r="T212" s="316" t="s">
        <v>514</v>
      </c>
      <c r="U212" s="316" t="s">
        <v>666</v>
      </c>
      <c r="V212" s="718">
        <v>0</v>
      </c>
      <c r="W212" s="316" t="s">
        <v>675</v>
      </c>
      <c r="X212" s="316" t="s">
        <v>676</v>
      </c>
      <c r="Y212" s="718">
        <v>0.01</v>
      </c>
      <c r="Z212" s="728">
        <f t="shared" si="292"/>
        <v>1</v>
      </c>
      <c r="AA212" s="718">
        <v>0.99</v>
      </c>
      <c r="AB212" s="316" t="s">
        <v>514</v>
      </c>
      <c r="AC212" s="316" t="s">
        <v>666</v>
      </c>
      <c r="AD212" s="718">
        <v>0</v>
      </c>
      <c r="AE212" s="316" t="s">
        <v>675</v>
      </c>
      <c r="AF212" s="316" t="s">
        <v>676</v>
      </c>
      <c r="AG212" s="718">
        <v>0.01</v>
      </c>
      <c r="AH212" s="728">
        <f t="shared" si="298"/>
        <v>1</v>
      </c>
      <c r="AI212" s="718">
        <v>0.99</v>
      </c>
      <c r="AJ212" s="316" t="s">
        <v>514</v>
      </c>
      <c r="AK212" s="316" t="s">
        <v>666</v>
      </c>
      <c r="AL212" s="718">
        <v>0</v>
      </c>
      <c r="AM212" s="316" t="s">
        <v>675</v>
      </c>
      <c r="AN212" s="316" t="s">
        <v>676</v>
      </c>
      <c r="AO212" s="718">
        <v>0.01</v>
      </c>
      <c r="AP212" s="728">
        <f t="shared" si="293"/>
        <v>1</v>
      </c>
      <c r="AQ212" s="718">
        <v>0.99</v>
      </c>
      <c r="AR212" s="316" t="s">
        <v>514</v>
      </c>
      <c r="AS212" s="316" t="s">
        <v>666</v>
      </c>
      <c r="AT212" s="718">
        <v>0</v>
      </c>
      <c r="AU212" s="316" t="s">
        <v>675</v>
      </c>
      <c r="AV212" s="316" t="s">
        <v>676</v>
      </c>
      <c r="AW212" s="718">
        <v>0.01</v>
      </c>
      <c r="AX212" s="463">
        <f t="shared" si="294"/>
        <v>1</v>
      </c>
      <c r="AY212" s="661">
        <v>0.99</v>
      </c>
      <c r="AZ212" s="316" t="s">
        <v>514</v>
      </c>
      <c r="BA212" s="316" t="s">
        <v>666</v>
      </c>
      <c r="BB212" s="463">
        <v>0</v>
      </c>
      <c r="BC212" s="316" t="s">
        <v>675</v>
      </c>
      <c r="BD212" s="316" t="s">
        <v>676</v>
      </c>
      <c r="BE212" s="463">
        <v>0.01</v>
      </c>
      <c r="BF212" s="728">
        <f t="shared" si="295"/>
        <v>1</v>
      </c>
      <c r="BG212" s="463"/>
      <c r="BH212" s="463">
        <v>0.99</v>
      </c>
      <c r="BI212" s="316" t="s">
        <v>514</v>
      </c>
      <c r="BJ212" s="316" t="s">
        <v>666</v>
      </c>
      <c r="BK212" s="463">
        <v>0</v>
      </c>
      <c r="BL212" s="316" t="s">
        <v>675</v>
      </c>
      <c r="BM212" s="316" t="s">
        <v>676</v>
      </c>
      <c r="BN212" s="463">
        <v>0.01</v>
      </c>
      <c r="BO212" s="728">
        <f t="shared" si="296"/>
        <v>1</v>
      </c>
      <c r="BP212" s="463">
        <v>0.49</v>
      </c>
      <c r="BQ212" s="316" t="s">
        <v>514</v>
      </c>
      <c r="BR212" s="316" t="s">
        <v>666</v>
      </c>
      <c r="BS212" s="463">
        <v>0</v>
      </c>
      <c r="BT212" s="316" t="s">
        <v>675</v>
      </c>
      <c r="BU212" s="316" t="s">
        <v>676</v>
      </c>
      <c r="BV212" s="463">
        <v>0.01</v>
      </c>
      <c r="BW212" s="463">
        <f t="shared" si="297"/>
        <v>0.5</v>
      </c>
      <c r="BX212" s="444" t="s">
        <v>874</v>
      </c>
      <c r="BY212" s="444"/>
      <c r="BZ212" s="444"/>
      <c r="CA212" s="436" t="s">
        <v>874</v>
      </c>
      <c r="CB212" s="723">
        <v>0.67300000000000004</v>
      </c>
      <c r="CC212" s="668" t="s">
        <v>950</v>
      </c>
      <c r="CD212" s="316" t="s">
        <v>514</v>
      </c>
      <c r="CE212" s="316" t="s">
        <v>666</v>
      </c>
      <c r="CF212" s="718">
        <v>0</v>
      </c>
      <c r="CG212" s="316" t="s">
        <v>675</v>
      </c>
      <c r="CH212" s="316" t="s">
        <v>676</v>
      </c>
      <c r="CI212" s="718">
        <v>0.01</v>
      </c>
    </row>
    <row r="213" spans="1:87" ht="15.75" customHeight="1" x14ac:dyDescent="0.2">
      <c r="A213" s="747" t="s">
        <v>313</v>
      </c>
      <c r="B213" s="469" t="s">
        <v>312</v>
      </c>
      <c r="C213" s="718">
        <v>0.99</v>
      </c>
      <c r="D213" s="469" t="s">
        <v>514</v>
      </c>
      <c r="E213" s="469" t="s">
        <v>666</v>
      </c>
      <c r="F213" s="718">
        <v>0</v>
      </c>
      <c r="G213" s="469" t="s">
        <v>669</v>
      </c>
      <c r="H213" s="469" t="s">
        <v>670</v>
      </c>
      <c r="I213" s="718">
        <v>0.01</v>
      </c>
      <c r="J213" s="748">
        <f t="shared" si="258"/>
        <v>1</v>
      </c>
      <c r="K213" s="718">
        <v>0.99</v>
      </c>
      <c r="L213" s="316" t="s">
        <v>514</v>
      </c>
      <c r="M213" s="316" t="s">
        <v>666</v>
      </c>
      <c r="N213" s="718">
        <v>0</v>
      </c>
      <c r="O213" s="316" t="s">
        <v>669</v>
      </c>
      <c r="P213" s="316" t="s">
        <v>670</v>
      </c>
      <c r="Q213" s="718">
        <v>0.01</v>
      </c>
      <c r="R213" s="728">
        <f t="shared" si="259"/>
        <v>1</v>
      </c>
      <c r="S213" s="718">
        <v>0.99</v>
      </c>
      <c r="T213" s="316" t="s">
        <v>514</v>
      </c>
      <c r="U213" s="316" t="s">
        <v>666</v>
      </c>
      <c r="V213" s="718">
        <v>0</v>
      </c>
      <c r="W213" s="316" t="s">
        <v>669</v>
      </c>
      <c r="X213" s="316" t="s">
        <v>670</v>
      </c>
      <c r="Y213" s="718">
        <v>0.01</v>
      </c>
      <c r="Z213" s="728">
        <f t="shared" si="292"/>
        <v>1</v>
      </c>
      <c r="AA213" s="718">
        <v>0.99</v>
      </c>
      <c r="AB213" s="316" t="s">
        <v>514</v>
      </c>
      <c r="AC213" s="316" t="s">
        <v>666</v>
      </c>
      <c r="AD213" s="718">
        <v>0</v>
      </c>
      <c r="AE213" s="316" t="s">
        <v>669</v>
      </c>
      <c r="AF213" s="316" t="s">
        <v>670</v>
      </c>
      <c r="AG213" s="718">
        <v>0.01</v>
      </c>
      <c r="AH213" s="728">
        <f t="shared" si="298"/>
        <v>1</v>
      </c>
      <c r="AI213" s="718">
        <v>0.99</v>
      </c>
      <c r="AJ213" s="316" t="s">
        <v>514</v>
      </c>
      <c r="AK213" s="316" t="s">
        <v>666</v>
      </c>
      <c r="AL213" s="718">
        <v>0</v>
      </c>
      <c r="AM213" s="316" t="s">
        <v>669</v>
      </c>
      <c r="AN213" s="316" t="s">
        <v>670</v>
      </c>
      <c r="AO213" s="718">
        <v>0.01</v>
      </c>
      <c r="AP213" s="728">
        <f t="shared" si="293"/>
        <v>1</v>
      </c>
      <c r="AQ213" s="718">
        <v>0.99</v>
      </c>
      <c r="AR213" s="316" t="s">
        <v>514</v>
      </c>
      <c r="AS213" s="316" t="s">
        <v>666</v>
      </c>
      <c r="AT213" s="718">
        <v>0</v>
      </c>
      <c r="AU213" s="316" t="s">
        <v>669</v>
      </c>
      <c r="AV213" s="316" t="s">
        <v>670</v>
      </c>
      <c r="AW213" s="718">
        <v>0.01</v>
      </c>
      <c r="AX213" s="463">
        <f t="shared" si="294"/>
        <v>1</v>
      </c>
      <c r="AY213" s="661">
        <v>0.99</v>
      </c>
      <c r="AZ213" s="316" t="s">
        <v>514</v>
      </c>
      <c r="BA213" s="316" t="s">
        <v>666</v>
      </c>
      <c r="BB213" s="463">
        <v>0</v>
      </c>
      <c r="BC213" s="316" t="s">
        <v>669</v>
      </c>
      <c r="BD213" s="316" t="s">
        <v>670</v>
      </c>
      <c r="BE213" s="463">
        <v>0.01</v>
      </c>
      <c r="BF213" s="728">
        <f t="shared" si="295"/>
        <v>1</v>
      </c>
      <c r="BG213" s="463"/>
      <c r="BH213" s="463">
        <v>0.99</v>
      </c>
      <c r="BI213" s="316" t="s">
        <v>514</v>
      </c>
      <c r="BJ213" s="316" t="s">
        <v>666</v>
      </c>
      <c r="BK213" s="463">
        <v>0</v>
      </c>
      <c r="BL213" s="316" t="s">
        <v>669</v>
      </c>
      <c r="BM213" s="316" t="s">
        <v>670</v>
      </c>
      <c r="BN213" s="463">
        <v>0.01</v>
      </c>
      <c r="BO213" s="728">
        <f t="shared" si="296"/>
        <v>1</v>
      </c>
      <c r="BP213" s="463">
        <v>0.49</v>
      </c>
      <c r="BQ213" s="316" t="s">
        <v>514</v>
      </c>
      <c r="BR213" s="316" t="s">
        <v>666</v>
      </c>
      <c r="BS213" s="463">
        <v>0</v>
      </c>
      <c r="BT213" s="316" t="s">
        <v>669</v>
      </c>
      <c r="BU213" s="316" t="s">
        <v>670</v>
      </c>
      <c r="BV213" s="463">
        <v>0.01</v>
      </c>
      <c r="BW213" s="463">
        <f t="shared" si="297"/>
        <v>0.5</v>
      </c>
      <c r="BX213" s="444"/>
      <c r="BY213" s="444"/>
      <c r="BZ213" s="444"/>
      <c r="CA213" s="436" t="s">
        <v>874</v>
      </c>
      <c r="CB213" s="723">
        <v>0.67300000000000004</v>
      </c>
      <c r="CC213" s="668" t="s">
        <v>950</v>
      </c>
      <c r="CD213" s="316" t="s">
        <v>514</v>
      </c>
      <c r="CE213" s="316" t="s">
        <v>666</v>
      </c>
      <c r="CF213" s="718">
        <v>0</v>
      </c>
      <c r="CG213" s="316" t="s">
        <v>669</v>
      </c>
      <c r="CH213" s="316" t="s">
        <v>670</v>
      </c>
      <c r="CI213" s="718">
        <v>0.01</v>
      </c>
    </row>
    <row r="214" spans="1:87" ht="15" x14ac:dyDescent="0.2">
      <c r="A214" s="747" t="s">
        <v>315</v>
      </c>
      <c r="B214" s="469" t="s">
        <v>314</v>
      </c>
      <c r="C214" s="718">
        <v>0.4</v>
      </c>
      <c r="D214" s="469" t="s">
        <v>608</v>
      </c>
      <c r="E214" s="469" t="s">
        <v>609</v>
      </c>
      <c r="F214" s="718">
        <v>0.09</v>
      </c>
      <c r="G214" s="469" t="s">
        <v>606</v>
      </c>
      <c r="H214" s="469" t="s">
        <v>607</v>
      </c>
      <c r="I214" s="718">
        <v>0.01</v>
      </c>
      <c r="J214" s="748">
        <f t="shared" si="258"/>
        <v>0.5</v>
      </c>
      <c r="K214" s="718">
        <v>0.4</v>
      </c>
      <c r="L214" s="316" t="s">
        <v>608</v>
      </c>
      <c r="M214" s="316" t="s">
        <v>609</v>
      </c>
      <c r="N214" s="718">
        <v>0.09</v>
      </c>
      <c r="O214" s="316" t="s">
        <v>606</v>
      </c>
      <c r="P214" s="316" t="s">
        <v>607</v>
      </c>
      <c r="Q214" s="718">
        <v>0.01</v>
      </c>
      <c r="R214" s="728">
        <f t="shared" si="259"/>
        <v>0.5</v>
      </c>
      <c r="S214" s="718">
        <v>0.4</v>
      </c>
      <c r="T214" s="316" t="s">
        <v>608</v>
      </c>
      <c r="U214" s="316" t="s">
        <v>609</v>
      </c>
      <c r="V214" s="718">
        <v>0.09</v>
      </c>
      <c r="W214" s="316" t="s">
        <v>606</v>
      </c>
      <c r="X214" s="316" t="s">
        <v>607</v>
      </c>
      <c r="Y214" s="718">
        <v>0.01</v>
      </c>
      <c r="Z214" s="728">
        <f t="shared" ref="Z214:Z220" si="299">+S214+V214+Y214</f>
        <v>0.5</v>
      </c>
      <c r="AA214" s="718">
        <v>0.4</v>
      </c>
      <c r="AB214" s="316" t="s">
        <v>608</v>
      </c>
      <c r="AC214" s="316" t="s">
        <v>609</v>
      </c>
      <c r="AD214" s="718">
        <v>0.09</v>
      </c>
      <c r="AE214" s="316" t="s">
        <v>606</v>
      </c>
      <c r="AF214" s="316" t="s">
        <v>607</v>
      </c>
      <c r="AG214" s="718">
        <v>0.01</v>
      </c>
      <c r="AH214" s="728">
        <f t="shared" si="298"/>
        <v>0.5</v>
      </c>
      <c r="AI214" s="718">
        <v>0.4</v>
      </c>
      <c r="AJ214" s="316" t="s">
        <v>608</v>
      </c>
      <c r="AK214" s="316" t="s">
        <v>609</v>
      </c>
      <c r="AL214" s="718">
        <v>0.09</v>
      </c>
      <c r="AM214" s="316" t="s">
        <v>606</v>
      </c>
      <c r="AN214" s="316" t="s">
        <v>607</v>
      </c>
      <c r="AO214" s="718">
        <v>0.01</v>
      </c>
      <c r="AP214" s="728">
        <f t="shared" si="293"/>
        <v>0.5</v>
      </c>
      <c r="AQ214" s="718">
        <v>0.4</v>
      </c>
      <c r="AR214" s="316" t="s">
        <v>608</v>
      </c>
      <c r="AS214" s="316" t="s">
        <v>609</v>
      </c>
      <c r="AT214" s="718">
        <v>0.09</v>
      </c>
      <c r="AU214" s="316" t="s">
        <v>606</v>
      </c>
      <c r="AV214" s="316" t="s">
        <v>607</v>
      </c>
      <c r="AW214" s="718">
        <v>0.01</v>
      </c>
      <c r="AX214" s="463">
        <f t="shared" si="294"/>
        <v>0.5</v>
      </c>
      <c r="AY214" s="661">
        <v>0.4</v>
      </c>
      <c r="AZ214" s="316" t="s">
        <v>608</v>
      </c>
      <c r="BA214" s="316" t="s">
        <v>609</v>
      </c>
      <c r="BB214" s="463">
        <v>0.59</v>
      </c>
      <c r="BC214" s="316" t="s">
        <v>606</v>
      </c>
      <c r="BD214" s="316" t="s">
        <v>607</v>
      </c>
      <c r="BE214" s="463">
        <v>0.01</v>
      </c>
      <c r="BF214" s="728">
        <f t="shared" si="295"/>
        <v>1</v>
      </c>
      <c r="BG214" s="463"/>
      <c r="BH214" s="463">
        <v>0.4</v>
      </c>
      <c r="BI214" s="316" t="s">
        <v>608</v>
      </c>
      <c r="BJ214" s="316" t="s">
        <v>609</v>
      </c>
      <c r="BK214" s="463">
        <v>0.09</v>
      </c>
      <c r="BL214" s="316" t="s">
        <v>606</v>
      </c>
      <c r="BM214" s="316" t="s">
        <v>607</v>
      </c>
      <c r="BN214" s="463">
        <v>0.01</v>
      </c>
      <c r="BO214" s="728">
        <f t="shared" si="296"/>
        <v>0.5</v>
      </c>
      <c r="BP214" s="463">
        <v>0.4</v>
      </c>
      <c r="BQ214" s="316" t="s">
        <v>608</v>
      </c>
      <c r="BR214" s="316" t="s">
        <v>609</v>
      </c>
      <c r="BS214" s="463">
        <v>0.09</v>
      </c>
      <c r="BT214" s="316" t="s">
        <v>606</v>
      </c>
      <c r="BU214" s="316" t="s">
        <v>607</v>
      </c>
      <c r="BV214" s="463">
        <v>0.01</v>
      </c>
      <c r="BW214" s="463">
        <f t="shared" si="297"/>
        <v>0.5</v>
      </c>
      <c r="BX214" s="444"/>
      <c r="BY214" s="444"/>
      <c r="BZ214" s="444"/>
      <c r="CA214" s="434"/>
      <c r="CB214" s="723">
        <v>0.70299999999999996</v>
      </c>
      <c r="CC214" s="668" t="s">
        <v>950</v>
      </c>
      <c r="CD214" s="316" t="s">
        <v>608</v>
      </c>
      <c r="CE214" s="316" t="s">
        <v>609</v>
      </c>
      <c r="CF214" s="718">
        <v>0.59</v>
      </c>
      <c r="CG214" s="316" t="s">
        <v>606</v>
      </c>
      <c r="CH214" s="316" t="s">
        <v>607</v>
      </c>
      <c r="CI214" s="718">
        <v>0.01</v>
      </c>
    </row>
    <row r="215" spans="1:87" ht="15.75" customHeight="1" x14ac:dyDescent="0.2">
      <c r="A215" s="747" t="s">
        <v>317</v>
      </c>
      <c r="B215" s="469" t="s">
        <v>316</v>
      </c>
      <c r="C215" s="718">
        <v>0.49</v>
      </c>
      <c r="D215" s="469" t="s">
        <v>514</v>
      </c>
      <c r="E215" s="469" t="s">
        <v>666</v>
      </c>
      <c r="F215" s="718">
        <v>0</v>
      </c>
      <c r="G215" s="469" t="s">
        <v>671</v>
      </c>
      <c r="H215" s="469" t="s">
        <v>672</v>
      </c>
      <c r="I215" s="718">
        <v>0.01</v>
      </c>
      <c r="J215" s="748">
        <f t="shared" si="258"/>
        <v>0.5</v>
      </c>
      <c r="K215" s="718">
        <v>0.49</v>
      </c>
      <c r="L215" s="316" t="s">
        <v>514</v>
      </c>
      <c r="M215" s="316" t="s">
        <v>666</v>
      </c>
      <c r="N215" s="718">
        <v>0</v>
      </c>
      <c r="O215" s="316" t="s">
        <v>671</v>
      </c>
      <c r="P215" s="316" t="s">
        <v>672</v>
      </c>
      <c r="Q215" s="718">
        <v>0.01</v>
      </c>
      <c r="R215" s="728">
        <f t="shared" si="259"/>
        <v>0.5</v>
      </c>
      <c r="S215" s="718">
        <v>0.49</v>
      </c>
      <c r="T215" s="316" t="s">
        <v>514</v>
      </c>
      <c r="U215" s="316" t="s">
        <v>666</v>
      </c>
      <c r="V215" s="718">
        <v>0</v>
      </c>
      <c r="W215" s="316" t="s">
        <v>671</v>
      </c>
      <c r="X215" s="316" t="s">
        <v>672</v>
      </c>
      <c r="Y215" s="718">
        <v>0.01</v>
      </c>
      <c r="Z215" s="728">
        <f t="shared" si="299"/>
        <v>0.5</v>
      </c>
      <c r="AA215" s="718">
        <v>0.49</v>
      </c>
      <c r="AB215" s="316" t="s">
        <v>514</v>
      </c>
      <c r="AC215" s="316" t="s">
        <v>666</v>
      </c>
      <c r="AD215" s="718">
        <v>0</v>
      </c>
      <c r="AE215" s="316" t="s">
        <v>671</v>
      </c>
      <c r="AF215" s="316" t="s">
        <v>672</v>
      </c>
      <c r="AG215" s="718">
        <v>0.01</v>
      </c>
      <c r="AH215" s="728">
        <f t="shared" si="298"/>
        <v>0.5</v>
      </c>
      <c r="AI215" s="718">
        <v>0.49</v>
      </c>
      <c r="AJ215" s="316" t="s">
        <v>514</v>
      </c>
      <c r="AK215" s="316" t="s">
        <v>666</v>
      </c>
      <c r="AL215" s="718">
        <v>0</v>
      </c>
      <c r="AM215" s="316" t="s">
        <v>671</v>
      </c>
      <c r="AN215" s="316" t="s">
        <v>672</v>
      </c>
      <c r="AO215" s="718">
        <v>0.01</v>
      </c>
      <c r="AP215" s="728">
        <f t="shared" si="293"/>
        <v>0.5</v>
      </c>
      <c r="AQ215" s="718">
        <v>0.49</v>
      </c>
      <c r="AR215" s="316" t="s">
        <v>514</v>
      </c>
      <c r="AS215" s="316" t="s">
        <v>666</v>
      </c>
      <c r="AT215" s="718">
        <v>0</v>
      </c>
      <c r="AU215" s="316" t="s">
        <v>671</v>
      </c>
      <c r="AV215" s="316" t="s">
        <v>672</v>
      </c>
      <c r="AW215" s="718">
        <v>0.01</v>
      </c>
      <c r="AX215" s="463">
        <f t="shared" si="294"/>
        <v>0.5</v>
      </c>
      <c r="AY215" s="661">
        <v>0.49</v>
      </c>
      <c r="AZ215" s="316" t="s">
        <v>514</v>
      </c>
      <c r="BA215" s="316" t="s">
        <v>666</v>
      </c>
      <c r="BB215" s="463">
        <v>0</v>
      </c>
      <c r="BC215" s="316" t="s">
        <v>671</v>
      </c>
      <c r="BD215" s="316" t="s">
        <v>672</v>
      </c>
      <c r="BE215" s="463">
        <v>0.01</v>
      </c>
      <c r="BF215" s="728">
        <f t="shared" si="295"/>
        <v>0.5</v>
      </c>
      <c r="BG215" s="463"/>
      <c r="BH215" s="463">
        <v>0.49</v>
      </c>
      <c r="BI215" s="316" t="s">
        <v>514</v>
      </c>
      <c r="BJ215" s="316" t="s">
        <v>666</v>
      </c>
      <c r="BK215" s="463">
        <v>0</v>
      </c>
      <c r="BL215" s="316" t="s">
        <v>671</v>
      </c>
      <c r="BM215" s="316" t="s">
        <v>672</v>
      </c>
      <c r="BN215" s="463">
        <v>0.01</v>
      </c>
      <c r="BO215" s="728">
        <f t="shared" si="296"/>
        <v>0.5</v>
      </c>
      <c r="BP215" s="463">
        <v>0.49</v>
      </c>
      <c r="BQ215" s="316" t="s">
        <v>514</v>
      </c>
      <c r="BR215" s="316" t="s">
        <v>666</v>
      </c>
      <c r="BS215" s="463">
        <v>0</v>
      </c>
      <c r="BT215" s="316" t="s">
        <v>671</v>
      </c>
      <c r="BU215" s="316" t="s">
        <v>672</v>
      </c>
      <c r="BV215" s="463">
        <v>0.01</v>
      </c>
      <c r="BW215" s="463">
        <f t="shared" si="297"/>
        <v>0.5</v>
      </c>
      <c r="BX215" s="444" t="s">
        <v>874</v>
      </c>
      <c r="BY215" s="444"/>
      <c r="BZ215" s="444" t="s">
        <v>874</v>
      </c>
      <c r="CA215" s="436" t="s">
        <v>874</v>
      </c>
      <c r="CB215" s="723">
        <v>0.67600000000000005</v>
      </c>
      <c r="CC215" s="668" t="s">
        <v>950</v>
      </c>
      <c r="CD215" s="316" t="s">
        <v>514</v>
      </c>
      <c r="CE215" s="316" t="s">
        <v>666</v>
      </c>
      <c r="CF215" s="718">
        <v>0</v>
      </c>
      <c r="CG215" s="316" t="s">
        <v>671</v>
      </c>
      <c r="CH215" s="316" t="s">
        <v>672</v>
      </c>
      <c r="CI215" s="718">
        <v>0.01</v>
      </c>
    </row>
    <row r="216" spans="1:87" ht="15.75" customHeight="1" x14ac:dyDescent="0.2">
      <c r="A216" s="747" t="s">
        <v>321</v>
      </c>
      <c r="B216" s="469" t="s">
        <v>320</v>
      </c>
      <c r="C216" s="718">
        <v>0.49</v>
      </c>
      <c r="D216" s="469" t="s">
        <v>514</v>
      </c>
      <c r="E216" s="469" t="s">
        <v>515</v>
      </c>
      <c r="F216" s="718">
        <v>0</v>
      </c>
      <c r="G216" s="469" t="s">
        <v>645</v>
      </c>
      <c r="H216" s="469" t="s">
        <v>646</v>
      </c>
      <c r="I216" s="718">
        <v>0.01</v>
      </c>
      <c r="J216" s="748">
        <f t="shared" si="258"/>
        <v>0.5</v>
      </c>
      <c r="K216" s="718">
        <v>0.49</v>
      </c>
      <c r="L216" s="316" t="s">
        <v>514</v>
      </c>
      <c r="M216" s="316" t="s">
        <v>515</v>
      </c>
      <c r="N216" s="718">
        <v>0</v>
      </c>
      <c r="O216" s="316" t="s">
        <v>645</v>
      </c>
      <c r="P216" s="316" t="s">
        <v>646</v>
      </c>
      <c r="Q216" s="718">
        <v>0.01</v>
      </c>
      <c r="R216" s="728">
        <f t="shared" si="259"/>
        <v>0.5</v>
      </c>
      <c r="S216" s="718">
        <v>0.49</v>
      </c>
      <c r="T216" s="316" t="s">
        <v>514</v>
      </c>
      <c r="U216" s="316" t="s">
        <v>515</v>
      </c>
      <c r="V216" s="718">
        <v>0</v>
      </c>
      <c r="W216" s="316" t="s">
        <v>645</v>
      </c>
      <c r="X216" s="316" t="s">
        <v>646</v>
      </c>
      <c r="Y216" s="718">
        <v>0.01</v>
      </c>
      <c r="Z216" s="728">
        <f t="shared" si="299"/>
        <v>0.5</v>
      </c>
      <c r="AA216" s="718">
        <v>0.49</v>
      </c>
      <c r="AB216" s="316" t="s">
        <v>514</v>
      </c>
      <c r="AC216" s="316" t="s">
        <v>515</v>
      </c>
      <c r="AD216" s="718">
        <v>0</v>
      </c>
      <c r="AE216" s="316" t="s">
        <v>645</v>
      </c>
      <c r="AF216" s="316" t="s">
        <v>646</v>
      </c>
      <c r="AG216" s="718">
        <v>0.01</v>
      </c>
      <c r="AH216" s="728">
        <f t="shared" si="298"/>
        <v>0.5</v>
      </c>
      <c r="AI216" s="718">
        <v>0.49</v>
      </c>
      <c r="AJ216" s="316" t="s">
        <v>514</v>
      </c>
      <c r="AK216" s="316" t="s">
        <v>515</v>
      </c>
      <c r="AL216" s="718">
        <v>0</v>
      </c>
      <c r="AM216" s="316" t="s">
        <v>645</v>
      </c>
      <c r="AN216" s="316" t="s">
        <v>646</v>
      </c>
      <c r="AO216" s="718">
        <v>0.01</v>
      </c>
      <c r="AP216" s="728">
        <f t="shared" si="293"/>
        <v>0.5</v>
      </c>
      <c r="AQ216" s="718">
        <v>0.49</v>
      </c>
      <c r="AR216" s="316" t="s">
        <v>514</v>
      </c>
      <c r="AS216" s="316" t="s">
        <v>515</v>
      </c>
      <c r="AT216" s="718">
        <v>0</v>
      </c>
      <c r="AU216" s="316" t="s">
        <v>645</v>
      </c>
      <c r="AV216" s="316" t="s">
        <v>646</v>
      </c>
      <c r="AW216" s="718">
        <v>0.01</v>
      </c>
      <c r="AX216" s="463">
        <f t="shared" si="294"/>
        <v>0.5</v>
      </c>
      <c r="AY216" s="661">
        <v>0.49</v>
      </c>
      <c r="AZ216" s="316" t="s">
        <v>514</v>
      </c>
      <c r="BA216" s="316" t="s">
        <v>515</v>
      </c>
      <c r="BB216" s="463">
        <v>0</v>
      </c>
      <c r="BC216" s="316" t="s">
        <v>645</v>
      </c>
      <c r="BD216" s="316" t="s">
        <v>646</v>
      </c>
      <c r="BE216" s="463">
        <v>0.01</v>
      </c>
      <c r="BF216" s="728">
        <f t="shared" si="295"/>
        <v>0.5</v>
      </c>
      <c r="BG216" s="463"/>
      <c r="BH216" s="463">
        <v>0.49</v>
      </c>
      <c r="BI216" s="316" t="s">
        <v>514</v>
      </c>
      <c r="BJ216" s="316" t="s">
        <v>515</v>
      </c>
      <c r="BK216" s="463">
        <v>0</v>
      </c>
      <c r="BL216" s="316" t="s">
        <v>645</v>
      </c>
      <c r="BM216" s="316" t="s">
        <v>646</v>
      </c>
      <c r="BN216" s="463">
        <v>0.01</v>
      </c>
      <c r="BO216" s="728">
        <f t="shared" si="296"/>
        <v>0.5</v>
      </c>
      <c r="BP216" s="463">
        <v>0.49</v>
      </c>
      <c r="BQ216" s="316" t="s">
        <v>514</v>
      </c>
      <c r="BR216" s="316" t="s">
        <v>515</v>
      </c>
      <c r="BS216" s="463">
        <v>0</v>
      </c>
      <c r="BT216" s="316" t="s">
        <v>645</v>
      </c>
      <c r="BU216" s="316" t="s">
        <v>646</v>
      </c>
      <c r="BV216" s="463">
        <v>0.01</v>
      </c>
      <c r="BW216" s="463">
        <f t="shared" si="297"/>
        <v>0.5</v>
      </c>
      <c r="BX216" s="444"/>
      <c r="BY216" s="444"/>
      <c r="BZ216" s="444"/>
      <c r="CA216" s="436" t="s">
        <v>874</v>
      </c>
      <c r="CB216" s="723">
        <v>0.67600000000000005</v>
      </c>
      <c r="CC216" s="668" t="s">
        <v>950</v>
      </c>
      <c r="CD216" s="316" t="s">
        <v>514</v>
      </c>
      <c r="CE216" s="316" t="s">
        <v>515</v>
      </c>
      <c r="CF216" s="718">
        <v>0</v>
      </c>
      <c r="CG216" s="316" t="s">
        <v>645</v>
      </c>
      <c r="CH216" s="316" t="s">
        <v>646</v>
      </c>
      <c r="CI216" s="718">
        <v>0.01</v>
      </c>
    </row>
    <row r="217" spans="1:87" ht="15.75" customHeight="1" x14ac:dyDescent="0.2">
      <c r="A217" s="747" t="s">
        <v>323</v>
      </c>
      <c r="B217" s="469" t="s">
        <v>529</v>
      </c>
      <c r="C217" s="718">
        <v>0.49</v>
      </c>
      <c r="D217" s="469" t="s">
        <v>514</v>
      </c>
      <c r="E217" s="469" t="s">
        <v>515</v>
      </c>
      <c r="F217" s="718">
        <v>0</v>
      </c>
      <c r="G217" s="469" t="s">
        <v>525</v>
      </c>
      <c r="H217" s="469" t="s">
        <v>526</v>
      </c>
      <c r="I217" s="718">
        <v>0.01</v>
      </c>
      <c r="J217" s="748">
        <f t="shared" si="258"/>
        <v>0.5</v>
      </c>
      <c r="K217" s="718">
        <v>0.49</v>
      </c>
      <c r="L217" s="316" t="s">
        <v>514</v>
      </c>
      <c r="M217" s="316" t="s">
        <v>515</v>
      </c>
      <c r="N217" s="718">
        <v>0</v>
      </c>
      <c r="O217" s="316" t="s">
        <v>525</v>
      </c>
      <c r="P217" s="316" t="s">
        <v>526</v>
      </c>
      <c r="Q217" s="718">
        <v>0.01</v>
      </c>
      <c r="R217" s="728">
        <f t="shared" si="259"/>
        <v>0.5</v>
      </c>
      <c r="S217" s="718">
        <v>0.49</v>
      </c>
      <c r="T217" s="316" t="s">
        <v>514</v>
      </c>
      <c r="U217" s="316" t="s">
        <v>515</v>
      </c>
      <c r="V217" s="718">
        <v>0</v>
      </c>
      <c r="W217" s="316" t="s">
        <v>525</v>
      </c>
      <c r="X217" s="316" t="s">
        <v>526</v>
      </c>
      <c r="Y217" s="718">
        <v>0.01</v>
      </c>
      <c r="Z217" s="728">
        <f t="shared" si="299"/>
        <v>0.5</v>
      </c>
      <c r="AA217" s="718">
        <v>0.49</v>
      </c>
      <c r="AB217" s="316" t="s">
        <v>514</v>
      </c>
      <c r="AC217" s="316" t="s">
        <v>515</v>
      </c>
      <c r="AD217" s="718">
        <v>0</v>
      </c>
      <c r="AE217" s="316" t="s">
        <v>525</v>
      </c>
      <c r="AF217" s="316" t="s">
        <v>526</v>
      </c>
      <c r="AG217" s="718">
        <v>0.01</v>
      </c>
      <c r="AH217" s="728">
        <f t="shared" si="298"/>
        <v>0.5</v>
      </c>
      <c r="AI217" s="718">
        <v>0.49</v>
      </c>
      <c r="AJ217" s="316" t="s">
        <v>514</v>
      </c>
      <c r="AK217" s="316" t="s">
        <v>515</v>
      </c>
      <c r="AL217" s="718">
        <v>0</v>
      </c>
      <c r="AM217" s="316" t="s">
        <v>525</v>
      </c>
      <c r="AN217" s="316" t="s">
        <v>526</v>
      </c>
      <c r="AO217" s="718">
        <v>0.01</v>
      </c>
      <c r="AP217" s="728">
        <f t="shared" si="293"/>
        <v>0.5</v>
      </c>
      <c r="AQ217" s="718">
        <v>0.74</v>
      </c>
      <c r="AR217" s="316" t="s">
        <v>514</v>
      </c>
      <c r="AS217" s="316" t="s">
        <v>515</v>
      </c>
      <c r="AT217" s="718">
        <v>0</v>
      </c>
      <c r="AU217" s="316" t="s">
        <v>525</v>
      </c>
      <c r="AV217" s="316" t="s">
        <v>526</v>
      </c>
      <c r="AW217" s="718">
        <v>0.01</v>
      </c>
      <c r="AX217" s="463">
        <f t="shared" si="294"/>
        <v>0.75</v>
      </c>
      <c r="AY217" s="661">
        <v>0.99</v>
      </c>
      <c r="AZ217" s="316" t="s">
        <v>514</v>
      </c>
      <c r="BA217" s="316" t="s">
        <v>515</v>
      </c>
      <c r="BB217" s="463">
        <v>0</v>
      </c>
      <c r="BC217" s="316" t="s">
        <v>525</v>
      </c>
      <c r="BD217" s="316" t="s">
        <v>526</v>
      </c>
      <c r="BE217" s="463">
        <v>0.01</v>
      </c>
      <c r="BF217" s="728">
        <f t="shared" si="295"/>
        <v>1</v>
      </c>
      <c r="BG217" s="463"/>
      <c r="BH217" s="463">
        <v>0.49</v>
      </c>
      <c r="BI217" s="316" t="s">
        <v>514</v>
      </c>
      <c r="BJ217" s="316" t="s">
        <v>515</v>
      </c>
      <c r="BK217" s="463">
        <v>0</v>
      </c>
      <c r="BL217" s="316" t="s">
        <v>525</v>
      </c>
      <c r="BM217" s="316" t="s">
        <v>526</v>
      </c>
      <c r="BN217" s="463">
        <v>0.01</v>
      </c>
      <c r="BO217" s="728">
        <f t="shared" si="296"/>
        <v>0.5</v>
      </c>
      <c r="BP217" s="463">
        <v>0.49</v>
      </c>
      <c r="BQ217" s="316" t="s">
        <v>514</v>
      </c>
      <c r="BR217" s="316" t="s">
        <v>515</v>
      </c>
      <c r="BS217" s="463">
        <v>0</v>
      </c>
      <c r="BT217" s="316" t="s">
        <v>525</v>
      </c>
      <c r="BU217" s="316" t="s">
        <v>526</v>
      </c>
      <c r="BV217" s="463">
        <v>0.01</v>
      </c>
      <c r="BW217" s="463">
        <f t="shared" si="297"/>
        <v>0.5</v>
      </c>
      <c r="BX217" s="444"/>
      <c r="BY217" s="444"/>
      <c r="BZ217" s="444"/>
      <c r="CA217" s="436" t="s">
        <v>874</v>
      </c>
      <c r="CB217" s="723">
        <v>0.76300000000000001</v>
      </c>
      <c r="CC217" s="668" t="s">
        <v>950</v>
      </c>
      <c r="CD217" s="316" t="s">
        <v>514</v>
      </c>
      <c r="CE217" s="316" t="s">
        <v>515</v>
      </c>
      <c r="CF217" s="718">
        <v>0</v>
      </c>
      <c r="CG217" s="316" t="s">
        <v>525</v>
      </c>
      <c r="CH217" s="316" t="s">
        <v>526</v>
      </c>
      <c r="CI217" s="718">
        <v>0.01</v>
      </c>
    </row>
    <row r="218" spans="1:87" ht="15.75" customHeight="1" x14ac:dyDescent="0.2">
      <c r="A218" s="747" t="s">
        <v>325</v>
      </c>
      <c r="B218" s="469" t="s">
        <v>324</v>
      </c>
      <c r="C218" s="718">
        <v>0.99</v>
      </c>
      <c r="D218" s="469" t="s">
        <v>514</v>
      </c>
      <c r="E218" s="469" t="s">
        <v>666</v>
      </c>
      <c r="F218" s="718">
        <v>0</v>
      </c>
      <c r="G218" s="469" t="s">
        <v>675</v>
      </c>
      <c r="H218" s="469" t="s">
        <v>676</v>
      </c>
      <c r="I218" s="718">
        <v>0.01</v>
      </c>
      <c r="J218" s="748">
        <f t="shared" si="258"/>
        <v>1</v>
      </c>
      <c r="K218" s="718">
        <v>0.99</v>
      </c>
      <c r="L218" s="316" t="s">
        <v>514</v>
      </c>
      <c r="M218" s="316" t="s">
        <v>666</v>
      </c>
      <c r="N218" s="718">
        <v>0</v>
      </c>
      <c r="O218" s="316" t="s">
        <v>675</v>
      </c>
      <c r="P218" s="316" t="s">
        <v>676</v>
      </c>
      <c r="Q218" s="718">
        <v>0.01</v>
      </c>
      <c r="R218" s="728">
        <f t="shared" si="259"/>
        <v>1</v>
      </c>
      <c r="S218" s="718">
        <v>0.99</v>
      </c>
      <c r="T218" s="316" t="s">
        <v>514</v>
      </c>
      <c r="U218" s="316" t="s">
        <v>666</v>
      </c>
      <c r="V218" s="718">
        <v>0</v>
      </c>
      <c r="W218" s="316" t="s">
        <v>675</v>
      </c>
      <c r="X218" s="316" t="s">
        <v>676</v>
      </c>
      <c r="Y218" s="718">
        <v>0.01</v>
      </c>
      <c r="Z218" s="728">
        <f t="shared" si="299"/>
        <v>1</v>
      </c>
      <c r="AA218" s="718">
        <v>0.99</v>
      </c>
      <c r="AB218" s="316" t="s">
        <v>514</v>
      </c>
      <c r="AC218" s="316" t="s">
        <v>666</v>
      </c>
      <c r="AD218" s="718">
        <v>0</v>
      </c>
      <c r="AE218" s="316" t="s">
        <v>675</v>
      </c>
      <c r="AF218" s="316" t="s">
        <v>676</v>
      </c>
      <c r="AG218" s="718">
        <v>0.01</v>
      </c>
      <c r="AH218" s="728">
        <f t="shared" si="298"/>
        <v>1</v>
      </c>
      <c r="AI218" s="718">
        <v>0.99</v>
      </c>
      <c r="AJ218" s="316" t="s">
        <v>514</v>
      </c>
      <c r="AK218" s="316" t="s">
        <v>666</v>
      </c>
      <c r="AL218" s="718">
        <v>0</v>
      </c>
      <c r="AM218" s="316" t="s">
        <v>675</v>
      </c>
      <c r="AN218" s="316" t="s">
        <v>676</v>
      </c>
      <c r="AO218" s="718">
        <v>0.01</v>
      </c>
      <c r="AP218" s="728">
        <f t="shared" si="293"/>
        <v>1</v>
      </c>
      <c r="AQ218" s="718">
        <v>0.99</v>
      </c>
      <c r="AR218" s="316" t="s">
        <v>514</v>
      </c>
      <c r="AS218" s="316" t="s">
        <v>666</v>
      </c>
      <c r="AT218" s="718">
        <v>0</v>
      </c>
      <c r="AU218" s="316" t="s">
        <v>675</v>
      </c>
      <c r="AV218" s="316" t="s">
        <v>676</v>
      </c>
      <c r="AW218" s="718">
        <v>0.01</v>
      </c>
      <c r="AX218" s="463">
        <f t="shared" si="294"/>
        <v>1</v>
      </c>
      <c r="AY218" s="661">
        <v>0.99</v>
      </c>
      <c r="AZ218" s="316" t="s">
        <v>514</v>
      </c>
      <c r="BA218" s="316" t="s">
        <v>666</v>
      </c>
      <c r="BB218" s="463">
        <v>0</v>
      </c>
      <c r="BC218" s="316" t="s">
        <v>675</v>
      </c>
      <c r="BD218" s="316" t="s">
        <v>676</v>
      </c>
      <c r="BE218" s="463">
        <v>0.01</v>
      </c>
      <c r="BF218" s="728">
        <f t="shared" si="295"/>
        <v>1</v>
      </c>
      <c r="BG218" s="463"/>
      <c r="BH218" s="463">
        <v>0.99</v>
      </c>
      <c r="BI218" s="316" t="s">
        <v>514</v>
      </c>
      <c r="BJ218" s="316" t="s">
        <v>666</v>
      </c>
      <c r="BK218" s="463">
        <v>0</v>
      </c>
      <c r="BL218" s="316" t="s">
        <v>675</v>
      </c>
      <c r="BM218" s="316" t="s">
        <v>676</v>
      </c>
      <c r="BN218" s="463">
        <v>0.01</v>
      </c>
      <c r="BO218" s="728">
        <f t="shared" si="296"/>
        <v>1</v>
      </c>
      <c r="BP218" s="463">
        <v>0.49</v>
      </c>
      <c r="BQ218" s="316" t="s">
        <v>514</v>
      </c>
      <c r="BR218" s="316" t="s">
        <v>666</v>
      </c>
      <c r="BS218" s="463">
        <v>0</v>
      </c>
      <c r="BT218" s="316" t="s">
        <v>675</v>
      </c>
      <c r="BU218" s="316" t="s">
        <v>676</v>
      </c>
      <c r="BV218" s="463">
        <v>0.01</v>
      </c>
      <c r="BW218" s="463">
        <f t="shared" si="297"/>
        <v>0.5</v>
      </c>
      <c r="BX218" s="444" t="s">
        <v>874</v>
      </c>
      <c r="BY218" s="444"/>
      <c r="BZ218" s="444"/>
      <c r="CA218" s="436" t="s">
        <v>874</v>
      </c>
      <c r="CB218" s="723">
        <v>0.71199999999999997</v>
      </c>
      <c r="CC218" s="668" t="s">
        <v>950</v>
      </c>
      <c r="CD218" s="316" t="s">
        <v>514</v>
      </c>
      <c r="CE218" s="316" t="s">
        <v>666</v>
      </c>
      <c r="CF218" s="718">
        <v>0</v>
      </c>
      <c r="CG218" s="316" t="s">
        <v>675</v>
      </c>
      <c r="CH218" s="316" t="s">
        <v>676</v>
      </c>
      <c r="CI218" s="718">
        <v>0.01</v>
      </c>
    </row>
    <row r="219" spans="1:87" ht="15.75" customHeight="1" x14ac:dyDescent="0.2">
      <c r="A219" s="747" t="s">
        <v>2431</v>
      </c>
      <c r="B219" s="469" t="s">
        <v>647</v>
      </c>
      <c r="C219" s="718">
        <v>0.49</v>
      </c>
      <c r="D219" s="469" t="s">
        <v>514</v>
      </c>
      <c r="E219" s="469" t="s">
        <v>515</v>
      </c>
      <c r="F219" s="718">
        <v>0</v>
      </c>
      <c r="G219" s="469" t="s">
        <v>560</v>
      </c>
      <c r="H219" s="469" t="s">
        <v>561</v>
      </c>
      <c r="I219" s="718">
        <v>0.01</v>
      </c>
      <c r="J219" s="748">
        <f t="shared" ref="J219" si="300">+C219+F219+I219</f>
        <v>0.5</v>
      </c>
      <c r="K219" s="842">
        <v>0.49</v>
      </c>
      <c r="L219" s="843" t="s">
        <v>514</v>
      </c>
      <c r="M219" s="843" t="s">
        <v>515</v>
      </c>
      <c r="N219" s="842">
        <v>0</v>
      </c>
      <c r="O219" s="843" t="s">
        <v>560</v>
      </c>
      <c r="P219" s="843" t="s">
        <v>561</v>
      </c>
      <c r="Q219" s="842">
        <v>0.01</v>
      </c>
      <c r="R219" s="844">
        <f t="shared" si="259"/>
        <v>0.5</v>
      </c>
      <c r="S219" s="842">
        <v>0.49</v>
      </c>
      <c r="T219" s="843" t="s">
        <v>514</v>
      </c>
      <c r="U219" s="843" t="s">
        <v>515</v>
      </c>
      <c r="V219" s="842">
        <v>0</v>
      </c>
      <c r="W219" s="843" t="s">
        <v>560</v>
      </c>
      <c r="X219" s="843" t="s">
        <v>561</v>
      </c>
      <c r="Y219" s="842">
        <v>0.01</v>
      </c>
      <c r="Z219" s="844">
        <f t="shared" si="299"/>
        <v>0.5</v>
      </c>
      <c r="AA219" s="842">
        <v>0.49</v>
      </c>
      <c r="AB219" s="843" t="s">
        <v>514</v>
      </c>
      <c r="AC219" s="843" t="s">
        <v>515</v>
      </c>
      <c r="AD219" s="842">
        <v>0</v>
      </c>
      <c r="AE219" s="843" t="s">
        <v>560</v>
      </c>
      <c r="AF219" s="843" t="s">
        <v>561</v>
      </c>
      <c r="AG219" s="842">
        <v>0.01</v>
      </c>
      <c r="AH219" s="844">
        <f t="shared" si="298"/>
        <v>0.5</v>
      </c>
      <c r="AI219" s="842">
        <v>0.49</v>
      </c>
      <c r="AJ219" s="843" t="s">
        <v>514</v>
      </c>
      <c r="AK219" s="843" t="s">
        <v>515</v>
      </c>
      <c r="AL219" s="842">
        <v>0</v>
      </c>
      <c r="AM219" s="843" t="s">
        <v>560</v>
      </c>
      <c r="AN219" s="843" t="s">
        <v>561</v>
      </c>
      <c r="AO219" s="842">
        <v>0.01</v>
      </c>
      <c r="AP219" s="844">
        <f t="shared" ref="AP219:AP228" si="301">+AI219+AL219+AO219</f>
        <v>0.5</v>
      </c>
      <c r="AQ219" s="842">
        <v>0.74</v>
      </c>
      <c r="AR219" s="843" t="s">
        <v>514</v>
      </c>
      <c r="AS219" s="843" t="s">
        <v>515</v>
      </c>
      <c r="AT219" s="842">
        <v>0</v>
      </c>
      <c r="AU219" s="843" t="s">
        <v>560</v>
      </c>
      <c r="AV219" s="843" t="s">
        <v>561</v>
      </c>
      <c r="AW219" s="842">
        <v>0.01</v>
      </c>
      <c r="AX219" s="844">
        <f t="shared" ref="AX219:AX228" si="302">+AQ219+AT219+AW219</f>
        <v>0.75</v>
      </c>
      <c r="AY219" s="842">
        <v>0.49</v>
      </c>
      <c r="AZ219" s="843" t="s">
        <v>514</v>
      </c>
      <c r="BA219" s="843" t="s">
        <v>515</v>
      </c>
      <c r="BB219" s="842">
        <v>0</v>
      </c>
      <c r="BC219" s="843" t="s">
        <v>560</v>
      </c>
      <c r="BD219" s="843" t="s">
        <v>561</v>
      </c>
      <c r="BE219" s="842">
        <v>0.01</v>
      </c>
      <c r="BF219" s="844">
        <f t="shared" ref="BF219:BF228" si="303">+AY219+BB219+BE219</f>
        <v>0.5</v>
      </c>
      <c r="BG219" s="842"/>
      <c r="BH219" s="842">
        <v>0.49</v>
      </c>
      <c r="BI219" s="843" t="s">
        <v>514</v>
      </c>
      <c r="BJ219" s="843" t="s">
        <v>515</v>
      </c>
      <c r="BK219" s="842">
        <v>0</v>
      </c>
      <c r="BL219" s="843" t="s">
        <v>560</v>
      </c>
      <c r="BM219" s="843" t="s">
        <v>561</v>
      </c>
      <c r="BN219" s="842">
        <v>0.01</v>
      </c>
      <c r="BO219" s="844">
        <f t="shared" ref="BO219:BO228" si="304">+BH219+BK219+BN219</f>
        <v>0.5</v>
      </c>
      <c r="BP219" s="842">
        <v>0.49</v>
      </c>
      <c r="BQ219" s="843" t="s">
        <v>514</v>
      </c>
      <c r="BR219" s="843" t="s">
        <v>515</v>
      </c>
      <c r="BS219" s="842">
        <v>0</v>
      </c>
      <c r="BT219" s="843" t="s">
        <v>560</v>
      </c>
      <c r="BU219" s="843" t="s">
        <v>561</v>
      </c>
      <c r="BV219" s="842">
        <v>0.01</v>
      </c>
      <c r="BW219" s="844">
        <f t="shared" ref="BW219:BW228" si="305">+BP219+BS219+BV219</f>
        <v>0.5</v>
      </c>
      <c r="BX219" s="845" t="s">
        <v>874</v>
      </c>
      <c r="BY219" s="845"/>
      <c r="BZ219" s="845"/>
      <c r="CA219" s="996" t="s">
        <v>874</v>
      </c>
      <c r="CB219" s="723">
        <v>0.67</v>
      </c>
      <c r="CC219" s="997" t="s">
        <v>950</v>
      </c>
      <c r="CD219" s="843" t="s">
        <v>514</v>
      </c>
      <c r="CE219" s="843" t="s">
        <v>515</v>
      </c>
      <c r="CF219" s="842">
        <v>0</v>
      </c>
      <c r="CG219" s="843" t="s">
        <v>560</v>
      </c>
      <c r="CH219" s="843" t="s">
        <v>561</v>
      </c>
      <c r="CI219" s="842">
        <v>0.01</v>
      </c>
    </row>
    <row r="220" spans="1:87" ht="15" x14ac:dyDescent="0.2">
      <c r="A220" s="747" t="s">
        <v>327</v>
      </c>
      <c r="B220" s="469" t="s">
        <v>326</v>
      </c>
      <c r="C220" s="718">
        <v>0.4</v>
      </c>
      <c r="D220" s="469" t="s">
        <v>539</v>
      </c>
      <c r="E220" s="469" t="s">
        <v>540</v>
      </c>
      <c r="F220" s="718">
        <v>0.09</v>
      </c>
      <c r="G220" s="469" t="s">
        <v>537</v>
      </c>
      <c r="H220" s="469" t="s">
        <v>538</v>
      </c>
      <c r="I220" s="718">
        <v>0.01</v>
      </c>
      <c r="J220" s="748">
        <f t="shared" si="258"/>
        <v>0.5</v>
      </c>
      <c r="K220" s="718">
        <v>0.4</v>
      </c>
      <c r="L220" s="316" t="s">
        <v>539</v>
      </c>
      <c r="M220" s="316" t="s">
        <v>540</v>
      </c>
      <c r="N220" s="718">
        <v>0.09</v>
      </c>
      <c r="O220" s="316" t="s">
        <v>537</v>
      </c>
      <c r="P220" s="316" t="s">
        <v>538</v>
      </c>
      <c r="Q220" s="718">
        <v>0.01</v>
      </c>
      <c r="R220" s="728">
        <f t="shared" si="259"/>
        <v>0.5</v>
      </c>
      <c r="S220" s="718">
        <v>0.4</v>
      </c>
      <c r="T220" s="316" t="s">
        <v>539</v>
      </c>
      <c r="U220" s="316" t="s">
        <v>540</v>
      </c>
      <c r="V220" s="718">
        <v>0.09</v>
      </c>
      <c r="W220" s="316" t="s">
        <v>537</v>
      </c>
      <c r="X220" s="316" t="s">
        <v>538</v>
      </c>
      <c r="Y220" s="718">
        <v>0.01</v>
      </c>
      <c r="Z220" s="728">
        <f t="shared" si="299"/>
        <v>0.5</v>
      </c>
      <c r="AA220" s="718">
        <v>0.4</v>
      </c>
      <c r="AB220" s="316" t="s">
        <v>539</v>
      </c>
      <c r="AC220" s="316" t="s">
        <v>540</v>
      </c>
      <c r="AD220" s="718">
        <v>0.09</v>
      </c>
      <c r="AE220" s="316" t="s">
        <v>537</v>
      </c>
      <c r="AF220" s="316" t="s">
        <v>538</v>
      </c>
      <c r="AG220" s="718">
        <v>0.01</v>
      </c>
      <c r="AH220" s="728">
        <f t="shared" ref="AH220:AH283" si="306">+AA220+AD220+AG220</f>
        <v>0.5</v>
      </c>
      <c r="AI220" s="718">
        <v>0.4</v>
      </c>
      <c r="AJ220" s="316" t="s">
        <v>539</v>
      </c>
      <c r="AK220" s="316" t="s">
        <v>540</v>
      </c>
      <c r="AL220" s="718">
        <v>0.09</v>
      </c>
      <c r="AM220" s="316" t="s">
        <v>537</v>
      </c>
      <c r="AN220" s="316" t="s">
        <v>538</v>
      </c>
      <c r="AO220" s="718">
        <v>0.01</v>
      </c>
      <c r="AP220" s="728">
        <f t="shared" si="301"/>
        <v>0.5</v>
      </c>
      <c r="AQ220" s="718">
        <v>0.4</v>
      </c>
      <c r="AR220" s="316" t="s">
        <v>539</v>
      </c>
      <c r="AS220" s="316" t="s">
        <v>540</v>
      </c>
      <c r="AT220" s="718">
        <v>0.09</v>
      </c>
      <c r="AU220" s="316" t="s">
        <v>537</v>
      </c>
      <c r="AV220" s="316" t="s">
        <v>538</v>
      </c>
      <c r="AW220" s="718">
        <v>0.01</v>
      </c>
      <c r="AX220" s="463">
        <f t="shared" si="302"/>
        <v>0.5</v>
      </c>
      <c r="AY220" s="661">
        <v>0.4</v>
      </c>
      <c r="AZ220" s="316" t="s">
        <v>539</v>
      </c>
      <c r="BA220" s="316" t="s">
        <v>540</v>
      </c>
      <c r="BB220" s="463">
        <v>0.09</v>
      </c>
      <c r="BC220" s="316" t="s">
        <v>537</v>
      </c>
      <c r="BD220" s="316" t="s">
        <v>538</v>
      </c>
      <c r="BE220" s="463">
        <v>0.01</v>
      </c>
      <c r="BF220" s="728">
        <f t="shared" si="303"/>
        <v>0.5</v>
      </c>
      <c r="BG220" s="463"/>
      <c r="BH220" s="463">
        <v>0.4</v>
      </c>
      <c r="BI220" s="316" t="s">
        <v>539</v>
      </c>
      <c r="BJ220" s="316" t="s">
        <v>540</v>
      </c>
      <c r="BK220" s="463">
        <v>0.09</v>
      </c>
      <c r="BL220" s="316" t="s">
        <v>537</v>
      </c>
      <c r="BM220" s="316" t="s">
        <v>538</v>
      </c>
      <c r="BN220" s="463">
        <v>0.01</v>
      </c>
      <c r="BO220" s="728">
        <f t="shared" si="304"/>
        <v>0.5</v>
      </c>
      <c r="BP220" s="463">
        <v>0.4</v>
      </c>
      <c r="BQ220" s="316" t="s">
        <v>539</v>
      </c>
      <c r="BR220" s="316" t="s">
        <v>540</v>
      </c>
      <c r="BS220" s="463">
        <v>0.09</v>
      </c>
      <c r="BT220" s="316" t="s">
        <v>537</v>
      </c>
      <c r="BU220" s="316" t="s">
        <v>538</v>
      </c>
      <c r="BV220" s="463">
        <v>0.01</v>
      </c>
      <c r="BW220" s="463">
        <f t="shared" si="305"/>
        <v>0.5</v>
      </c>
      <c r="BX220" s="444" t="s">
        <v>874</v>
      </c>
      <c r="BY220" s="444"/>
      <c r="BZ220" s="444"/>
      <c r="CA220" s="434"/>
      <c r="CB220" s="723">
        <v>0.69199999999999995</v>
      </c>
      <c r="CC220" s="668" t="s">
        <v>950</v>
      </c>
      <c r="CD220" s="316" t="s">
        <v>539</v>
      </c>
      <c r="CE220" s="316" t="s">
        <v>540</v>
      </c>
      <c r="CF220" s="718">
        <v>0.59</v>
      </c>
      <c r="CG220" s="316" t="s">
        <v>537</v>
      </c>
      <c r="CH220" s="316" t="s">
        <v>538</v>
      </c>
      <c r="CI220" s="718">
        <v>0.01</v>
      </c>
    </row>
    <row r="221" spans="1:87" ht="15.75" customHeight="1" x14ac:dyDescent="0.2">
      <c r="A221" s="747" t="s">
        <v>329</v>
      </c>
      <c r="B221" s="469" t="s">
        <v>328</v>
      </c>
      <c r="C221" s="718">
        <v>0.4</v>
      </c>
      <c r="D221" s="469" t="s">
        <v>556</v>
      </c>
      <c r="E221" s="469" t="s">
        <v>557</v>
      </c>
      <c r="F221" s="718">
        <v>0.09</v>
      </c>
      <c r="G221" s="469" t="s">
        <v>554</v>
      </c>
      <c r="H221" s="469" t="s">
        <v>555</v>
      </c>
      <c r="I221" s="718">
        <v>0.01</v>
      </c>
      <c r="J221" s="748">
        <f t="shared" si="258"/>
        <v>0.5</v>
      </c>
      <c r="K221" s="718">
        <v>0.4</v>
      </c>
      <c r="L221" s="316" t="s">
        <v>556</v>
      </c>
      <c r="M221" s="316" t="s">
        <v>557</v>
      </c>
      <c r="N221" s="718">
        <v>0.09</v>
      </c>
      <c r="O221" s="316" t="s">
        <v>554</v>
      </c>
      <c r="P221" s="316" t="s">
        <v>555</v>
      </c>
      <c r="Q221" s="718">
        <v>0.01</v>
      </c>
      <c r="R221" s="728">
        <f t="shared" si="259"/>
        <v>0.5</v>
      </c>
      <c r="S221" s="718">
        <v>0.4</v>
      </c>
      <c r="T221" s="316" t="s">
        <v>556</v>
      </c>
      <c r="U221" s="316" t="s">
        <v>557</v>
      </c>
      <c r="V221" s="718">
        <v>0.09</v>
      </c>
      <c r="W221" s="316" t="s">
        <v>554</v>
      </c>
      <c r="X221" s="316" t="s">
        <v>555</v>
      </c>
      <c r="Y221" s="718">
        <v>0.01</v>
      </c>
      <c r="Z221" s="728">
        <f t="shared" ref="Z221:Z227" si="307">+S221+V221+Y221</f>
        <v>0.5</v>
      </c>
      <c r="AA221" s="718">
        <v>0.4</v>
      </c>
      <c r="AB221" s="316" t="s">
        <v>556</v>
      </c>
      <c r="AC221" s="316" t="s">
        <v>557</v>
      </c>
      <c r="AD221" s="718">
        <v>0.09</v>
      </c>
      <c r="AE221" s="316" t="s">
        <v>554</v>
      </c>
      <c r="AF221" s="316" t="s">
        <v>555</v>
      </c>
      <c r="AG221" s="718">
        <v>0.01</v>
      </c>
      <c r="AH221" s="728">
        <f t="shared" si="306"/>
        <v>0.5</v>
      </c>
      <c r="AI221" s="718">
        <v>0.4</v>
      </c>
      <c r="AJ221" s="316" t="s">
        <v>556</v>
      </c>
      <c r="AK221" s="316" t="s">
        <v>557</v>
      </c>
      <c r="AL221" s="718">
        <v>0.09</v>
      </c>
      <c r="AM221" s="316" t="s">
        <v>554</v>
      </c>
      <c r="AN221" s="316" t="s">
        <v>555</v>
      </c>
      <c r="AO221" s="718">
        <v>0.01</v>
      </c>
      <c r="AP221" s="728">
        <f t="shared" si="301"/>
        <v>0.5</v>
      </c>
      <c r="AQ221" s="718">
        <v>0.4</v>
      </c>
      <c r="AR221" s="316" t="s">
        <v>556</v>
      </c>
      <c r="AS221" s="316" t="s">
        <v>557</v>
      </c>
      <c r="AT221" s="718">
        <v>0.09</v>
      </c>
      <c r="AU221" s="316" t="s">
        <v>554</v>
      </c>
      <c r="AV221" s="316" t="s">
        <v>555</v>
      </c>
      <c r="AW221" s="718">
        <v>0.01</v>
      </c>
      <c r="AX221" s="463">
        <f t="shared" si="302"/>
        <v>0.5</v>
      </c>
      <c r="AY221" s="661">
        <v>0.5</v>
      </c>
      <c r="AZ221" s="316" t="s">
        <v>556</v>
      </c>
      <c r="BA221" s="316" t="s">
        <v>557</v>
      </c>
      <c r="BB221" s="463">
        <v>0.49</v>
      </c>
      <c r="BC221" s="316" t="s">
        <v>554</v>
      </c>
      <c r="BD221" s="316" t="s">
        <v>555</v>
      </c>
      <c r="BE221" s="463">
        <v>0.01</v>
      </c>
      <c r="BF221" s="728">
        <f t="shared" si="303"/>
        <v>1</v>
      </c>
      <c r="BG221" s="463"/>
      <c r="BH221" s="463">
        <v>0.4</v>
      </c>
      <c r="BI221" s="316" t="s">
        <v>556</v>
      </c>
      <c r="BJ221" s="316" t="s">
        <v>557</v>
      </c>
      <c r="BK221" s="463">
        <v>0.09</v>
      </c>
      <c r="BL221" s="316" t="s">
        <v>554</v>
      </c>
      <c r="BM221" s="316" t="s">
        <v>555</v>
      </c>
      <c r="BN221" s="463">
        <v>0.01</v>
      </c>
      <c r="BO221" s="728">
        <f t="shared" si="304"/>
        <v>0.5</v>
      </c>
      <c r="BP221" s="463">
        <v>0.4</v>
      </c>
      <c r="BQ221" s="316" t="s">
        <v>556</v>
      </c>
      <c r="BR221" s="316" t="s">
        <v>557</v>
      </c>
      <c r="BS221" s="463">
        <v>0.09</v>
      </c>
      <c r="BT221" s="316" t="s">
        <v>554</v>
      </c>
      <c r="BU221" s="316" t="s">
        <v>555</v>
      </c>
      <c r="BV221" s="463">
        <v>0.01</v>
      </c>
      <c r="BW221" s="463">
        <f t="shared" si="305"/>
        <v>0.5</v>
      </c>
      <c r="BX221" s="444" t="s">
        <v>874</v>
      </c>
      <c r="BY221" s="444" t="s">
        <v>874</v>
      </c>
      <c r="BZ221" s="444"/>
      <c r="CA221" s="434"/>
      <c r="CB221" s="723">
        <v>0.69399999999999995</v>
      </c>
      <c r="CC221" s="668" t="s">
        <v>950</v>
      </c>
      <c r="CD221" s="316" t="s">
        <v>556</v>
      </c>
      <c r="CE221" s="316" t="s">
        <v>557</v>
      </c>
      <c r="CF221" s="718">
        <v>0.59</v>
      </c>
      <c r="CG221" s="316" t="s">
        <v>554</v>
      </c>
      <c r="CH221" s="316" t="s">
        <v>555</v>
      </c>
      <c r="CI221" s="718">
        <v>0.01</v>
      </c>
    </row>
    <row r="222" spans="1:87" ht="15" x14ac:dyDescent="0.2">
      <c r="A222" s="747" t="s">
        <v>331</v>
      </c>
      <c r="B222" s="469" t="s">
        <v>519</v>
      </c>
      <c r="C222" s="718">
        <v>0.94</v>
      </c>
      <c r="D222" s="469" t="s">
        <v>1178</v>
      </c>
      <c r="E222" s="469" t="s">
        <v>1179</v>
      </c>
      <c r="F222" s="718">
        <v>0.05</v>
      </c>
      <c r="G222" s="469" t="s">
        <v>516</v>
      </c>
      <c r="H222" s="469" t="s">
        <v>517</v>
      </c>
      <c r="I222" s="718">
        <v>0.01</v>
      </c>
      <c r="J222" s="748">
        <f t="shared" si="258"/>
        <v>1</v>
      </c>
      <c r="K222" s="718">
        <v>0.94</v>
      </c>
      <c r="L222" s="316" t="s">
        <v>1178</v>
      </c>
      <c r="M222" s="316" t="s">
        <v>1179</v>
      </c>
      <c r="N222" s="718">
        <v>0.05</v>
      </c>
      <c r="O222" s="316" t="s">
        <v>516</v>
      </c>
      <c r="P222" s="316" t="s">
        <v>517</v>
      </c>
      <c r="Q222" s="718">
        <v>0.01</v>
      </c>
      <c r="R222" s="728">
        <f t="shared" si="259"/>
        <v>1</v>
      </c>
      <c r="S222" s="718">
        <v>0.94</v>
      </c>
      <c r="T222" s="316" t="s">
        <v>1178</v>
      </c>
      <c r="U222" s="316" t="s">
        <v>1179</v>
      </c>
      <c r="V222" s="718">
        <v>0.05</v>
      </c>
      <c r="W222" s="316" t="s">
        <v>516</v>
      </c>
      <c r="X222" s="316" t="s">
        <v>517</v>
      </c>
      <c r="Y222" s="718">
        <v>0.01</v>
      </c>
      <c r="Z222" s="728">
        <f t="shared" si="307"/>
        <v>1</v>
      </c>
      <c r="AA222" s="718">
        <v>0.94</v>
      </c>
      <c r="AB222" s="316" t="s">
        <v>1178</v>
      </c>
      <c r="AC222" s="316" t="s">
        <v>1179</v>
      </c>
      <c r="AD222" s="718">
        <v>0.05</v>
      </c>
      <c r="AE222" s="316" t="s">
        <v>516</v>
      </c>
      <c r="AF222" s="316" t="s">
        <v>517</v>
      </c>
      <c r="AG222" s="718">
        <v>0.01</v>
      </c>
      <c r="AH222" s="728">
        <f t="shared" si="306"/>
        <v>1</v>
      </c>
      <c r="AI222" s="718">
        <v>0.94</v>
      </c>
      <c r="AJ222" s="316" t="s">
        <v>1178</v>
      </c>
      <c r="AK222" s="316" t="s">
        <v>1179</v>
      </c>
      <c r="AL222" s="718">
        <v>0.05</v>
      </c>
      <c r="AM222" s="316" t="s">
        <v>516</v>
      </c>
      <c r="AN222" s="316" t="s">
        <v>517</v>
      </c>
      <c r="AO222" s="718">
        <v>0.01</v>
      </c>
      <c r="AP222" s="728">
        <f t="shared" si="301"/>
        <v>1</v>
      </c>
      <c r="AQ222" s="718">
        <v>0.94</v>
      </c>
      <c r="AR222" s="316" t="s">
        <v>1178</v>
      </c>
      <c r="AS222" s="316" t="s">
        <v>1179</v>
      </c>
      <c r="AT222" s="718">
        <v>0.05</v>
      </c>
      <c r="AU222" s="316" t="s">
        <v>516</v>
      </c>
      <c r="AV222" s="316" t="s">
        <v>517</v>
      </c>
      <c r="AW222" s="718">
        <v>0.01</v>
      </c>
      <c r="AX222" s="463">
        <f t="shared" si="302"/>
        <v>1</v>
      </c>
      <c r="AY222" s="661">
        <v>0.94</v>
      </c>
      <c r="AZ222" s="316" t="s">
        <v>1178</v>
      </c>
      <c r="BA222" s="316" t="s">
        <v>1179</v>
      </c>
      <c r="BB222" s="463">
        <v>0.05</v>
      </c>
      <c r="BC222" s="316" t="s">
        <v>516</v>
      </c>
      <c r="BD222" s="316" t="s">
        <v>517</v>
      </c>
      <c r="BE222" s="463">
        <v>0.01</v>
      </c>
      <c r="BF222" s="728">
        <f t="shared" si="303"/>
        <v>1</v>
      </c>
      <c r="BG222" s="463"/>
      <c r="BH222" s="463">
        <v>0.94</v>
      </c>
      <c r="BI222" s="316" t="s">
        <v>1178</v>
      </c>
      <c r="BJ222" s="316" t="s">
        <v>1179</v>
      </c>
      <c r="BK222" s="463">
        <v>0.05</v>
      </c>
      <c r="BL222" s="316" t="s">
        <v>516</v>
      </c>
      <c r="BM222" s="316" t="s">
        <v>517</v>
      </c>
      <c r="BN222" s="463">
        <v>0.01</v>
      </c>
      <c r="BO222" s="728">
        <f t="shared" si="304"/>
        <v>1</v>
      </c>
      <c r="BP222" s="463">
        <v>0.49</v>
      </c>
      <c r="BQ222" s="316" t="s">
        <v>514</v>
      </c>
      <c r="BR222" s="316" t="s">
        <v>515</v>
      </c>
      <c r="BS222" s="463">
        <v>0</v>
      </c>
      <c r="BT222" s="316" t="s">
        <v>516</v>
      </c>
      <c r="BU222" s="316" t="s">
        <v>517</v>
      </c>
      <c r="BV222" s="463">
        <v>0.01</v>
      </c>
      <c r="BW222" s="463">
        <f t="shared" si="305"/>
        <v>0.5</v>
      </c>
      <c r="BX222" s="444" t="s">
        <v>874</v>
      </c>
      <c r="BY222" s="444"/>
      <c r="BZ222" s="444"/>
      <c r="CA222" s="436" t="s">
        <v>874</v>
      </c>
      <c r="CB222" s="723">
        <v>0.68500000000000005</v>
      </c>
      <c r="CC222" s="668" t="s">
        <v>950</v>
      </c>
      <c r="CD222" s="316" t="s">
        <v>1178</v>
      </c>
      <c r="CE222" s="316" t="s">
        <v>1179</v>
      </c>
      <c r="CF222" s="718">
        <v>0.59</v>
      </c>
      <c r="CG222" s="316" t="s">
        <v>516</v>
      </c>
      <c r="CH222" s="316" t="s">
        <v>517</v>
      </c>
      <c r="CI222" s="718">
        <v>0.01</v>
      </c>
    </row>
    <row r="223" spans="1:87" ht="15.75" customHeight="1" x14ac:dyDescent="0.2">
      <c r="A223" s="747" t="s">
        <v>333</v>
      </c>
      <c r="B223" s="469" t="s">
        <v>332</v>
      </c>
      <c r="C223" s="718">
        <v>0.4</v>
      </c>
      <c r="D223" s="469" t="s">
        <v>563</v>
      </c>
      <c r="E223" s="469" t="s">
        <v>564</v>
      </c>
      <c r="F223" s="718">
        <v>0.09</v>
      </c>
      <c r="G223" s="469" t="s">
        <v>560</v>
      </c>
      <c r="H223" s="469" t="s">
        <v>561</v>
      </c>
      <c r="I223" s="718">
        <v>0.01</v>
      </c>
      <c r="J223" s="748">
        <f t="shared" si="258"/>
        <v>0.5</v>
      </c>
      <c r="K223" s="718">
        <v>0.4</v>
      </c>
      <c r="L223" s="316" t="s">
        <v>563</v>
      </c>
      <c r="M223" s="316" t="s">
        <v>564</v>
      </c>
      <c r="N223" s="718">
        <v>0.09</v>
      </c>
      <c r="O223" s="316" t="s">
        <v>560</v>
      </c>
      <c r="P223" s="316" t="s">
        <v>561</v>
      </c>
      <c r="Q223" s="718">
        <v>0.01</v>
      </c>
      <c r="R223" s="728">
        <f t="shared" si="259"/>
        <v>0.5</v>
      </c>
      <c r="S223" s="718">
        <v>0.4</v>
      </c>
      <c r="T223" s="316" t="s">
        <v>563</v>
      </c>
      <c r="U223" s="316" t="s">
        <v>564</v>
      </c>
      <c r="V223" s="718">
        <v>0.09</v>
      </c>
      <c r="W223" s="316" t="s">
        <v>560</v>
      </c>
      <c r="X223" s="316" t="s">
        <v>561</v>
      </c>
      <c r="Y223" s="718">
        <v>0.01</v>
      </c>
      <c r="Z223" s="728">
        <f t="shared" si="307"/>
        <v>0.5</v>
      </c>
      <c r="AA223" s="718">
        <v>0.4</v>
      </c>
      <c r="AB223" s="316" t="s">
        <v>563</v>
      </c>
      <c r="AC223" s="316" t="s">
        <v>564</v>
      </c>
      <c r="AD223" s="718">
        <v>0.09</v>
      </c>
      <c r="AE223" s="316" t="s">
        <v>560</v>
      </c>
      <c r="AF223" s="316" t="s">
        <v>561</v>
      </c>
      <c r="AG223" s="718">
        <v>0.01</v>
      </c>
      <c r="AH223" s="728">
        <f t="shared" si="306"/>
        <v>0.5</v>
      </c>
      <c r="AI223" s="718">
        <v>0.4</v>
      </c>
      <c r="AJ223" s="316" t="s">
        <v>563</v>
      </c>
      <c r="AK223" s="316" t="s">
        <v>564</v>
      </c>
      <c r="AL223" s="718">
        <v>0.09</v>
      </c>
      <c r="AM223" s="316" t="s">
        <v>560</v>
      </c>
      <c r="AN223" s="316" t="s">
        <v>561</v>
      </c>
      <c r="AO223" s="718">
        <v>0.01</v>
      </c>
      <c r="AP223" s="728">
        <f t="shared" si="301"/>
        <v>0.5</v>
      </c>
      <c r="AQ223" s="718">
        <v>0.4</v>
      </c>
      <c r="AR223" s="316" t="s">
        <v>563</v>
      </c>
      <c r="AS223" s="316" t="s">
        <v>564</v>
      </c>
      <c r="AT223" s="718">
        <v>0.09</v>
      </c>
      <c r="AU223" s="316" t="s">
        <v>560</v>
      </c>
      <c r="AV223" s="316" t="s">
        <v>561</v>
      </c>
      <c r="AW223" s="718">
        <v>0.01</v>
      </c>
      <c r="AX223" s="463">
        <f t="shared" si="302"/>
        <v>0.5</v>
      </c>
      <c r="AY223" s="661">
        <v>0.4</v>
      </c>
      <c r="AZ223" s="316" t="s">
        <v>563</v>
      </c>
      <c r="BA223" s="316" t="s">
        <v>564</v>
      </c>
      <c r="BB223" s="463">
        <v>0.59</v>
      </c>
      <c r="BC223" s="316" t="s">
        <v>560</v>
      </c>
      <c r="BD223" s="316" t="s">
        <v>561</v>
      </c>
      <c r="BE223" s="463">
        <v>0.01</v>
      </c>
      <c r="BF223" s="728">
        <f t="shared" si="303"/>
        <v>1</v>
      </c>
      <c r="BG223" s="463"/>
      <c r="BH223" s="463">
        <v>0.4</v>
      </c>
      <c r="BI223" s="316" t="s">
        <v>563</v>
      </c>
      <c r="BJ223" s="316" t="s">
        <v>564</v>
      </c>
      <c r="BK223" s="463">
        <v>0.09</v>
      </c>
      <c r="BL223" s="316" t="s">
        <v>560</v>
      </c>
      <c r="BM223" s="316" t="s">
        <v>561</v>
      </c>
      <c r="BN223" s="463">
        <v>0.01</v>
      </c>
      <c r="BO223" s="728">
        <f t="shared" si="304"/>
        <v>0.5</v>
      </c>
      <c r="BP223" s="463">
        <v>0.4</v>
      </c>
      <c r="BQ223" s="316" t="s">
        <v>563</v>
      </c>
      <c r="BR223" s="316" t="s">
        <v>564</v>
      </c>
      <c r="BS223" s="463">
        <v>0.09</v>
      </c>
      <c r="BT223" s="316" t="s">
        <v>560</v>
      </c>
      <c r="BU223" s="316" t="s">
        <v>561</v>
      </c>
      <c r="BV223" s="463">
        <v>0.01</v>
      </c>
      <c r="BW223" s="463">
        <f t="shared" si="305"/>
        <v>0.5</v>
      </c>
      <c r="BX223" s="444" t="s">
        <v>874</v>
      </c>
      <c r="BY223" s="444" t="s">
        <v>874</v>
      </c>
      <c r="BZ223" s="444"/>
      <c r="CA223" s="434"/>
      <c r="CB223" s="723">
        <v>0.64500000000000002</v>
      </c>
      <c r="CC223" s="668" t="s">
        <v>950</v>
      </c>
      <c r="CD223" s="316" t="s">
        <v>563</v>
      </c>
      <c r="CE223" s="316" t="s">
        <v>564</v>
      </c>
      <c r="CF223" s="718">
        <v>0.59</v>
      </c>
      <c r="CG223" s="316" t="s">
        <v>560</v>
      </c>
      <c r="CH223" s="316" t="s">
        <v>561</v>
      </c>
      <c r="CI223" s="718">
        <v>0.01</v>
      </c>
    </row>
    <row r="224" spans="1:87" ht="15.75" customHeight="1" x14ac:dyDescent="0.2">
      <c r="A224" s="747" t="s">
        <v>335</v>
      </c>
      <c r="B224" s="469" t="s">
        <v>334</v>
      </c>
      <c r="C224" s="718">
        <v>0.4</v>
      </c>
      <c r="D224" s="469" t="s">
        <v>625</v>
      </c>
      <c r="E224" s="469" t="s">
        <v>626</v>
      </c>
      <c r="F224" s="718">
        <v>0.1</v>
      </c>
      <c r="G224" s="469" t="s">
        <v>514</v>
      </c>
      <c r="H224" s="469" t="s">
        <v>552</v>
      </c>
      <c r="I224" s="718">
        <v>0</v>
      </c>
      <c r="J224" s="748">
        <f t="shared" si="258"/>
        <v>0.5</v>
      </c>
      <c r="K224" s="718">
        <v>0.4</v>
      </c>
      <c r="L224" s="316" t="s">
        <v>625</v>
      </c>
      <c r="M224" s="316" t="s">
        <v>626</v>
      </c>
      <c r="N224" s="718">
        <v>0.1</v>
      </c>
      <c r="O224" s="316" t="s">
        <v>514</v>
      </c>
      <c r="P224" s="316" t="s">
        <v>552</v>
      </c>
      <c r="Q224" s="718">
        <v>0</v>
      </c>
      <c r="R224" s="728">
        <f t="shared" si="259"/>
        <v>0.5</v>
      </c>
      <c r="S224" s="718">
        <v>0.4</v>
      </c>
      <c r="T224" s="316" t="s">
        <v>625</v>
      </c>
      <c r="U224" s="316" t="s">
        <v>626</v>
      </c>
      <c r="V224" s="718">
        <v>0.1</v>
      </c>
      <c r="W224" s="316" t="s">
        <v>514</v>
      </c>
      <c r="X224" s="316" t="s">
        <v>552</v>
      </c>
      <c r="Y224" s="718">
        <v>0</v>
      </c>
      <c r="Z224" s="728">
        <f t="shared" si="307"/>
        <v>0.5</v>
      </c>
      <c r="AA224" s="718">
        <v>0.4</v>
      </c>
      <c r="AB224" s="316" t="s">
        <v>625</v>
      </c>
      <c r="AC224" s="316" t="s">
        <v>626</v>
      </c>
      <c r="AD224" s="718">
        <v>0.1</v>
      </c>
      <c r="AE224" s="316" t="s">
        <v>514</v>
      </c>
      <c r="AF224" s="316" t="s">
        <v>552</v>
      </c>
      <c r="AG224" s="718">
        <v>0</v>
      </c>
      <c r="AH224" s="728">
        <f t="shared" si="306"/>
        <v>0.5</v>
      </c>
      <c r="AI224" s="718">
        <v>0.4</v>
      </c>
      <c r="AJ224" s="316" t="s">
        <v>625</v>
      </c>
      <c r="AK224" s="316" t="s">
        <v>626</v>
      </c>
      <c r="AL224" s="718">
        <v>0.1</v>
      </c>
      <c r="AM224" s="316" t="s">
        <v>514</v>
      </c>
      <c r="AN224" s="316" t="s">
        <v>552</v>
      </c>
      <c r="AO224" s="718">
        <v>0</v>
      </c>
      <c r="AP224" s="728">
        <f t="shared" si="301"/>
        <v>0.5</v>
      </c>
      <c r="AQ224" s="718">
        <v>0.4</v>
      </c>
      <c r="AR224" s="316" t="s">
        <v>625</v>
      </c>
      <c r="AS224" s="316" t="s">
        <v>626</v>
      </c>
      <c r="AT224" s="718">
        <v>0.1</v>
      </c>
      <c r="AU224" s="316" t="s">
        <v>514</v>
      </c>
      <c r="AV224" s="316" t="s">
        <v>552</v>
      </c>
      <c r="AW224" s="718">
        <v>0</v>
      </c>
      <c r="AX224" s="463">
        <f t="shared" si="302"/>
        <v>0.5</v>
      </c>
      <c r="AY224" s="661">
        <v>0.6</v>
      </c>
      <c r="AZ224" s="316" t="s">
        <v>625</v>
      </c>
      <c r="BA224" s="316" t="s">
        <v>626</v>
      </c>
      <c r="BB224" s="463">
        <v>0.4</v>
      </c>
      <c r="BC224" s="316" t="s">
        <v>514</v>
      </c>
      <c r="BD224" s="316" t="s">
        <v>552</v>
      </c>
      <c r="BE224" s="463">
        <v>0</v>
      </c>
      <c r="BF224" s="728">
        <f t="shared" si="303"/>
        <v>1</v>
      </c>
      <c r="BG224" s="463"/>
      <c r="BH224" s="463">
        <v>0.4</v>
      </c>
      <c r="BI224" s="316" t="s">
        <v>625</v>
      </c>
      <c r="BJ224" s="316" t="s">
        <v>626</v>
      </c>
      <c r="BK224" s="463">
        <v>0.1</v>
      </c>
      <c r="BL224" s="316" t="s">
        <v>514</v>
      </c>
      <c r="BM224" s="316" t="s">
        <v>552</v>
      </c>
      <c r="BN224" s="463">
        <v>0</v>
      </c>
      <c r="BO224" s="728">
        <f t="shared" si="304"/>
        <v>0.5</v>
      </c>
      <c r="BP224" s="463">
        <v>0.4</v>
      </c>
      <c r="BQ224" s="316" t="s">
        <v>625</v>
      </c>
      <c r="BR224" s="316" t="s">
        <v>626</v>
      </c>
      <c r="BS224" s="463">
        <v>0.1</v>
      </c>
      <c r="BT224" s="316" t="s">
        <v>514</v>
      </c>
      <c r="BU224" s="316" t="s">
        <v>552</v>
      </c>
      <c r="BV224" s="463">
        <v>0</v>
      </c>
      <c r="BW224" s="463">
        <f t="shared" si="305"/>
        <v>0.5</v>
      </c>
      <c r="BX224" s="444"/>
      <c r="BY224" s="444"/>
      <c r="BZ224" s="444"/>
      <c r="CA224" s="434"/>
      <c r="CB224" s="723">
        <v>0.65800000000000003</v>
      </c>
      <c r="CC224" s="668" t="s">
        <v>950</v>
      </c>
      <c r="CD224" s="316" t="s">
        <v>625</v>
      </c>
      <c r="CE224" s="316" t="s">
        <v>626</v>
      </c>
      <c r="CF224" s="718">
        <v>0.6</v>
      </c>
      <c r="CG224" s="316" t="s">
        <v>514</v>
      </c>
      <c r="CH224" s="316" t="s">
        <v>552</v>
      </c>
      <c r="CI224" s="718">
        <v>0</v>
      </c>
    </row>
    <row r="225" spans="1:87" ht="15.75" customHeight="1" x14ac:dyDescent="0.2">
      <c r="A225" s="747" t="s">
        <v>337</v>
      </c>
      <c r="B225" s="469" t="s">
        <v>336</v>
      </c>
      <c r="C225" s="718">
        <v>0.4</v>
      </c>
      <c r="D225" s="469" t="s">
        <v>625</v>
      </c>
      <c r="E225" s="469" t="s">
        <v>626</v>
      </c>
      <c r="F225" s="718">
        <v>0.1</v>
      </c>
      <c r="G225" s="469" t="s">
        <v>514</v>
      </c>
      <c r="H225" s="469" t="s">
        <v>552</v>
      </c>
      <c r="I225" s="718">
        <v>0</v>
      </c>
      <c r="J225" s="748">
        <f t="shared" si="258"/>
        <v>0.5</v>
      </c>
      <c r="K225" s="718">
        <v>0.4</v>
      </c>
      <c r="L225" s="316" t="s">
        <v>625</v>
      </c>
      <c r="M225" s="316" t="s">
        <v>626</v>
      </c>
      <c r="N225" s="718">
        <v>0.1</v>
      </c>
      <c r="O225" s="316" t="s">
        <v>514</v>
      </c>
      <c r="P225" s="316" t="s">
        <v>552</v>
      </c>
      <c r="Q225" s="718">
        <v>0</v>
      </c>
      <c r="R225" s="728">
        <f t="shared" si="259"/>
        <v>0.5</v>
      </c>
      <c r="S225" s="718">
        <v>0.4</v>
      </c>
      <c r="T225" s="316" t="s">
        <v>625</v>
      </c>
      <c r="U225" s="316" t="s">
        <v>626</v>
      </c>
      <c r="V225" s="718">
        <v>0.1</v>
      </c>
      <c r="W225" s="316" t="s">
        <v>514</v>
      </c>
      <c r="X225" s="316" t="s">
        <v>552</v>
      </c>
      <c r="Y225" s="718">
        <v>0</v>
      </c>
      <c r="Z225" s="728">
        <f t="shared" si="307"/>
        <v>0.5</v>
      </c>
      <c r="AA225" s="718">
        <v>0.4</v>
      </c>
      <c r="AB225" s="316" t="s">
        <v>625</v>
      </c>
      <c r="AC225" s="316" t="s">
        <v>626</v>
      </c>
      <c r="AD225" s="718">
        <v>0.1</v>
      </c>
      <c r="AE225" s="316" t="s">
        <v>514</v>
      </c>
      <c r="AF225" s="316" t="s">
        <v>552</v>
      </c>
      <c r="AG225" s="718">
        <v>0</v>
      </c>
      <c r="AH225" s="728">
        <f t="shared" si="306"/>
        <v>0.5</v>
      </c>
      <c r="AI225" s="718">
        <v>0.4</v>
      </c>
      <c r="AJ225" s="316" t="s">
        <v>625</v>
      </c>
      <c r="AK225" s="316" t="s">
        <v>626</v>
      </c>
      <c r="AL225" s="718">
        <v>0.1</v>
      </c>
      <c r="AM225" s="316" t="s">
        <v>514</v>
      </c>
      <c r="AN225" s="316" t="s">
        <v>552</v>
      </c>
      <c r="AO225" s="718">
        <v>0</v>
      </c>
      <c r="AP225" s="728">
        <f t="shared" si="301"/>
        <v>0.5</v>
      </c>
      <c r="AQ225" s="718">
        <v>0.4</v>
      </c>
      <c r="AR225" s="316" t="s">
        <v>625</v>
      </c>
      <c r="AS225" s="316" t="s">
        <v>626</v>
      </c>
      <c r="AT225" s="718">
        <v>0.1</v>
      </c>
      <c r="AU225" s="316" t="s">
        <v>514</v>
      </c>
      <c r="AV225" s="316" t="s">
        <v>552</v>
      </c>
      <c r="AW225" s="718">
        <v>0</v>
      </c>
      <c r="AX225" s="463">
        <f t="shared" si="302"/>
        <v>0.5</v>
      </c>
      <c r="AY225" s="661">
        <v>0.6</v>
      </c>
      <c r="AZ225" s="316" t="s">
        <v>625</v>
      </c>
      <c r="BA225" s="316" t="s">
        <v>626</v>
      </c>
      <c r="BB225" s="463">
        <v>0.4</v>
      </c>
      <c r="BC225" s="316" t="s">
        <v>514</v>
      </c>
      <c r="BD225" s="316" t="s">
        <v>552</v>
      </c>
      <c r="BE225" s="463">
        <v>0</v>
      </c>
      <c r="BF225" s="728">
        <f t="shared" si="303"/>
        <v>1</v>
      </c>
      <c r="BG225" s="463"/>
      <c r="BH225" s="463">
        <v>0.4</v>
      </c>
      <c r="BI225" s="316" t="s">
        <v>625</v>
      </c>
      <c r="BJ225" s="316" t="s">
        <v>626</v>
      </c>
      <c r="BK225" s="463">
        <v>0.1</v>
      </c>
      <c r="BL225" s="316" t="s">
        <v>514</v>
      </c>
      <c r="BM225" s="316" t="s">
        <v>552</v>
      </c>
      <c r="BN225" s="463">
        <v>0</v>
      </c>
      <c r="BO225" s="728">
        <f t="shared" si="304"/>
        <v>0.5</v>
      </c>
      <c r="BP225" s="463">
        <v>0.4</v>
      </c>
      <c r="BQ225" s="316" t="s">
        <v>625</v>
      </c>
      <c r="BR225" s="316" t="s">
        <v>626</v>
      </c>
      <c r="BS225" s="463">
        <v>0.1</v>
      </c>
      <c r="BT225" s="316" t="s">
        <v>514</v>
      </c>
      <c r="BU225" s="316" t="s">
        <v>552</v>
      </c>
      <c r="BV225" s="463">
        <v>0</v>
      </c>
      <c r="BW225" s="463">
        <f t="shared" si="305"/>
        <v>0.5</v>
      </c>
      <c r="BX225" s="444"/>
      <c r="BY225" s="444"/>
      <c r="BZ225" s="444"/>
      <c r="CA225" s="434"/>
      <c r="CB225" s="723">
        <v>0.70099999999999996</v>
      </c>
      <c r="CC225" s="668" t="s">
        <v>950</v>
      </c>
      <c r="CD225" s="316" t="s">
        <v>625</v>
      </c>
      <c r="CE225" s="316" t="s">
        <v>626</v>
      </c>
      <c r="CF225" s="718">
        <v>0.6</v>
      </c>
      <c r="CG225" s="316" t="s">
        <v>514</v>
      </c>
      <c r="CH225" s="316" t="s">
        <v>552</v>
      </c>
      <c r="CI225" s="718">
        <v>0</v>
      </c>
    </row>
    <row r="226" spans="1:87" ht="15" x14ac:dyDescent="0.2">
      <c r="A226" s="747" t="s">
        <v>339</v>
      </c>
      <c r="B226" s="469" t="s">
        <v>338</v>
      </c>
      <c r="C226" s="718">
        <v>0.4</v>
      </c>
      <c r="D226" s="469" t="s">
        <v>627</v>
      </c>
      <c r="E226" s="469" t="s">
        <v>628</v>
      </c>
      <c r="F226" s="718">
        <v>0.1</v>
      </c>
      <c r="G226" s="469" t="s">
        <v>514</v>
      </c>
      <c r="H226" s="469" t="s">
        <v>552</v>
      </c>
      <c r="I226" s="718">
        <v>0</v>
      </c>
      <c r="J226" s="748">
        <f t="shared" si="258"/>
        <v>0.5</v>
      </c>
      <c r="K226" s="718">
        <v>0.4</v>
      </c>
      <c r="L226" s="316" t="s">
        <v>627</v>
      </c>
      <c r="M226" s="316" t="s">
        <v>628</v>
      </c>
      <c r="N226" s="718">
        <v>0.1</v>
      </c>
      <c r="O226" s="316" t="s">
        <v>514</v>
      </c>
      <c r="P226" s="316" t="s">
        <v>552</v>
      </c>
      <c r="Q226" s="718">
        <v>0</v>
      </c>
      <c r="R226" s="728">
        <f t="shared" si="259"/>
        <v>0.5</v>
      </c>
      <c r="S226" s="718">
        <v>0.4</v>
      </c>
      <c r="T226" s="316" t="s">
        <v>627</v>
      </c>
      <c r="U226" s="316" t="s">
        <v>628</v>
      </c>
      <c r="V226" s="718">
        <v>0.1</v>
      </c>
      <c r="W226" s="316" t="s">
        <v>514</v>
      </c>
      <c r="X226" s="316" t="s">
        <v>552</v>
      </c>
      <c r="Y226" s="718">
        <v>0</v>
      </c>
      <c r="Z226" s="728">
        <f t="shared" si="307"/>
        <v>0.5</v>
      </c>
      <c r="AA226" s="718">
        <v>0.4</v>
      </c>
      <c r="AB226" s="316" t="s">
        <v>627</v>
      </c>
      <c r="AC226" s="316" t="s">
        <v>628</v>
      </c>
      <c r="AD226" s="718">
        <v>0.1</v>
      </c>
      <c r="AE226" s="316" t="s">
        <v>514</v>
      </c>
      <c r="AF226" s="316" t="s">
        <v>552</v>
      </c>
      <c r="AG226" s="718">
        <v>0</v>
      </c>
      <c r="AH226" s="728">
        <f t="shared" si="306"/>
        <v>0.5</v>
      </c>
      <c r="AI226" s="718">
        <v>0.4</v>
      </c>
      <c r="AJ226" s="316" t="s">
        <v>627</v>
      </c>
      <c r="AK226" s="316" t="s">
        <v>628</v>
      </c>
      <c r="AL226" s="718">
        <v>0.1</v>
      </c>
      <c r="AM226" s="316" t="s">
        <v>514</v>
      </c>
      <c r="AN226" s="316" t="s">
        <v>552</v>
      </c>
      <c r="AO226" s="718">
        <v>0</v>
      </c>
      <c r="AP226" s="728">
        <f t="shared" si="301"/>
        <v>0.5</v>
      </c>
      <c r="AQ226" s="718">
        <v>0.42499999999999999</v>
      </c>
      <c r="AR226" s="316" t="s">
        <v>627</v>
      </c>
      <c r="AS226" s="316" t="s">
        <v>628</v>
      </c>
      <c r="AT226" s="718">
        <v>0.32500000000000001</v>
      </c>
      <c r="AU226" s="316" t="s">
        <v>514</v>
      </c>
      <c r="AV226" s="316" t="s">
        <v>552</v>
      </c>
      <c r="AW226" s="718">
        <v>0</v>
      </c>
      <c r="AX226" s="463">
        <f t="shared" si="302"/>
        <v>0.75</v>
      </c>
      <c r="AY226" s="661">
        <v>0.4</v>
      </c>
      <c r="AZ226" s="316" t="s">
        <v>627</v>
      </c>
      <c r="BA226" s="316" t="s">
        <v>628</v>
      </c>
      <c r="BB226" s="463">
        <v>0.1</v>
      </c>
      <c r="BC226" s="316" t="s">
        <v>514</v>
      </c>
      <c r="BD226" s="316" t="s">
        <v>552</v>
      </c>
      <c r="BE226" s="463">
        <v>0</v>
      </c>
      <c r="BF226" s="728">
        <f t="shared" si="303"/>
        <v>0.5</v>
      </c>
      <c r="BG226" s="463"/>
      <c r="BH226" s="463">
        <v>0.4</v>
      </c>
      <c r="BI226" s="316" t="s">
        <v>627</v>
      </c>
      <c r="BJ226" s="316" t="s">
        <v>628</v>
      </c>
      <c r="BK226" s="463">
        <v>0.1</v>
      </c>
      <c r="BL226" s="316" t="s">
        <v>514</v>
      </c>
      <c r="BM226" s="316" t="s">
        <v>552</v>
      </c>
      <c r="BN226" s="463">
        <v>0</v>
      </c>
      <c r="BO226" s="728">
        <f t="shared" si="304"/>
        <v>0.5</v>
      </c>
      <c r="BP226" s="463">
        <v>0.4</v>
      </c>
      <c r="BQ226" s="316" t="s">
        <v>627</v>
      </c>
      <c r="BR226" s="316" t="s">
        <v>628</v>
      </c>
      <c r="BS226" s="463">
        <v>0.1</v>
      </c>
      <c r="BT226" s="316" t="s">
        <v>514</v>
      </c>
      <c r="BU226" s="316" t="s">
        <v>552</v>
      </c>
      <c r="BV226" s="463">
        <v>0</v>
      </c>
      <c r="BW226" s="463">
        <f t="shared" si="305"/>
        <v>0.5</v>
      </c>
      <c r="BX226" s="444" t="s">
        <v>874</v>
      </c>
      <c r="BY226" s="444"/>
      <c r="BZ226" s="444"/>
      <c r="CA226" s="434"/>
      <c r="CB226" s="723">
        <v>0.67200000000000004</v>
      </c>
      <c r="CC226" s="668" t="s">
        <v>950</v>
      </c>
      <c r="CD226" s="316" t="s">
        <v>627</v>
      </c>
      <c r="CE226" s="316" t="s">
        <v>628</v>
      </c>
      <c r="CF226" s="718">
        <v>0.6</v>
      </c>
      <c r="CG226" s="316" t="s">
        <v>514</v>
      </c>
      <c r="CH226" s="316" t="s">
        <v>552</v>
      </c>
      <c r="CI226" s="718">
        <v>0</v>
      </c>
    </row>
    <row r="227" spans="1:87" ht="15" x14ac:dyDescent="0.2">
      <c r="A227" s="747" t="s">
        <v>341</v>
      </c>
      <c r="B227" s="469" t="s">
        <v>340</v>
      </c>
      <c r="C227" s="718">
        <v>0.4</v>
      </c>
      <c r="D227" s="469" t="s">
        <v>642</v>
      </c>
      <c r="E227" s="469" t="s">
        <v>643</v>
      </c>
      <c r="F227" s="718">
        <v>0.1</v>
      </c>
      <c r="G227" s="469" t="s">
        <v>514</v>
      </c>
      <c r="H227" s="469" t="s">
        <v>552</v>
      </c>
      <c r="I227" s="718">
        <v>0</v>
      </c>
      <c r="J227" s="748">
        <f t="shared" si="258"/>
        <v>0.5</v>
      </c>
      <c r="K227" s="718">
        <v>0.4</v>
      </c>
      <c r="L227" s="316" t="s">
        <v>642</v>
      </c>
      <c r="M227" s="316" t="s">
        <v>643</v>
      </c>
      <c r="N227" s="718">
        <v>0.1</v>
      </c>
      <c r="O227" s="316" t="s">
        <v>514</v>
      </c>
      <c r="P227" s="316" t="s">
        <v>552</v>
      </c>
      <c r="Q227" s="718">
        <v>0</v>
      </c>
      <c r="R227" s="728">
        <f t="shared" si="259"/>
        <v>0.5</v>
      </c>
      <c r="S227" s="718">
        <v>0.4</v>
      </c>
      <c r="T227" s="316" t="s">
        <v>642</v>
      </c>
      <c r="U227" s="316" t="s">
        <v>643</v>
      </c>
      <c r="V227" s="718">
        <v>0.1</v>
      </c>
      <c r="W227" s="316" t="s">
        <v>514</v>
      </c>
      <c r="X227" s="316" t="s">
        <v>552</v>
      </c>
      <c r="Y227" s="718">
        <v>0</v>
      </c>
      <c r="Z227" s="728">
        <f t="shared" si="307"/>
        <v>0.5</v>
      </c>
      <c r="AA227" s="718">
        <v>0.4</v>
      </c>
      <c r="AB227" s="316" t="s">
        <v>642</v>
      </c>
      <c r="AC227" s="316" t="s">
        <v>643</v>
      </c>
      <c r="AD227" s="718">
        <v>0.1</v>
      </c>
      <c r="AE227" s="316" t="s">
        <v>514</v>
      </c>
      <c r="AF227" s="316" t="s">
        <v>552</v>
      </c>
      <c r="AG227" s="718">
        <v>0</v>
      </c>
      <c r="AH227" s="728">
        <f t="shared" si="306"/>
        <v>0.5</v>
      </c>
      <c r="AI227" s="718">
        <v>0.4</v>
      </c>
      <c r="AJ227" s="316" t="s">
        <v>642</v>
      </c>
      <c r="AK227" s="316" t="s">
        <v>643</v>
      </c>
      <c r="AL227" s="718">
        <v>0.1</v>
      </c>
      <c r="AM227" s="316" t="s">
        <v>514</v>
      </c>
      <c r="AN227" s="316" t="s">
        <v>552</v>
      </c>
      <c r="AO227" s="718">
        <v>0</v>
      </c>
      <c r="AP227" s="728">
        <f t="shared" si="301"/>
        <v>0.5</v>
      </c>
      <c r="AQ227" s="718">
        <v>0.4</v>
      </c>
      <c r="AR227" s="316" t="s">
        <v>642</v>
      </c>
      <c r="AS227" s="316" t="s">
        <v>643</v>
      </c>
      <c r="AT227" s="718">
        <v>0.1</v>
      </c>
      <c r="AU227" s="316" t="s">
        <v>514</v>
      </c>
      <c r="AV227" s="316" t="s">
        <v>552</v>
      </c>
      <c r="AW227" s="718">
        <v>0</v>
      </c>
      <c r="AX227" s="463">
        <f t="shared" si="302"/>
        <v>0.5</v>
      </c>
      <c r="AY227" s="661">
        <v>0.4</v>
      </c>
      <c r="AZ227" s="316" t="s">
        <v>642</v>
      </c>
      <c r="BA227" s="316" t="s">
        <v>643</v>
      </c>
      <c r="BB227" s="463">
        <v>0.1</v>
      </c>
      <c r="BC227" s="316" t="s">
        <v>514</v>
      </c>
      <c r="BD227" s="316" t="s">
        <v>552</v>
      </c>
      <c r="BE227" s="463">
        <v>0</v>
      </c>
      <c r="BF227" s="728">
        <f t="shared" si="303"/>
        <v>0.5</v>
      </c>
      <c r="BG227" s="463"/>
      <c r="BH227" s="463">
        <v>0.4</v>
      </c>
      <c r="BI227" s="316" t="s">
        <v>642</v>
      </c>
      <c r="BJ227" s="316" t="s">
        <v>643</v>
      </c>
      <c r="BK227" s="463">
        <v>0.1</v>
      </c>
      <c r="BL227" s="316" t="s">
        <v>514</v>
      </c>
      <c r="BM227" s="316" t="s">
        <v>552</v>
      </c>
      <c r="BN227" s="463">
        <v>0</v>
      </c>
      <c r="BO227" s="728">
        <f t="shared" si="304"/>
        <v>0.5</v>
      </c>
      <c r="BP227" s="463">
        <v>0.4</v>
      </c>
      <c r="BQ227" s="316" t="s">
        <v>642</v>
      </c>
      <c r="BR227" s="316" t="s">
        <v>643</v>
      </c>
      <c r="BS227" s="463">
        <v>0.1</v>
      </c>
      <c r="BT227" s="316" t="s">
        <v>514</v>
      </c>
      <c r="BU227" s="316" t="s">
        <v>552</v>
      </c>
      <c r="BV227" s="463">
        <v>0</v>
      </c>
      <c r="BW227" s="463">
        <f t="shared" si="305"/>
        <v>0.5</v>
      </c>
      <c r="BX227" s="444" t="s">
        <v>874</v>
      </c>
      <c r="BY227" s="444"/>
      <c r="BZ227" s="444"/>
      <c r="CA227" s="434"/>
      <c r="CB227" s="723">
        <v>0.70599999999999996</v>
      </c>
      <c r="CC227" s="668" t="s">
        <v>950</v>
      </c>
      <c r="CD227" s="316" t="s">
        <v>642</v>
      </c>
      <c r="CE227" s="316" t="s">
        <v>643</v>
      </c>
      <c r="CF227" s="718">
        <v>0.6</v>
      </c>
      <c r="CG227" s="316" t="s">
        <v>514</v>
      </c>
      <c r="CH227" s="316" t="s">
        <v>552</v>
      </c>
      <c r="CI227" s="718">
        <v>0</v>
      </c>
    </row>
    <row r="228" spans="1:87" ht="15.75" customHeight="1" x14ac:dyDescent="0.2">
      <c r="A228" s="747" t="s">
        <v>343</v>
      </c>
      <c r="B228" s="469" t="s">
        <v>342</v>
      </c>
      <c r="C228" s="718">
        <v>0.4</v>
      </c>
      <c r="D228" s="469" t="s">
        <v>615</v>
      </c>
      <c r="E228" s="469" t="s">
        <v>616</v>
      </c>
      <c r="F228" s="718">
        <v>0.09</v>
      </c>
      <c r="G228" s="469" t="s">
        <v>612</v>
      </c>
      <c r="H228" s="469" t="s">
        <v>613</v>
      </c>
      <c r="I228" s="718">
        <v>0.01</v>
      </c>
      <c r="J228" s="748">
        <f t="shared" si="258"/>
        <v>0.5</v>
      </c>
      <c r="K228" s="718">
        <v>0.4</v>
      </c>
      <c r="L228" s="316" t="s">
        <v>615</v>
      </c>
      <c r="M228" s="316" t="s">
        <v>616</v>
      </c>
      <c r="N228" s="718">
        <v>0.09</v>
      </c>
      <c r="O228" s="316" t="s">
        <v>612</v>
      </c>
      <c r="P228" s="316" t="s">
        <v>613</v>
      </c>
      <c r="Q228" s="718">
        <v>0.01</v>
      </c>
      <c r="R228" s="728">
        <f t="shared" si="259"/>
        <v>0.5</v>
      </c>
      <c r="S228" s="718">
        <v>0.4</v>
      </c>
      <c r="T228" s="316" t="s">
        <v>615</v>
      </c>
      <c r="U228" s="316" t="s">
        <v>616</v>
      </c>
      <c r="V228" s="718">
        <v>0.09</v>
      </c>
      <c r="W228" s="316" t="s">
        <v>612</v>
      </c>
      <c r="X228" s="316" t="s">
        <v>613</v>
      </c>
      <c r="Y228" s="718">
        <v>0.01</v>
      </c>
      <c r="Z228" s="728">
        <f t="shared" ref="Z228:Z234" si="308">+S228+V228+Y228</f>
        <v>0.5</v>
      </c>
      <c r="AA228" s="718">
        <v>0.4</v>
      </c>
      <c r="AB228" s="316" t="s">
        <v>615</v>
      </c>
      <c r="AC228" s="316" t="s">
        <v>616</v>
      </c>
      <c r="AD228" s="718">
        <v>0.09</v>
      </c>
      <c r="AE228" s="316" t="s">
        <v>612</v>
      </c>
      <c r="AF228" s="316" t="s">
        <v>613</v>
      </c>
      <c r="AG228" s="718">
        <v>0.01</v>
      </c>
      <c r="AH228" s="728">
        <f t="shared" si="306"/>
        <v>0.5</v>
      </c>
      <c r="AI228" s="718">
        <v>0.4</v>
      </c>
      <c r="AJ228" s="316" t="s">
        <v>615</v>
      </c>
      <c r="AK228" s="316" t="s">
        <v>616</v>
      </c>
      <c r="AL228" s="718">
        <v>0.09</v>
      </c>
      <c r="AM228" s="316" t="s">
        <v>612</v>
      </c>
      <c r="AN228" s="316" t="s">
        <v>613</v>
      </c>
      <c r="AO228" s="718">
        <v>0.01</v>
      </c>
      <c r="AP228" s="728">
        <f t="shared" si="301"/>
        <v>0.5</v>
      </c>
      <c r="AQ228" s="718">
        <v>0.56000000000000005</v>
      </c>
      <c r="AR228" s="316" t="s">
        <v>615</v>
      </c>
      <c r="AS228" s="316" t="s">
        <v>616</v>
      </c>
      <c r="AT228" s="718">
        <v>0.17499999999999999</v>
      </c>
      <c r="AU228" s="316" t="s">
        <v>612</v>
      </c>
      <c r="AV228" s="316" t="s">
        <v>613</v>
      </c>
      <c r="AW228" s="718">
        <v>1.4999999999999999E-2</v>
      </c>
      <c r="AX228" s="463">
        <f t="shared" si="302"/>
        <v>0.75000000000000011</v>
      </c>
      <c r="AY228" s="661">
        <v>0.4</v>
      </c>
      <c r="AZ228" s="316" t="s">
        <v>615</v>
      </c>
      <c r="BA228" s="316" t="s">
        <v>616</v>
      </c>
      <c r="BB228" s="463">
        <v>0.09</v>
      </c>
      <c r="BC228" s="316" t="s">
        <v>612</v>
      </c>
      <c r="BD228" s="316" t="s">
        <v>613</v>
      </c>
      <c r="BE228" s="463">
        <v>0.01</v>
      </c>
      <c r="BF228" s="728">
        <f t="shared" si="303"/>
        <v>0.5</v>
      </c>
      <c r="BG228" s="463"/>
      <c r="BH228" s="463">
        <v>0.4</v>
      </c>
      <c r="BI228" s="316" t="s">
        <v>615</v>
      </c>
      <c r="BJ228" s="316" t="s">
        <v>616</v>
      </c>
      <c r="BK228" s="463">
        <v>0.09</v>
      </c>
      <c r="BL228" s="316" t="s">
        <v>612</v>
      </c>
      <c r="BM228" s="316" t="s">
        <v>613</v>
      </c>
      <c r="BN228" s="463">
        <v>0.01</v>
      </c>
      <c r="BO228" s="728">
        <f t="shared" si="304"/>
        <v>0.5</v>
      </c>
      <c r="BP228" s="463">
        <v>0.4</v>
      </c>
      <c r="BQ228" s="316" t="s">
        <v>615</v>
      </c>
      <c r="BR228" s="316" t="s">
        <v>616</v>
      </c>
      <c r="BS228" s="463">
        <v>0.09</v>
      </c>
      <c r="BT228" s="316" t="s">
        <v>612</v>
      </c>
      <c r="BU228" s="316" t="s">
        <v>613</v>
      </c>
      <c r="BV228" s="463">
        <v>0.01</v>
      </c>
      <c r="BW228" s="463">
        <f t="shared" si="305"/>
        <v>0.5</v>
      </c>
      <c r="BX228" s="444" t="s">
        <v>874</v>
      </c>
      <c r="BY228" s="444"/>
      <c r="BZ228" s="444"/>
      <c r="CA228" s="434"/>
      <c r="CB228" s="723">
        <v>0.67200000000000004</v>
      </c>
      <c r="CC228" s="668" t="s">
        <v>874</v>
      </c>
      <c r="CD228" s="316" t="s">
        <v>615</v>
      </c>
      <c r="CE228" s="316" t="s">
        <v>616</v>
      </c>
      <c r="CF228" s="718">
        <v>0.59</v>
      </c>
      <c r="CG228" s="316" t="s">
        <v>612</v>
      </c>
      <c r="CH228" s="316" t="s">
        <v>613</v>
      </c>
      <c r="CI228" s="718">
        <v>0.01</v>
      </c>
    </row>
    <row r="229" spans="1:87" ht="15" x14ac:dyDescent="0.2">
      <c r="A229" s="747" t="s">
        <v>345</v>
      </c>
      <c r="B229" s="469" t="s">
        <v>344</v>
      </c>
      <c r="C229" s="718">
        <v>0.4</v>
      </c>
      <c r="D229" s="469" t="s">
        <v>651</v>
      </c>
      <c r="E229" s="469" t="s">
        <v>652</v>
      </c>
      <c r="F229" s="718">
        <v>0.09</v>
      </c>
      <c r="G229" s="469" t="s">
        <v>649</v>
      </c>
      <c r="H229" s="469" t="s">
        <v>1245</v>
      </c>
      <c r="I229" s="718">
        <v>0.01</v>
      </c>
      <c r="J229" s="748">
        <f t="shared" si="258"/>
        <v>0.5</v>
      </c>
      <c r="K229" s="718">
        <v>0.4</v>
      </c>
      <c r="L229" s="316" t="s">
        <v>651</v>
      </c>
      <c r="M229" s="316" t="s">
        <v>652</v>
      </c>
      <c r="N229" s="718">
        <v>0.09</v>
      </c>
      <c r="O229" s="316" t="s">
        <v>649</v>
      </c>
      <c r="P229" s="316" t="s">
        <v>1245</v>
      </c>
      <c r="Q229" s="718">
        <v>0.01</v>
      </c>
      <c r="R229" s="728">
        <f t="shared" si="259"/>
        <v>0.5</v>
      </c>
      <c r="S229" s="718">
        <v>0.4</v>
      </c>
      <c r="T229" s="316" t="s">
        <v>651</v>
      </c>
      <c r="U229" s="316" t="s">
        <v>652</v>
      </c>
      <c r="V229" s="718">
        <v>0.09</v>
      </c>
      <c r="W229" s="316" t="s">
        <v>649</v>
      </c>
      <c r="X229" s="316" t="s">
        <v>1245</v>
      </c>
      <c r="Y229" s="718">
        <v>0.01</v>
      </c>
      <c r="Z229" s="728">
        <f t="shared" si="308"/>
        <v>0.5</v>
      </c>
      <c r="AA229" s="718">
        <v>0.4</v>
      </c>
      <c r="AB229" s="316" t="s">
        <v>651</v>
      </c>
      <c r="AC229" s="316" t="s">
        <v>652</v>
      </c>
      <c r="AD229" s="718">
        <v>0.09</v>
      </c>
      <c r="AE229" s="316" t="s">
        <v>649</v>
      </c>
      <c r="AF229" s="316" t="s">
        <v>1245</v>
      </c>
      <c r="AG229" s="718">
        <v>0.01</v>
      </c>
      <c r="AH229" s="728">
        <f t="shared" si="306"/>
        <v>0.5</v>
      </c>
      <c r="AI229" s="718">
        <v>0.4</v>
      </c>
      <c r="AJ229" s="316" t="s">
        <v>651</v>
      </c>
      <c r="AK229" s="316" t="s">
        <v>652</v>
      </c>
      <c r="AL229" s="718">
        <v>0.09</v>
      </c>
      <c r="AM229" s="316" t="s">
        <v>649</v>
      </c>
      <c r="AN229" s="316" t="s">
        <v>1245</v>
      </c>
      <c r="AO229" s="718">
        <v>0.01</v>
      </c>
      <c r="AP229" s="728">
        <f t="shared" ref="AP229:AP238" si="309">+AI229+AL229+AO229</f>
        <v>0.5</v>
      </c>
      <c r="AQ229" s="718">
        <v>0.4</v>
      </c>
      <c r="AR229" s="316" t="s">
        <v>651</v>
      </c>
      <c r="AS229" s="316" t="s">
        <v>652</v>
      </c>
      <c r="AT229" s="718">
        <v>0.33999999999999997</v>
      </c>
      <c r="AU229" s="316" t="s">
        <v>649</v>
      </c>
      <c r="AV229" s="316" t="s">
        <v>1245</v>
      </c>
      <c r="AW229" s="718">
        <v>0.01</v>
      </c>
      <c r="AX229" s="463">
        <f t="shared" ref="AX229:AX238" si="310">+AQ229+AT229+AW229</f>
        <v>0.75</v>
      </c>
      <c r="AY229" s="661">
        <v>0.4</v>
      </c>
      <c r="AZ229" s="316" t="s">
        <v>651</v>
      </c>
      <c r="BA229" s="316" t="s">
        <v>652</v>
      </c>
      <c r="BB229" s="463">
        <v>0.09</v>
      </c>
      <c r="BC229" s="316" t="s">
        <v>649</v>
      </c>
      <c r="BD229" s="316" t="s">
        <v>650</v>
      </c>
      <c r="BE229" s="463">
        <v>0.01</v>
      </c>
      <c r="BF229" s="728">
        <f t="shared" ref="BF229:BF238" si="311">+AY229+BB229+BE229</f>
        <v>0.5</v>
      </c>
      <c r="BG229" s="463"/>
      <c r="BH229" s="463">
        <v>0.4</v>
      </c>
      <c r="BI229" s="316" t="s">
        <v>651</v>
      </c>
      <c r="BJ229" s="316" t="s">
        <v>652</v>
      </c>
      <c r="BK229" s="463">
        <v>0.09</v>
      </c>
      <c r="BL229" s="316" t="s">
        <v>649</v>
      </c>
      <c r="BM229" s="316" t="s">
        <v>650</v>
      </c>
      <c r="BN229" s="463">
        <v>0.01</v>
      </c>
      <c r="BO229" s="728">
        <f t="shared" ref="BO229:BO238" si="312">+BH229+BK229+BN229</f>
        <v>0.5</v>
      </c>
      <c r="BP229" s="463">
        <v>0.4</v>
      </c>
      <c r="BQ229" s="316" t="s">
        <v>651</v>
      </c>
      <c r="BR229" s="316" t="s">
        <v>652</v>
      </c>
      <c r="BS229" s="463">
        <v>0.09</v>
      </c>
      <c r="BT229" s="316" t="s">
        <v>649</v>
      </c>
      <c r="BU229" s="316" t="s">
        <v>650</v>
      </c>
      <c r="BV229" s="463">
        <v>0.01</v>
      </c>
      <c r="BW229" s="463">
        <f t="shared" ref="BW229:BW238" si="313">+BP229+BS229+BV229</f>
        <v>0.5</v>
      </c>
      <c r="BX229" s="444" t="s">
        <v>874</v>
      </c>
      <c r="BY229" s="444"/>
      <c r="BZ229" s="444"/>
      <c r="CA229" s="434"/>
      <c r="CB229" s="723">
        <v>0.67200000000000004</v>
      </c>
      <c r="CC229" s="668" t="s">
        <v>950</v>
      </c>
      <c r="CD229" s="316" t="s">
        <v>651</v>
      </c>
      <c r="CE229" s="316" t="s">
        <v>652</v>
      </c>
      <c r="CF229" s="718">
        <v>0.59</v>
      </c>
      <c r="CG229" s="316" t="s">
        <v>649</v>
      </c>
      <c r="CH229" s="316" t="s">
        <v>650</v>
      </c>
      <c r="CI229" s="718">
        <v>0.01</v>
      </c>
    </row>
    <row r="230" spans="1:87" ht="15.75" customHeight="1" x14ac:dyDescent="0.2">
      <c r="A230" s="747" t="s">
        <v>347</v>
      </c>
      <c r="B230" s="469" t="s">
        <v>346</v>
      </c>
      <c r="C230" s="718">
        <v>0.49</v>
      </c>
      <c r="D230" s="469" t="s">
        <v>514</v>
      </c>
      <c r="E230" s="469" t="s">
        <v>666</v>
      </c>
      <c r="F230" s="718">
        <v>0</v>
      </c>
      <c r="G230" s="469" t="s">
        <v>673</v>
      </c>
      <c r="H230" s="469" t="s">
        <v>674</v>
      </c>
      <c r="I230" s="718">
        <v>0.01</v>
      </c>
      <c r="J230" s="748">
        <f t="shared" si="258"/>
        <v>0.5</v>
      </c>
      <c r="K230" s="718">
        <v>0.49</v>
      </c>
      <c r="L230" s="316" t="s">
        <v>514</v>
      </c>
      <c r="M230" s="316" t="s">
        <v>666</v>
      </c>
      <c r="N230" s="718">
        <v>0</v>
      </c>
      <c r="O230" s="316" t="s">
        <v>673</v>
      </c>
      <c r="P230" s="316" t="s">
        <v>674</v>
      </c>
      <c r="Q230" s="718">
        <v>0.01</v>
      </c>
      <c r="R230" s="728">
        <f t="shared" si="259"/>
        <v>0.5</v>
      </c>
      <c r="S230" s="718">
        <v>0.49</v>
      </c>
      <c r="T230" s="316" t="s">
        <v>514</v>
      </c>
      <c r="U230" s="316" t="s">
        <v>666</v>
      </c>
      <c r="V230" s="718">
        <v>0</v>
      </c>
      <c r="W230" s="316" t="s">
        <v>673</v>
      </c>
      <c r="X230" s="316" t="s">
        <v>674</v>
      </c>
      <c r="Y230" s="718">
        <v>0.01</v>
      </c>
      <c r="Z230" s="728">
        <f t="shared" si="308"/>
        <v>0.5</v>
      </c>
      <c r="AA230" s="718">
        <v>0.49</v>
      </c>
      <c r="AB230" s="316" t="s">
        <v>514</v>
      </c>
      <c r="AC230" s="316" t="s">
        <v>666</v>
      </c>
      <c r="AD230" s="718">
        <v>0</v>
      </c>
      <c r="AE230" s="316" t="s">
        <v>673</v>
      </c>
      <c r="AF230" s="316" t="s">
        <v>674</v>
      </c>
      <c r="AG230" s="718">
        <v>0.01</v>
      </c>
      <c r="AH230" s="728">
        <f t="shared" si="306"/>
        <v>0.5</v>
      </c>
      <c r="AI230" s="718">
        <v>0.49</v>
      </c>
      <c r="AJ230" s="316" t="s">
        <v>514</v>
      </c>
      <c r="AK230" s="316" t="s">
        <v>666</v>
      </c>
      <c r="AL230" s="718">
        <v>0</v>
      </c>
      <c r="AM230" s="316" t="s">
        <v>673</v>
      </c>
      <c r="AN230" s="316" t="s">
        <v>674</v>
      </c>
      <c r="AO230" s="718">
        <v>0.01</v>
      </c>
      <c r="AP230" s="728">
        <f t="shared" si="309"/>
        <v>0.5</v>
      </c>
      <c r="AQ230" s="718">
        <v>0.49</v>
      </c>
      <c r="AR230" s="316" t="s">
        <v>514</v>
      </c>
      <c r="AS230" s="316" t="s">
        <v>666</v>
      </c>
      <c r="AT230" s="718">
        <v>0</v>
      </c>
      <c r="AU230" s="316" t="s">
        <v>673</v>
      </c>
      <c r="AV230" s="316" t="s">
        <v>674</v>
      </c>
      <c r="AW230" s="718">
        <v>0.01</v>
      </c>
      <c r="AX230" s="463">
        <f t="shared" si="310"/>
        <v>0.5</v>
      </c>
      <c r="AY230" s="661">
        <v>0.49</v>
      </c>
      <c r="AZ230" s="316" t="s">
        <v>514</v>
      </c>
      <c r="BA230" s="316" t="s">
        <v>666</v>
      </c>
      <c r="BB230" s="463">
        <v>0</v>
      </c>
      <c r="BC230" s="316" t="s">
        <v>673</v>
      </c>
      <c r="BD230" s="316" t="s">
        <v>674</v>
      </c>
      <c r="BE230" s="463">
        <v>0.01</v>
      </c>
      <c r="BF230" s="728">
        <f t="shared" si="311"/>
        <v>0.5</v>
      </c>
      <c r="BG230" s="463"/>
      <c r="BH230" s="463">
        <v>0.49</v>
      </c>
      <c r="BI230" s="316" t="s">
        <v>514</v>
      </c>
      <c r="BJ230" s="316" t="s">
        <v>666</v>
      </c>
      <c r="BK230" s="463">
        <v>0</v>
      </c>
      <c r="BL230" s="316" t="s">
        <v>673</v>
      </c>
      <c r="BM230" s="316" t="s">
        <v>674</v>
      </c>
      <c r="BN230" s="463">
        <v>0.01</v>
      </c>
      <c r="BO230" s="728">
        <f t="shared" si="312"/>
        <v>0.5</v>
      </c>
      <c r="BP230" s="463">
        <v>0.49</v>
      </c>
      <c r="BQ230" s="316" t="s">
        <v>514</v>
      </c>
      <c r="BR230" s="316" t="s">
        <v>666</v>
      </c>
      <c r="BS230" s="463">
        <v>0</v>
      </c>
      <c r="BT230" s="316" t="s">
        <v>673</v>
      </c>
      <c r="BU230" s="316" t="s">
        <v>674</v>
      </c>
      <c r="BV230" s="463">
        <v>0.01</v>
      </c>
      <c r="BW230" s="463">
        <f t="shared" si="313"/>
        <v>0.5</v>
      </c>
      <c r="BX230" s="490" t="s">
        <v>874</v>
      </c>
      <c r="BY230" s="490"/>
      <c r="BZ230" s="490" t="s">
        <v>874</v>
      </c>
      <c r="CA230" s="436" t="s">
        <v>874</v>
      </c>
      <c r="CB230" s="723">
        <v>0.66200000000000003</v>
      </c>
      <c r="CC230" s="668" t="s">
        <v>950</v>
      </c>
      <c r="CD230" s="316" t="s">
        <v>514</v>
      </c>
      <c r="CE230" s="316" t="s">
        <v>666</v>
      </c>
      <c r="CF230" s="718">
        <v>0</v>
      </c>
      <c r="CG230" s="316" t="s">
        <v>673</v>
      </c>
      <c r="CH230" s="316" t="s">
        <v>674</v>
      </c>
      <c r="CI230" s="718">
        <v>0.01</v>
      </c>
    </row>
    <row r="231" spans="1:87" ht="15.75" customHeight="1" x14ac:dyDescent="0.2">
      <c r="A231" s="747" t="s">
        <v>349</v>
      </c>
      <c r="B231" s="469" t="s">
        <v>588</v>
      </c>
      <c r="C231" s="718">
        <v>0.49</v>
      </c>
      <c r="D231" s="469" t="s">
        <v>514</v>
      </c>
      <c r="E231" s="469" t="s">
        <v>515</v>
      </c>
      <c r="F231" s="718">
        <v>0</v>
      </c>
      <c r="G231" s="469" t="s">
        <v>2290</v>
      </c>
      <c r="H231" s="469" t="s">
        <v>2291</v>
      </c>
      <c r="I231" s="718">
        <v>0.01</v>
      </c>
      <c r="J231" s="748">
        <f t="shared" si="258"/>
        <v>0.5</v>
      </c>
      <c r="K231" s="718">
        <v>0.49</v>
      </c>
      <c r="L231" s="316" t="s">
        <v>514</v>
      </c>
      <c r="M231" s="316" t="s">
        <v>515</v>
      </c>
      <c r="N231" s="718">
        <v>0</v>
      </c>
      <c r="O231" s="316" t="s">
        <v>2290</v>
      </c>
      <c r="P231" s="316" t="s">
        <v>2291</v>
      </c>
      <c r="Q231" s="718">
        <v>0.01</v>
      </c>
      <c r="R231" s="728">
        <f t="shared" si="259"/>
        <v>0.5</v>
      </c>
      <c r="S231" s="718">
        <v>0.49</v>
      </c>
      <c r="T231" s="316" t="s">
        <v>514</v>
      </c>
      <c r="U231" s="316" t="s">
        <v>515</v>
      </c>
      <c r="V231" s="718">
        <v>0</v>
      </c>
      <c r="W231" s="316" t="s">
        <v>2290</v>
      </c>
      <c r="X231" s="316" t="s">
        <v>2291</v>
      </c>
      <c r="Y231" s="718">
        <v>0.01</v>
      </c>
      <c r="Z231" s="728">
        <f t="shared" si="308"/>
        <v>0.5</v>
      </c>
      <c r="AA231" s="718">
        <v>0.49</v>
      </c>
      <c r="AB231" s="316" t="s">
        <v>514</v>
      </c>
      <c r="AC231" s="316" t="s">
        <v>515</v>
      </c>
      <c r="AD231" s="718">
        <v>0</v>
      </c>
      <c r="AE231" s="316" t="s">
        <v>2290</v>
      </c>
      <c r="AF231" s="316" t="s">
        <v>2291</v>
      </c>
      <c r="AG231" s="718">
        <v>0.01</v>
      </c>
      <c r="AH231" s="728">
        <f t="shared" si="306"/>
        <v>0.5</v>
      </c>
      <c r="AI231" s="718">
        <v>0.49</v>
      </c>
      <c r="AJ231" s="316" t="s">
        <v>514</v>
      </c>
      <c r="AK231" s="316" t="s">
        <v>515</v>
      </c>
      <c r="AL231" s="718">
        <v>0</v>
      </c>
      <c r="AM231" s="316" t="s">
        <v>586</v>
      </c>
      <c r="AN231" s="316" t="s">
        <v>1341</v>
      </c>
      <c r="AO231" s="718">
        <v>0.01</v>
      </c>
      <c r="AP231" s="728">
        <f t="shared" si="309"/>
        <v>0.5</v>
      </c>
      <c r="AQ231" s="718">
        <v>0.74</v>
      </c>
      <c r="AR231" s="316" t="s">
        <v>514</v>
      </c>
      <c r="AS231" s="316" t="s">
        <v>515</v>
      </c>
      <c r="AT231" s="718">
        <v>0</v>
      </c>
      <c r="AU231" s="316" t="s">
        <v>586</v>
      </c>
      <c r="AV231" s="316" t="s">
        <v>587</v>
      </c>
      <c r="AW231" s="718">
        <v>0.01</v>
      </c>
      <c r="AX231" s="463">
        <f t="shared" si="310"/>
        <v>0.75</v>
      </c>
      <c r="AY231" s="661">
        <v>0.99</v>
      </c>
      <c r="AZ231" s="316" t="s">
        <v>514</v>
      </c>
      <c r="BA231" s="316" t="s">
        <v>515</v>
      </c>
      <c r="BB231" s="463">
        <v>0</v>
      </c>
      <c r="BC231" s="316" t="s">
        <v>586</v>
      </c>
      <c r="BD231" s="316" t="s">
        <v>587</v>
      </c>
      <c r="BE231" s="463">
        <v>0.01</v>
      </c>
      <c r="BF231" s="728">
        <f t="shared" si="311"/>
        <v>1</v>
      </c>
      <c r="BG231" s="463"/>
      <c r="BH231" s="463">
        <v>0.49</v>
      </c>
      <c r="BI231" s="316" t="s">
        <v>514</v>
      </c>
      <c r="BJ231" s="316" t="s">
        <v>515</v>
      </c>
      <c r="BK231" s="463">
        <v>0</v>
      </c>
      <c r="BL231" s="316" t="s">
        <v>586</v>
      </c>
      <c r="BM231" s="316" t="s">
        <v>587</v>
      </c>
      <c r="BN231" s="463">
        <v>0.01</v>
      </c>
      <c r="BO231" s="728">
        <f t="shared" si="312"/>
        <v>0.5</v>
      </c>
      <c r="BP231" s="463">
        <v>0.49</v>
      </c>
      <c r="BQ231" s="316" t="s">
        <v>514</v>
      </c>
      <c r="BR231" s="316" t="s">
        <v>515</v>
      </c>
      <c r="BS231" s="463">
        <v>0</v>
      </c>
      <c r="BT231" s="316" t="s">
        <v>586</v>
      </c>
      <c r="BU231" s="316" t="s">
        <v>587</v>
      </c>
      <c r="BV231" s="463">
        <v>0.01</v>
      </c>
      <c r="BW231" s="463">
        <f t="shared" si="313"/>
        <v>0.5</v>
      </c>
      <c r="BX231" s="444" t="s">
        <v>874</v>
      </c>
      <c r="BY231" s="444" t="s">
        <v>874</v>
      </c>
      <c r="BZ231" s="444"/>
      <c r="CA231" s="436" t="s">
        <v>874</v>
      </c>
      <c r="CB231" s="723">
        <v>0.70399999999999996</v>
      </c>
      <c r="CC231" s="668" t="s">
        <v>950</v>
      </c>
      <c r="CD231" s="316" t="s">
        <v>514</v>
      </c>
      <c r="CE231" s="316" t="s">
        <v>515</v>
      </c>
      <c r="CF231" s="718">
        <v>0</v>
      </c>
      <c r="CG231" s="316" t="s">
        <v>586</v>
      </c>
      <c r="CH231" s="316" t="s">
        <v>587</v>
      </c>
      <c r="CI231" s="718">
        <v>0.01</v>
      </c>
    </row>
    <row r="232" spans="1:87" ht="15.75" customHeight="1" x14ac:dyDescent="0.2">
      <c r="A232" s="747" t="s">
        <v>351</v>
      </c>
      <c r="B232" s="469" t="s">
        <v>577</v>
      </c>
      <c r="C232" s="718">
        <v>0.49</v>
      </c>
      <c r="D232" s="469" t="s">
        <v>514</v>
      </c>
      <c r="E232" s="469" t="s">
        <v>515</v>
      </c>
      <c r="F232" s="718">
        <v>0</v>
      </c>
      <c r="G232" s="469" t="s">
        <v>578</v>
      </c>
      <c r="H232" s="469" t="s">
        <v>1244</v>
      </c>
      <c r="I232" s="718">
        <v>0.01</v>
      </c>
      <c r="J232" s="748">
        <f t="shared" si="258"/>
        <v>0.5</v>
      </c>
      <c r="K232" s="718">
        <v>0.49</v>
      </c>
      <c r="L232" s="316" t="s">
        <v>514</v>
      </c>
      <c r="M232" s="316" t="s">
        <v>515</v>
      </c>
      <c r="N232" s="718">
        <v>0</v>
      </c>
      <c r="O232" s="316" t="s">
        <v>578</v>
      </c>
      <c r="P232" s="316" t="s">
        <v>1244</v>
      </c>
      <c r="Q232" s="718">
        <v>0.01</v>
      </c>
      <c r="R232" s="728">
        <f t="shared" si="259"/>
        <v>0.5</v>
      </c>
      <c r="S232" s="718">
        <v>0.49</v>
      </c>
      <c r="T232" s="316" t="s">
        <v>514</v>
      </c>
      <c r="U232" s="316" t="s">
        <v>515</v>
      </c>
      <c r="V232" s="718">
        <v>0</v>
      </c>
      <c r="W232" s="316" t="s">
        <v>578</v>
      </c>
      <c r="X232" s="316" t="s">
        <v>1244</v>
      </c>
      <c r="Y232" s="718">
        <v>0.01</v>
      </c>
      <c r="Z232" s="728">
        <f t="shared" si="308"/>
        <v>0.5</v>
      </c>
      <c r="AA232" s="718">
        <v>0.49</v>
      </c>
      <c r="AB232" s="316" t="s">
        <v>514</v>
      </c>
      <c r="AC232" s="316" t="s">
        <v>515</v>
      </c>
      <c r="AD232" s="718">
        <v>0</v>
      </c>
      <c r="AE232" s="316" t="s">
        <v>578</v>
      </c>
      <c r="AF232" s="316" t="s">
        <v>1244</v>
      </c>
      <c r="AG232" s="718">
        <v>0.01</v>
      </c>
      <c r="AH232" s="728">
        <f t="shared" si="306"/>
        <v>0.5</v>
      </c>
      <c r="AI232" s="718">
        <v>0.49</v>
      </c>
      <c r="AJ232" s="316" t="s">
        <v>514</v>
      </c>
      <c r="AK232" s="316" t="s">
        <v>515</v>
      </c>
      <c r="AL232" s="718">
        <v>0</v>
      </c>
      <c r="AM232" s="316" t="s">
        <v>578</v>
      </c>
      <c r="AN232" s="316" t="s">
        <v>1244</v>
      </c>
      <c r="AO232" s="718">
        <v>0.01</v>
      </c>
      <c r="AP232" s="728">
        <f t="shared" si="309"/>
        <v>0.5</v>
      </c>
      <c r="AQ232" s="718">
        <v>0.49</v>
      </c>
      <c r="AR232" s="316" t="s">
        <v>514</v>
      </c>
      <c r="AS232" s="316" t="s">
        <v>515</v>
      </c>
      <c r="AT232" s="718">
        <v>0</v>
      </c>
      <c r="AU232" s="316" t="s">
        <v>578</v>
      </c>
      <c r="AV232" s="316" t="s">
        <v>1244</v>
      </c>
      <c r="AW232" s="718">
        <v>0.01</v>
      </c>
      <c r="AX232" s="463">
        <f t="shared" si="310"/>
        <v>0.5</v>
      </c>
      <c r="AY232" s="661">
        <v>0.49</v>
      </c>
      <c r="AZ232" s="316" t="s">
        <v>514</v>
      </c>
      <c r="BA232" s="316" t="s">
        <v>515</v>
      </c>
      <c r="BB232" s="463">
        <v>0</v>
      </c>
      <c r="BC232" s="316" t="s">
        <v>578</v>
      </c>
      <c r="BD232" s="316" t="s">
        <v>579</v>
      </c>
      <c r="BE232" s="463">
        <v>0.01</v>
      </c>
      <c r="BF232" s="728">
        <f t="shared" si="311"/>
        <v>0.5</v>
      </c>
      <c r="BG232" s="463"/>
      <c r="BH232" s="463">
        <v>0.49</v>
      </c>
      <c r="BI232" s="316" t="s">
        <v>514</v>
      </c>
      <c r="BJ232" s="316" t="s">
        <v>515</v>
      </c>
      <c r="BK232" s="463">
        <v>0</v>
      </c>
      <c r="BL232" s="316" t="s">
        <v>578</v>
      </c>
      <c r="BM232" s="316" t="s">
        <v>579</v>
      </c>
      <c r="BN232" s="463">
        <v>0.01</v>
      </c>
      <c r="BO232" s="728">
        <f t="shared" si="312"/>
        <v>0.5</v>
      </c>
      <c r="BP232" s="463">
        <v>0.49</v>
      </c>
      <c r="BQ232" s="316" t="s">
        <v>514</v>
      </c>
      <c r="BR232" s="316" t="s">
        <v>515</v>
      </c>
      <c r="BS232" s="463">
        <v>0</v>
      </c>
      <c r="BT232" s="316" t="s">
        <v>578</v>
      </c>
      <c r="BU232" s="316" t="s">
        <v>579</v>
      </c>
      <c r="BV232" s="463">
        <v>0.01</v>
      </c>
      <c r="BW232" s="463">
        <f t="shared" si="313"/>
        <v>0.5</v>
      </c>
      <c r="BX232" s="444"/>
      <c r="BY232" s="444"/>
      <c r="BZ232" s="444"/>
      <c r="CA232" s="436" t="s">
        <v>874</v>
      </c>
      <c r="CB232" s="723">
        <v>0.68400000000000005</v>
      </c>
      <c r="CC232" s="668" t="s">
        <v>950</v>
      </c>
      <c r="CD232" s="316" t="s">
        <v>514</v>
      </c>
      <c r="CE232" s="316" t="s">
        <v>515</v>
      </c>
      <c r="CF232" s="718">
        <v>0</v>
      </c>
      <c r="CG232" s="316" t="s">
        <v>578</v>
      </c>
      <c r="CH232" s="316" t="s">
        <v>579</v>
      </c>
      <c r="CI232" s="718">
        <v>0.01</v>
      </c>
    </row>
    <row r="233" spans="1:87" ht="15.75" customHeight="1" x14ac:dyDescent="0.2">
      <c r="A233" s="747" t="s">
        <v>353</v>
      </c>
      <c r="B233" s="469" t="s">
        <v>352</v>
      </c>
      <c r="C233" s="718">
        <v>0.3</v>
      </c>
      <c r="D233" s="469" t="s">
        <v>680</v>
      </c>
      <c r="E233" s="469" t="s">
        <v>681</v>
      </c>
      <c r="F233" s="718">
        <v>0.37</v>
      </c>
      <c r="G233" s="469" t="s">
        <v>514</v>
      </c>
      <c r="H233" s="469" t="s">
        <v>514</v>
      </c>
      <c r="I233" s="718">
        <v>0</v>
      </c>
      <c r="J233" s="748">
        <f t="shared" si="258"/>
        <v>0.66999999999999993</v>
      </c>
      <c r="K233" s="718">
        <v>0.3</v>
      </c>
      <c r="L233" s="316" t="s">
        <v>680</v>
      </c>
      <c r="M233" s="316" t="s">
        <v>681</v>
      </c>
      <c r="N233" s="718">
        <v>0.37</v>
      </c>
      <c r="O233" s="316" t="s">
        <v>514</v>
      </c>
      <c r="P233" s="316" t="s">
        <v>514</v>
      </c>
      <c r="Q233" s="718">
        <v>0</v>
      </c>
      <c r="R233" s="728">
        <f t="shared" si="259"/>
        <v>0.66999999999999993</v>
      </c>
      <c r="S233" s="718">
        <v>0.3</v>
      </c>
      <c r="T233" s="316" t="s">
        <v>680</v>
      </c>
      <c r="U233" s="316" t="s">
        <v>681</v>
      </c>
      <c r="V233" s="718">
        <v>0.37</v>
      </c>
      <c r="W233" s="316" t="s">
        <v>514</v>
      </c>
      <c r="X233" s="316" t="s">
        <v>514</v>
      </c>
      <c r="Y233" s="718">
        <v>0</v>
      </c>
      <c r="Z233" s="728">
        <f t="shared" si="308"/>
        <v>0.66999999999999993</v>
      </c>
      <c r="AA233" s="718">
        <v>0.3</v>
      </c>
      <c r="AB233" s="316" t="s">
        <v>680</v>
      </c>
      <c r="AC233" s="316" t="s">
        <v>681</v>
      </c>
      <c r="AD233" s="718">
        <v>0.37</v>
      </c>
      <c r="AE233" s="316" t="s">
        <v>514</v>
      </c>
      <c r="AF233" s="316" t="s">
        <v>514</v>
      </c>
      <c r="AG233" s="718">
        <v>0</v>
      </c>
      <c r="AH233" s="728">
        <f t="shared" si="306"/>
        <v>0.66999999999999993</v>
      </c>
      <c r="AI233" s="718">
        <v>0.3</v>
      </c>
      <c r="AJ233" s="316" t="s">
        <v>680</v>
      </c>
      <c r="AK233" s="316" t="s">
        <v>681</v>
      </c>
      <c r="AL233" s="718">
        <v>0.37</v>
      </c>
      <c r="AM233" s="316" t="s">
        <v>514</v>
      </c>
      <c r="AN233" s="316" t="s">
        <v>514</v>
      </c>
      <c r="AO233" s="718">
        <v>0</v>
      </c>
      <c r="AP233" s="728">
        <f t="shared" si="309"/>
        <v>0.66999999999999993</v>
      </c>
      <c r="AQ233" s="718">
        <v>0.48</v>
      </c>
      <c r="AR233" s="316" t="s">
        <v>680</v>
      </c>
      <c r="AS233" s="316" t="s">
        <v>681</v>
      </c>
      <c r="AT233" s="718">
        <v>0.27</v>
      </c>
      <c r="AU233" s="316" t="s">
        <v>514</v>
      </c>
      <c r="AV233" s="316" t="s">
        <v>514</v>
      </c>
      <c r="AW233" s="718">
        <v>0</v>
      </c>
      <c r="AX233" s="463">
        <f t="shared" si="310"/>
        <v>0.75</v>
      </c>
      <c r="AY233" s="661">
        <v>0.64</v>
      </c>
      <c r="AZ233" s="316" t="s">
        <v>680</v>
      </c>
      <c r="BA233" s="316" t="s">
        <v>681</v>
      </c>
      <c r="BB233" s="463">
        <v>0.36</v>
      </c>
      <c r="BC233" s="316" t="s">
        <v>514</v>
      </c>
      <c r="BD233" s="316" t="s">
        <v>514</v>
      </c>
      <c r="BE233" s="463">
        <v>0</v>
      </c>
      <c r="BF233" s="728">
        <f t="shared" si="311"/>
        <v>1</v>
      </c>
      <c r="BG233" s="463"/>
      <c r="BH233" s="463">
        <v>0.3</v>
      </c>
      <c r="BI233" s="316" t="s">
        <v>680</v>
      </c>
      <c r="BJ233" s="316" t="s">
        <v>681</v>
      </c>
      <c r="BK233" s="463">
        <v>0.37</v>
      </c>
      <c r="BL233" s="316" t="s">
        <v>514</v>
      </c>
      <c r="BM233" s="316" t="s">
        <v>514</v>
      </c>
      <c r="BN233" s="463">
        <v>0</v>
      </c>
      <c r="BO233" s="728">
        <f t="shared" si="312"/>
        <v>0.66999999999999993</v>
      </c>
      <c r="BP233" s="463">
        <v>0.3</v>
      </c>
      <c r="BQ233" s="316" t="s">
        <v>680</v>
      </c>
      <c r="BR233" s="316" t="s">
        <v>681</v>
      </c>
      <c r="BS233" s="463">
        <v>0.2</v>
      </c>
      <c r="BT233" s="316" t="s">
        <v>514</v>
      </c>
      <c r="BU233" s="316" t="s">
        <v>514</v>
      </c>
      <c r="BV233" s="463">
        <v>0</v>
      </c>
      <c r="BW233" s="463">
        <f t="shared" si="313"/>
        <v>0.5</v>
      </c>
      <c r="BX233" s="444"/>
      <c r="BY233" s="444"/>
      <c r="BZ233" s="444"/>
      <c r="CA233" s="436" t="s">
        <v>874</v>
      </c>
      <c r="CB233" s="723">
        <v>0.75900000000000001</v>
      </c>
      <c r="CC233" s="668" t="s">
        <v>950</v>
      </c>
      <c r="CD233" s="316" t="s">
        <v>680</v>
      </c>
      <c r="CE233" s="316" t="s">
        <v>681</v>
      </c>
      <c r="CF233" s="718">
        <v>0.2</v>
      </c>
      <c r="CG233" s="316" t="s">
        <v>514</v>
      </c>
      <c r="CH233" s="316" t="s">
        <v>514</v>
      </c>
      <c r="CI233" s="718">
        <v>0</v>
      </c>
    </row>
    <row r="234" spans="1:87" ht="15.75" customHeight="1" x14ac:dyDescent="0.2">
      <c r="A234" s="747" t="s">
        <v>355</v>
      </c>
      <c r="B234" s="469" t="s">
        <v>354</v>
      </c>
      <c r="C234" s="718">
        <v>0.4</v>
      </c>
      <c r="D234" s="469" t="s">
        <v>655</v>
      </c>
      <c r="E234" s="469" t="s">
        <v>656</v>
      </c>
      <c r="F234" s="718">
        <v>0.1</v>
      </c>
      <c r="G234" s="469" t="s">
        <v>514</v>
      </c>
      <c r="H234" s="469" t="s">
        <v>552</v>
      </c>
      <c r="I234" s="718">
        <v>0</v>
      </c>
      <c r="J234" s="748">
        <f t="shared" si="258"/>
        <v>0.5</v>
      </c>
      <c r="K234" s="718">
        <v>0.4</v>
      </c>
      <c r="L234" s="316" t="s">
        <v>655</v>
      </c>
      <c r="M234" s="316" t="s">
        <v>656</v>
      </c>
      <c r="N234" s="718">
        <v>0.1</v>
      </c>
      <c r="O234" s="316" t="s">
        <v>514</v>
      </c>
      <c r="P234" s="316" t="s">
        <v>552</v>
      </c>
      <c r="Q234" s="718">
        <v>0</v>
      </c>
      <c r="R234" s="728">
        <f t="shared" si="259"/>
        <v>0.5</v>
      </c>
      <c r="S234" s="718">
        <v>0.4</v>
      </c>
      <c r="T234" s="316" t="s">
        <v>655</v>
      </c>
      <c r="U234" s="316" t="s">
        <v>656</v>
      </c>
      <c r="V234" s="718">
        <v>0.1</v>
      </c>
      <c r="W234" s="316" t="s">
        <v>514</v>
      </c>
      <c r="X234" s="316" t="s">
        <v>552</v>
      </c>
      <c r="Y234" s="718">
        <v>0</v>
      </c>
      <c r="Z234" s="728">
        <f t="shared" si="308"/>
        <v>0.5</v>
      </c>
      <c r="AA234" s="718">
        <v>0.4</v>
      </c>
      <c r="AB234" s="316" t="s">
        <v>655</v>
      </c>
      <c r="AC234" s="316" t="s">
        <v>656</v>
      </c>
      <c r="AD234" s="718">
        <v>0.1</v>
      </c>
      <c r="AE234" s="316" t="s">
        <v>514</v>
      </c>
      <c r="AF234" s="316" t="s">
        <v>552</v>
      </c>
      <c r="AG234" s="718">
        <v>0</v>
      </c>
      <c r="AH234" s="728">
        <f t="shared" si="306"/>
        <v>0.5</v>
      </c>
      <c r="AI234" s="718">
        <v>0.4</v>
      </c>
      <c r="AJ234" s="316" t="s">
        <v>655</v>
      </c>
      <c r="AK234" s="316" t="s">
        <v>656</v>
      </c>
      <c r="AL234" s="718">
        <v>0.1</v>
      </c>
      <c r="AM234" s="316" t="s">
        <v>514</v>
      </c>
      <c r="AN234" s="316" t="s">
        <v>552</v>
      </c>
      <c r="AO234" s="718">
        <v>0</v>
      </c>
      <c r="AP234" s="728">
        <f t="shared" si="309"/>
        <v>0.5</v>
      </c>
      <c r="AQ234" s="718">
        <v>0.4</v>
      </c>
      <c r="AR234" s="316" t="s">
        <v>655</v>
      </c>
      <c r="AS234" s="316" t="s">
        <v>656</v>
      </c>
      <c r="AT234" s="718">
        <v>0.1</v>
      </c>
      <c r="AU234" s="316" t="s">
        <v>514</v>
      </c>
      <c r="AV234" s="316" t="s">
        <v>552</v>
      </c>
      <c r="AW234" s="718">
        <v>0</v>
      </c>
      <c r="AX234" s="463">
        <f t="shared" si="310"/>
        <v>0.5</v>
      </c>
      <c r="AY234" s="661">
        <v>0.3</v>
      </c>
      <c r="AZ234" s="316" t="s">
        <v>655</v>
      </c>
      <c r="BA234" s="316" t="s">
        <v>656</v>
      </c>
      <c r="BB234" s="463">
        <v>0.7</v>
      </c>
      <c r="BC234" s="316" t="s">
        <v>514</v>
      </c>
      <c r="BD234" s="316" t="s">
        <v>552</v>
      </c>
      <c r="BE234" s="463">
        <v>0</v>
      </c>
      <c r="BF234" s="728">
        <f t="shared" si="311"/>
        <v>1</v>
      </c>
      <c r="BG234" s="463"/>
      <c r="BH234" s="463">
        <v>0.4</v>
      </c>
      <c r="BI234" s="316" t="s">
        <v>655</v>
      </c>
      <c r="BJ234" s="316" t="s">
        <v>656</v>
      </c>
      <c r="BK234" s="463">
        <v>0.1</v>
      </c>
      <c r="BL234" s="316" t="s">
        <v>514</v>
      </c>
      <c r="BM234" s="316" t="s">
        <v>552</v>
      </c>
      <c r="BN234" s="463">
        <v>0</v>
      </c>
      <c r="BO234" s="728">
        <f t="shared" si="312"/>
        <v>0.5</v>
      </c>
      <c r="BP234" s="463">
        <v>0.4</v>
      </c>
      <c r="BQ234" s="316" t="s">
        <v>655</v>
      </c>
      <c r="BR234" s="316" t="s">
        <v>656</v>
      </c>
      <c r="BS234" s="463">
        <v>0.1</v>
      </c>
      <c r="BT234" s="316" t="s">
        <v>514</v>
      </c>
      <c r="BU234" s="316" t="s">
        <v>552</v>
      </c>
      <c r="BV234" s="463">
        <v>0</v>
      </c>
      <c r="BW234" s="463">
        <f t="shared" si="313"/>
        <v>0.5</v>
      </c>
      <c r="BX234" s="444"/>
      <c r="BY234" s="444"/>
      <c r="BZ234" s="444"/>
      <c r="CA234" s="434"/>
      <c r="CB234" s="723">
        <v>0.72399999999999998</v>
      </c>
      <c r="CC234" s="668" t="s">
        <v>950</v>
      </c>
      <c r="CD234" s="316" t="s">
        <v>655</v>
      </c>
      <c r="CE234" s="316" t="s">
        <v>656</v>
      </c>
      <c r="CF234" s="718">
        <v>0.6</v>
      </c>
      <c r="CG234" s="316" t="s">
        <v>514</v>
      </c>
      <c r="CH234" s="316" t="s">
        <v>552</v>
      </c>
      <c r="CI234" s="718">
        <v>0</v>
      </c>
    </row>
    <row r="235" spans="1:87" ht="15.75" customHeight="1" x14ac:dyDescent="0.2">
      <c r="A235" s="747" t="s">
        <v>357</v>
      </c>
      <c r="B235" s="469" t="s">
        <v>356</v>
      </c>
      <c r="C235" s="718">
        <v>0.4</v>
      </c>
      <c r="D235" s="469" t="s">
        <v>596</v>
      </c>
      <c r="E235" s="469" t="s">
        <v>597</v>
      </c>
      <c r="F235" s="718">
        <v>0.1</v>
      </c>
      <c r="G235" s="469" t="s">
        <v>514</v>
      </c>
      <c r="H235" s="469" t="s">
        <v>552</v>
      </c>
      <c r="I235" s="718">
        <v>0</v>
      </c>
      <c r="J235" s="748">
        <f t="shared" ref="J235:J299" si="314">+C235+F235+I235</f>
        <v>0.5</v>
      </c>
      <c r="K235" s="718">
        <v>0.4</v>
      </c>
      <c r="L235" s="316" t="s">
        <v>596</v>
      </c>
      <c r="M235" s="316" t="s">
        <v>597</v>
      </c>
      <c r="N235" s="718">
        <v>0.1</v>
      </c>
      <c r="O235" s="316" t="s">
        <v>514</v>
      </c>
      <c r="P235" s="316" t="s">
        <v>552</v>
      </c>
      <c r="Q235" s="718">
        <v>0</v>
      </c>
      <c r="R235" s="728">
        <f t="shared" si="259"/>
        <v>0.5</v>
      </c>
      <c r="S235" s="718">
        <v>0.4</v>
      </c>
      <c r="T235" s="316" t="s">
        <v>596</v>
      </c>
      <c r="U235" s="316" t="s">
        <v>597</v>
      </c>
      <c r="V235" s="718">
        <v>0.1</v>
      </c>
      <c r="W235" s="316" t="s">
        <v>514</v>
      </c>
      <c r="X235" s="316" t="s">
        <v>552</v>
      </c>
      <c r="Y235" s="718">
        <v>0</v>
      </c>
      <c r="Z235" s="728">
        <f t="shared" ref="Z235" si="315">+S235+V235+Y235</f>
        <v>0.5</v>
      </c>
      <c r="AA235" s="718">
        <v>0.4</v>
      </c>
      <c r="AB235" s="316" t="s">
        <v>596</v>
      </c>
      <c r="AC235" s="316" t="s">
        <v>597</v>
      </c>
      <c r="AD235" s="718">
        <v>0.1</v>
      </c>
      <c r="AE235" s="316" t="s">
        <v>514</v>
      </c>
      <c r="AF235" s="316" t="s">
        <v>552</v>
      </c>
      <c r="AG235" s="718">
        <v>0</v>
      </c>
      <c r="AH235" s="728">
        <f t="shared" si="306"/>
        <v>0.5</v>
      </c>
      <c r="AI235" s="718">
        <v>0.4</v>
      </c>
      <c r="AJ235" s="316" t="s">
        <v>596</v>
      </c>
      <c r="AK235" s="316" t="s">
        <v>597</v>
      </c>
      <c r="AL235" s="718">
        <v>0.1</v>
      </c>
      <c r="AM235" s="316" t="s">
        <v>514</v>
      </c>
      <c r="AN235" s="316" t="s">
        <v>552</v>
      </c>
      <c r="AO235" s="718">
        <v>0</v>
      </c>
      <c r="AP235" s="728">
        <f t="shared" si="309"/>
        <v>0.5</v>
      </c>
      <c r="AQ235" s="718">
        <v>0.35</v>
      </c>
      <c r="AR235" s="316" t="s">
        <v>596</v>
      </c>
      <c r="AS235" s="316" t="s">
        <v>597</v>
      </c>
      <c r="AT235" s="718">
        <v>0.4</v>
      </c>
      <c r="AU235" s="316" t="s">
        <v>514</v>
      </c>
      <c r="AV235" s="316" t="s">
        <v>552</v>
      </c>
      <c r="AW235" s="718">
        <v>0</v>
      </c>
      <c r="AX235" s="463">
        <f t="shared" si="310"/>
        <v>0.75</v>
      </c>
      <c r="AY235" s="661">
        <v>0.4</v>
      </c>
      <c r="AZ235" s="316" t="s">
        <v>596</v>
      </c>
      <c r="BA235" s="316" t="s">
        <v>597</v>
      </c>
      <c r="BB235" s="463">
        <v>0.1</v>
      </c>
      <c r="BC235" s="316" t="s">
        <v>514</v>
      </c>
      <c r="BD235" s="316" t="s">
        <v>552</v>
      </c>
      <c r="BE235" s="463">
        <v>0</v>
      </c>
      <c r="BF235" s="728">
        <f t="shared" si="311"/>
        <v>0.5</v>
      </c>
      <c r="BG235" s="463"/>
      <c r="BH235" s="463">
        <v>0.4</v>
      </c>
      <c r="BI235" s="316" t="s">
        <v>596</v>
      </c>
      <c r="BJ235" s="316" t="s">
        <v>597</v>
      </c>
      <c r="BK235" s="463">
        <v>0.1</v>
      </c>
      <c r="BL235" s="316" t="s">
        <v>514</v>
      </c>
      <c r="BM235" s="316" t="s">
        <v>552</v>
      </c>
      <c r="BN235" s="463">
        <v>0</v>
      </c>
      <c r="BO235" s="728">
        <f t="shared" si="312"/>
        <v>0.5</v>
      </c>
      <c r="BP235" s="463">
        <v>0.4</v>
      </c>
      <c r="BQ235" s="316" t="s">
        <v>596</v>
      </c>
      <c r="BR235" s="316" t="s">
        <v>597</v>
      </c>
      <c r="BS235" s="463">
        <v>0.1</v>
      </c>
      <c r="BT235" s="316" t="s">
        <v>514</v>
      </c>
      <c r="BU235" s="316" t="s">
        <v>552</v>
      </c>
      <c r="BV235" s="463">
        <v>0</v>
      </c>
      <c r="BW235" s="463">
        <f t="shared" si="313"/>
        <v>0.5</v>
      </c>
      <c r="BX235" s="489" t="s">
        <v>874</v>
      </c>
      <c r="BY235" s="489"/>
      <c r="BZ235" s="489"/>
      <c r="CA235" s="434"/>
      <c r="CB235" s="723">
        <v>0.76900000000000002</v>
      </c>
      <c r="CC235" s="668" t="s">
        <v>950</v>
      </c>
      <c r="CD235" s="316" t="s">
        <v>596</v>
      </c>
      <c r="CE235" s="316" t="s">
        <v>597</v>
      </c>
      <c r="CF235" s="718">
        <v>0.6</v>
      </c>
      <c r="CG235" s="316" t="s">
        <v>514</v>
      </c>
      <c r="CH235" s="316" t="s">
        <v>552</v>
      </c>
      <c r="CI235" s="718">
        <v>0</v>
      </c>
    </row>
    <row r="236" spans="1:87" ht="15.75" customHeight="1" x14ac:dyDescent="0.2">
      <c r="A236" s="747" t="s">
        <v>359</v>
      </c>
      <c r="B236" s="469" t="s">
        <v>358</v>
      </c>
      <c r="C236" s="718">
        <v>0.99</v>
      </c>
      <c r="D236" s="469" t="s">
        <v>514</v>
      </c>
      <c r="E236" s="469" t="s">
        <v>666</v>
      </c>
      <c r="F236" s="718">
        <v>0</v>
      </c>
      <c r="G236" s="469" t="s">
        <v>669</v>
      </c>
      <c r="H236" s="469" t="s">
        <v>670</v>
      </c>
      <c r="I236" s="718">
        <v>0.01</v>
      </c>
      <c r="J236" s="748">
        <f t="shared" si="314"/>
        <v>1</v>
      </c>
      <c r="K236" s="718">
        <v>0.99</v>
      </c>
      <c r="L236" s="316" t="s">
        <v>514</v>
      </c>
      <c r="M236" s="316" t="s">
        <v>666</v>
      </c>
      <c r="N236" s="718">
        <v>0</v>
      </c>
      <c r="O236" s="316" t="s">
        <v>669</v>
      </c>
      <c r="P236" s="316" t="s">
        <v>670</v>
      </c>
      <c r="Q236" s="718">
        <v>0.01</v>
      </c>
      <c r="R236" s="728">
        <f t="shared" si="259"/>
        <v>1</v>
      </c>
      <c r="S236" s="718">
        <v>0.99</v>
      </c>
      <c r="T236" s="316" t="s">
        <v>514</v>
      </c>
      <c r="U236" s="316" t="s">
        <v>666</v>
      </c>
      <c r="V236" s="718">
        <v>0</v>
      </c>
      <c r="W236" s="316" t="s">
        <v>669</v>
      </c>
      <c r="X236" s="316" t="s">
        <v>670</v>
      </c>
      <c r="Y236" s="718">
        <v>0.01</v>
      </c>
      <c r="Z236" s="728">
        <f t="shared" ref="Z236" si="316">+S236+V236+Y236</f>
        <v>1</v>
      </c>
      <c r="AA236" s="718">
        <v>0.99</v>
      </c>
      <c r="AB236" s="316" t="s">
        <v>514</v>
      </c>
      <c r="AC236" s="316" t="s">
        <v>666</v>
      </c>
      <c r="AD236" s="718">
        <v>0</v>
      </c>
      <c r="AE236" s="316" t="s">
        <v>669</v>
      </c>
      <c r="AF236" s="316" t="s">
        <v>670</v>
      </c>
      <c r="AG236" s="718">
        <v>0.01</v>
      </c>
      <c r="AH236" s="728">
        <f t="shared" si="306"/>
        <v>1</v>
      </c>
      <c r="AI236" s="718">
        <v>0.99</v>
      </c>
      <c r="AJ236" s="316" t="s">
        <v>514</v>
      </c>
      <c r="AK236" s="316" t="s">
        <v>666</v>
      </c>
      <c r="AL236" s="718">
        <v>0</v>
      </c>
      <c r="AM236" s="316" t="s">
        <v>669</v>
      </c>
      <c r="AN236" s="316" t="s">
        <v>670</v>
      </c>
      <c r="AO236" s="718">
        <v>0.01</v>
      </c>
      <c r="AP236" s="728">
        <f t="shared" si="309"/>
        <v>1</v>
      </c>
      <c r="AQ236" s="718">
        <v>0.99</v>
      </c>
      <c r="AR236" s="316" t="s">
        <v>514</v>
      </c>
      <c r="AS236" s="316" t="s">
        <v>666</v>
      </c>
      <c r="AT236" s="718">
        <v>0</v>
      </c>
      <c r="AU236" s="316" t="s">
        <v>669</v>
      </c>
      <c r="AV236" s="316" t="s">
        <v>670</v>
      </c>
      <c r="AW236" s="718">
        <v>0.01</v>
      </c>
      <c r="AX236" s="463">
        <f t="shared" si="310"/>
        <v>1</v>
      </c>
      <c r="AY236" s="661">
        <v>0.99</v>
      </c>
      <c r="AZ236" s="316" t="s">
        <v>514</v>
      </c>
      <c r="BA236" s="316" t="s">
        <v>666</v>
      </c>
      <c r="BB236" s="463">
        <v>0</v>
      </c>
      <c r="BC236" s="316" t="s">
        <v>669</v>
      </c>
      <c r="BD236" s="316" t="s">
        <v>670</v>
      </c>
      <c r="BE236" s="463">
        <v>0.01</v>
      </c>
      <c r="BF236" s="728">
        <f t="shared" si="311"/>
        <v>1</v>
      </c>
      <c r="BG236" s="463"/>
      <c r="BH236" s="463">
        <v>0.99</v>
      </c>
      <c r="BI236" s="316" t="s">
        <v>514</v>
      </c>
      <c r="BJ236" s="316" t="s">
        <v>666</v>
      </c>
      <c r="BK236" s="463">
        <v>0</v>
      </c>
      <c r="BL236" s="316" t="s">
        <v>669</v>
      </c>
      <c r="BM236" s="316" t="s">
        <v>670</v>
      </c>
      <c r="BN236" s="463">
        <v>0.01</v>
      </c>
      <c r="BO236" s="728">
        <f t="shared" si="312"/>
        <v>1</v>
      </c>
      <c r="BP236" s="463">
        <v>0.49</v>
      </c>
      <c r="BQ236" s="316" t="s">
        <v>514</v>
      </c>
      <c r="BR236" s="316" t="s">
        <v>666</v>
      </c>
      <c r="BS236" s="463">
        <v>0</v>
      </c>
      <c r="BT236" s="316" t="s">
        <v>669</v>
      </c>
      <c r="BU236" s="316" t="s">
        <v>670</v>
      </c>
      <c r="BV236" s="463">
        <v>0.01</v>
      </c>
      <c r="BW236" s="463">
        <f t="shared" si="313"/>
        <v>0.5</v>
      </c>
      <c r="BX236" s="446" t="s">
        <v>874</v>
      </c>
      <c r="BY236" s="446" t="s">
        <v>874</v>
      </c>
      <c r="BZ236" s="446" t="s">
        <v>874</v>
      </c>
      <c r="CA236" s="436" t="s">
        <v>874</v>
      </c>
      <c r="CB236" s="723">
        <v>0.67400000000000004</v>
      </c>
      <c r="CC236" s="668" t="s">
        <v>950</v>
      </c>
      <c r="CD236" s="316" t="s">
        <v>514</v>
      </c>
      <c r="CE236" s="316" t="s">
        <v>666</v>
      </c>
      <c r="CF236" s="718">
        <v>0</v>
      </c>
      <c r="CG236" s="316" t="s">
        <v>669</v>
      </c>
      <c r="CH236" s="316" t="s">
        <v>670</v>
      </c>
      <c r="CI236" s="718">
        <v>0.01</v>
      </c>
    </row>
    <row r="237" spans="1:87" ht="15.75" customHeight="1" x14ac:dyDescent="0.2">
      <c r="A237" s="747" t="s">
        <v>361</v>
      </c>
      <c r="B237" s="469" t="s">
        <v>360</v>
      </c>
      <c r="C237" s="718">
        <v>0.4</v>
      </c>
      <c r="D237" s="469" t="s">
        <v>651</v>
      </c>
      <c r="E237" s="469" t="s">
        <v>652</v>
      </c>
      <c r="F237" s="718">
        <v>0.09</v>
      </c>
      <c r="G237" s="469" t="s">
        <v>649</v>
      </c>
      <c r="H237" s="469" t="s">
        <v>1245</v>
      </c>
      <c r="I237" s="718">
        <v>0.01</v>
      </c>
      <c r="J237" s="748">
        <f t="shared" si="314"/>
        <v>0.5</v>
      </c>
      <c r="K237" s="718">
        <v>0.4</v>
      </c>
      <c r="L237" s="316" t="s">
        <v>651</v>
      </c>
      <c r="M237" s="316" t="s">
        <v>652</v>
      </c>
      <c r="N237" s="718">
        <v>0.09</v>
      </c>
      <c r="O237" s="316" t="s">
        <v>649</v>
      </c>
      <c r="P237" s="316" t="s">
        <v>1245</v>
      </c>
      <c r="Q237" s="718">
        <v>0.01</v>
      </c>
      <c r="R237" s="728">
        <f t="shared" si="259"/>
        <v>0.5</v>
      </c>
      <c r="S237" s="718">
        <v>0.4</v>
      </c>
      <c r="T237" s="316" t="s">
        <v>651</v>
      </c>
      <c r="U237" s="316" t="s">
        <v>652</v>
      </c>
      <c r="V237" s="718">
        <v>0.09</v>
      </c>
      <c r="W237" s="316" t="s">
        <v>649</v>
      </c>
      <c r="X237" s="316" t="s">
        <v>1245</v>
      </c>
      <c r="Y237" s="718">
        <v>0.01</v>
      </c>
      <c r="Z237" s="728">
        <f t="shared" ref="Z237" si="317">+S237+V237+Y237</f>
        <v>0.5</v>
      </c>
      <c r="AA237" s="718">
        <v>0.4</v>
      </c>
      <c r="AB237" s="316" t="s">
        <v>651</v>
      </c>
      <c r="AC237" s="316" t="s">
        <v>652</v>
      </c>
      <c r="AD237" s="718">
        <v>0.09</v>
      </c>
      <c r="AE237" s="316" t="s">
        <v>649</v>
      </c>
      <c r="AF237" s="316" t="s">
        <v>1245</v>
      </c>
      <c r="AG237" s="718">
        <v>0.01</v>
      </c>
      <c r="AH237" s="728">
        <f t="shared" si="306"/>
        <v>0.5</v>
      </c>
      <c r="AI237" s="718">
        <v>0.4</v>
      </c>
      <c r="AJ237" s="316" t="s">
        <v>651</v>
      </c>
      <c r="AK237" s="316" t="s">
        <v>652</v>
      </c>
      <c r="AL237" s="718">
        <v>0.09</v>
      </c>
      <c r="AM237" s="316" t="s">
        <v>649</v>
      </c>
      <c r="AN237" s="316" t="s">
        <v>1245</v>
      </c>
      <c r="AO237" s="718">
        <v>0.01</v>
      </c>
      <c r="AP237" s="728">
        <f t="shared" si="309"/>
        <v>0.5</v>
      </c>
      <c r="AQ237" s="718">
        <v>0.4</v>
      </c>
      <c r="AR237" s="316" t="s">
        <v>651</v>
      </c>
      <c r="AS237" s="316" t="s">
        <v>652</v>
      </c>
      <c r="AT237" s="718">
        <v>0.33999999999999997</v>
      </c>
      <c r="AU237" s="316" t="s">
        <v>649</v>
      </c>
      <c r="AV237" s="316" t="s">
        <v>1245</v>
      </c>
      <c r="AW237" s="718">
        <v>0.01</v>
      </c>
      <c r="AX237" s="463">
        <f t="shared" si="310"/>
        <v>0.75</v>
      </c>
      <c r="AY237" s="661">
        <v>0.4</v>
      </c>
      <c r="AZ237" s="316" t="s">
        <v>651</v>
      </c>
      <c r="BA237" s="316" t="s">
        <v>652</v>
      </c>
      <c r="BB237" s="463">
        <v>0.09</v>
      </c>
      <c r="BC237" s="316" t="s">
        <v>649</v>
      </c>
      <c r="BD237" s="316" t="s">
        <v>650</v>
      </c>
      <c r="BE237" s="463">
        <v>0.01</v>
      </c>
      <c r="BF237" s="728">
        <f t="shared" si="311"/>
        <v>0.5</v>
      </c>
      <c r="BG237" s="463"/>
      <c r="BH237" s="463">
        <v>0.4</v>
      </c>
      <c r="BI237" s="316" t="s">
        <v>651</v>
      </c>
      <c r="BJ237" s="316" t="s">
        <v>652</v>
      </c>
      <c r="BK237" s="463">
        <v>0.09</v>
      </c>
      <c r="BL237" s="316" t="s">
        <v>649</v>
      </c>
      <c r="BM237" s="316" t="s">
        <v>650</v>
      </c>
      <c r="BN237" s="463">
        <v>0.01</v>
      </c>
      <c r="BO237" s="728">
        <f t="shared" si="312"/>
        <v>0.5</v>
      </c>
      <c r="BP237" s="463">
        <v>0.4</v>
      </c>
      <c r="BQ237" s="316" t="s">
        <v>651</v>
      </c>
      <c r="BR237" s="316" t="s">
        <v>652</v>
      </c>
      <c r="BS237" s="463">
        <v>0.09</v>
      </c>
      <c r="BT237" s="316" t="s">
        <v>649</v>
      </c>
      <c r="BU237" s="316" t="s">
        <v>650</v>
      </c>
      <c r="BV237" s="463">
        <v>0.01</v>
      </c>
      <c r="BW237" s="463">
        <f t="shared" si="313"/>
        <v>0.5</v>
      </c>
      <c r="CA237" s="434"/>
      <c r="CB237" s="723">
        <v>0.70199999999999996</v>
      </c>
      <c r="CC237" s="668" t="s">
        <v>950</v>
      </c>
      <c r="CD237" s="316" t="s">
        <v>651</v>
      </c>
      <c r="CE237" s="316" t="s">
        <v>652</v>
      </c>
      <c r="CF237" s="718">
        <v>0.59</v>
      </c>
      <c r="CG237" s="316" t="s">
        <v>649</v>
      </c>
      <c r="CH237" s="316" t="s">
        <v>650</v>
      </c>
      <c r="CI237" s="718">
        <v>0.01</v>
      </c>
    </row>
    <row r="238" spans="1:87" ht="15.75" customHeight="1" x14ac:dyDescent="0.2">
      <c r="A238" s="747" t="s">
        <v>363</v>
      </c>
      <c r="B238" s="469" t="s">
        <v>362</v>
      </c>
      <c r="C238" s="718">
        <v>0.4</v>
      </c>
      <c r="D238" s="469" t="s">
        <v>651</v>
      </c>
      <c r="E238" s="469" t="s">
        <v>652</v>
      </c>
      <c r="F238" s="718">
        <v>0.09</v>
      </c>
      <c r="G238" s="469" t="s">
        <v>649</v>
      </c>
      <c r="H238" s="469" t="s">
        <v>1245</v>
      </c>
      <c r="I238" s="718">
        <v>0.01</v>
      </c>
      <c r="J238" s="748">
        <f t="shared" si="314"/>
        <v>0.5</v>
      </c>
      <c r="K238" s="718">
        <v>0.4</v>
      </c>
      <c r="L238" s="316" t="s">
        <v>651</v>
      </c>
      <c r="M238" s="316" t="s">
        <v>652</v>
      </c>
      <c r="N238" s="718">
        <v>0.09</v>
      </c>
      <c r="O238" s="316" t="s">
        <v>649</v>
      </c>
      <c r="P238" s="316" t="s">
        <v>1245</v>
      </c>
      <c r="Q238" s="718">
        <v>0.01</v>
      </c>
      <c r="R238" s="728">
        <f t="shared" si="259"/>
        <v>0.5</v>
      </c>
      <c r="S238" s="718">
        <v>0.4</v>
      </c>
      <c r="T238" s="316" t="s">
        <v>651</v>
      </c>
      <c r="U238" s="316" t="s">
        <v>652</v>
      </c>
      <c r="V238" s="718">
        <v>0.09</v>
      </c>
      <c r="W238" s="316" t="s">
        <v>649</v>
      </c>
      <c r="X238" s="316" t="s">
        <v>1245</v>
      </c>
      <c r="Y238" s="718">
        <v>0.01</v>
      </c>
      <c r="Z238" s="728">
        <f t="shared" ref="Z238" si="318">+S238+V238+Y238</f>
        <v>0.5</v>
      </c>
      <c r="AA238" s="718">
        <v>0.4</v>
      </c>
      <c r="AB238" s="316" t="s">
        <v>651</v>
      </c>
      <c r="AC238" s="316" t="s">
        <v>652</v>
      </c>
      <c r="AD238" s="718">
        <v>0.09</v>
      </c>
      <c r="AE238" s="316" t="s">
        <v>649</v>
      </c>
      <c r="AF238" s="316" t="s">
        <v>1245</v>
      </c>
      <c r="AG238" s="718">
        <v>0.01</v>
      </c>
      <c r="AH238" s="728">
        <f t="shared" si="306"/>
        <v>0.5</v>
      </c>
      <c r="AI238" s="718">
        <v>0.4</v>
      </c>
      <c r="AJ238" s="316" t="s">
        <v>651</v>
      </c>
      <c r="AK238" s="316" t="s">
        <v>652</v>
      </c>
      <c r="AL238" s="718">
        <v>0.09</v>
      </c>
      <c r="AM238" s="316" t="s">
        <v>649</v>
      </c>
      <c r="AN238" s="316" t="s">
        <v>1245</v>
      </c>
      <c r="AO238" s="718">
        <v>0.01</v>
      </c>
      <c r="AP238" s="728">
        <f t="shared" si="309"/>
        <v>0.5</v>
      </c>
      <c r="AQ238" s="718">
        <v>0.4</v>
      </c>
      <c r="AR238" s="316" t="s">
        <v>651</v>
      </c>
      <c r="AS238" s="316" t="s">
        <v>652</v>
      </c>
      <c r="AT238" s="718">
        <v>0.33999999999999997</v>
      </c>
      <c r="AU238" s="316" t="s">
        <v>649</v>
      </c>
      <c r="AV238" s="316" t="s">
        <v>1245</v>
      </c>
      <c r="AW238" s="718">
        <v>0.01</v>
      </c>
      <c r="AX238" s="463">
        <f t="shared" si="310"/>
        <v>0.75</v>
      </c>
      <c r="AY238" s="661">
        <v>0.4</v>
      </c>
      <c r="AZ238" s="316" t="s">
        <v>651</v>
      </c>
      <c r="BA238" s="316" t="s">
        <v>652</v>
      </c>
      <c r="BB238" s="463">
        <v>0.09</v>
      </c>
      <c r="BC238" s="316" t="s">
        <v>649</v>
      </c>
      <c r="BD238" s="316" t="s">
        <v>650</v>
      </c>
      <c r="BE238" s="463">
        <v>0.01</v>
      </c>
      <c r="BF238" s="728">
        <f t="shared" si="311"/>
        <v>0.5</v>
      </c>
      <c r="BG238" s="463"/>
      <c r="BH238" s="463">
        <v>0.4</v>
      </c>
      <c r="BI238" s="316" t="s">
        <v>651</v>
      </c>
      <c r="BJ238" s="316" t="s">
        <v>652</v>
      </c>
      <c r="BK238" s="463">
        <v>0.09</v>
      </c>
      <c r="BL238" s="316" t="s">
        <v>649</v>
      </c>
      <c r="BM238" s="316" t="s">
        <v>650</v>
      </c>
      <c r="BN238" s="463">
        <v>0.01</v>
      </c>
      <c r="BO238" s="728">
        <f t="shared" si="312"/>
        <v>0.5</v>
      </c>
      <c r="BP238" s="463">
        <v>0.4</v>
      </c>
      <c r="BQ238" s="316" t="s">
        <v>651</v>
      </c>
      <c r="BR238" s="316" t="s">
        <v>652</v>
      </c>
      <c r="BS238" s="463">
        <v>0.09</v>
      </c>
      <c r="BT238" s="316" t="s">
        <v>649</v>
      </c>
      <c r="BU238" s="316" t="s">
        <v>650</v>
      </c>
      <c r="BV238" s="463">
        <v>0.01</v>
      </c>
      <c r="BW238" s="463">
        <f t="shared" si="313"/>
        <v>0.5</v>
      </c>
      <c r="BX238" s="444"/>
      <c r="BY238" s="444"/>
      <c r="BZ238" s="444"/>
      <c r="CA238" s="434"/>
      <c r="CB238" s="723">
        <v>0.66400000000000003</v>
      </c>
      <c r="CC238" s="668" t="s">
        <v>950</v>
      </c>
      <c r="CD238" s="316" t="s">
        <v>651</v>
      </c>
      <c r="CE238" s="316" t="s">
        <v>652</v>
      </c>
      <c r="CF238" s="718">
        <v>0.59</v>
      </c>
      <c r="CG238" s="316" t="s">
        <v>649</v>
      </c>
      <c r="CH238" s="316" t="s">
        <v>650</v>
      </c>
      <c r="CI238" s="718">
        <v>0.01</v>
      </c>
    </row>
    <row r="239" spans="1:87" ht="15.75" customHeight="1" x14ac:dyDescent="0.2">
      <c r="A239" s="747" t="s">
        <v>365</v>
      </c>
      <c r="B239" s="469" t="s">
        <v>364</v>
      </c>
      <c r="C239" s="718">
        <v>0.4</v>
      </c>
      <c r="D239" s="469" t="s">
        <v>596</v>
      </c>
      <c r="E239" s="469" t="s">
        <v>597</v>
      </c>
      <c r="F239" s="718">
        <v>0.1</v>
      </c>
      <c r="G239" s="469" t="s">
        <v>514</v>
      </c>
      <c r="H239" s="469" t="s">
        <v>552</v>
      </c>
      <c r="I239" s="718">
        <v>0</v>
      </c>
      <c r="J239" s="748">
        <f t="shared" si="314"/>
        <v>0.5</v>
      </c>
      <c r="K239" s="718">
        <v>0.4</v>
      </c>
      <c r="L239" s="316" t="s">
        <v>596</v>
      </c>
      <c r="M239" s="316" t="s">
        <v>597</v>
      </c>
      <c r="N239" s="718">
        <v>0.1</v>
      </c>
      <c r="O239" s="316" t="s">
        <v>514</v>
      </c>
      <c r="P239" s="316" t="s">
        <v>552</v>
      </c>
      <c r="Q239" s="718">
        <v>0</v>
      </c>
      <c r="R239" s="728">
        <f t="shared" si="259"/>
        <v>0.5</v>
      </c>
      <c r="S239" s="718">
        <v>0.4</v>
      </c>
      <c r="T239" s="316" t="s">
        <v>596</v>
      </c>
      <c r="U239" s="316" t="s">
        <v>597</v>
      </c>
      <c r="V239" s="718">
        <v>0.1</v>
      </c>
      <c r="W239" s="316" t="s">
        <v>514</v>
      </c>
      <c r="X239" s="316" t="s">
        <v>552</v>
      </c>
      <c r="Y239" s="718">
        <v>0</v>
      </c>
      <c r="Z239" s="728">
        <f t="shared" ref="Z239:Z301" si="319">+S239+V239+Y239</f>
        <v>0.5</v>
      </c>
      <c r="AA239" s="718">
        <v>0.4</v>
      </c>
      <c r="AB239" s="316" t="s">
        <v>596</v>
      </c>
      <c r="AC239" s="316" t="s">
        <v>597</v>
      </c>
      <c r="AD239" s="718">
        <v>0.1</v>
      </c>
      <c r="AE239" s="316" t="s">
        <v>514</v>
      </c>
      <c r="AF239" s="316" t="s">
        <v>552</v>
      </c>
      <c r="AG239" s="718">
        <v>0</v>
      </c>
      <c r="AH239" s="728">
        <f t="shared" si="306"/>
        <v>0.5</v>
      </c>
      <c r="AI239" s="718">
        <v>0.4</v>
      </c>
      <c r="AJ239" s="316" t="s">
        <v>596</v>
      </c>
      <c r="AK239" s="316" t="s">
        <v>597</v>
      </c>
      <c r="AL239" s="718">
        <v>0.1</v>
      </c>
      <c r="AM239" s="316" t="s">
        <v>514</v>
      </c>
      <c r="AN239" s="316" t="s">
        <v>552</v>
      </c>
      <c r="AO239" s="718">
        <v>0</v>
      </c>
      <c r="AP239" s="728">
        <f t="shared" ref="AP239:AP242" si="320">+AI239+AL239+AO239</f>
        <v>0.5</v>
      </c>
      <c r="AQ239" s="718">
        <v>0.35</v>
      </c>
      <c r="AR239" s="316" t="s">
        <v>596</v>
      </c>
      <c r="AS239" s="316" t="s">
        <v>597</v>
      </c>
      <c r="AT239" s="718">
        <v>0.4</v>
      </c>
      <c r="AU239" s="316" t="s">
        <v>514</v>
      </c>
      <c r="AV239" s="316" t="s">
        <v>552</v>
      </c>
      <c r="AW239" s="718">
        <v>0</v>
      </c>
      <c r="AX239" s="463">
        <f t="shared" ref="AX239:AX242" si="321">+AQ239+AT239+AW239</f>
        <v>0.75</v>
      </c>
      <c r="AY239" s="661">
        <v>0.4</v>
      </c>
      <c r="AZ239" s="316" t="s">
        <v>596</v>
      </c>
      <c r="BA239" s="316" t="s">
        <v>597</v>
      </c>
      <c r="BB239" s="463">
        <v>0.1</v>
      </c>
      <c r="BC239" s="316" t="s">
        <v>514</v>
      </c>
      <c r="BD239" s="316" t="s">
        <v>552</v>
      </c>
      <c r="BE239" s="463">
        <v>0</v>
      </c>
      <c r="BF239" s="728">
        <f t="shared" ref="BF239:BF242" si="322">+AY239+BB239+BE239</f>
        <v>0.5</v>
      </c>
      <c r="BG239" s="463"/>
      <c r="BH239" s="463">
        <v>0.4</v>
      </c>
      <c r="BI239" s="316" t="s">
        <v>596</v>
      </c>
      <c r="BJ239" s="316" t="s">
        <v>597</v>
      </c>
      <c r="BK239" s="463">
        <v>0.1</v>
      </c>
      <c r="BL239" s="316" t="s">
        <v>514</v>
      </c>
      <c r="BM239" s="316" t="s">
        <v>552</v>
      </c>
      <c r="BN239" s="463">
        <v>0</v>
      </c>
      <c r="BO239" s="728">
        <f t="shared" ref="BO239:BO242" si="323">+BH239+BK239+BN239</f>
        <v>0.5</v>
      </c>
      <c r="BP239" s="463">
        <v>0.4</v>
      </c>
      <c r="BQ239" s="316" t="s">
        <v>596</v>
      </c>
      <c r="BR239" s="316" t="s">
        <v>597</v>
      </c>
      <c r="BS239" s="463">
        <v>0.1</v>
      </c>
      <c r="BT239" s="316" t="s">
        <v>514</v>
      </c>
      <c r="BU239" s="316" t="s">
        <v>552</v>
      </c>
      <c r="BV239" s="463">
        <v>0</v>
      </c>
      <c r="BW239" s="463">
        <f t="shared" ref="BW239:BW242" si="324">+BP239+BS239+BV239</f>
        <v>0.5</v>
      </c>
      <c r="BX239" s="444"/>
      <c r="BY239" s="444"/>
      <c r="BZ239" s="444"/>
      <c r="CA239" s="434"/>
      <c r="CB239" s="723">
        <v>0.73299999999999998</v>
      </c>
      <c r="CC239" s="668" t="s">
        <v>950</v>
      </c>
      <c r="CD239" s="316" t="s">
        <v>596</v>
      </c>
      <c r="CE239" s="316" t="s">
        <v>597</v>
      </c>
      <c r="CF239" s="718">
        <v>0.6</v>
      </c>
      <c r="CG239" s="316" t="s">
        <v>514</v>
      </c>
      <c r="CH239" s="316" t="s">
        <v>552</v>
      </c>
      <c r="CI239" s="718">
        <v>0</v>
      </c>
    </row>
    <row r="240" spans="1:87" ht="15" x14ac:dyDescent="0.2">
      <c r="A240" s="747" t="s">
        <v>367</v>
      </c>
      <c r="B240" s="469" t="s">
        <v>366</v>
      </c>
      <c r="C240" s="718">
        <v>0.99</v>
      </c>
      <c r="D240" s="469" t="s">
        <v>514</v>
      </c>
      <c r="E240" s="469" t="s">
        <v>666</v>
      </c>
      <c r="F240" s="718">
        <v>0</v>
      </c>
      <c r="G240" s="469" t="s">
        <v>1328</v>
      </c>
      <c r="H240" s="469" t="s">
        <v>1243</v>
      </c>
      <c r="I240" s="718">
        <v>0.01</v>
      </c>
      <c r="J240" s="748">
        <f t="shared" si="314"/>
        <v>1</v>
      </c>
      <c r="K240" s="718">
        <v>0.99</v>
      </c>
      <c r="L240" s="316" t="s">
        <v>514</v>
      </c>
      <c r="M240" s="316" t="s">
        <v>666</v>
      </c>
      <c r="N240" s="718">
        <v>0</v>
      </c>
      <c r="O240" s="316" t="s">
        <v>1328</v>
      </c>
      <c r="P240" s="316" t="s">
        <v>1243</v>
      </c>
      <c r="Q240" s="718">
        <v>0.01</v>
      </c>
      <c r="R240" s="728">
        <f t="shared" si="259"/>
        <v>1</v>
      </c>
      <c r="S240" s="718">
        <v>0.99</v>
      </c>
      <c r="T240" s="316" t="s">
        <v>514</v>
      </c>
      <c r="U240" s="316" t="s">
        <v>666</v>
      </c>
      <c r="V240" s="718">
        <v>0</v>
      </c>
      <c r="W240" s="316" t="s">
        <v>1328</v>
      </c>
      <c r="X240" s="316" t="s">
        <v>1243</v>
      </c>
      <c r="Y240" s="718">
        <v>0.01</v>
      </c>
      <c r="Z240" s="728">
        <f t="shared" si="319"/>
        <v>1</v>
      </c>
      <c r="AA240" s="718">
        <v>0.99</v>
      </c>
      <c r="AB240" s="316" t="s">
        <v>514</v>
      </c>
      <c r="AC240" s="316" t="s">
        <v>666</v>
      </c>
      <c r="AD240" s="718">
        <v>0</v>
      </c>
      <c r="AE240" s="316" t="s">
        <v>1328</v>
      </c>
      <c r="AF240" s="316" t="s">
        <v>1243</v>
      </c>
      <c r="AG240" s="718">
        <v>0.01</v>
      </c>
      <c r="AH240" s="728">
        <f t="shared" si="306"/>
        <v>1</v>
      </c>
      <c r="AI240" s="718">
        <v>0.99</v>
      </c>
      <c r="AJ240" s="316" t="s">
        <v>514</v>
      </c>
      <c r="AK240" s="316" t="s">
        <v>666</v>
      </c>
      <c r="AL240" s="718">
        <v>0</v>
      </c>
      <c r="AM240" s="316" t="s">
        <v>1328</v>
      </c>
      <c r="AN240" s="316" t="s">
        <v>1243</v>
      </c>
      <c r="AO240" s="718">
        <v>0.01</v>
      </c>
      <c r="AP240" s="728">
        <f t="shared" si="320"/>
        <v>1</v>
      </c>
      <c r="AQ240" s="718">
        <v>0.99</v>
      </c>
      <c r="AR240" s="316" t="s">
        <v>514</v>
      </c>
      <c r="AS240" s="316" t="s">
        <v>666</v>
      </c>
      <c r="AT240" s="718">
        <v>0</v>
      </c>
      <c r="AU240" s="316" t="s">
        <v>667</v>
      </c>
      <c r="AV240" s="316" t="s">
        <v>1243</v>
      </c>
      <c r="AW240" s="718">
        <v>0.01</v>
      </c>
      <c r="AX240" s="463">
        <f t="shared" si="321"/>
        <v>1</v>
      </c>
      <c r="AY240" s="661">
        <v>0.99</v>
      </c>
      <c r="AZ240" s="316" t="s">
        <v>514</v>
      </c>
      <c r="BA240" s="316" t="s">
        <v>666</v>
      </c>
      <c r="BB240" s="463">
        <v>0</v>
      </c>
      <c r="BC240" s="316" t="s">
        <v>667</v>
      </c>
      <c r="BD240" s="316" t="s">
        <v>668</v>
      </c>
      <c r="BE240" s="463">
        <v>0.01</v>
      </c>
      <c r="BF240" s="728">
        <f t="shared" si="322"/>
        <v>1</v>
      </c>
      <c r="BG240" s="463"/>
      <c r="BH240" s="463">
        <v>0.99</v>
      </c>
      <c r="BI240" s="316" t="s">
        <v>514</v>
      </c>
      <c r="BJ240" s="316" t="s">
        <v>666</v>
      </c>
      <c r="BK240" s="463">
        <v>0</v>
      </c>
      <c r="BL240" s="316" t="s">
        <v>667</v>
      </c>
      <c r="BM240" s="316" t="s">
        <v>668</v>
      </c>
      <c r="BN240" s="463">
        <v>0.01</v>
      </c>
      <c r="BO240" s="728">
        <f t="shared" si="323"/>
        <v>1</v>
      </c>
      <c r="BP240" s="463">
        <v>0.49</v>
      </c>
      <c r="BQ240" s="316" t="s">
        <v>514</v>
      </c>
      <c r="BR240" s="316" t="s">
        <v>666</v>
      </c>
      <c r="BS240" s="463">
        <v>0</v>
      </c>
      <c r="BT240" s="316" t="s">
        <v>667</v>
      </c>
      <c r="BU240" s="316" t="s">
        <v>668</v>
      </c>
      <c r="BV240" s="463">
        <v>0.01</v>
      </c>
      <c r="BW240" s="463">
        <f t="shared" si="324"/>
        <v>0.5</v>
      </c>
      <c r="BX240" s="444" t="s">
        <v>874</v>
      </c>
      <c r="BY240" s="444"/>
      <c r="BZ240" s="444"/>
      <c r="CA240" s="436" t="s">
        <v>874</v>
      </c>
      <c r="CB240" s="723">
        <v>0.66800000000000004</v>
      </c>
      <c r="CC240" s="668" t="s">
        <v>950</v>
      </c>
      <c r="CD240" s="316" t="s">
        <v>514</v>
      </c>
      <c r="CE240" s="316" t="s">
        <v>666</v>
      </c>
      <c r="CF240" s="718">
        <v>0</v>
      </c>
      <c r="CG240" s="316" t="s">
        <v>667</v>
      </c>
      <c r="CH240" s="316" t="s">
        <v>668</v>
      </c>
      <c r="CI240" s="718">
        <v>0.01</v>
      </c>
    </row>
    <row r="241" spans="1:87" ht="15" x14ac:dyDescent="0.2">
      <c r="A241" s="747" t="s">
        <v>369</v>
      </c>
      <c r="B241" s="469" t="s">
        <v>551</v>
      </c>
      <c r="C241" s="718">
        <v>0.49</v>
      </c>
      <c r="D241" s="469" t="s">
        <v>514</v>
      </c>
      <c r="E241" s="469" t="s">
        <v>515</v>
      </c>
      <c r="F241" s="718">
        <v>0</v>
      </c>
      <c r="G241" s="469" t="s">
        <v>547</v>
      </c>
      <c r="H241" s="469" t="s">
        <v>548</v>
      </c>
      <c r="I241" s="718">
        <v>0.01</v>
      </c>
      <c r="J241" s="748">
        <f t="shared" si="314"/>
        <v>0.5</v>
      </c>
      <c r="K241" s="718">
        <v>0.49</v>
      </c>
      <c r="L241" s="316" t="s">
        <v>514</v>
      </c>
      <c r="M241" s="316" t="s">
        <v>515</v>
      </c>
      <c r="N241" s="718">
        <v>0</v>
      </c>
      <c r="O241" s="316" t="s">
        <v>547</v>
      </c>
      <c r="P241" s="316" t="s">
        <v>548</v>
      </c>
      <c r="Q241" s="718">
        <v>0.01</v>
      </c>
      <c r="R241" s="728">
        <f t="shared" ref="R241:R301" si="325">+K241+N241+Q241</f>
        <v>0.5</v>
      </c>
      <c r="S241" s="718">
        <v>0.49</v>
      </c>
      <c r="T241" s="316" t="s">
        <v>514</v>
      </c>
      <c r="U241" s="316" t="s">
        <v>515</v>
      </c>
      <c r="V241" s="718">
        <v>0</v>
      </c>
      <c r="W241" s="316" t="s">
        <v>547</v>
      </c>
      <c r="X241" s="316" t="s">
        <v>548</v>
      </c>
      <c r="Y241" s="718">
        <v>0.01</v>
      </c>
      <c r="Z241" s="728">
        <f t="shared" si="319"/>
        <v>0.5</v>
      </c>
      <c r="AA241" s="718">
        <v>0.49</v>
      </c>
      <c r="AB241" s="316" t="s">
        <v>514</v>
      </c>
      <c r="AC241" s="316" t="s">
        <v>515</v>
      </c>
      <c r="AD241" s="718">
        <v>0</v>
      </c>
      <c r="AE241" s="316" t="s">
        <v>547</v>
      </c>
      <c r="AF241" s="316" t="s">
        <v>548</v>
      </c>
      <c r="AG241" s="718">
        <v>0.01</v>
      </c>
      <c r="AH241" s="728">
        <f t="shared" si="306"/>
        <v>0.5</v>
      </c>
      <c r="AI241" s="718">
        <v>0.49</v>
      </c>
      <c r="AJ241" s="316" t="s">
        <v>514</v>
      </c>
      <c r="AK241" s="316" t="s">
        <v>515</v>
      </c>
      <c r="AL241" s="718">
        <v>0</v>
      </c>
      <c r="AM241" s="316" t="s">
        <v>547</v>
      </c>
      <c r="AN241" s="316" t="s">
        <v>548</v>
      </c>
      <c r="AO241" s="718">
        <v>0.01</v>
      </c>
      <c r="AP241" s="728">
        <f t="shared" si="320"/>
        <v>0.5</v>
      </c>
      <c r="AQ241" s="718">
        <v>0.49</v>
      </c>
      <c r="AR241" s="316" t="s">
        <v>514</v>
      </c>
      <c r="AS241" s="316" t="s">
        <v>515</v>
      </c>
      <c r="AT241" s="718">
        <v>0</v>
      </c>
      <c r="AU241" s="316" t="s">
        <v>547</v>
      </c>
      <c r="AV241" s="316" t="s">
        <v>548</v>
      </c>
      <c r="AW241" s="718">
        <v>0.01</v>
      </c>
      <c r="AX241" s="463">
        <f t="shared" si="321"/>
        <v>0.5</v>
      </c>
      <c r="AY241" s="661">
        <v>0.49</v>
      </c>
      <c r="AZ241" s="316" t="s">
        <v>514</v>
      </c>
      <c r="BA241" s="316" t="s">
        <v>515</v>
      </c>
      <c r="BB241" s="463">
        <v>0</v>
      </c>
      <c r="BC241" s="316" t="s">
        <v>547</v>
      </c>
      <c r="BD241" s="316" t="s">
        <v>548</v>
      </c>
      <c r="BE241" s="463">
        <v>0.01</v>
      </c>
      <c r="BF241" s="728">
        <f t="shared" si="322"/>
        <v>0.5</v>
      </c>
      <c r="BG241" s="463"/>
      <c r="BH241" s="463">
        <v>0.49</v>
      </c>
      <c r="BI241" s="316" t="s">
        <v>514</v>
      </c>
      <c r="BJ241" s="316" t="s">
        <v>515</v>
      </c>
      <c r="BK241" s="463">
        <v>0</v>
      </c>
      <c r="BL241" s="316" t="s">
        <v>547</v>
      </c>
      <c r="BM241" s="316" t="s">
        <v>548</v>
      </c>
      <c r="BN241" s="463">
        <v>0.01</v>
      </c>
      <c r="BO241" s="728">
        <f t="shared" si="323"/>
        <v>0.5</v>
      </c>
      <c r="BP241" s="463">
        <v>0.49</v>
      </c>
      <c r="BQ241" s="316" t="s">
        <v>514</v>
      </c>
      <c r="BR241" s="316" t="s">
        <v>515</v>
      </c>
      <c r="BS241" s="463">
        <v>0</v>
      </c>
      <c r="BT241" s="316" t="s">
        <v>547</v>
      </c>
      <c r="BU241" s="316" t="s">
        <v>548</v>
      </c>
      <c r="BV241" s="463">
        <v>0.01</v>
      </c>
      <c r="BW241" s="463">
        <f t="shared" si="324"/>
        <v>0.5</v>
      </c>
      <c r="BX241" s="444" t="s">
        <v>874</v>
      </c>
      <c r="BY241" s="444" t="s">
        <v>874</v>
      </c>
      <c r="BZ241" s="444"/>
      <c r="CA241" s="436" t="s">
        <v>874</v>
      </c>
      <c r="CB241" s="723">
        <v>0.66900000000000004</v>
      </c>
      <c r="CC241" s="668" t="s">
        <v>950</v>
      </c>
      <c r="CD241" s="316" t="s">
        <v>514</v>
      </c>
      <c r="CE241" s="316" t="s">
        <v>515</v>
      </c>
      <c r="CF241" s="718">
        <v>0</v>
      </c>
      <c r="CG241" s="316" t="s">
        <v>547</v>
      </c>
      <c r="CH241" s="316" t="s">
        <v>548</v>
      </c>
      <c r="CI241" s="718">
        <v>0.01</v>
      </c>
    </row>
    <row r="242" spans="1:87" ht="15" x14ac:dyDescent="0.2">
      <c r="A242" s="747" t="s">
        <v>371</v>
      </c>
      <c r="B242" s="469" t="s">
        <v>648</v>
      </c>
      <c r="C242" s="718">
        <v>0.49</v>
      </c>
      <c r="D242" s="469" t="s">
        <v>514</v>
      </c>
      <c r="E242" s="469" t="s">
        <v>515</v>
      </c>
      <c r="F242" s="718">
        <v>0</v>
      </c>
      <c r="G242" s="469" t="s">
        <v>649</v>
      </c>
      <c r="H242" s="469" t="s">
        <v>1245</v>
      </c>
      <c r="I242" s="718">
        <v>0.01</v>
      </c>
      <c r="J242" s="748">
        <f t="shared" si="314"/>
        <v>0.5</v>
      </c>
      <c r="K242" s="718">
        <v>0.49</v>
      </c>
      <c r="L242" s="316" t="s">
        <v>514</v>
      </c>
      <c r="M242" s="316" t="s">
        <v>515</v>
      </c>
      <c r="N242" s="718">
        <v>0</v>
      </c>
      <c r="O242" s="316" t="s">
        <v>649</v>
      </c>
      <c r="P242" s="316" t="s">
        <v>1245</v>
      </c>
      <c r="Q242" s="718">
        <v>0.01</v>
      </c>
      <c r="R242" s="728">
        <f t="shared" si="325"/>
        <v>0.5</v>
      </c>
      <c r="S242" s="718">
        <v>0.49</v>
      </c>
      <c r="T242" s="316" t="s">
        <v>514</v>
      </c>
      <c r="U242" s="316" t="s">
        <v>515</v>
      </c>
      <c r="V242" s="718">
        <v>0</v>
      </c>
      <c r="W242" s="316" t="s">
        <v>649</v>
      </c>
      <c r="X242" s="316" t="s">
        <v>1245</v>
      </c>
      <c r="Y242" s="718">
        <v>0.01</v>
      </c>
      <c r="Z242" s="728">
        <f t="shared" si="319"/>
        <v>0.5</v>
      </c>
      <c r="AA242" s="718">
        <v>0.49</v>
      </c>
      <c r="AB242" s="316" t="s">
        <v>514</v>
      </c>
      <c r="AC242" s="316" t="s">
        <v>515</v>
      </c>
      <c r="AD242" s="718">
        <v>0</v>
      </c>
      <c r="AE242" s="316" t="s">
        <v>649</v>
      </c>
      <c r="AF242" s="316" t="s">
        <v>1245</v>
      </c>
      <c r="AG242" s="718">
        <v>0.01</v>
      </c>
      <c r="AH242" s="728">
        <f t="shared" si="306"/>
        <v>0.5</v>
      </c>
      <c r="AI242" s="718">
        <v>0.49</v>
      </c>
      <c r="AJ242" s="316" t="s">
        <v>514</v>
      </c>
      <c r="AK242" s="316" t="s">
        <v>515</v>
      </c>
      <c r="AL242" s="718">
        <v>0</v>
      </c>
      <c r="AM242" s="316" t="s">
        <v>649</v>
      </c>
      <c r="AN242" s="316" t="s">
        <v>1245</v>
      </c>
      <c r="AO242" s="718">
        <v>0.01</v>
      </c>
      <c r="AP242" s="728">
        <f t="shared" si="320"/>
        <v>0.5</v>
      </c>
      <c r="AQ242" s="718">
        <v>0.74</v>
      </c>
      <c r="AR242" s="316" t="s">
        <v>514</v>
      </c>
      <c r="AS242" s="316" t="s">
        <v>515</v>
      </c>
      <c r="AT242" s="718">
        <v>0</v>
      </c>
      <c r="AU242" s="316" t="s">
        <v>649</v>
      </c>
      <c r="AV242" s="316" t="s">
        <v>1245</v>
      </c>
      <c r="AW242" s="718">
        <v>0.01</v>
      </c>
      <c r="AX242" s="463">
        <f t="shared" si="321"/>
        <v>0.75</v>
      </c>
      <c r="AY242" s="661">
        <v>0.49</v>
      </c>
      <c r="AZ242" s="316" t="s">
        <v>514</v>
      </c>
      <c r="BA242" s="316" t="s">
        <v>515</v>
      </c>
      <c r="BB242" s="463">
        <v>0</v>
      </c>
      <c r="BC242" s="316" t="s">
        <v>649</v>
      </c>
      <c r="BD242" s="316" t="s">
        <v>650</v>
      </c>
      <c r="BE242" s="463">
        <v>0.01</v>
      </c>
      <c r="BF242" s="728">
        <f t="shared" si="322"/>
        <v>0.5</v>
      </c>
      <c r="BG242" s="463"/>
      <c r="BH242" s="463">
        <v>0.49</v>
      </c>
      <c r="BI242" s="316" t="s">
        <v>514</v>
      </c>
      <c r="BJ242" s="316" t="s">
        <v>515</v>
      </c>
      <c r="BK242" s="463">
        <v>0</v>
      </c>
      <c r="BL242" s="316" t="s">
        <v>649</v>
      </c>
      <c r="BM242" s="316" t="s">
        <v>650</v>
      </c>
      <c r="BN242" s="463">
        <v>0.01</v>
      </c>
      <c r="BO242" s="728">
        <f t="shared" si="323"/>
        <v>0.5</v>
      </c>
      <c r="BP242" s="463">
        <v>0.49</v>
      </c>
      <c r="BQ242" s="316" t="s">
        <v>514</v>
      </c>
      <c r="BR242" s="316" t="s">
        <v>515</v>
      </c>
      <c r="BS242" s="463">
        <v>0</v>
      </c>
      <c r="BT242" s="316" t="s">
        <v>649</v>
      </c>
      <c r="BU242" s="316" t="s">
        <v>650</v>
      </c>
      <c r="BV242" s="463">
        <v>0.01</v>
      </c>
      <c r="BW242" s="463">
        <f t="shared" si="324"/>
        <v>0.5</v>
      </c>
      <c r="BX242" s="444" t="s">
        <v>874</v>
      </c>
      <c r="BY242" s="444"/>
      <c r="BZ242" s="444"/>
      <c r="CA242" s="436" t="s">
        <v>874</v>
      </c>
      <c r="CB242" s="723">
        <v>0.67</v>
      </c>
      <c r="CC242" s="668" t="s">
        <v>950</v>
      </c>
      <c r="CD242" s="316" t="s">
        <v>514</v>
      </c>
      <c r="CE242" s="316" t="s">
        <v>515</v>
      </c>
      <c r="CF242" s="718">
        <v>0</v>
      </c>
      <c r="CG242" s="316" t="s">
        <v>649</v>
      </c>
      <c r="CH242" s="316" t="s">
        <v>650</v>
      </c>
      <c r="CI242" s="718">
        <v>0.01</v>
      </c>
    </row>
    <row r="243" spans="1:87" ht="15.75" customHeight="1" x14ac:dyDescent="0.2">
      <c r="A243" s="747" t="s">
        <v>373</v>
      </c>
      <c r="B243" s="469" t="s">
        <v>372</v>
      </c>
      <c r="C243" s="718">
        <v>0.4</v>
      </c>
      <c r="D243" s="469" t="s">
        <v>658</v>
      </c>
      <c r="E243" s="469" t="s">
        <v>659</v>
      </c>
      <c r="F243" s="718">
        <v>0.1</v>
      </c>
      <c r="G243" s="469" t="s">
        <v>514</v>
      </c>
      <c r="H243" s="469" t="s">
        <v>552</v>
      </c>
      <c r="I243" s="718">
        <v>0</v>
      </c>
      <c r="J243" s="748">
        <f t="shared" si="314"/>
        <v>0.5</v>
      </c>
      <c r="K243" s="718">
        <v>0.4</v>
      </c>
      <c r="L243" s="316" t="s">
        <v>658</v>
      </c>
      <c r="M243" s="316" t="s">
        <v>659</v>
      </c>
      <c r="N243" s="718">
        <v>0.1</v>
      </c>
      <c r="O243" s="316" t="s">
        <v>514</v>
      </c>
      <c r="P243" s="316" t="s">
        <v>552</v>
      </c>
      <c r="Q243" s="718">
        <v>0</v>
      </c>
      <c r="R243" s="728">
        <f t="shared" si="325"/>
        <v>0.5</v>
      </c>
      <c r="S243" s="718">
        <v>0.4</v>
      </c>
      <c r="T243" s="316" t="s">
        <v>658</v>
      </c>
      <c r="U243" s="316" t="s">
        <v>659</v>
      </c>
      <c r="V243" s="718">
        <v>0.1</v>
      </c>
      <c r="W243" s="316" t="s">
        <v>514</v>
      </c>
      <c r="X243" s="316" t="s">
        <v>552</v>
      </c>
      <c r="Y243" s="718">
        <v>0</v>
      </c>
      <c r="Z243" s="728">
        <f t="shared" si="319"/>
        <v>0.5</v>
      </c>
      <c r="AA243" s="718">
        <v>0.4</v>
      </c>
      <c r="AB243" s="316" t="s">
        <v>658</v>
      </c>
      <c r="AC243" s="316" t="s">
        <v>659</v>
      </c>
      <c r="AD243" s="718">
        <v>0.1</v>
      </c>
      <c r="AE243" s="316" t="s">
        <v>514</v>
      </c>
      <c r="AF243" s="316" t="s">
        <v>552</v>
      </c>
      <c r="AG243" s="718">
        <v>0</v>
      </c>
      <c r="AH243" s="728">
        <f t="shared" si="306"/>
        <v>0.5</v>
      </c>
      <c r="AI243" s="718">
        <v>0.4</v>
      </c>
      <c r="AJ243" s="316" t="s">
        <v>658</v>
      </c>
      <c r="AK243" s="316" t="s">
        <v>659</v>
      </c>
      <c r="AL243" s="718">
        <v>0.1</v>
      </c>
      <c r="AM243" s="316" t="s">
        <v>514</v>
      </c>
      <c r="AN243" s="316" t="s">
        <v>552</v>
      </c>
      <c r="AO243" s="718">
        <v>0</v>
      </c>
      <c r="AP243" s="728">
        <f t="shared" ref="AP243:AP246" si="326">+AI243+AL243+AO243</f>
        <v>0.5</v>
      </c>
      <c r="AQ243" s="718">
        <v>0.4</v>
      </c>
      <c r="AR243" s="316" t="s">
        <v>658</v>
      </c>
      <c r="AS243" s="316" t="s">
        <v>659</v>
      </c>
      <c r="AT243" s="718">
        <v>0.1</v>
      </c>
      <c r="AU243" s="316" t="s">
        <v>514</v>
      </c>
      <c r="AV243" s="316" t="s">
        <v>552</v>
      </c>
      <c r="AW243" s="718">
        <v>0</v>
      </c>
      <c r="AX243" s="463">
        <f t="shared" ref="AX243:AX246" si="327">+AQ243+AT243+AW243</f>
        <v>0.5</v>
      </c>
      <c r="AY243" s="661">
        <v>0.4</v>
      </c>
      <c r="AZ243" s="316" t="s">
        <v>658</v>
      </c>
      <c r="BA243" s="316" t="s">
        <v>659</v>
      </c>
      <c r="BB243" s="463">
        <v>0.1</v>
      </c>
      <c r="BC243" s="316" t="s">
        <v>514</v>
      </c>
      <c r="BD243" s="316" t="s">
        <v>552</v>
      </c>
      <c r="BE243" s="463">
        <v>0</v>
      </c>
      <c r="BF243" s="728">
        <f t="shared" ref="BF243:BF246" si="328">+AY243+BB243+BE243</f>
        <v>0.5</v>
      </c>
      <c r="BG243" s="463"/>
      <c r="BH243" s="463">
        <v>0.4</v>
      </c>
      <c r="BI243" s="316" t="s">
        <v>658</v>
      </c>
      <c r="BJ243" s="316" t="s">
        <v>659</v>
      </c>
      <c r="BK243" s="463">
        <v>0.1</v>
      </c>
      <c r="BL243" s="316" t="s">
        <v>514</v>
      </c>
      <c r="BM243" s="316" t="s">
        <v>552</v>
      </c>
      <c r="BN243" s="463">
        <v>0</v>
      </c>
      <c r="BO243" s="728">
        <f t="shared" ref="BO243:BO246" si="329">+BH243+BK243+BN243</f>
        <v>0.5</v>
      </c>
      <c r="BP243" s="463">
        <v>0.4</v>
      </c>
      <c r="BQ243" s="316" t="s">
        <v>658</v>
      </c>
      <c r="BR243" s="316" t="s">
        <v>659</v>
      </c>
      <c r="BS243" s="463">
        <v>0.1</v>
      </c>
      <c r="BT243" s="316" t="s">
        <v>514</v>
      </c>
      <c r="BU243" s="316" t="s">
        <v>552</v>
      </c>
      <c r="BV243" s="463">
        <v>0</v>
      </c>
      <c r="BW243" s="463">
        <f t="shared" ref="BW243:BW246" si="330">+BP243+BS243+BV243</f>
        <v>0.5</v>
      </c>
      <c r="BX243" s="444"/>
      <c r="BY243" s="444"/>
      <c r="BZ243" s="444"/>
      <c r="CA243" s="434"/>
      <c r="CB243" s="723">
        <v>0.68300000000000005</v>
      </c>
      <c r="CC243" s="668" t="s">
        <v>950</v>
      </c>
      <c r="CD243" s="316" t="s">
        <v>658</v>
      </c>
      <c r="CE243" s="316" t="s">
        <v>659</v>
      </c>
      <c r="CF243" s="718">
        <v>0.6</v>
      </c>
      <c r="CG243" s="316" t="s">
        <v>514</v>
      </c>
      <c r="CH243" s="316" t="s">
        <v>552</v>
      </c>
      <c r="CI243" s="718">
        <v>0</v>
      </c>
    </row>
    <row r="244" spans="1:87" ht="15.75" customHeight="1" x14ac:dyDescent="0.2">
      <c r="A244" s="747" t="s">
        <v>375</v>
      </c>
      <c r="B244" s="469" t="s">
        <v>374</v>
      </c>
      <c r="C244" s="718">
        <v>0.4</v>
      </c>
      <c r="D244" s="469" t="s">
        <v>583</v>
      </c>
      <c r="E244" s="469" t="s">
        <v>584</v>
      </c>
      <c r="F244" s="718">
        <v>0.1</v>
      </c>
      <c r="G244" s="469" t="s">
        <v>514</v>
      </c>
      <c r="H244" s="469" t="s">
        <v>552</v>
      </c>
      <c r="I244" s="718">
        <v>0</v>
      </c>
      <c r="J244" s="748">
        <f t="shared" si="314"/>
        <v>0.5</v>
      </c>
      <c r="K244" s="718">
        <v>0.4</v>
      </c>
      <c r="L244" s="316" t="s">
        <v>583</v>
      </c>
      <c r="M244" s="316" t="s">
        <v>584</v>
      </c>
      <c r="N244" s="718">
        <v>0.1</v>
      </c>
      <c r="O244" s="316" t="s">
        <v>514</v>
      </c>
      <c r="P244" s="316" t="s">
        <v>552</v>
      </c>
      <c r="Q244" s="718">
        <v>0</v>
      </c>
      <c r="R244" s="728">
        <f t="shared" si="325"/>
        <v>0.5</v>
      </c>
      <c r="S244" s="718">
        <v>0.4</v>
      </c>
      <c r="T244" s="316" t="s">
        <v>583</v>
      </c>
      <c r="U244" s="316" t="s">
        <v>584</v>
      </c>
      <c r="V244" s="718">
        <v>0.1</v>
      </c>
      <c r="W244" s="316" t="s">
        <v>514</v>
      </c>
      <c r="X244" s="316" t="s">
        <v>552</v>
      </c>
      <c r="Y244" s="718">
        <v>0</v>
      </c>
      <c r="Z244" s="728">
        <f t="shared" si="319"/>
        <v>0.5</v>
      </c>
      <c r="AA244" s="718">
        <v>0.4</v>
      </c>
      <c r="AB244" s="316" t="s">
        <v>583</v>
      </c>
      <c r="AC244" s="316" t="s">
        <v>584</v>
      </c>
      <c r="AD244" s="718">
        <v>0.1</v>
      </c>
      <c r="AE244" s="316" t="s">
        <v>514</v>
      </c>
      <c r="AF244" s="316" t="s">
        <v>552</v>
      </c>
      <c r="AG244" s="718">
        <v>0</v>
      </c>
      <c r="AH244" s="728">
        <f t="shared" si="306"/>
        <v>0.5</v>
      </c>
      <c r="AI244" s="718">
        <v>0.4</v>
      </c>
      <c r="AJ244" s="316" t="s">
        <v>583</v>
      </c>
      <c r="AK244" s="316" t="s">
        <v>584</v>
      </c>
      <c r="AL244" s="718">
        <v>0.1</v>
      </c>
      <c r="AM244" s="316" t="s">
        <v>514</v>
      </c>
      <c r="AN244" s="316" t="s">
        <v>552</v>
      </c>
      <c r="AO244" s="718">
        <v>0</v>
      </c>
      <c r="AP244" s="728">
        <f t="shared" si="326"/>
        <v>0.5</v>
      </c>
      <c r="AQ244" s="718">
        <v>0.4</v>
      </c>
      <c r="AR244" s="316" t="s">
        <v>583</v>
      </c>
      <c r="AS244" s="316" t="s">
        <v>584</v>
      </c>
      <c r="AT244" s="718">
        <v>0.1</v>
      </c>
      <c r="AU244" s="316" t="s">
        <v>514</v>
      </c>
      <c r="AV244" s="316" t="s">
        <v>552</v>
      </c>
      <c r="AW244" s="718">
        <v>0</v>
      </c>
      <c r="AX244" s="463">
        <f t="shared" si="327"/>
        <v>0.5</v>
      </c>
      <c r="AY244" s="661">
        <v>0.5</v>
      </c>
      <c r="AZ244" s="316" t="s">
        <v>583</v>
      </c>
      <c r="BA244" s="316" t="s">
        <v>584</v>
      </c>
      <c r="BB244" s="463">
        <v>0.5</v>
      </c>
      <c r="BC244" s="316" t="s">
        <v>514</v>
      </c>
      <c r="BD244" s="316" t="s">
        <v>552</v>
      </c>
      <c r="BE244" s="463">
        <v>0</v>
      </c>
      <c r="BF244" s="728">
        <f t="shared" si="328"/>
        <v>1</v>
      </c>
      <c r="BG244" s="463"/>
      <c r="BH244" s="463">
        <v>0.4</v>
      </c>
      <c r="BI244" s="316" t="s">
        <v>583</v>
      </c>
      <c r="BJ244" s="316" t="s">
        <v>584</v>
      </c>
      <c r="BK244" s="463">
        <v>0.1</v>
      </c>
      <c r="BL244" s="316" t="s">
        <v>514</v>
      </c>
      <c r="BM244" s="316" t="s">
        <v>552</v>
      </c>
      <c r="BN244" s="463">
        <v>0</v>
      </c>
      <c r="BO244" s="728">
        <f t="shared" si="329"/>
        <v>0.5</v>
      </c>
      <c r="BP244" s="463">
        <v>0.4</v>
      </c>
      <c r="BQ244" s="316" t="s">
        <v>583</v>
      </c>
      <c r="BR244" s="316" t="s">
        <v>584</v>
      </c>
      <c r="BS244" s="463">
        <v>0.1</v>
      </c>
      <c r="BT244" s="316" t="s">
        <v>514</v>
      </c>
      <c r="BU244" s="316" t="s">
        <v>552</v>
      </c>
      <c r="BV244" s="463">
        <v>0</v>
      </c>
      <c r="BW244" s="463">
        <f t="shared" si="330"/>
        <v>0.5</v>
      </c>
      <c r="BX244" s="444"/>
      <c r="BY244" s="444"/>
      <c r="BZ244" s="444"/>
      <c r="CA244" s="434"/>
      <c r="CB244" s="723">
        <v>0.66700000000000004</v>
      </c>
      <c r="CC244" s="668" t="s">
        <v>950</v>
      </c>
      <c r="CD244" s="316" t="s">
        <v>583</v>
      </c>
      <c r="CE244" s="316" t="s">
        <v>584</v>
      </c>
      <c r="CF244" s="718">
        <v>0.6</v>
      </c>
      <c r="CG244" s="316" t="s">
        <v>514</v>
      </c>
      <c r="CH244" s="316" t="s">
        <v>552</v>
      </c>
      <c r="CI244" s="718">
        <v>0</v>
      </c>
    </row>
    <row r="245" spans="1:87" ht="15" x14ac:dyDescent="0.2">
      <c r="A245" s="747" t="s">
        <v>377</v>
      </c>
      <c r="B245" s="469" t="s">
        <v>376</v>
      </c>
      <c r="C245" s="718">
        <v>0.49</v>
      </c>
      <c r="D245" s="469" t="s">
        <v>514</v>
      </c>
      <c r="E245" s="469" t="s">
        <v>666</v>
      </c>
      <c r="F245" s="718">
        <v>0</v>
      </c>
      <c r="G245" s="469" t="s">
        <v>673</v>
      </c>
      <c r="H245" s="469" t="s">
        <v>674</v>
      </c>
      <c r="I245" s="718">
        <v>0.01</v>
      </c>
      <c r="J245" s="748">
        <f t="shared" si="314"/>
        <v>0.5</v>
      </c>
      <c r="K245" s="718">
        <v>0.49</v>
      </c>
      <c r="L245" s="316" t="s">
        <v>514</v>
      </c>
      <c r="M245" s="316" t="s">
        <v>666</v>
      </c>
      <c r="N245" s="718">
        <v>0</v>
      </c>
      <c r="O245" s="316" t="s">
        <v>673</v>
      </c>
      <c r="P245" s="316" t="s">
        <v>674</v>
      </c>
      <c r="Q245" s="718">
        <v>0.01</v>
      </c>
      <c r="R245" s="728">
        <f t="shared" si="325"/>
        <v>0.5</v>
      </c>
      <c r="S245" s="718">
        <v>0.49</v>
      </c>
      <c r="T245" s="316" t="s">
        <v>514</v>
      </c>
      <c r="U245" s="316" t="s">
        <v>666</v>
      </c>
      <c r="V245" s="718">
        <v>0</v>
      </c>
      <c r="W245" s="316" t="s">
        <v>673</v>
      </c>
      <c r="X245" s="316" t="s">
        <v>674</v>
      </c>
      <c r="Y245" s="718">
        <v>0.01</v>
      </c>
      <c r="Z245" s="728">
        <f t="shared" si="319"/>
        <v>0.5</v>
      </c>
      <c r="AA245" s="718">
        <v>0.49</v>
      </c>
      <c r="AB245" s="316" t="s">
        <v>514</v>
      </c>
      <c r="AC245" s="316" t="s">
        <v>666</v>
      </c>
      <c r="AD245" s="718">
        <v>0</v>
      </c>
      <c r="AE245" s="316" t="s">
        <v>673</v>
      </c>
      <c r="AF245" s="316" t="s">
        <v>674</v>
      </c>
      <c r="AG245" s="718">
        <v>0.01</v>
      </c>
      <c r="AH245" s="728">
        <f t="shared" si="306"/>
        <v>0.5</v>
      </c>
      <c r="AI245" s="718">
        <v>0.49</v>
      </c>
      <c r="AJ245" s="316" t="s">
        <v>514</v>
      </c>
      <c r="AK245" s="316" t="s">
        <v>666</v>
      </c>
      <c r="AL245" s="718">
        <v>0</v>
      </c>
      <c r="AM245" s="316" t="s">
        <v>673</v>
      </c>
      <c r="AN245" s="316" t="s">
        <v>674</v>
      </c>
      <c r="AO245" s="718">
        <v>0.01</v>
      </c>
      <c r="AP245" s="728">
        <f t="shared" si="326"/>
        <v>0.5</v>
      </c>
      <c r="AQ245" s="718">
        <v>0.49</v>
      </c>
      <c r="AR245" s="316" t="s">
        <v>514</v>
      </c>
      <c r="AS245" s="316" t="s">
        <v>666</v>
      </c>
      <c r="AT245" s="718">
        <v>0</v>
      </c>
      <c r="AU245" s="316" t="s">
        <v>673</v>
      </c>
      <c r="AV245" s="316" t="s">
        <v>674</v>
      </c>
      <c r="AW245" s="718">
        <v>0.01</v>
      </c>
      <c r="AX245" s="463">
        <f t="shared" si="327"/>
        <v>0.5</v>
      </c>
      <c r="AY245" s="661">
        <v>0.49</v>
      </c>
      <c r="AZ245" s="316" t="s">
        <v>514</v>
      </c>
      <c r="BA245" s="316" t="s">
        <v>666</v>
      </c>
      <c r="BB245" s="463">
        <v>0</v>
      </c>
      <c r="BC245" s="316" t="s">
        <v>673</v>
      </c>
      <c r="BD245" s="316" t="s">
        <v>674</v>
      </c>
      <c r="BE245" s="463">
        <v>0.01</v>
      </c>
      <c r="BF245" s="728">
        <f t="shared" si="328"/>
        <v>0.5</v>
      </c>
      <c r="BG245" s="463"/>
      <c r="BH245" s="463">
        <v>0.49</v>
      </c>
      <c r="BI245" s="316" t="s">
        <v>514</v>
      </c>
      <c r="BJ245" s="316" t="s">
        <v>666</v>
      </c>
      <c r="BK245" s="463">
        <v>0</v>
      </c>
      <c r="BL245" s="316" t="s">
        <v>673</v>
      </c>
      <c r="BM245" s="316" t="s">
        <v>674</v>
      </c>
      <c r="BN245" s="463">
        <v>0.01</v>
      </c>
      <c r="BO245" s="728">
        <f t="shared" si="329"/>
        <v>0.5</v>
      </c>
      <c r="BP245" s="463">
        <v>0.49</v>
      </c>
      <c r="BQ245" s="316" t="s">
        <v>514</v>
      </c>
      <c r="BR245" s="316" t="s">
        <v>666</v>
      </c>
      <c r="BS245" s="463">
        <v>0</v>
      </c>
      <c r="BT245" s="316" t="s">
        <v>673</v>
      </c>
      <c r="BU245" s="316" t="s">
        <v>674</v>
      </c>
      <c r="BV245" s="463">
        <v>0.01</v>
      </c>
      <c r="BW245" s="463">
        <f t="shared" si="330"/>
        <v>0.5</v>
      </c>
      <c r="BX245" s="444" t="s">
        <v>874</v>
      </c>
      <c r="BY245" s="444"/>
      <c r="BZ245" s="444" t="s">
        <v>874</v>
      </c>
      <c r="CA245" s="436" t="s">
        <v>874</v>
      </c>
      <c r="CB245" s="723">
        <v>0.67600000000000005</v>
      </c>
      <c r="CC245" s="668" t="s">
        <v>950</v>
      </c>
      <c r="CD245" s="316" t="s">
        <v>514</v>
      </c>
      <c r="CE245" s="316" t="s">
        <v>666</v>
      </c>
      <c r="CF245" s="718">
        <v>0</v>
      </c>
      <c r="CG245" s="316" t="s">
        <v>673</v>
      </c>
      <c r="CH245" s="316" t="s">
        <v>674</v>
      </c>
      <c r="CI245" s="718">
        <v>0.01</v>
      </c>
    </row>
    <row r="246" spans="1:87" ht="15.75" customHeight="1" x14ac:dyDescent="0.2">
      <c r="A246" s="747" t="s">
        <v>379</v>
      </c>
      <c r="B246" s="469" t="s">
        <v>378</v>
      </c>
      <c r="C246" s="718">
        <v>0.4</v>
      </c>
      <c r="D246" s="469" t="s">
        <v>655</v>
      </c>
      <c r="E246" s="469" t="s">
        <v>656</v>
      </c>
      <c r="F246" s="718">
        <v>0.1</v>
      </c>
      <c r="G246" s="469" t="s">
        <v>514</v>
      </c>
      <c r="H246" s="469" t="s">
        <v>552</v>
      </c>
      <c r="I246" s="718">
        <v>0</v>
      </c>
      <c r="J246" s="748">
        <f t="shared" si="314"/>
        <v>0.5</v>
      </c>
      <c r="K246" s="718">
        <v>0.4</v>
      </c>
      <c r="L246" s="316" t="s">
        <v>655</v>
      </c>
      <c r="M246" s="316" t="s">
        <v>656</v>
      </c>
      <c r="N246" s="718">
        <v>0.1</v>
      </c>
      <c r="O246" s="316" t="s">
        <v>514</v>
      </c>
      <c r="P246" s="316" t="s">
        <v>552</v>
      </c>
      <c r="Q246" s="718">
        <v>0</v>
      </c>
      <c r="R246" s="728">
        <f t="shared" si="325"/>
        <v>0.5</v>
      </c>
      <c r="S246" s="718">
        <v>0.4</v>
      </c>
      <c r="T246" s="316" t="s">
        <v>655</v>
      </c>
      <c r="U246" s="316" t="s">
        <v>656</v>
      </c>
      <c r="V246" s="718">
        <v>0.1</v>
      </c>
      <c r="W246" s="316" t="s">
        <v>514</v>
      </c>
      <c r="X246" s="316" t="s">
        <v>552</v>
      </c>
      <c r="Y246" s="718">
        <v>0</v>
      </c>
      <c r="Z246" s="728">
        <f t="shared" si="319"/>
        <v>0.5</v>
      </c>
      <c r="AA246" s="718">
        <v>0.4</v>
      </c>
      <c r="AB246" s="316" t="s">
        <v>655</v>
      </c>
      <c r="AC246" s="316" t="s">
        <v>656</v>
      </c>
      <c r="AD246" s="718">
        <v>0.1</v>
      </c>
      <c r="AE246" s="316" t="s">
        <v>514</v>
      </c>
      <c r="AF246" s="316" t="s">
        <v>552</v>
      </c>
      <c r="AG246" s="718">
        <v>0</v>
      </c>
      <c r="AH246" s="728">
        <f t="shared" si="306"/>
        <v>0.5</v>
      </c>
      <c r="AI246" s="718">
        <v>0.4</v>
      </c>
      <c r="AJ246" s="316" t="s">
        <v>655</v>
      </c>
      <c r="AK246" s="316" t="s">
        <v>656</v>
      </c>
      <c r="AL246" s="718">
        <v>0.1</v>
      </c>
      <c r="AM246" s="316" t="s">
        <v>514</v>
      </c>
      <c r="AN246" s="316" t="s">
        <v>552</v>
      </c>
      <c r="AO246" s="718">
        <v>0</v>
      </c>
      <c r="AP246" s="728">
        <f t="shared" si="326"/>
        <v>0.5</v>
      </c>
      <c r="AQ246" s="718">
        <v>0.4</v>
      </c>
      <c r="AR246" s="316" t="s">
        <v>655</v>
      </c>
      <c r="AS246" s="316" t="s">
        <v>656</v>
      </c>
      <c r="AT246" s="718">
        <v>0.1</v>
      </c>
      <c r="AU246" s="316" t="s">
        <v>514</v>
      </c>
      <c r="AV246" s="316" t="s">
        <v>552</v>
      </c>
      <c r="AW246" s="718">
        <v>0</v>
      </c>
      <c r="AX246" s="463">
        <f t="shared" si="327"/>
        <v>0.5</v>
      </c>
      <c r="AY246" s="661">
        <v>0.3</v>
      </c>
      <c r="AZ246" s="316" t="s">
        <v>655</v>
      </c>
      <c r="BA246" s="316" t="s">
        <v>656</v>
      </c>
      <c r="BB246" s="463">
        <v>0.7</v>
      </c>
      <c r="BC246" s="316" t="s">
        <v>514</v>
      </c>
      <c r="BD246" s="316" t="s">
        <v>552</v>
      </c>
      <c r="BE246" s="463">
        <v>0</v>
      </c>
      <c r="BF246" s="728">
        <f t="shared" si="328"/>
        <v>1</v>
      </c>
      <c r="BG246" s="463"/>
      <c r="BH246" s="463">
        <v>0.4</v>
      </c>
      <c r="BI246" s="316" t="s">
        <v>655</v>
      </c>
      <c r="BJ246" s="316" t="s">
        <v>656</v>
      </c>
      <c r="BK246" s="463">
        <v>0.1</v>
      </c>
      <c r="BL246" s="316" t="s">
        <v>514</v>
      </c>
      <c r="BM246" s="316" t="s">
        <v>552</v>
      </c>
      <c r="BN246" s="463">
        <v>0</v>
      </c>
      <c r="BO246" s="728">
        <f t="shared" si="329"/>
        <v>0.5</v>
      </c>
      <c r="BP246" s="463">
        <v>0.4</v>
      </c>
      <c r="BQ246" s="316" t="s">
        <v>655</v>
      </c>
      <c r="BR246" s="316" t="s">
        <v>656</v>
      </c>
      <c r="BS246" s="463">
        <v>0.1</v>
      </c>
      <c r="BT246" s="316" t="s">
        <v>514</v>
      </c>
      <c r="BU246" s="316" t="s">
        <v>552</v>
      </c>
      <c r="BV246" s="463">
        <v>0</v>
      </c>
      <c r="BW246" s="463">
        <f t="shared" si="330"/>
        <v>0.5</v>
      </c>
      <c r="BX246" s="444"/>
      <c r="BY246" s="444"/>
      <c r="BZ246" s="444"/>
      <c r="CA246" s="434"/>
      <c r="CB246" s="723">
        <v>0.749</v>
      </c>
      <c r="CC246" s="668" t="s">
        <v>950</v>
      </c>
      <c r="CD246" s="316" t="s">
        <v>655</v>
      </c>
      <c r="CE246" s="316" t="s">
        <v>656</v>
      </c>
      <c r="CF246" s="718">
        <v>0.6</v>
      </c>
      <c r="CG246" s="316" t="s">
        <v>514</v>
      </c>
      <c r="CH246" s="316" t="s">
        <v>552</v>
      </c>
      <c r="CI246" s="718">
        <v>0</v>
      </c>
    </row>
    <row r="247" spans="1:87" ht="15.75" customHeight="1" x14ac:dyDescent="0.2">
      <c r="A247" s="747" t="s">
        <v>381</v>
      </c>
      <c r="B247" s="469" t="s">
        <v>380</v>
      </c>
      <c r="C247" s="718">
        <v>0.3</v>
      </c>
      <c r="D247" s="469" t="s">
        <v>680</v>
      </c>
      <c r="E247" s="469" t="s">
        <v>681</v>
      </c>
      <c r="F247" s="718">
        <v>0.37</v>
      </c>
      <c r="G247" s="469" t="s">
        <v>514</v>
      </c>
      <c r="H247" s="469" t="s">
        <v>514</v>
      </c>
      <c r="I247" s="718">
        <v>0</v>
      </c>
      <c r="J247" s="748">
        <f t="shared" si="314"/>
        <v>0.66999999999999993</v>
      </c>
      <c r="K247" s="718">
        <v>0.3</v>
      </c>
      <c r="L247" s="316" t="s">
        <v>680</v>
      </c>
      <c r="M247" s="316" t="s">
        <v>681</v>
      </c>
      <c r="N247" s="718">
        <v>0.37</v>
      </c>
      <c r="O247" s="316" t="s">
        <v>514</v>
      </c>
      <c r="P247" s="316" t="s">
        <v>514</v>
      </c>
      <c r="Q247" s="718">
        <v>0</v>
      </c>
      <c r="R247" s="728">
        <f t="shared" si="325"/>
        <v>0.66999999999999993</v>
      </c>
      <c r="S247" s="718">
        <v>0.3</v>
      </c>
      <c r="T247" s="316" t="s">
        <v>680</v>
      </c>
      <c r="U247" s="316" t="s">
        <v>681</v>
      </c>
      <c r="V247" s="718">
        <v>0.37</v>
      </c>
      <c r="W247" s="316" t="s">
        <v>514</v>
      </c>
      <c r="X247" s="316" t="s">
        <v>514</v>
      </c>
      <c r="Y247" s="718">
        <v>0</v>
      </c>
      <c r="Z247" s="728">
        <f t="shared" si="319"/>
        <v>0.66999999999999993</v>
      </c>
      <c r="AA247" s="718">
        <v>0.3</v>
      </c>
      <c r="AB247" s="316" t="s">
        <v>680</v>
      </c>
      <c r="AC247" s="316" t="s">
        <v>681</v>
      </c>
      <c r="AD247" s="718">
        <v>0.37</v>
      </c>
      <c r="AE247" s="316" t="s">
        <v>514</v>
      </c>
      <c r="AF247" s="316" t="s">
        <v>514</v>
      </c>
      <c r="AG247" s="718">
        <v>0</v>
      </c>
      <c r="AH247" s="728">
        <f t="shared" si="306"/>
        <v>0.66999999999999993</v>
      </c>
      <c r="AI247" s="718">
        <v>0.3</v>
      </c>
      <c r="AJ247" s="316" t="s">
        <v>680</v>
      </c>
      <c r="AK247" s="316" t="s">
        <v>681</v>
      </c>
      <c r="AL247" s="718">
        <v>0.37</v>
      </c>
      <c r="AM247" s="316" t="s">
        <v>514</v>
      </c>
      <c r="AN247" s="316" t="s">
        <v>514</v>
      </c>
      <c r="AO247" s="718">
        <v>0</v>
      </c>
      <c r="AP247" s="728">
        <f t="shared" ref="AP247:AP250" si="331">+AI247+AL247+AO247</f>
        <v>0.66999999999999993</v>
      </c>
      <c r="AQ247" s="718">
        <v>0.48</v>
      </c>
      <c r="AR247" s="316" t="s">
        <v>680</v>
      </c>
      <c r="AS247" s="316" t="s">
        <v>681</v>
      </c>
      <c r="AT247" s="718">
        <v>0.27</v>
      </c>
      <c r="AU247" s="316" t="s">
        <v>514</v>
      </c>
      <c r="AV247" s="316" t="s">
        <v>514</v>
      </c>
      <c r="AW247" s="718">
        <v>0</v>
      </c>
      <c r="AX247" s="463">
        <f t="shared" ref="AX247:AX250" si="332">+AQ247+AT247+AW247</f>
        <v>0.75</v>
      </c>
      <c r="AY247" s="661">
        <v>0.64</v>
      </c>
      <c r="AZ247" s="316" t="s">
        <v>680</v>
      </c>
      <c r="BA247" s="316" t="s">
        <v>681</v>
      </c>
      <c r="BB247" s="463">
        <v>0.36</v>
      </c>
      <c r="BC247" s="316" t="s">
        <v>514</v>
      </c>
      <c r="BD247" s="316" t="s">
        <v>514</v>
      </c>
      <c r="BE247" s="463">
        <v>0</v>
      </c>
      <c r="BF247" s="728">
        <f t="shared" ref="BF247:BF250" si="333">+AY247+BB247+BE247</f>
        <v>1</v>
      </c>
      <c r="BG247" s="463"/>
      <c r="BH247" s="463">
        <v>0.3</v>
      </c>
      <c r="BI247" s="316" t="s">
        <v>680</v>
      </c>
      <c r="BJ247" s="316" t="s">
        <v>681</v>
      </c>
      <c r="BK247" s="463">
        <v>0.37</v>
      </c>
      <c r="BL247" s="316" t="s">
        <v>514</v>
      </c>
      <c r="BM247" s="316" t="s">
        <v>514</v>
      </c>
      <c r="BN247" s="463">
        <v>0</v>
      </c>
      <c r="BO247" s="728">
        <f t="shared" ref="BO247:BO250" si="334">+BH247+BK247+BN247</f>
        <v>0.66999999999999993</v>
      </c>
      <c r="BP247" s="463">
        <v>0.3</v>
      </c>
      <c r="BQ247" s="316" t="s">
        <v>680</v>
      </c>
      <c r="BR247" s="316" t="s">
        <v>681</v>
      </c>
      <c r="BS247" s="463">
        <v>0.2</v>
      </c>
      <c r="BT247" s="316" t="s">
        <v>514</v>
      </c>
      <c r="BU247" s="316" t="s">
        <v>514</v>
      </c>
      <c r="BV247" s="463">
        <v>0</v>
      </c>
      <c r="BW247" s="463">
        <f t="shared" ref="BW247:BW250" si="335">+BP247+BS247+BV247</f>
        <v>0.5</v>
      </c>
      <c r="BX247" s="444"/>
      <c r="BY247" s="444"/>
      <c r="BZ247" s="444"/>
      <c r="CA247" s="436" t="s">
        <v>874</v>
      </c>
      <c r="CB247" s="723">
        <v>0.73599999999999999</v>
      </c>
      <c r="CC247" s="668" t="s">
        <v>950</v>
      </c>
      <c r="CD247" s="316" t="s">
        <v>680</v>
      </c>
      <c r="CE247" s="316" t="s">
        <v>681</v>
      </c>
      <c r="CF247" s="718">
        <v>0.2</v>
      </c>
      <c r="CG247" s="316" t="s">
        <v>514</v>
      </c>
      <c r="CH247" s="316" t="s">
        <v>514</v>
      </c>
      <c r="CI247" s="718">
        <v>0</v>
      </c>
    </row>
    <row r="248" spans="1:87" ht="15.75" customHeight="1" x14ac:dyDescent="0.2">
      <c r="A248" s="747" t="s">
        <v>383</v>
      </c>
      <c r="B248" s="469" t="s">
        <v>382</v>
      </c>
      <c r="C248" s="718">
        <v>0.4</v>
      </c>
      <c r="D248" s="469" t="s">
        <v>608</v>
      </c>
      <c r="E248" s="469" t="s">
        <v>609</v>
      </c>
      <c r="F248" s="718">
        <v>0.09</v>
      </c>
      <c r="G248" s="469" t="s">
        <v>606</v>
      </c>
      <c r="H248" s="469" t="s">
        <v>607</v>
      </c>
      <c r="I248" s="718">
        <v>0.01</v>
      </c>
      <c r="J248" s="748">
        <f t="shared" si="314"/>
        <v>0.5</v>
      </c>
      <c r="K248" s="718">
        <v>0.4</v>
      </c>
      <c r="L248" s="316" t="s">
        <v>608</v>
      </c>
      <c r="M248" s="316" t="s">
        <v>609</v>
      </c>
      <c r="N248" s="718">
        <v>0.09</v>
      </c>
      <c r="O248" s="316" t="s">
        <v>606</v>
      </c>
      <c r="P248" s="316" t="s">
        <v>607</v>
      </c>
      <c r="Q248" s="718">
        <v>0.01</v>
      </c>
      <c r="R248" s="728">
        <f t="shared" si="325"/>
        <v>0.5</v>
      </c>
      <c r="S248" s="718">
        <v>0.4</v>
      </c>
      <c r="T248" s="316" t="s">
        <v>608</v>
      </c>
      <c r="U248" s="316" t="s">
        <v>609</v>
      </c>
      <c r="V248" s="718">
        <v>0.09</v>
      </c>
      <c r="W248" s="316" t="s">
        <v>606</v>
      </c>
      <c r="X248" s="316" t="s">
        <v>607</v>
      </c>
      <c r="Y248" s="718">
        <v>0.01</v>
      </c>
      <c r="Z248" s="728">
        <f t="shared" si="319"/>
        <v>0.5</v>
      </c>
      <c r="AA248" s="718">
        <v>0.4</v>
      </c>
      <c r="AB248" s="316" t="s">
        <v>608</v>
      </c>
      <c r="AC248" s="316" t="s">
        <v>609</v>
      </c>
      <c r="AD248" s="718">
        <v>0.09</v>
      </c>
      <c r="AE248" s="316" t="s">
        <v>606</v>
      </c>
      <c r="AF248" s="316" t="s">
        <v>607</v>
      </c>
      <c r="AG248" s="718">
        <v>0.01</v>
      </c>
      <c r="AH248" s="728">
        <f t="shared" si="306"/>
        <v>0.5</v>
      </c>
      <c r="AI248" s="718">
        <v>0.4</v>
      </c>
      <c r="AJ248" s="316" t="s">
        <v>608</v>
      </c>
      <c r="AK248" s="316" t="s">
        <v>609</v>
      </c>
      <c r="AL248" s="718">
        <v>0.09</v>
      </c>
      <c r="AM248" s="316" t="s">
        <v>606</v>
      </c>
      <c r="AN248" s="316" t="s">
        <v>607</v>
      </c>
      <c r="AO248" s="718">
        <v>0.01</v>
      </c>
      <c r="AP248" s="728">
        <f t="shared" si="331"/>
        <v>0.5</v>
      </c>
      <c r="AQ248" s="718">
        <v>0.4</v>
      </c>
      <c r="AR248" s="316" t="s">
        <v>608</v>
      </c>
      <c r="AS248" s="316" t="s">
        <v>609</v>
      </c>
      <c r="AT248" s="718">
        <v>0.09</v>
      </c>
      <c r="AU248" s="316" t="s">
        <v>606</v>
      </c>
      <c r="AV248" s="316" t="s">
        <v>607</v>
      </c>
      <c r="AW248" s="718">
        <v>0.01</v>
      </c>
      <c r="AX248" s="463">
        <f t="shared" si="332"/>
        <v>0.5</v>
      </c>
      <c r="AY248" s="661">
        <v>0.4</v>
      </c>
      <c r="AZ248" s="316" t="s">
        <v>608</v>
      </c>
      <c r="BA248" s="316" t="s">
        <v>609</v>
      </c>
      <c r="BB248" s="463">
        <v>0.59</v>
      </c>
      <c r="BC248" s="316" t="s">
        <v>606</v>
      </c>
      <c r="BD248" s="316" t="s">
        <v>607</v>
      </c>
      <c r="BE248" s="463">
        <v>0.01</v>
      </c>
      <c r="BF248" s="728">
        <f t="shared" si="333"/>
        <v>1</v>
      </c>
      <c r="BG248" s="463"/>
      <c r="BH248" s="463">
        <v>0.4</v>
      </c>
      <c r="BI248" s="316" t="s">
        <v>608</v>
      </c>
      <c r="BJ248" s="316" t="s">
        <v>609</v>
      </c>
      <c r="BK248" s="463">
        <v>0.09</v>
      </c>
      <c r="BL248" s="316" t="s">
        <v>606</v>
      </c>
      <c r="BM248" s="316" t="s">
        <v>607</v>
      </c>
      <c r="BN248" s="463">
        <v>0.01</v>
      </c>
      <c r="BO248" s="728">
        <f t="shared" si="334"/>
        <v>0.5</v>
      </c>
      <c r="BP248" s="463">
        <v>0.4</v>
      </c>
      <c r="BQ248" s="316" t="s">
        <v>608</v>
      </c>
      <c r="BR248" s="316" t="s">
        <v>609</v>
      </c>
      <c r="BS248" s="463">
        <v>0.09</v>
      </c>
      <c r="BT248" s="316" t="s">
        <v>606</v>
      </c>
      <c r="BU248" s="316" t="s">
        <v>607</v>
      </c>
      <c r="BV248" s="463">
        <v>0.01</v>
      </c>
      <c r="BW248" s="463">
        <f t="shared" si="335"/>
        <v>0.5</v>
      </c>
      <c r="BX248" s="444"/>
      <c r="BY248" s="444"/>
      <c r="BZ248" s="444"/>
      <c r="CA248" s="434"/>
      <c r="CB248" s="723">
        <v>0.69199999999999995</v>
      </c>
      <c r="CC248" s="668" t="s">
        <v>950</v>
      </c>
      <c r="CD248" s="316" t="s">
        <v>608</v>
      </c>
      <c r="CE248" s="316" t="s">
        <v>609</v>
      </c>
      <c r="CF248" s="718">
        <v>0.59</v>
      </c>
      <c r="CG248" s="316" t="s">
        <v>606</v>
      </c>
      <c r="CH248" s="316" t="s">
        <v>607</v>
      </c>
      <c r="CI248" s="718">
        <v>0.01</v>
      </c>
    </row>
    <row r="249" spans="1:87" ht="15.75" customHeight="1" x14ac:dyDescent="0.2">
      <c r="A249" s="747" t="s">
        <v>385</v>
      </c>
      <c r="B249" s="469" t="s">
        <v>663</v>
      </c>
      <c r="C249" s="718">
        <v>0.49</v>
      </c>
      <c r="D249" s="469" t="s">
        <v>514</v>
      </c>
      <c r="E249" s="469" t="s">
        <v>515</v>
      </c>
      <c r="F249" s="718">
        <v>0</v>
      </c>
      <c r="G249" s="469" t="s">
        <v>1329</v>
      </c>
      <c r="H249" s="469" t="s">
        <v>1330</v>
      </c>
      <c r="I249" s="718">
        <v>0.01</v>
      </c>
      <c r="J249" s="748">
        <f t="shared" si="314"/>
        <v>0.5</v>
      </c>
      <c r="K249" s="718">
        <v>0.49</v>
      </c>
      <c r="L249" s="316" t="s">
        <v>514</v>
      </c>
      <c r="M249" s="316" t="s">
        <v>515</v>
      </c>
      <c r="N249" s="718">
        <v>0</v>
      </c>
      <c r="O249" s="316" t="s">
        <v>1329</v>
      </c>
      <c r="P249" s="316" t="s">
        <v>1330</v>
      </c>
      <c r="Q249" s="718">
        <v>0.01</v>
      </c>
      <c r="R249" s="728">
        <f t="shared" si="325"/>
        <v>0.5</v>
      </c>
      <c r="S249" s="718">
        <v>0.49</v>
      </c>
      <c r="T249" s="316" t="s">
        <v>514</v>
      </c>
      <c r="U249" s="316" t="s">
        <v>515</v>
      </c>
      <c r="V249" s="718">
        <v>0</v>
      </c>
      <c r="W249" s="316" t="s">
        <v>1329</v>
      </c>
      <c r="X249" s="316" t="s">
        <v>1330</v>
      </c>
      <c r="Y249" s="718">
        <v>0.01</v>
      </c>
      <c r="Z249" s="728">
        <f t="shared" si="319"/>
        <v>0.5</v>
      </c>
      <c r="AA249" s="718">
        <v>0.49</v>
      </c>
      <c r="AB249" s="316" t="s">
        <v>514</v>
      </c>
      <c r="AC249" s="316" t="s">
        <v>515</v>
      </c>
      <c r="AD249" s="718">
        <v>0</v>
      </c>
      <c r="AE249" s="316" t="s">
        <v>1329</v>
      </c>
      <c r="AF249" s="316" t="s">
        <v>1330</v>
      </c>
      <c r="AG249" s="718">
        <v>0.01</v>
      </c>
      <c r="AH249" s="728">
        <f t="shared" si="306"/>
        <v>0.5</v>
      </c>
      <c r="AI249" s="718">
        <v>0.49</v>
      </c>
      <c r="AJ249" s="316" t="s">
        <v>514</v>
      </c>
      <c r="AK249" s="316" t="s">
        <v>515</v>
      </c>
      <c r="AL249" s="718">
        <v>0</v>
      </c>
      <c r="AM249" s="316" t="s">
        <v>1329</v>
      </c>
      <c r="AN249" s="316" t="s">
        <v>1330</v>
      </c>
      <c r="AO249" s="718">
        <v>0.01</v>
      </c>
      <c r="AP249" s="728">
        <f t="shared" si="331"/>
        <v>0.5</v>
      </c>
      <c r="AQ249" s="718">
        <v>0.49</v>
      </c>
      <c r="AR249" s="316" t="s">
        <v>514</v>
      </c>
      <c r="AS249" s="316" t="s">
        <v>515</v>
      </c>
      <c r="AT249" s="718">
        <v>0</v>
      </c>
      <c r="AU249" s="316" t="s">
        <v>664</v>
      </c>
      <c r="AV249" s="316" t="s">
        <v>665</v>
      </c>
      <c r="AW249" s="718">
        <v>0.01</v>
      </c>
      <c r="AX249" s="463">
        <f t="shared" si="332"/>
        <v>0.5</v>
      </c>
      <c r="AY249" s="661">
        <v>0.49</v>
      </c>
      <c r="AZ249" s="316" t="s">
        <v>514</v>
      </c>
      <c r="BA249" s="316" t="s">
        <v>515</v>
      </c>
      <c r="BB249" s="463">
        <v>0</v>
      </c>
      <c r="BC249" s="316" t="s">
        <v>664</v>
      </c>
      <c r="BD249" s="316" t="s">
        <v>665</v>
      </c>
      <c r="BE249" s="463">
        <v>0.01</v>
      </c>
      <c r="BF249" s="728">
        <f t="shared" si="333"/>
        <v>0.5</v>
      </c>
      <c r="BG249" s="463"/>
      <c r="BH249" s="463">
        <v>0.49</v>
      </c>
      <c r="BI249" s="316" t="s">
        <v>514</v>
      </c>
      <c r="BJ249" s="316" t="s">
        <v>515</v>
      </c>
      <c r="BK249" s="463">
        <v>0</v>
      </c>
      <c r="BL249" s="316" t="s">
        <v>664</v>
      </c>
      <c r="BM249" s="316" t="s">
        <v>665</v>
      </c>
      <c r="BN249" s="463">
        <v>0.01</v>
      </c>
      <c r="BO249" s="728">
        <f t="shared" si="334"/>
        <v>0.5</v>
      </c>
      <c r="BP249" s="463">
        <v>0.49</v>
      </c>
      <c r="BQ249" s="316" t="s">
        <v>514</v>
      </c>
      <c r="BR249" s="316" t="s">
        <v>515</v>
      </c>
      <c r="BS249" s="463">
        <v>0</v>
      </c>
      <c r="BT249" s="316" t="s">
        <v>664</v>
      </c>
      <c r="BU249" s="316" t="s">
        <v>665</v>
      </c>
      <c r="BV249" s="463">
        <v>0.01</v>
      </c>
      <c r="BW249" s="463">
        <f t="shared" si="335"/>
        <v>0.5</v>
      </c>
      <c r="BX249" s="444"/>
      <c r="BY249" s="444"/>
      <c r="BZ249" s="444"/>
      <c r="CA249" s="436" t="s">
        <v>874</v>
      </c>
      <c r="CB249" s="723">
        <v>0.71099999999999997</v>
      </c>
      <c r="CC249" s="668" t="s">
        <v>950</v>
      </c>
      <c r="CD249" s="316" t="s">
        <v>514</v>
      </c>
      <c r="CE249" s="316" t="s">
        <v>515</v>
      </c>
      <c r="CF249" s="718">
        <v>0</v>
      </c>
      <c r="CG249" s="316" t="s">
        <v>664</v>
      </c>
      <c r="CH249" s="316" t="s">
        <v>665</v>
      </c>
      <c r="CI249" s="718">
        <v>0.01</v>
      </c>
    </row>
    <row r="250" spans="1:87" ht="15.75" customHeight="1" x14ac:dyDescent="0.2">
      <c r="A250" s="747" t="s">
        <v>387</v>
      </c>
      <c r="B250" s="469" t="s">
        <v>386</v>
      </c>
      <c r="C250" s="718">
        <v>0.99</v>
      </c>
      <c r="D250" s="469" t="s">
        <v>514</v>
      </c>
      <c r="E250" s="469" t="s">
        <v>666</v>
      </c>
      <c r="F250" s="718">
        <v>0</v>
      </c>
      <c r="G250" s="469" t="s">
        <v>1328</v>
      </c>
      <c r="H250" s="469" t="s">
        <v>1243</v>
      </c>
      <c r="I250" s="718">
        <v>0.01</v>
      </c>
      <c r="J250" s="748">
        <f t="shared" si="314"/>
        <v>1</v>
      </c>
      <c r="K250" s="718">
        <v>0.99</v>
      </c>
      <c r="L250" s="316" t="s">
        <v>514</v>
      </c>
      <c r="M250" s="316" t="s">
        <v>666</v>
      </c>
      <c r="N250" s="718">
        <v>0</v>
      </c>
      <c r="O250" s="316" t="s">
        <v>1328</v>
      </c>
      <c r="P250" s="316" t="s">
        <v>1243</v>
      </c>
      <c r="Q250" s="718">
        <v>0.01</v>
      </c>
      <c r="R250" s="728">
        <f t="shared" si="325"/>
        <v>1</v>
      </c>
      <c r="S250" s="718">
        <v>0.99</v>
      </c>
      <c r="T250" s="316" t="s">
        <v>514</v>
      </c>
      <c r="U250" s="316" t="s">
        <v>666</v>
      </c>
      <c r="V250" s="718">
        <v>0</v>
      </c>
      <c r="W250" s="316" t="s">
        <v>1328</v>
      </c>
      <c r="X250" s="316" t="s">
        <v>1243</v>
      </c>
      <c r="Y250" s="718">
        <v>0.01</v>
      </c>
      <c r="Z250" s="728">
        <f t="shared" si="319"/>
        <v>1</v>
      </c>
      <c r="AA250" s="718">
        <v>0.99</v>
      </c>
      <c r="AB250" s="316" t="s">
        <v>514</v>
      </c>
      <c r="AC250" s="316" t="s">
        <v>666</v>
      </c>
      <c r="AD250" s="718">
        <v>0</v>
      </c>
      <c r="AE250" s="316" t="s">
        <v>1328</v>
      </c>
      <c r="AF250" s="316" t="s">
        <v>1243</v>
      </c>
      <c r="AG250" s="718">
        <v>0.01</v>
      </c>
      <c r="AH250" s="728">
        <f t="shared" si="306"/>
        <v>1</v>
      </c>
      <c r="AI250" s="718">
        <v>0.99</v>
      </c>
      <c r="AJ250" s="316" t="s">
        <v>514</v>
      </c>
      <c r="AK250" s="316" t="s">
        <v>666</v>
      </c>
      <c r="AL250" s="718">
        <v>0</v>
      </c>
      <c r="AM250" s="316" t="s">
        <v>1328</v>
      </c>
      <c r="AN250" s="316" t="s">
        <v>1243</v>
      </c>
      <c r="AO250" s="718">
        <v>0.01</v>
      </c>
      <c r="AP250" s="728">
        <f t="shared" si="331"/>
        <v>1</v>
      </c>
      <c r="AQ250" s="718">
        <v>0.99</v>
      </c>
      <c r="AR250" s="316" t="s">
        <v>514</v>
      </c>
      <c r="AS250" s="316" t="s">
        <v>666</v>
      </c>
      <c r="AT250" s="718">
        <v>0</v>
      </c>
      <c r="AU250" s="316" t="s">
        <v>667</v>
      </c>
      <c r="AV250" s="316" t="s">
        <v>1243</v>
      </c>
      <c r="AW250" s="718">
        <v>0.01</v>
      </c>
      <c r="AX250" s="463">
        <f t="shared" si="332"/>
        <v>1</v>
      </c>
      <c r="AY250" s="661">
        <v>0.99</v>
      </c>
      <c r="AZ250" s="316" t="s">
        <v>514</v>
      </c>
      <c r="BA250" s="316" t="s">
        <v>666</v>
      </c>
      <c r="BB250" s="463">
        <v>0</v>
      </c>
      <c r="BC250" s="316" t="s">
        <v>667</v>
      </c>
      <c r="BD250" s="316" t="s">
        <v>668</v>
      </c>
      <c r="BE250" s="463">
        <v>0.01</v>
      </c>
      <c r="BF250" s="728">
        <f t="shared" si="333"/>
        <v>1</v>
      </c>
      <c r="BG250" s="463"/>
      <c r="BH250" s="463">
        <v>0.99</v>
      </c>
      <c r="BI250" s="316" t="s">
        <v>514</v>
      </c>
      <c r="BJ250" s="316" t="s">
        <v>666</v>
      </c>
      <c r="BK250" s="463">
        <v>0</v>
      </c>
      <c r="BL250" s="316" t="s">
        <v>667</v>
      </c>
      <c r="BM250" s="316" t="s">
        <v>668</v>
      </c>
      <c r="BN250" s="463">
        <v>0.01</v>
      </c>
      <c r="BO250" s="728">
        <f t="shared" si="334"/>
        <v>1</v>
      </c>
      <c r="BP250" s="463">
        <v>0.49</v>
      </c>
      <c r="BQ250" s="316" t="s">
        <v>514</v>
      </c>
      <c r="BR250" s="316" t="s">
        <v>666</v>
      </c>
      <c r="BS250" s="463">
        <v>0</v>
      </c>
      <c r="BT250" s="316" t="s">
        <v>667</v>
      </c>
      <c r="BU250" s="316" t="s">
        <v>668</v>
      </c>
      <c r="BV250" s="463">
        <v>0.01</v>
      </c>
      <c r="BW250" s="463">
        <f t="shared" si="335"/>
        <v>0.5</v>
      </c>
      <c r="BX250" s="444"/>
      <c r="BY250" s="444"/>
      <c r="BZ250" s="444"/>
      <c r="CA250" s="436" t="s">
        <v>874</v>
      </c>
      <c r="CB250" s="723">
        <v>0.64600000000000002</v>
      </c>
      <c r="CC250" s="668" t="s">
        <v>950</v>
      </c>
      <c r="CD250" s="316" t="s">
        <v>514</v>
      </c>
      <c r="CE250" s="316" t="s">
        <v>666</v>
      </c>
      <c r="CF250" s="718">
        <v>0</v>
      </c>
      <c r="CG250" s="316" t="s">
        <v>667</v>
      </c>
      <c r="CH250" s="316" t="s">
        <v>668</v>
      </c>
      <c r="CI250" s="718">
        <v>0.01</v>
      </c>
    </row>
    <row r="251" spans="1:87" ht="15.75" customHeight="1" x14ac:dyDescent="0.2">
      <c r="A251" s="747" t="s">
        <v>389</v>
      </c>
      <c r="B251" s="469" t="s">
        <v>388</v>
      </c>
      <c r="C251" s="718">
        <v>0.4</v>
      </c>
      <c r="D251" s="469" t="s">
        <v>651</v>
      </c>
      <c r="E251" s="469" t="s">
        <v>652</v>
      </c>
      <c r="F251" s="718">
        <v>0.09</v>
      </c>
      <c r="G251" s="469" t="s">
        <v>649</v>
      </c>
      <c r="H251" s="469" t="s">
        <v>1245</v>
      </c>
      <c r="I251" s="718">
        <v>0.01</v>
      </c>
      <c r="J251" s="748">
        <f t="shared" si="314"/>
        <v>0.5</v>
      </c>
      <c r="K251" s="718">
        <v>0.4</v>
      </c>
      <c r="L251" s="316" t="s">
        <v>651</v>
      </c>
      <c r="M251" s="316" t="s">
        <v>652</v>
      </c>
      <c r="N251" s="718">
        <v>0.09</v>
      </c>
      <c r="O251" s="316" t="s">
        <v>649</v>
      </c>
      <c r="P251" s="316" t="s">
        <v>1245</v>
      </c>
      <c r="Q251" s="718">
        <v>0.01</v>
      </c>
      <c r="R251" s="728">
        <f t="shared" si="325"/>
        <v>0.5</v>
      </c>
      <c r="S251" s="718">
        <v>0.4</v>
      </c>
      <c r="T251" s="316" t="s">
        <v>651</v>
      </c>
      <c r="U251" s="316" t="s">
        <v>652</v>
      </c>
      <c r="V251" s="718">
        <v>0.09</v>
      </c>
      <c r="W251" s="316" t="s">
        <v>649</v>
      </c>
      <c r="X251" s="316" t="s">
        <v>1245</v>
      </c>
      <c r="Y251" s="718">
        <v>0.01</v>
      </c>
      <c r="Z251" s="728">
        <f t="shared" si="319"/>
        <v>0.5</v>
      </c>
      <c r="AA251" s="718">
        <v>0.4</v>
      </c>
      <c r="AB251" s="316" t="s">
        <v>651</v>
      </c>
      <c r="AC251" s="316" t="s">
        <v>652</v>
      </c>
      <c r="AD251" s="718">
        <v>0.09</v>
      </c>
      <c r="AE251" s="316" t="s">
        <v>649</v>
      </c>
      <c r="AF251" s="316" t="s">
        <v>1245</v>
      </c>
      <c r="AG251" s="718">
        <v>0.01</v>
      </c>
      <c r="AH251" s="728">
        <f t="shared" si="306"/>
        <v>0.5</v>
      </c>
      <c r="AI251" s="718">
        <v>0.4</v>
      </c>
      <c r="AJ251" s="316" t="s">
        <v>651</v>
      </c>
      <c r="AK251" s="316" t="s">
        <v>652</v>
      </c>
      <c r="AL251" s="718">
        <v>0.09</v>
      </c>
      <c r="AM251" s="316" t="s">
        <v>649</v>
      </c>
      <c r="AN251" s="316" t="s">
        <v>1245</v>
      </c>
      <c r="AO251" s="718">
        <v>0.01</v>
      </c>
      <c r="AP251" s="728">
        <f t="shared" ref="AP251:AP254" si="336">+AI251+AL251+AO251</f>
        <v>0.5</v>
      </c>
      <c r="AQ251" s="718">
        <v>0.4</v>
      </c>
      <c r="AR251" s="316" t="s">
        <v>651</v>
      </c>
      <c r="AS251" s="316" t="s">
        <v>652</v>
      </c>
      <c r="AT251" s="718">
        <v>0.33999999999999997</v>
      </c>
      <c r="AU251" s="316" t="s">
        <v>649</v>
      </c>
      <c r="AV251" s="316" t="s">
        <v>1245</v>
      </c>
      <c r="AW251" s="718">
        <v>0.01</v>
      </c>
      <c r="AX251" s="463">
        <f t="shared" ref="AX251:AX254" si="337">+AQ251+AT251+AW251</f>
        <v>0.75</v>
      </c>
      <c r="AY251" s="661">
        <v>0.4</v>
      </c>
      <c r="AZ251" s="316" t="s">
        <v>651</v>
      </c>
      <c r="BA251" s="316" t="s">
        <v>652</v>
      </c>
      <c r="BB251" s="463">
        <v>0.09</v>
      </c>
      <c r="BC251" s="316" t="s">
        <v>649</v>
      </c>
      <c r="BD251" s="316" t="s">
        <v>650</v>
      </c>
      <c r="BE251" s="463">
        <v>0.01</v>
      </c>
      <c r="BF251" s="728">
        <f t="shared" ref="BF251:BF254" si="338">+AY251+BB251+BE251</f>
        <v>0.5</v>
      </c>
      <c r="BG251" s="463"/>
      <c r="BH251" s="463">
        <v>0.4</v>
      </c>
      <c r="BI251" s="316" t="s">
        <v>651</v>
      </c>
      <c r="BJ251" s="316" t="s">
        <v>652</v>
      </c>
      <c r="BK251" s="463">
        <v>0.09</v>
      </c>
      <c r="BL251" s="316" t="s">
        <v>649</v>
      </c>
      <c r="BM251" s="316" t="s">
        <v>650</v>
      </c>
      <c r="BN251" s="463">
        <v>0.01</v>
      </c>
      <c r="BO251" s="728">
        <f t="shared" ref="BO251:BO254" si="339">+BH251+BK251+BN251</f>
        <v>0.5</v>
      </c>
      <c r="BP251" s="463">
        <v>0.4</v>
      </c>
      <c r="BQ251" s="316" t="s">
        <v>651</v>
      </c>
      <c r="BR251" s="316" t="s">
        <v>652</v>
      </c>
      <c r="BS251" s="463">
        <v>0.09</v>
      </c>
      <c r="BT251" s="316" t="s">
        <v>649</v>
      </c>
      <c r="BU251" s="316" t="s">
        <v>650</v>
      </c>
      <c r="BV251" s="463">
        <v>0.01</v>
      </c>
      <c r="BW251" s="463">
        <f t="shared" ref="BW251:BW254" si="340">+BP251+BS251+BV251</f>
        <v>0.5</v>
      </c>
      <c r="BX251" s="444"/>
      <c r="BY251" s="444"/>
      <c r="BZ251" s="444"/>
      <c r="CA251" s="434"/>
      <c r="CB251" s="723">
        <v>0.70899999999999996</v>
      </c>
      <c r="CC251" s="668" t="s">
        <v>950</v>
      </c>
      <c r="CD251" s="316" t="s">
        <v>651</v>
      </c>
      <c r="CE251" s="316" t="s">
        <v>652</v>
      </c>
      <c r="CF251" s="718">
        <v>0.59</v>
      </c>
      <c r="CG251" s="316" t="s">
        <v>649</v>
      </c>
      <c r="CH251" s="316" t="s">
        <v>650</v>
      </c>
      <c r="CI251" s="718">
        <v>0.01</v>
      </c>
    </row>
    <row r="252" spans="1:87" ht="15.75" customHeight="1" x14ac:dyDescent="0.2">
      <c r="A252" s="747" t="s">
        <v>391</v>
      </c>
      <c r="B252" s="469" t="s">
        <v>390</v>
      </c>
      <c r="C252" s="718">
        <v>0.4</v>
      </c>
      <c r="D252" s="469" t="s">
        <v>655</v>
      </c>
      <c r="E252" s="469" t="s">
        <v>656</v>
      </c>
      <c r="F252" s="718">
        <v>0.1</v>
      </c>
      <c r="G252" s="469" t="s">
        <v>514</v>
      </c>
      <c r="H252" s="469" t="s">
        <v>552</v>
      </c>
      <c r="I252" s="718">
        <v>0</v>
      </c>
      <c r="J252" s="748">
        <f t="shared" si="314"/>
        <v>0.5</v>
      </c>
      <c r="K252" s="718">
        <v>0.4</v>
      </c>
      <c r="L252" s="316" t="s">
        <v>655</v>
      </c>
      <c r="M252" s="316" t="s">
        <v>656</v>
      </c>
      <c r="N252" s="718">
        <v>0.1</v>
      </c>
      <c r="O252" s="316" t="s">
        <v>514</v>
      </c>
      <c r="P252" s="316" t="s">
        <v>552</v>
      </c>
      <c r="Q252" s="718">
        <v>0</v>
      </c>
      <c r="R252" s="728">
        <f t="shared" si="325"/>
        <v>0.5</v>
      </c>
      <c r="S252" s="718">
        <v>0.4</v>
      </c>
      <c r="T252" s="316" t="s">
        <v>655</v>
      </c>
      <c r="U252" s="316" t="s">
        <v>656</v>
      </c>
      <c r="V252" s="718">
        <v>0.1</v>
      </c>
      <c r="W252" s="316" t="s">
        <v>514</v>
      </c>
      <c r="X252" s="316" t="s">
        <v>552</v>
      </c>
      <c r="Y252" s="718">
        <v>0</v>
      </c>
      <c r="Z252" s="728">
        <f t="shared" si="319"/>
        <v>0.5</v>
      </c>
      <c r="AA252" s="718">
        <v>0.4</v>
      </c>
      <c r="AB252" s="316" t="s">
        <v>655</v>
      </c>
      <c r="AC252" s="316" t="s">
        <v>656</v>
      </c>
      <c r="AD252" s="718">
        <v>0.1</v>
      </c>
      <c r="AE252" s="316" t="s">
        <v>514</v>
      </c>
      <c r="AF252" s="316" t="s">
        <v>552</v>
      </c>
      <c r="AG252" s="718">
        <v>0</v>
      </c>
      <c r="AH252" s="728">
        <f t="shared" si="306"/>
        <v>0.5</v>
      </c>
      <c r="AI252" s="718">
        <v>0.4</v>
      </c>
      <c r="AJ252" s="316" t="s">
        <v>655</v>
      </c>
      <c r="AK252" s="316" t="s">
        <v>656</v>
      </c>
      <c r="AL252" s="718">
        <v>0.1</v>
      </c>
      <c r="AM252" s="316" t="s">
        <v>514</v>
      </c>
      <c r="AN252" s="316" t="s">
        <v>552</v>
      </c>
      <c r="AO252" s="718">
        <v>0</v>
      </c>
      <c r="AP252" s="728">
        <f t="shared" si="336"/>
        <v>0.5</v>
      </c>
      <c r="AQ252" s="718">
        <v>0.4</v>
      </c>
      <c r="AR252" s="316" t="s">
        <v>655</v>
      </c>
      <c r="AS252" s="316" t="s">
        <v>656</v>
      </c>
      <c r="AT252" s="718">
        <v>0.1</v>
      </c>
      <c r="AU252" s="316" t="s">
        <v>514</v>
      </c>
      <c r="AV252" s="316" t="s">
        <v>552</v>
      </c>
      <c r="AW252" s="718">
        <v>0</v>
      </c>
      <c r="AX252" s="463">
        <f t="shared" si="337"/>
        <v>0.5</v>
      </c>
      <c r="AY252" s="661">
        <v>0.3</v>
      </c>
      <c r="AZ252" s="316" t="s">
        <v>655</v>
      </c>
      <c r="BA252" s="316" t="s">
        <v>656</v>
      </c>
      <c r="BB252" s="463">
        <v>0.7</v>
      </c>
      <c r="BC252" s="316" t="s">
        <v>514</v>
      </c>
      <c r="BD252" s="316" t="s">
        <v>552</v>
      </c>
      <c r="BE252" s="463">
        <v>0</v>
      </c>
      <c r="BF252" s="728">
        <f t="shared" si="338"/>
        <v>1</v>
      </c>
      <c r="BG252" s="463"/>
      <c r="BH252" s="463">
        <v>0.4</v>
      </c>
      <c r="BI252" s="316" t="s">
        <v>655</v>
      </c>
      <c r="BJ252" s="316" t="s">
        <v>656</v>
      </c>
      <c r="BK252" s="463">
        <v>0.1</v>
      </c>
      <c r="BL252" s="316" t="s">
        <v>514</v>
      </c>
      <c r="BM252" s="316" t="s">
        <v>552</v>
      </c>
      <c r="BN252" s="463">
        <v>0</v>
      </c>
      <c r="BO252" s="728">
        <f t="shared" si="339"/>
        <v>0.5</v>
      </c>
      <c r="BP252" s="463">
        <v>0.4</v>
      </c>
      <c r="BQ252" s="316" t="s">
        <v>655</v>
      </c>
      <c r="BR252" s="316" t="s">
        <v>656</v>
      </c>
      <c r="BS252" s="463">
        <v>0.1</v>
      </c>
      <c r="BT252" s="316" t="s">
        <v>514</v>
      </c>
      <c r="BU252" s="316" t="s">
        <v>552</v>
      </c>
      <c r="BV252" s="463">
        <v>0</v>
      </c>
      <c r="BW252" s="463">
        <f t="shared" si="340"/>
        <v>0.5</v>
      </c>
      <c r="BX252" s="444"/>
      <c r="BY252" s="444"/>
      <c r="BZ252" s="444"/>
      <c r="CA252" s="434"/>
      <c r="CB252" s="723">
        <v>0.69199999999999995</v>
      </c>
      <c r="CC252" s="668" t="s">
        <v>950</v>
      </c>
      <c r="CD252" s="316" t="s">
        <v>655</v>
      </c>
      <c r="CE252" s="316" t="s">
        <v>656</v>
      </c>
      <c r="CF252" s="718">
        <v>0.6</v>
      </c>
      <c r="CG252" s="316" t="s">
        <v>514</v>
      </c>
      <c r="CH252" s="316" t="s">
        <v>552</v>
      </c>
      <c r="CI252" s="718">
        <v>0</v>
      </c>
    </row>
    <row r="253" spans="1:87" ht="15.75" customHeight="1" x14ac:dyDescent="0.2">
      <c r="A253" s="747" t="s">
        <v>393</v>
      </c>
      <c r="B253" s="469" t="s">
        <v>392</v>
      </c>
      <c r="C253" s="718">
        <v>0.4</v>
      </c>
      <c r="D253" s="469" t="s">
        <v>563</v>
      </c>
      <c r="E253" s="469" t="s">
        <v>564</v>
      </c>
      <c r="F253" s="718">
        <v>0.09</v>
      </c>
      <c r="G253" s="469" t="s">
        <v>560</v>
      </c>
      <c r="H253" s="469" t="s">
        <v>561</v>
      </c>
      <c r="I253" s="718">
        <v>0.01</v>
      </c>
      <c r="J253" s="748">
        <f t="shared" si="314"/>
        <v>0.5</v>
      </c>
      <c r="K253" s="718">
        <v>0.4</v>
      </c>
      <c r="L253" s="316" t="s">
        <v>563</v>
      </c>
      <c r="M253" s="316" t="s">
        <v>564</v>
      </c>
      <c r="N253" s="718">
        <v>0.09</v>
      </c>
      <c r="O253" s="316" t="s">
        <v>560</v>
      </c>
      <c r="P253" s="316" t="s">
        <v>561</v>
      </c>
      <c r="Q253" s="718">
        <v>0.01</v>
      </c>
      <c r="R253" s="728">
        <f t="shared" si="325"/>
        <v>0.5</v>
      </c>
      <c r="S253" s="718">
        <v>0.4</v>
      </c>
      <c r="T253" s="316" t="s">
        <v>563</v>
      </c>
      <c r="U253" s="316" t="s">
        <v>564</v>
      </c>
      <c r="V253" s="718">
        <v>0.09</v>
      </c>
      <c r="W253" s="316" t="s">
        <v>560</v>
      </c>
      <c r="X253" s="316" t="s">
        <v>561</v>
      </c>
      <c r="Y253" s="718">
        <v>0.01</v>
      </c>
      <c r="Z253" s="728">
        <f t="shared" si="319"/>
        <v>0.5</v>
      </c>
      <c r="AA253" s="718">
        <v>0.4</v>
      </c>
      <c r="AB253" s="316" t="s">
        <v>563</v>
      </c>
      <c r="AC253" s="316" t="s">
        <v>564</v>
      </c>
      <c r="AD253" s="718">
        <v>0.09</v>
      </c>
      <c r="AE253" s="316" t="s">
        <v>560</v>
      </c>
      <c r="AF253" s="316" t="s">
        <v>561</v>
      </c>
      <c r="AG253" s="718">
        <v>0.01</v>
      </c>
      <c r="AH253" s="728">
        <f t="shared" si="306"/>
        <v>0.5</v>
      </c>
      <c r="AI253" s="718">
        <v>0.4</v>
      </c>
      <c r="AJ253" s="316" t="s">
        <v>563</v>
      </c>
      <c r="AK253" s="316" t="s">
        <v>564</v>
      </c>
      <c r="AL253" s="718">
        <v>0.09</v>
      </c>
      <c r="AM253" s="316" t="s">
        <v>560</v>
      </c>
      <c r="AN253" s="316" t="s">
        <v>561</v>
      </c>
      <c r="AO253" s="718">
        <v>0.01</v>
      </c>
      <c r="AP253" s="728">
        <f t="shared" si="336"/>
        <v>0.5</v>
      </c>
      <c r="AQ253" s="718">
        <v>0.4</v>
      </c>
      <c r="AR253" s="316" t="s">
        <v>563</v>
      </c>
      <c r="AS253" s="316" t="s">
        <v>564</v>
      </c>
      <c r="AT253" s="718">
        <v>0.09</v>
      </c>
      <c r="AU253" s="316" t="s">
        <v>560</v>
      </c>
      <c r="AV253" s="316" t="s">
        <v>561</v>
      </c>
      <c r="AW253" s="718">
        <v>0.01</v>
      </c>
      <c r="AX253" s="463">
        <f t="shared" si="337"/>
        <v>0.5</v>
      </c>
      <c r="AY253" s="661">
        <v>0.4</v>
      </c>
      <c r="AZ253" s="316" t="s">
        <v>563</v>
      </c>
      <c r="BA253" s="316" t="s">
        <v>564</v>
      </c>
      <c r="BB253" s="463">
        <v>0.59</v>
      </c>
      <c r="BC253" s="316" t="s">
        <v>560</v>
      </c>
      <c r="BD253" s="316" t="s">
        <v>561</v>
      </c>
      <c r="BE253" s="463">
        <v>0.01</v>
      </c>
      <c r="BF253" s="728">
        <f t="shared" si="338"/>
        <v>1</v>
      </c>
      <c r="BG253" s="463"/>
      <c r="BH253" s="463">
        <v>0.4</v>
      </c>
      <c r="BI253" s="316" t="s">
        <v>563</v>
      </c>
      <c r="BJ253" s="316" t="s">
        <v>564</v>
      </c>
      <c r="BK253" s="463">
        <v>0.09</v>
      </c>
      <c r="BL253" s="316" t="s">
        <v>560</v>
      </c>
      <c r="BM253" s="316" t="s">
        <v>561</v>
      </c>
      <c r="BN253" s="463">
        <v>0.01</v>
      </c>
      <c r="BO253" s="728">
        <f t="shared" si="339"/>
        <v>0.5</v>
      </c>
      <c r="BP253" s="463">
        <v>0.4</v>
      </c>
      <c r="BQ253" s="316" t="s">
        <v>563</v>
      </c>
      <c r="BR253" s="316" t="s">
        <v>564</v>
      </c>
      <c r="BS253" s="463">
        <v>0.09</v>
      </c>
      <c r="BT253" s="316" t="s">
        <v>560</v>
      </c>
      <c r="BU253" s="316" t="s">
        <v>561</v>
      </c>
      <c r="BV253" s="463">
        <v>0.01</v>
      </c>
      <c r="BW253" s="463">
        <f t="shared" si="340"/>
        <v>0.5</v>
      </c>
      <c r="BX253" s="444"/>
      <c r="BY253" s="444"/>
      <c r="BZ253" s="444"/>
      <c r="CA253" s="434"/>
      <c r="CB253" s="723">
        <v>0.65800000000000003</v>
      </c>
      <c r="CC253" s="668" t="s">
        <v>950</v>
      </c>
      <c r="CD253" s="316" t="s">
        <v>563</v>
      </c>
      <c r="CE253" s="316" t="s">
        <v>564</v>
      </c>
      <c r="CF253" s="718">
        <v>0.59</v>
      </c>
      <c r="CG253" s="316" t="s">
        <v>560</v>
      </c>
      <c r="CH253" s="316" t="s">
        <v>561</v>
      </c>
      <c r="CI253" s="718">
        <v>0.01</v>
      </c>
    </row>
    <row r="254" spans="1:87" ht="15.75" customHeight="1" x14ac:dyDescent="0.2">
      <c r="A254" s="747" t="s">
        <v>395</v>
      </c>
      <c r="B254" s="998" t="s">
        <v>644</v>
      </c>
      <c r="C254" s="718">
        <v>0.49</v>
      </c>
      <c r="D254" s="469" t="s">
        <v>514</v>
      </c>
      <c r="E254" s="469" t="s">
        <v>515</v>
      </c>
      <c r="F254" s="718">
        <v>0</v>
      </c>
      <c r="G254" s="469" t="s">
        <v>645</v>
      </c>
      <c r="H254" s="469" t="s">
        <v>646</v>
      </c>
      <c r="I254" s="718">
        <v>0.01</v>
      </c>
      <c r="J254" s="748">
        <f t="shared" si="314"/>
        <v>0.5</v>
      </c>
      <c r="K254" s="718">
        <v>0.49</v>
      </c>
      <c r="L254" s="316" t="s">
        <v>514</v>
      </c>
      <c r="M254" s="316" t="s">
        <v>515</v>
      </c>
      <c r="N254" s="718">
        <v>0</v>
      </c>
      <c r="O254" s="316" t="s">
        <v>645</v>
      </c>
      <c r="P254" s="316" t="s">
        <v>646</v>
      </c>
      <c r="Q254" s="718">
        <v>0.01</v>
      </c>
      <c r="R254" s="728">
        <f t="shared" si="325"/>
        <v>0.5</v>
      </c>
      <c r="S254" s="718">
        <v>0.49</v>
      </c>
      <c r="T254" s="316" t="s">
        <v>514</v>
      </c>
      <c r="U254" s="316" t="s">
        <v>515</v>
      </c>
      <c r="V254" s="718">
        <v>0</v>
      </c>
      <c r="W254" s="316" t="s">
        <v>645</v>
      </c>
      <c r="X254" s="316" t="s">
        <v>646</v>
      </c>
      <c r="Y254" s="718">
        <v>0.01</v>
      </c>
      <c r="Z254" s="728">
        <f t="shared" si="319"/>
        <v>0.5</v>
      </c>
      <c r="AA254" s="718">
        <v>0.49</v>
      </c>
      <c r="AB254" s="316" t="s">
        <v>514</v>
      </c>
      <c r="AC254" s="316" t="s">
        <v>515</v>
      </c>
      <c r="AD254" s="718">
        <v>0</v>
      </c>
      <c r="AE254" s="316" t="s">
        <v>645</v>
      </c>
      <c r="AF254" s="316" t="s">
        <v>646</v>
      </c>
      <c r="AG254" s="718">
        <v>0.01</v>
      </c>
      <c r="AH254" s="728">
        <f t="shared" si="306"/>
        <v>0.5</v>
      </c>
      <c r="AI254" s="718">
        <v>0.49</v>
      </c>
      <c r="AJ254" s="316" t="s">
        <v>514</v>
      </c>
      <c r="AK254" s="316" t="s">
        <v>515</v>
      </c>
      <c r="AL254" s="718">
        <v>0</v>
      </c>
      <c r="AM254" s="316" t="s">
        <v>645</v>
      </c>
      <c r="AN254" s="316" t="s">
        <v>646</v>
      </c>
      <c r="AO254" s="718">
        <v>0.01</v>
      </c>
      <c r="AP254" s="728">
        <f t="shared" si="336"/>
        <v>0.5</v>
      </c>
      <c r="AQ254" s="718">
        <v>0.49</v>
      </c>
      <c r="AR254" s="316" t="s">
        <v>514</v>
      </c>
      <c r="AS254" s="316" t="s">
        <v>515</v>
      </c>
      <c r="AT254" s="718">
        <v>0</v>
      </c>
      <c r="AU254" s="316" t="s">
        <v>645</v>
      </c>
      <c r="AV254" s="316" t="s">
        <v>646</v>
      </c>
      <c r="AW254" s="718">
        <v>0.01</v>
      </c>
      <c r="AX254" s="463">
        <f t="shared" si="337"/>
        <v>0.5</v>
      </c>
      <c r="AY254" s="661">
        <v>0.49</v>
      </c>
      <c r="AZ254" s="316" t="s">
        <v>514</v>
      </c>
      <c r="BA254" s="316" t="s">
        <v>515</v>
      </c>
      <c r="BB254" s="463">
        <v>0</v>
      </c>
      <c r="BC254" s="316" t="s">
        <v>645</v>
      </c>
      <c r="BD254" s="316" t="s">
        <v>646</v>
      </c>
      <c r="BE254" s="463">
        <v>0.01</v>
      </c>
      <c r="BF254" s="728">
        <f t="shared" si="338"/>
        <v>0.5</v>
      </c>
      <c r="BG254" s="463"/>
      <c r="BH254" s="463">
        <v>0.49</v>
      </c>
      <c r="BI254" s="316" t="s">
        <v>514</v>
      </c>
      <c r="BJ254" s="316" t="s">
        <v>515</v>
      </c>
      <c r="BK254" s="463">
        <v>0</v>
      </c>
      <c r="BL254" s="316" t="s">
        <v>645</v>
      </c>
      <c r="BM254" s="316" t="s">
        <v>646</v>
      </c>
      <c r="BN254" s="463">
        <v>0.01</v>
      </c>
      <c r="BO254" s="728">
        <f t="shared" si="339"/>
        <v>0.5</v>
      </c>
      <c r="BP254" s="463">
        <v>0.49</v>
      </c>
      <c r="BQ254" s="316" t="s">
        <v>514</v>
      </c>
      <c r="BR254" s="316" t="s">
        <v>515</v>
      </c>
      <c r="BS254" s="463">
        <v>0</v>
      </c>
      <c r="BT254" s="316" t="s">
        <v>645</v>
      </c>
      <c r="BU254" s="316" t="s">
        <v>646</v>
      </c>
      <c r="BV254" s="463">
        <v>0.01</v>
      </c>
      <c r="BW254" s="463">
        <f t="shared" si="340"/>
        <v>0.5</v>
      </c>
      <c r="BX254" s="444"/>
      <c r="BY254" s="444"/>
      <c r="BZ254" s="444"/>
      <c r="CA254" s="436" t="s">
        <v>874</v>
      </c>
      <c r="CB254" s="723">
        <v>0.69499999999999995</v>
      </c>
      <c r="CC254" s="668" t="s">
        <v>950</v>
      </c>
      <c r="CD254" s="316" t="s">
        <v>514</v>
      </c>
      <c r="CE254" s="316" t="s">
        <v>515</v>
      </c>
      <c r="CF254" s="718">
        <v>0</v>
      </c>
      <c r="CG254" s="316" t="s">
        <v>645</v>
      </c>
      <c r="CH254" s="316" t="s">
        <v>646</v>
      </c>
      <c r="CI254" s="718">
        <v>0.01</v>
      </c>
    </row>
    <row r="255" spans="1:87" ht="15.75" customHeight="1" x14ac:dyDescent="0.2">
      <c r="A255" s="747" t="s">
        <v>397</v>
      </c>
      <c r="B255" s="469" t="s">
        <v>396</v>
      </c>
      <c r="C255" s="718">
        <v>0.4</v>
      </c>
      <c r="D255" s="469" t="s">
        <v>581</v>
      </c>
      <c r="E255" s="469" t="s">
        <v>582</v>
      </c>
      <c r="F255" s="718">
        <v>0.09</v>
      </c>
      <c r="G255" s="469" t="s">
        <v>578</v>
      </c>
      <c r="H255" s="469" t="s">
        <v>1244</v>
      </c>
      <c r="I255" s="718">
        <v>0.01</v>
      </c>
      <c r="J255" s="748">
        <f t="shared" si="314"/>
        <v>0.5</v>
      </c>
      <c r="K255" s="718">
        <v>0.4</v>
      </c>
      <c r="L255" s="316" t="s">
        <v>581</v>
      </c>
      <c r="M255" s="316" t="s">
        <v>582</v>
      </c>
      <c r="N255" s="718">
        <v>0.09</v>
      </c>
      <c r="O255" s="316" t="s">
        <v>578</v>
      </c>
      <c r="P255" s="316" t="s">
        <v>1244</v>
      </c>
      <c r="Q255" s="718">
        <v>0.01</v>
      </c>
      <c r="R255" s="728">
        <f t="shared" si="325"/>
        <v>0.5</v>
      </c>
      <c r="S255" s="718">
        <v>0.4</v>
      </c>
      <c r="T255" s="316" t="s">
        <v>581</v>
      </c>
      <c r="U255" s="316" t="s">
        <v>582</v>
      </c>
      <c r="V255" s="718">
        <v>0.09</v>
      </c>
      <c r="W255" s="316" t="s">
        <v>578</v>
      </c>
      <c r="X255" s="316" t="s">
        <v>1244</v>
      </c>
      <c r="Y255" s="718">
        <v>0.01</v>
      </c>
      <c r="Z255" s="728">
        <f t="shared" si="319"/>
        <v>0.5</v>
      </c>
      <c r="AA255" s="718">
        <v>0.4</v>
      </c>
      <c r="AB255" s="316" t="s">
        <v>581</v>
      </c>
      <c r="AC255" s="316" t="s">
        <v>582</v>
      </c>
      <c r="AD255" s="718">
        <v>0.09</v>
      </c>
      <c r="AE255" s="316" t="s">
        <v>578</v>
      </c>
      <c r="AF255" s="316" t="s">
        <v>1244</v>
      </c>
      <c r="AG255" s="718">
        <v>0.01</v>
      </c>
      <c r="AH255" s="728">
        <f t="shared" si="306"/>
        <v>0.5</v>
      </c>
      <c r="AI255" s="718">
        <v>0.4</v>
      </c>
      <c r="AJ255" s="316" t="s">
        <v>581</v>
      </c>
      <c r="AK255" s="316" t="s">
        <v>582</v>
      </c>
      <c r="AL255" s="718">
        <v>0.09</v>
      </c>
      <c r="AM255" s="316" t="s">
        <v>578</v>
      </c>
      <c r="AN255" s="316" t="s">
        <v>1244</v>
      </c>
      <c r="AO255" s="718">
        <v>0.01</v>
      </c>
      <c r="AP255" s="728">
        <f t="shared" ref="AP255:AP258" si="341">+AI255+AL255+AO255</f>
        <v>0.5</v>
      </c>
      <c r="AQ255" s="718">
        <v>0.4</v>
      </c>
      <c r="AR255" s="316" t="s">
        <v>581</v>
      </c>
      <c r="AS255" s="316" t="s">
        <v>582</v>
      </c>
      <c r="AT255" s="718">
        <v>0.09</v>
      </c>
      <c r="AU255" s="316" t="s">
        <v>578</v>
      </c>
      <c r="AV255" s="316" t="s">
        <v>1244</v>
      </c>
      <c r="AW255" s="718">
        <v>0.01</v>
      </c>
      <c r="AX255" s="463">
        <f t="shared" ref="AX255:AX258" si="342">+AQ255+AT255+AW255</f>
        <v>0.5</v>
      </c>
      <c r="AY255" s="661">
        <v>0.4</v>
      </c>
      <c r="AZ255" s="316" t="s">
        <v>581</v>
      </c>
      <c r="BA255" s="316" t="s">
        <v>582</v>
      </c>
      <c r="BB255" s="463">
        <v>0.09</v>
      </c>
      <c r="BC255" s="316" t="s">
        <v>578</v>
      </c>
      <c r="BD255" s="316" t="s">
        <v>579</v>
      </c>
      <c r="BE255" s="463">
        <v>0.01</v>
      </c>
      <c r="BF255" s="728">
        <f t="shared" ref="BF255:BF258" si="343">+AY255+BB255+BE255</f>
        <v>0.5</v>
      </c>
      <c r="BG255" s="463"/>
      <c r="BH255" s="463">
        <v>0.4</v>
      </c>
      <c r="BI255" s="316" t="s">
        <v>581</v>
      </c>
      <c r="BJ255" s="316" t="s">
        <v>582</v>
      </c>
      <c r="BK255" s="463">
        <v>0.09</v>
      </c>
      <c r="BL255" s="316" t="s">
        <v>578</v>
      </c>
      <c r="BM255" s="316" t="s">
        <v>579</v>
      </c>
      <c r="BN255" s="463">
        <v>0.01</v>
      </c>
      <c r="BO255" s="728">
        <f t="shared" ref="BO255:BO258" si="344">+BH255+BK255+BN255</f>
        <v>0.5</v>
      </c>
      <c r="BP255" s="463">
        <v>0.4</v>
      </c>
      <c r="BQ255" s="316" t="s">
        <v>581</v>
      </c>
      <c r="BR255" s="316" t="s">
        <v>582</v>
      </c>
      <c r="BS255" s="463">
        <v>0.09</v>
      </c>
      <c r="BT255" s="316" t="s">
        <v>578</v>
      </c>
      <c r="BU255" s="316" t="s">
        <v>579</v>
      </c>
      <c r="BV255" s="463">
        <v>0.01</v>
      </c>
      <c r="BW255" s="463">
        <f t="shared" ref="BW255:BW258" si="345">+BP255+BS255+BV255</f>
        <v>0.5</v>
      </c>
      <c r="BX255" s="444" t="s">
        <v>874</v>
      </c>
      <c r="BY255" s="444" t="s">
        <v>874</v>
      </c>
      <c r="BZ255" s="444"/>
      <c r="CA255" s="434"/>
      <c r="CB255" s="723">
        <v>0.65300000000000002</v>
      </c>
      <c r="CC255" s="668" t="s">
        <v>950</v>
      </c>
      <c r="CD255" s="316" t="s">
        <v>581</v>
      </c>
      <c r="CE255" s="316" t="s">
        <v>582</v>
      </c>
      <c r="CF255" s="718">
        <v>0.59</v>
      </c>
      <c r="CG255" s="316" t="s">
        <v>578</v>
      </c>
      <c r="CH255" s="316" t="s">
        <v>579</v>
      </c>
      <c r="CI255" s="718">
        <v>0.01</v>
      </c>
    </row>
    <row r="256" spans="1:87" ht="15.75" customHeight="1" x14ac:dyDescent="0.2">
      <c r="A256" s="747" t="s">
        <v>399</v>
      </c>
      <c r="B256" s="469" t="s">
        <v>398</v>
      </c>
      <c r="C256" s="718">
        <v>0.4</v>
      </c>
      <c r="D256" s="469" t="s">
        <v>589</v>
      </c>
      <c r="E256" s="469" t="s">
        <v>590</v>
      </c>
      <c r="F256" s="718">
        <v>0.09</v>
      </c>
      <c r="G256" s="469" t="s">
        <v>2290</v>
      </c>
      <c r="H256" s="469" t="s">
        <v>2291</v>
      </c>
      <c r="I256" s="718">
        <v>0.01</v>
      </c>
      <c r="J256" s="748">
        <f t="shared" si="314"/>
        <v>0.5</v>
      </c>
      <c r="K256" s="718">
        <v>0.4</v>
      </c>
      <c r="L256" s="316" t="s">
        <v>589</v>
      </c>
      <c r="M256" s="316" t="s">
        <v>590</v>
      </c>
      <c r="N256" s="718">
        <v>0.09</v>
      </c>
      <c r="O256" s="316" t="s">
        <v>2290</v>
      </c>
      <c r="P256" s="316" t="s">
        <v>2291</v>
      </c>
      <c r="Q256" s="718">
        <v>0.01</v>
      </c>
      <c r="R256" s="728">
        <f t="shared" si="325"/>
        <v>0.5</v>
      </c>
      <c r="S256" s="718">
        <v>0.4</v>
      </c>
      <c r="T256" s="316" t="s">
        <v>589</v>
      </c>
      <c r="U256" s="316" t="s">
        <v>590</v>
      </c>
      <c r="V256" s="718">
        <v>0.09</v>
      </c>
      <c r="W256" s="316" t="s">
        <v>2290</v>
      </c>
      <c r="X256" s="316" t="s">
        <v>2291</v>
      </c>
      <c r="Y256" s="718">
        <v>0.01</v>
      </c>
      <c r="Z256" s="728">
        <f t="shared" si="319"/>
        <v>0.5</v>
      </c>
      <c r="AA256" s="718">
        <v>0.4</v>
      </c>
      <c r="AB256" s="316" t="s">
        <v>589</v>
      </c>
      <c r="AC256" s="316" t="s">
        <v>590</v>
      </c>
      <c r="AD256" s="718">
        <v>0.09</v>
      </c>
      <c r="AE256" s="316" t="s">
        <v>2290</v>
      </c>
      <c r="AF256" s="316" t="s">
        <v>2291</v>
      </c>
      <c r="AG256" s="718">
        <v>0.01</v>
      </c>
      <c r="AH256" s="728">
        <f t="shared" si="306"/>
        <v>0.5</v>
      </c>
      <c r="AI256" s="718">
        <v>0.4</v>
      </c>
      <c r="AJ256" s="316" t="s">
        <v>589</v>
      </c>
      <c r="AK256" s="316" t="s">
        <v>590</v>
      </c>
      <c r="AL256" s="718">
        <v>0.09</v>
      </c>
      <c r="AM256" s="316" t="s">
        <v>586</v>
      </c>
      <c r="AN256" s="316" t="s">
        <v>1341</v>
      </c>
      <c r="AO256" s="718">
        <v>0.01</v>
      </c>
      <c r="AP256" s="728">
        <f t="shared" si="341"/>
        <v>0.5</v>
      </c>
      <c r="AQ256" s="718">
        <v>0.4</v>
      </c>
      <c r="AR256" s="316" t="s">
        <v>589</v>
      </c>
      <c r="AS256" s="316" t="s">
        <v>590</v>
      </c>
      <c r="AT256" s="718">
        <v>0.09</v>
      </c>
      <c r="AU256" s="316" t="s">
        <v>586</v>
      </c>
      <c r="AV256" s="316" t="s">
        <v>587</v>
      </c>
      <c r="AW256" s="718">
        <v>0.01</v>
      </c>
      <c r="AX256" s="463">
        <f t="shared" si="342"/>
        <v>0.5</v>
      </c>
      <c r="AY256" s="661">
        <v>0.4</v>
      </c>
      <c r="AZ256" s="316" t="s">
        <v>589</v>
      </c>
      <c r="BA256" s="316" t="s">
        <v>590</v>
      </c>
      <c r="BB256" s="463">
        <v>0.09</v>
      </c>
      <c r="BC256" s="316" t="s">
        <v>586</v>
      </c>
      <c r="BD256" s="316" t="s">
        <v>587</v>
      </c>
      <c r="BE256" s="463">
        <v>0.01</v>
      </c>
      <c r="BF256" s="728">
        <f t="shared" si="343"/>
        <v>0.5</v>
      </c>
      <c r="BG256" s="463"/>
      <c r="BH256" s="463">
        <v>0.4</v>
      </c>
      <c r="BI256" s="316" t="s">
        <v>589</v>
      </c>
      <c r="BJ256" s="316" t="s">
        <v>590</v>
      </c>
      <c r="BK256" s="463">
        <v>0.09</v>
      </c>
      <c r="BL256" s="316" t="s">
        <v>586</v>
      </c>
      <c r="BM256" s="316" t="s">
        <v>587</v>
      </c>
      <c r="BN256" s="463">
        <v>0.01</v>
      </c>
      <c r="BO256" s="728">
        <f t="shared" si="344"/>
        <v>0.5</v>
      </c>
      <c r="BP256" s="463">
        <v>0.4</v>
      </c>
      <c r="BQ256" s="316" t="s">
        <v>589</v>
      </c>
      <c r="BR256" s="316" t="s">
        <v>590</v>
      </c>
      <c r="BS256" s="463">
        <v>0.09</v>
      </c>
      <c r="BT256" s="316" t="s">
        <v>586</v>
      </c>
      <c r="BU256" s="316" t="s">
        <v>587</v>
      </c>
      <c r="BV256" s="463">
        <v>0.01</v>
      </c>
      <c r="BW256" s="463">
        <f t="shared" si="345"/>
        <v>0.5</v>
      </c>
      <c r="BX256" s="444"/>
      <c r="BY256" s="444"/>
      <c r="BZ256" s="444"/>
      <c r="CA256" s="434"/>
      <c r="CB256" s="723">
        <v>0.69699999999999995</v>
      </c>
      <c r="CC256" s="668" t="s">
        <v>950</v>
      </c>
      <c r="CD256" s="316" t="s">
        <v>589</v>
      </c>
      <c r="CE256" s="316" t="s">
        <v>590</v>
      </c>
      <c r="CF256" s="718">
        <v>0.59</v>
      </c>
      <c r="CG256" s="316" t="s">
        <v>586</v>
      </c>
      <c r="CH256" s="316" t="s">
        <v>587</v>
      </c>
      <c r="CI256" s="718">
        <v>0.01</v>
      </c>
    </row>
    <row r="257" spans="1:90" ht="15.75" customHeight="1" x14ac:dyDescent="0.2">
      <c r="A257" s="747" t="s">
        <v>401</v>
      </c>
      <c r="B257" s="469" t="s">
        <v>400</v>
      </c>
      <c r="C257" s="718">
        <v>0.4</v>
      </c>
      <c r="D257" s="469" t="s">
        <v>583</v>
      </c>
      <c r="E257" s="469" t="s">
        <v>584</v>
      </c>
      <c r="F257" s="718">
        <v>0.1</v>
      </c>
      <c r="G257" s="469" t="s">
        <v>514</v>
      </c>
      <c r="H257" s="469" t="s">
        <v>552</v>
      </c>
      <c r="I257" s="718">
        <v>0</v>
      </c>
      <c r="J257" s="748">
        <f t="shared" si="314"/>
        <v>0.5</v>
      </c>
      <c r="K257" s="718">
        <v>0.4</v>
      </c>
      <c r="L257" s="316" t="s">
        <v>583</v>
      </c>
      <c r="M257" s="316" t="s">
        <v>584</v>
      </c>
      <c r="N257" s="718">
        <v>0.1</v>
      </c>
      <c r="O257" s="316" t="s">
        <v>514</v>
      </c>
      <c r="P257" s="316" t="s">
        <v>552</v>
      </c>
      <c r="Q257" s="718">
        <v>0</v>
      </c>
      <c r="R257" s="728">
        <f t="shared" si="325"/>
        <v>0.5</v>
      </c>
      <c r="S257" s="718">
        <v>0.4</v>
      </c>
      <c r="T257" s="316" t="s">
        <v>583</v>
      </c>
      <c r="U257" s="316" t="s">
        <v>584</v>
      </c>
      <c r="V257" s="718">
        <v>0.1</v>
      </c>
      <c r="W257" s="316" t="s">
        <v>514</v>
      </c>
      <c r="X257" s="316" t="s">
        <v>552</v>
      </c>
      <c r="Y257" s="718">
        <v>0</v>
      </c>
      <c r="Z257" s="728">
        <f t="shared" si="319"/>
        <v>0.5</v>
      </c>
      <c r="AA257" s="718">
        <v>0.4</v>
      </c>
      <c r="AB257" s="316" t="s">
        <v>583</v>
      </c>
      <c r="AC257" s="316" t="s">
        <v>584</v>
      </c>
      <c r="AD257" s="718">
        <v>0.1</v>
      </c>
      <c r="AE257" s="316" t="s">
        <v>514</v>
      </c>
      <c r="AF257" s="316" t="s">
        <v>552</v>
      </c>
      <c r="AG257" s="718">
        <v>0</v>
      </c>
      <c r="AH257" s="728">
        <f t="shared" si="306"/>
        <v>0.5</v>
      </c>
      <c r="AI257" s="718">
        <v>0.4</v>
      </c>
      <c r="AJ257" s="316" t="s">
        <v>583</v>
      </c>
      <c r="AK257" s="316" t="s">
        <v>584</v>
      </c>
      <c r="AL257" s="718">
        <v>0.1</v>
      </c>
      <c r="AM257" s="316" t="s">
        <v>514</v>
      </c>
      <c r="AN257" s="316" t="s">
        <v>552</v>
      </c>
      <c r="AO257" s="718">
        <v>0</v>
      </c>
      <c r="AP257" s="728">
        <f t="shared" si="341"/>
        <v>0.5</v>
      </c>
      <c r="AQ257" s="718">
        <v>0.4</v>
      </c>
      <c r="AR257" s="316" t="s">
        <v>583</v>
      </c>
      <c r="AS257" s="316" t="s">
        <v>584</v>
      </c>
      <c r="AT257" s="718">
        <v>0.1</v>
      </c>
      <c r="AU257" s="316" t="s">
        <v>514</v>
      </c>
      <c r="AV257" s="316" t="s">
        <v>552</v>
      </c>
      <c r="AW257" s="718">
        <v>0</v>
      </c>
      <c r="AX257" s="463">
        <f t="shared" si="342"/>
        <v>0.5</v>
      </c>
      <c r="AY257" s="661">
        <v>0.5</v>
      </c>
      <c r="AZ257" s="316" t="s">
        <v>583</v>
      </c>
      <c r="BA257" s="316" t="s">
        <v>584</v>
      </c>
      <c r="BB257" s="463">
        <v>0.5</v>
      </c>
      <c r="BC257" s="316" t="s">
        <v>514</v>
      </c>
      <c r="BD257" s="316" t="s">
        <v>552</v>
      </c>
      <c r="BE257" s="463">
        <v>0</v>
      </c>
      <c r="BF257" s="728">
        <f t="shared" si="343"/>
        <v>1</v>
      </c>
      <c r="BG257" s="463"/>
      <c r="BH257" s="463">
        <v>0.4</v>
      </c>
      <c r="BI257" s="316" t="s">
        <v>583</v>
      </c>
      <c r="BJ257" s="316" t="s">
        <v>584</v>
      </c>
      <c r="BK257" s="463">
        <v>0.1</v>
      </c>
      <c r="BL257" s="316" t="s">
        <v>514</v>
      </c>
      <c r="BM257" s="316" t="s">
        <v>552</v>
      </c>
      <c r="BN257" s="463">
        <v>0</v>
      </c>
      <c r="BO257" s="728">
        <f t="shared" si="344"/>
        <v>0.5</v>
      </c>
      <c r="BP257" s="463">
        <v>0.4</v>
      </c>
      <c r="BQ257" s="316" t="s">
        <v>583</v>
      </c>
      <c r="BR257" s="316" t="s">
        <v>584</v>
      </c>
      <c r="BS257" s="463">
        <v>0.1</v>
      </c>
      <c r="BT257" s="316" t="s">
        <v>514</v>
      </c>
      <c r="BU257" s="316" t="s">
        <v>552</v>
      </c>
      <c r="BV257" s="463">
        <v>0</v>
      </c>
      <c r="BW257" s="463">
        <f t="shared" si="345"/>
        <v>0.5</v>
      </c>
      <c r="BX257" s="444"/>
      <c r="BY257" s="444"/>
      <c r="BZ257" s="444"/>
      <c r="CA257" s="434"/>
      <c r="CB257" s="723">
        <v>0.69399999999999995</v>
      </c>
      <c r="CC257" s="668" t="s">
        <v>950</v>
      </c>
      <c r="CD257" s="316" t="s">
        <v>583</v>
      </c>
      <c r="CE257" s="316" t="s">
        <v>584</v>
      </c>
      <c r="CF257" s="718">
        <v>0.6</v>
      </c>
      <c r="CG257" s="316" t="s">
        <v>514</v>
      </c>
      <c r="CH257" s="316" t="s">
        <v>552</v>
      </c>
      <c r="CI257" s="718">
        <v>0</v>
      </c>
    </row>
    <row r="258" spans="1:90" ht="15.75" customHeight="1" x14ac:dyDescent="0.2">
      <c r="A258" s="747" t="s">
        <v>403</v>
      </c>
      <c r="B258" s="469" t="s">
        <v>402</v>
      </c>
      <c r="C258" s="718">
        <v>0.4</v>
      </c>
      <c r="D258" s="469" t="s">
        <v>608</v>
      </c>
      <c r="E258" s="469" t="s">
        <v>609</v>
      </c>
      <c r="F258" s="718">
        <v>0.09</v>
      </c>
      <c r="G258" s="469" t="s">
        <v>606</v>
      </c>
      <c r="H258" s="469" t="s">
        <v>607</v>
      </c>
      <c r="I258" s="718">
        <v>0.01</v>
      </c>
      <c r="J258" s="748">
        <f t="shared" si="314"/>
        <v>0.5</v>
      </c>
      <c r="K258" s="718">
        <v>0.4</v>
      </c>
      <c r="L258" s="316" t="s">
        <v>608</v>
      </c>
      <c r="M258" s="316" t="s">
        <v>609</v>
      </c>
      <c r="N258" s="718">
        <v>0.09</v>
      </c>
      <c r="O258" s="316" t="s">
        <v>606</v>
      </c>
      <c r="P258" s="316" t="s">
        <v>607</v>
      </c>
      <c r="Q258" s="718">
        <v>0.01</v>
      </c>
      <c r="R258" s="728">
        <f t="shared" si="325"/>
        <v>0.5</v>
      </c>
      <c r="S258" s="718">
        <v>0.4</v>
      </c>
      <c r="T258" s="316" t="s">
        <v>608</v>
      </c>
      <c r="U258" s="316" t="s">
        <v>609</v>
      </c>
      <c r="V258" s="718">
        <v>0.09</v>
      </c>
      <c r="W258" s="316" t="s">
        <v>606</v>
      </c>
      <c r="X258" s="316" t="s">
        <v>607</v>
      </c>
      <c r="Y258" s="718">
        <v>0.01</v>
      </c>
      <c r="Z258" s="728">
        <f t="shared" si="319"/>
        <v>0.5</v>
      </c>
      <c r="AA258" s="718">
        <v>0.4</v>
      </c>
      <c r="AB258" s="316" t="s">
        <v>608</v>
      </c>
      <c r="AC258" s="316" t="s">
        <v>609</v>
      </c>
      <c r="AD258" s="718">
        <v>0.09</v>
      </c>
      <c r="AE258" s="316" t="s">
        <v>606</v>
      </c>
      <c r="AF258" s="316" t="s">
        <v>607</v>
      </c>
      <c r="AG258" s="718">
        <v>0.01</v>
      </c>
      <c r="AH258" s="728">
        <f t="shared" si="306"/>
        <v>0.5</v>
      </c>
      <c r="AI258" s="718">
        <v>0.4</v>
      </c>
      <c r="AJ258" s="316" t="s">
        <v>608</v>
      </c>
      <c r="AK258" s="316" t="s">
        <v>609</v>
      </c>
      <c r="AL258" s="718">
        <v>0.09</v>
      </c>
      <c r="AM258" s="316" t="s">
        <v>606</v>
      </c>
      <c r="AN258" s="316" t="s">
        <v>607</v>
      </c>
      <c r="AO258" s="718">
        <v>0.01</v>
      </c>
      <c r="AP258" s="728">
        <f t="shared" si="341"/>
        <v>0.5</v>
      </c>
      <c r="AQ258" s="718">
        <v>0.4</v>
      </c>
      <c r="AR258" s="316" t="s">
        <v>608</v>
      </c>
      <c r="AS258" s="316" t="s">
        <v>609</v>
      </c>
      <c r="AT258" s="718">
        <v>0.09</v>
      </c>
      <c r="AU258" s="316" t="s">
        <v>606</v>
      </c>
      <c r="AV258" s="316" t="s">
        <v>607</v>
      </c>
      <c r="AW258" s="718">
        <v>0.01</v>
      </c>
      <c r="AX258" s="463">
        <f t="shared" si="342"/>
        <v>0.5</v>
      </c>
      <c r="AY258" s="661">
        <v>0.4</v>
      </c>
      <c r="AZ258" s="316" t="s">
        <v>608</v>
      </c>
      <c r="BA258" s="316" t="s">
        <v>609</v>
      </c>
      <c r="BB258" s="463">
        <v>0.59</v>
      </c>
      <c r="BC258" s="316" t="s">
        <v>606</v>
      </c>
      <c r="BD258" s="316" t="s">
        <v>607</v>
      </c>
      <c r="BE258" s="463">
        <v>0.01</v>
      </c>
      <c r="BF258" s="728">
        <f t="shared" si="343"/>
        <v>1</v>
      </c>
      <c r="BG258" s="463"/>
      <c r="BH258" s="463">
        <v>0.4</v>
      </c>
      <c r="BI258" s="316" t="s">
        <v>608</v>
      </c>
      <c r="BJ258" s="316" t="s">
        <v>609</v>
      </c>
      <c r="BK258" s="463">
        <v>0.09</v>
      </c>
      <c r="BL258" s="316" t="s">
        <v>606</v>
      </c>
      <c r="BM258" s="316" t="s">
        <v>607</v>
      </c>
      <c r="BN258" s="463">
        <v>0.01</v>
      </c>
      <c r="BO258" s="728">
        <f t="shared" si="344"/>
        <v>0.5</v>
      </c>
      <c r="BP258" s="463">
        <v>0.4</v>
      </c>
      <c r="BQ258" s="316" t="s">
        <v>608</v>
      </c>
      <c r="BR258" s="316" t="s">
        <v>609</v>
      </c>
      <c r="BS258" s="463">
        <v>0.09</v>
      </c>
      <c r="BT258" s="316" t="s">
        <v>606</v>
      </c>
      <c r="BU258" s="316" t="s">
        <v>607</v>
      </c>
      <c r="BV258" s="463">
        <v>0.01</v>
      </c>
      <c r="BW258" s="463">
        <f t="shared" si="345"/>
        <v>0.5</v>
      </c>
      <c r="BX258" s="444"/>
      <c r="BY258" s="444"/>
      <c r="BZ258" s="444"/>
      <c r="CA258" s="434"/>
      <c r="CB258" s="723">
        <v>0.65300000000000002</v>
      </c>
      <c r="CC258" s="668" t="s">
        <v>950</v>
      </c>
      <c r="CD258" s="316" t="s">
        <v>608</v>
      </c>
      <c r="CE258" s="316" t="s">
        <v>609</v>
      </c>
      <c r="CF258" s="718">
        <v>0.59</v>
      </c>
      <c r="CG258" s="316" t="s">
        <v>606</v>
      </c>
      <c r="CH258" s="316" t="s">
        <v>607</v>
      </c>
      <c r="CI258" s="718">
        <v>0.01</v>
      </c>
    </row>
    <row r="259" spans="1:90" ht="15.75" customHeight="1" x14ac:dyDescent="0.2">
      <c r="A259" s="747" t="s">
        <v>405</v>
      </c>
      <c r="B259" s="469" t="s">
        <v>404</v>
      </c>
      <c r="C259" s="718">
        <v>0.4</v>
      </c>
      <c r="D259" s="469" t="s">
        <v>596</v>
      </c>
      <c r="E259" s="469" t="s">
        <v>597</v>
      </c>
      <c r="F259" s="718">
        <v>0.1</v>
      </c>
      <c r="G259" s="469" t="s">
        <v>514</v>
      </c>
      <c r="H259" s="469" t="s">
        <v>552</v>
      </c>
      <c r="I259" s="718">
        <v>0</v>
      </c>
      <c r="J259" s="748">
        <f t="shared" si="314"/>
        <v>0.5</v>
      </c>
      <c r="K259" s="718">
        <v>0.4</v>
      </c>
      <c r="L259" s="316" t="s">
        <v>596</v>
      </c>
      <c r="M259" s="316" t="s">
        <v>597</v>
      </c>
      <c r="N259" s="718">
        <v>0.1</v>
      </c>
      <c r="O259" s="316" t="s">
        <v>514</v>
      </c>
      <c r="P259" s="316" t="s">
        <v>552</v>
      </c>
      <c r="Q259" s="718">
        <v>0</v>
      </c>
      <c r="R259" s="728">
        <f t="shared" si="325"/>
        <v>0.5</v>
      </c>
      <c r="S259" s="718">
        <v>0.4</v>
      </c>
      <c r="T259" s="316" t="s">
        <v>596</v>
      </c>
      <c r="U259" s="316" t="s">
        <v>597</v>
      </c>
      <c r="V259" s="718">
        <v>0.1</v>
      </c>
      <c r="W259" s="316" t="s">
        <v>514</v>
      </c>
      <c r="X259" s="316" t="s">
        <v>552</v>
      </c>
      <c r="Y259" s="718">
        <v>0</v>
      </c>
      <c r="Z259" s="728">
        <f t="shared" si="319"/>
        <v>0.5</v>
      </c>
      <c r="AA259" s="718">
        <v>0.4</v>
      </c>
      <c r="AB259" s="316" t="s">
        <v>596</v>
      </c>
      <c r="AC259" s="316" t="s">
        <v>597</v>
      </c>
      <c r="AD259" s="718">
        <v>0.1</v>
      </c>
      <c r="AE259" s="316" t="s">
        <v>514</v>
      </c>
      <c r="AF259" s="316" t="s">
        <v>552</v>
      </c>
      <c r="AG259" s="718">
        <v>0</v>
      </c>
      <c r="AH259" s="728">
        <f t="shared" si="306"/>
        <v>0.5</v>
      </c>
      <c r="AI259" s="718">
        <v>0.4</v>
      </c>
      <c r="AJ259" s="316" t="s">
        <v>596</v>
      </c>
      <c r="AK259" s="316" t="s">
        <v>597</v>
      </c>
      <c r="AL259" s="718">
        <v>0.1</v>
      </c>
      <c r="AM259" s="316" t="s">
        <v>514</v>
      </c>
      <c r="AN259" s="316" t="s">
        <v>552</v>
      </c>
      <c r="AO259" s="718">
        <v>0</v>
      </c>
      <c r="AP259" s="728">
        <f t="shared" ref="AP259:AP262" si="346">+AI259+AL259+AO259</f>
        <v>0.5</v>
      </c>
      <c r="AQ259" s="718">
        <v>0.35</v>
      </c>
      <c r="AR259" s="316" t="s">
        <v>596</v>
      </c>
      <c r="AS259" s="316" t="s">
        <v>597</v>
      </c>
      <c r="AT259" s="718">
        <v>0.4</v>
      </c>
      <c r="AU259" s="316" t="s">
        <v>514</v>
      </c>
      <c r="AV259" s="316" t="s">
        <v>552</v>
      </c>
      <c r="AW259" s="718">
        <v>0</v>
      </c>
      <c r="AX259" s="463">
        <f t="shared" ref="AX259:AX262" si="347">+AQ259+AT259+AW259</f>
        <v>0.75</v>
      </c>
      <c r="AY259" s="661">
        <v>0.4</v>
      </c>
      <c r="AZ259" s="316" t="s">
        <v>596</v>
      </c>
      <c r="BA259" s="316" t="s">
        <v>597</v>
      </c>
      <c r="BB259" s="463">
        <v>0.1</v>
      </c>
      <c r="BC259" s="316" t="s">
        <v>514</v>
      </c>
      <c r="BD259" s="316" t="s">
        <v>552</v>
      </c>
      <c r="BE259" s="463">
        <v>0</v>
      </c>
      <c r="BF259" s="728">
        <f t="shared" ref="BF259:BF262" si="348">+AY259+BB259+BE259</f>
        <v>0.5</v>
      </c>
      <c r="BG259" s="463"/>
      <c r="BH259" s="463">
        <v>0.4</v>
      </c>
      <c r="BI259" s="316" t="s">
        <v>596</v>
      </c>
      <c r="BJ259" s="316" t="s">
        <v>597</v>
      </c>
      <c r="BK259" s="463">
        <v>0.1</v>
      </c>
      <c r="BL259" s="316" t="s">
        <v>514</v>
      </c>
      <c r="BM259" s="316" t="s">
        <v>552</v>
      </c>
      <c r="BN259" s="463">
        <v>0</v>
      </c>
      <c r="BO259" s="728">
        <f t="shared" ref="BO259:BO262" si="349">+BH259+BK259+BN259</f>
        <v>0.5</v>
      </c>
      <c r="BP259" s="463">
        <v>0.4</v>
      </c>
      <c r="BQ259" s="316" t="s">
        <v>596</v>
      </c>
      <c r="BR259" s="316" t="s">
        <v>597</v>
      </c>
      <c r="BS259" s="463">
        <v>0.1</v>
      </c>
      <c r="BT259" s="316" t="s">
        <v>514</v>
      </c>
      <c r="BU259" s="316" t="s">
        <v>552</v>
      </c>
      <c r="BV259" s="463">
        <v>0</v>
      </c>
      <c r="BW259" s="463">
        <f t="shared" ref="BW259:BW262" si="350">+BP259+BS259+BV259</f>
        <v>0.5</v>
      </c>
      <c r="BX259" s="444"/>
      <c r="BY259" s="444"/>
      <c r="BZ259" s="444"/>
      <c r="CA259" s="434"/>
      <c r="CB259" s="723">
        <v>0.76500000000000001</v>
      </c>
      <c r="CC259" s="668" t="s">
        <v>950</v>
      </c>
      <c r="CD259" s="316" t="s">
        <v>596</v>
      </c>
      <c r="CE259" s="316" t="s">
        <v>597</v>
      </c>
      <c r="CF259" s="718">
        <v>0.6</v>
      </c>
      <c r="CG259" s="316" t="s">
        <v>514</v>
      </c>
      <c r="CH259" s="316" t="s">
        <v>552</v>
      </c>
      <c r="CI259" s="718">
        <v>0</v>
      </c>
    </row>
    <row r="260" spans="1:90" ht="15.75" customHeight="1" x14ac:dyDescent="0.2">
      <c r="A260" s="747" t="s">
        <v>407</v>
      </c>
      <c r="B260" s="469" t="s">
        <v>580</v>
      </c>
      <c r="C260" s="718">
        <v>0.49</v>
      </c>
      <c r="D260" s="469" t="s">
        <v>514</v>
      </c>
      <c r="E260" s="469" t="s">
        <v>515</v>
      </c>
      <c r="F260" s="718">
        <v>0</v>
      </c>
      <c r="G260" s="469" t="s">
        <v>578</v>
      </c>
      <c r="H260" s="469" t="s">
        <v>1244</v>
      </c>
      <c r="I260" s="718">
        <v>0.01</v>
      </c>
      <c r="J260" s="748">
        <f t="shared" si="314"/>
        <v>0.5</v>
      </c>
      <c r="K260" s="718">
        <v>0.49</v>
      </c>
      <c r="L260" s="316" t="s">
        <v>514</v>
      </c>
      <c r="M260" s="316" t="s">
        <v>515</v>
      </c>
      <c r="N260" s="718">
        <v>0</v>
      </c>
      <c r="O260" s="316" t="s">
        <v>578</v>
      </c>
      <c r="P260" s="316" t="s">
        <v>1244</v>
      </c>
      <c r="Q260" s="718">
        <v>0.01</v>
      </c>
      <c r="R260" s="728">
        <f t="shared" si="325"/>
        <v>0.5</v>
      </c>
      <c r="S260" s="718">
        <v>0.49</v>
      </c>
      <c r="T260" s="316" t="s">
        <v>514</v>
      </c>
      <c r="U260" s="316" t="s">
        <v>515</v>
      </c>
      <c r="V260" s="718">
        <v>0</v>
      </c>
      <c r="W260" s="316" t="s">
        <v>578</v>
      </c>
      <c r="X260" s="316" t="s">
        <v>1244</v>
      </c>
      <c r="Y260" s="718">
        <v>0.01</v>
      </c>
      <c r="Z260" s="728">
        <f t="shared" si="319"/>
        <v>0.5</v>
      </c>
      <c r="AA260" s="718">
        <v>0.49</v>
      </c>
      <c r="AB260" s="316" t="s">
        <v>514</v>
      </c>
      <c r="AC260" s="316" t="s">
        <v>515</v>
      </c>
      <c r="AD260" s="718">
        <v>0</v>
      </c>
      <c r="AE260" s="316" t="s">
        <v>578</v>
      </c>
      <c r="AF260" s="316" t="s">
        <v>1244</v>
      </c>
      <c r="AG260" s="718">
        <v>0.01</v>
      </c>
      <c r="AH260" s="728">
        <f t="shared" si="306"/>
        <v>0.5</v>
      </c>
      <c r="AI260" s="718">
        <v>0.49</v>
      </c>
      <c r="AJ260" s="316" t="s">
        <v>514</v>
      </c>
      <c r="AK260" s="316" t="s">
        <v>515</v>
      </c>
      <c r="AL260" s="718">
        <v>0</v>
      </c>
      <c r="AM260" s="316" t="s">
        <v>578</v>
      </c>
      <c r="AN260" s="316" t="s">
        <v>1244</v>
      </c>
      <c r="AO260" s="718">
        <v>0.01</v>
      </c>
      <c r="AP260" s="728">
        <f t="shared" si="346"/>
        <v>0.5</v>
      </c>
      <c r="AQ260" s="718">
        <v>0.49</v>
      </c>
      <c r="AR260" s="316" t="s">
        <v>514</v>
      </c>
      <c r="AS260" s="316" t="s">
        <v>515</v>
      </c>
      <c r="AT260" s="718">
        <v>0</v>
      </c>
      <c r="AU260" s="316" t="s">
        <v>578</v>
      </c>
      <c r="AV260" s="316" t="s">
        <v>1244</v>
      </c>
      <c r="AW260" s="718">
        <v>0.01</v>
      </c>
      <c r="AX260" s="463">
        <f t="shared" si="347"/>
        <v>0.5</v>
      </c>
      <c r="AY260" s="661">
        <v>0.49</v>
      </c>
      <c r="AZ260" s="316" t="s">
        <v>514</v>
      </c>
      <c r="BA260" s="316" t="s">
        <v>515</v>
      </c>
      <c r="BB260" s="463">
        <v>0</v>
      </c>
      <c r="BC260" s="316" t="s">
        <v>578</v>
      </c>
      <c r="BD260" s="316" t="s">
        <v>579</v>
      </c>
      <c r="BE260" s="463">
        <v>0.01</v>
      </c>
      <c r="BF260" s="728">
        <f t="shared" si="348"/>
        <v>0.5</v>
      </c>
      <c r="BG260" s="463"/>
      <c r="BH260" s="463">
        <v>0.49</v>
      </c>
      <c r="BI260" s="316" t="s">
        <v>514</v>
      </c>
      <c r="BJ260" s="316" t="s">
        <v>515</v>
      </c>
      <c r="BK260" s="463">
        <v>0</v>
      </c>
      <c r="BL260" s="316" t="s">
        <v>578</v>
      </c>
      <c r="BM260" s="316" t="s">
        <v>579</v>
      </c>
      <c r="BN260" s="463">
        <v>0.01</v>
      </c>
      <c r="BO260" s="728">
        <f t="shared" si="349"/>
        <v>0.5</v>
      </c>
      <c r="BP260" s="463">
        <v>0.49</v>
      </c>
      <c r="BQ260" s="316" t="s">
        <v>514</v>
      </c>
      <c r="BR260" s="316" t="s">
        <v>515</v>
      </c>
      <c r="BS260" s="463">
        <v>0</v>
      </c>
      <c r="BT260" s="316" t="s">
        <v>578</v>
      </c>
      <c r="BU260" s="316" t="s">
        <v>579</v>
      </c>
      <c r="BV260" s="463">
        <v>0.01</v>
      </c>
      <c r="BW260" s="463">
        <f t="shared" si="350"/>
        <v>0.5</v>
      </c>
      <c r="BX260" s="444" t="s">
        <v>874</v>
      </c>
      <c r="BY260" s="444" t="s">
        <v>874</v>
      </c>
      <c r="BZ260" s="444"/>
      <c r="CA260" s="436" t="s">
        <v>874</v>
      </c>
      <c r="CB260" s="723">
        <v>0.70699999999999996</v>
      </c>
      <c r="CC260" s="668" t="s">
        <v>950</v>
      </c>
      <c r="CD260" s="316" t="s">
        <v>514</v>
      </c>
      <c r="CE260" s="316" t="s">
        <v>515</v>
      </c>
      <c r="CF260" s="718">
        <v>0</v>
      </c>
      <c r="CG260" s="316" t="s">
        <v>578</v>
      </c>
      <c r="CH260" s="316" t="s">
        <v>579</v>
      </c>
      <c r="CI260" s="718">
        <v>0.01</v>
      </c>
    </row>
    <row r="261" spans="1:90" ht="15.75" customHeight="1" x14ac:dyDescent="0.2">
      <c r="A261" s="747" t="s">
        <v>409</v>
      </c>
      <c r="B261" s="469" t="s">
        <v>610</v>
      </c>
      <c r="C261" s="718">
        <v>0.4</v>
      </c>
      <c r="D261" s="469" t="s">
        <v>608</v>
      </c>
      <c r="E261" s="469" t="s">
        <v>609</v>
      </c>
      <c r="F261" s="718">
        <v>0.09</v>
      </c>
      <c r="G261" s="469" t="s">
        <v>606</v>
      </c>
      <c r="H261" s="469" t="s">
        <v>607</v>
      </c>
      <c r="I261" s="718">
        <v>0.01</v>
      </c>
      <c r="J261" s="748">
        <f t="shared" si="314"/>
        <v>0.5</v>
      </c>
      <c r="K261" s="718">
        <v>0.4</v>
      </c>
      <c r="L261" s="316" t="s">
        <v>608</v>
      </c>
      <c r="M261" s="316" t="s">
        <v>609</v>
      </c>
      <c r="N261" s="718">
        <v>0.09</v>
      </c>
      <c r="O261" s="316" t="s">
        <v>606</v>
      </c>
      <c r="P261" s="316" t="s">
        <v>607</v>
      </c>
      <c r="Q261" s="718">
        <v>0.01</v>
      </c>
      <c r="R261" s="728">
        <f t="shared" si="325"/>
        <v>0.5</v>
      </c>
      <c r="S261" s="718">
        <v>0.4</v>
      </c>
      <c r="T261" s="316" t="s">
        <v>608</v>
      </c>
      <c r="U261" s="316" t="s">
        <v>609</v>
      </c>
      <c r="V261" s="718">
        <v>0.09</v>
      </c>
      <c r="W261" s="316" t="s">
        <v>606</v>
      </c>
      <c r="X261" s="316" t="s">
        <v>607</v>
      </c>
      <c r="Y261" s="718">
        <v>0.01</v>
      </c>
      <c r="Z261" s="728">
        <f t="shared" si="319"/>
        <v>0.5</v>
      </c>
      <c r="AA261" s="718">
        <v>0.4</v>
      </c>
      <c r="AB261" s="316" t="s">
        <v>608</v>
      </c>
      <c r="AC261" s="316" t="s">
        <v>609</v>
      </c>
      <c r="AD261" s="718">
        <v>0.09</v>
      </c>
      <c r="AE261" s="316" t="s">
        <v>606</v>
      </c>
      <c r="AF261" s="316" t="s">
        <v>607</v>
      </c>
      <c r="AG261" s="718">
        <v>0.01</v>
      </c>
      <c r="AH261" s="728">
        <f t="shared" si="306"/>
        <v>0.5</v>
      </c>
      <c r="AI261" s="718">
        <v>0.4</v>
      </c>
      <c r="AJ261" s="316" t="s">
        <v>608</v>
      </c>
      <c r="AK261" s="316" t="s">
        <v>609</v>
      </c>
      <c r="AL261" s="718">
        <v>0.09</v>
      </c>
      <c r="AM261" s="316" t="s">
        <v>606</v>
      </c>
      <c r="AN261" s="316" t="s">
        <v>607</v>
      </c>
      <c r="AO261" s="718">
        <v>0.01</v>
      </c>
      <c r="AP261" s="728">
        <f t="shared" si="346"/>
        <v>0.5</v>
      </c>
      <c r="AQ261" s="718">
        <v>0.4</v>
      </c>
      <c r="AR261" s="316" t="s">
        <v>608</v>
      </c>
      <c r="AS261" s="316" t="s">
        <v>609</v>
      </c>
      <c r="AT261" s="718">
        <v>0.09</v>
      </c>
      <c r="AU261" s="316" t="s">
        <v>606</v>
      </c>
      <c r="AV261" s="316" t="s">
        <v>607</v>
      </c>
      <c r="AW261" s="718">
        <v>0.01</v>
      </c>
      <c r="AX261" s="463">
        <f t="shared" si="347"/>
        <v>0.5</v>
      </c>
      <c r="AY261" s="661">
        <v>0.4</v>
      </c>
      <c r="AZ261" s="316" t="s">
        <v>608</v>
      </c>
      <c r="BA261" s="316" t="s">
        <v>609</v>
      </c>
      <c r="BB261" s="463">
        <v>0.59</v>
      </c>
      <c r="BC261" s="316" t="s">
        <v>606</v>
      </c>
      <c r="BD261" s="316" t="s">
        <v>607</v>
      </c>
      <c r="BE261" s="463">
        <v>0.01</v>
      </c>
      <c r="BF261" s="728">
        <f t="shared" si="348"/>
        <v>1</v>
      </c>
      <c r="BG261" s="463"/>
      <c r="BH261" s="463">
        <v>0.4</v>
      </c>
      <c r="BI261" s="316" t="s">
        <v>608</v>
      </c>
      <c r="BJ261" s="316" t="s">
        <v>609</v>
      </c>
      <c r="BK261" s="463">
        <v>0.09</v>
      </c>
      <c r="BL261" s="316" t="s">
        <v>606</v>
      </c>
      <c r="BM261" s="316" t="s">
        <v>607</v>
      </c>
      <c r="BN261" s="463">
        <v>0.01</v>
      </c>
      <c r="BO261" s="728">
        <f t="shared" si="349"/>
        <v>0.5</v>
      </c>
      <c r="BP261" s="463">
        <v>0.4</v>
      </c>
      <c r="BQ261" s="316" t="s">
        <v>608</v>
      </c>
      <c r="BR261" s="316" t="s">
        <v>609</v>
      </c>
      <c r="BS261" s="463">
        <v>0.09</v>
      </c>
      <c r="BT261" s="316" t="s">
        <v>606</v>
      </c>
      <c r="BU261" s="316" t="s">
        <v>607</v>
      </c>
      <c r="BV261" s="463">
        <v>0.01</v>
      </c>
      <c r="BW261" s="463">
        <f t="shared" si="350"/>
        <v>0.5</v>
      </c>
      <c r="BX261" s="489" t="s">
        <v>874</v>
      </c>
      <c r="BY261" s="489"/>
      <c r="BZ261" s="489"/>
      <c r="CA261" s="434"/>
      <c r="CB261" s="723">
        <v>0.70599999999999996</v>
      </c>
      <c r="CC261" s="668" t="s">
        <v>950</v>
      </c>
      <c r="CD261" s="316" t="s">
        <v>608</v>
      </c>
      <c r="CE261" s="316" t="s">
        <v>609</v>
      </c>
      <c r="CF261" s="718">
        <v>0.59</v>
      </c>
      <c r="CG261" s="316" t="s">
        <v>606</v>
      </c>
      <c r="CH261" s="316" t="s">
        <v>607</v>
      </c>
      <c r="CI261" s="718">
        <v>0.01</v>
      </c>
    </row>
    <row r="262" spans="1:90" ht="15.75" customHeight="1" x14ac:dyDescent="0.2">
      <c r="A262" s="747" t="s">
        <v>411</v>
      </c>
      <c r="B262" s="469" t="s">
        <v>562</v>
      </c>
      <c r="C262" s="718">
        <v>0.49</v>
      </c>
      <c r="D262" s="469" t="s">
        <v>514</v>
      </c>
      <c r="E262" s="469" t="s">
        <v>515</v>
      </c>
      <c r="F262" s="718">
        <v>0</v>
      </c>
      <c r="G262" s="469" t="s">
        <v>560</v>
      </c>
      <c r="H262" s="469" t="s">
        <v>561</v>
      </c>
      <c r="I262" s="718">
        <v>0.01</v>
      </c>
      <c r="J262" s="748">
        <f t="shared" si="314"/>
        <v>0.5</v>
      </c>
      <c r="K262" s="718">
        <v>0.49</v>
      </c>
      <c r="L262" s="316" t="s">
        <v>514</v>
      </c>
      <c r="M262" s="316" t="s">
        <v>515</v>
      </c>
      <c r="N262" s="718">
        <v>0</v>
      </c>
      <c r="O262" s="316" t="s">
        <v>560</v>
      </c>
      <c r="P262" s="316" t="s">
        <v>561</v>
      </c>
      <c r="Q262" s="718">
        <v>0.01</v>
      </c>
      <c r="R262" s="728">
        <f t="shared" si="325"/>
        <v>0.5</v>
      </c>
      <c r="S262" s="718">
        <v>0.49</v>
      </c>
      <c r="T262" s="316" t="s">
        <v>514</v>
      </c>
      <c r="U262" s="316" t="s">
        <v>515</v>
      </c>
      <c r="V262" s="718">
        <v>0</v>
      </c>
      <c r="W262" s="316" t="s">
        <v>560</v>
      </c>
      <c r="X262" s="316" t="s">
        <v>561</v>
      </c>
      <c r="Y262" s="718">
        <v>0.01</v>
      </c>
      <c r="Z262" s="728">
        <f t="shared" si="319"/>
        <v>0.5</v>
      </c>
      <c r="AA262" s="718">
        <v>0.49</v>
      </c>
      <c r="AB262" s="316" t="s">
        <v>514</v>
      </c>
      <c r="AC262" s="316" t="s">
        <v>515</v>
      </c>
      <c r="AD262" s="718">
        <v>0</v>
      </c>
      <c r="AE262" s="316" t="s">
        <v>560</v>
      </c>
      <c r="AF262" s="316" t="s">
        <v>561</v>
      </c>
      <c r="AG262" s="718">
        <v>0.01</v>
      </c>
      <c r="AH262" s="728">
        <f t="shared" si="306"/>
        <v>0.5</v>
      </c>
      <c r="AI262" s="718">
        <v>0.49</v>
      </c>
      <c r="AJ262" s="316" t="s">
        <v>514</v>
      </c>
      <c r="AK262" s="316" t="s">
        <v>515</v>
      </c>
      <c r="AL262" s="718">
        <v>0</v>
      </c>
      <c r="AM262" s="316" t="s">
        <v>560</v>
      </c>
      <c r="AN262" s="316" t="s">
        <v>561</v>
      </c>
      <c r="AO262" s="718">
        <v>0.01</v>
      </c>
      <c r="AP262" s="728">
        <f t="shared" si="346"/>
        <v>0.5</v>
      </c>
      <c r="AQ262" s="718">
        <v>0.49</v>
      </c>
      <c r="AR262" s="316" t="s">
        <v>514</v>
      </c>
      <c r="AS262" s="316" t="s">
        <v>515</v>
      </c>
      <c r="AT262" s="718">
        <v>0</v>
      </c>
      <c r="AU262" s="316" t="s">
        <v>560</v>
      </c>
      <c r="AV262" s="316" t="s">
        <v>561</v>
      </c>
      <c r="AW262" s="718">
        <v>0.01</v>
      </c>
      <c r="AX262" s="463">
        <f t="shared" si="347"/>
        <v>0.5</v>
      </c>
      <c r="AY262" s="661">
        <v>0.99</v>
      </c>
      <c r="AZ262" s="316" t="s">
        <v>514</v>
      </c>
      <c r="BA262" s="316" t="s">
        <v>515</v>
      </c>
      <c r="BB262" s="463">
        <v>0</v>
      </c>
      <c r="BC262" s="316" t="s">
        <v>560</v>
      </c>
      <c r="BD262" s="316" t="s">
        <v>561</v>
      </c>
      <c r="BE262" s="463">
        <v>0.01</v>
      </c>
      <c r="BF262" s="728">
        <f t="shared" si="348"/>
        <v>1</v>
      </c>
      <c r="BG262" s="463"/>
      <c r="BH262" s="463">
        <v>0.49</v>
      </c>
      <c r="BI262" s="316" t="s">
        <v>514</v>
      </c>
      <c r="BJ262" s="316" t="s">
        <v>515</v>
      </c>
      <c r="BK262" s="463">
        <v>0</v>
      </c>
      <c r="BL262" s="316" t="s">
        <v>560</v>
      </c>
      <c r="BM262" s="316" t="s">
        <v>561</v>
      </c>
      <c r="BN262" s="463">
        <v>0.01</v>
      </c>
      <c r="BO262" s="728">
        <f t="shared" si="349"/>
        <v>0.5</v>
      </c>
      <c r="BP262" s="463">
        <v>0.49</v>
      </c>
      <c r="BQ262" s="316" t="s">
        <v>514</v>
      </c>
      <c r="BR262" s="316" t="s">
        <v>515</v>
      </c>
      <c r="BS262" s="463">
        <v>0</v>
      </c>
      <c r="BT262" s="316" t="s">
        <v>560</v>
      </c>
      <c r="BU262" s="316" t="s">
        <v>561</v>
      </c>
      <c r="BV262" s="463">
        <v>0.01</v>
      </c>
      <c r="BW262" s="463">
        <f t="shared" si="350"/>
        <v>0.5</v>
      </c>
      <c r="BX262" s="444"/>
      <c r="BY262" s="444"/>
      <c r="BZ262" s="444"/>
      <c r="CA262" s="436" t="s">
        <v>874</v>
      </c>
      <c r="CB262" s="723">
        <v>0.66</v>
      </c>
      <c r="CC262" s="668" t="s">
        <v>950</v>
      </c>
      <c r="CD262" s="316" t="s">
        <v>514</v>
      </c>
      <c r="CE262" s="316" t="s">
        <v>515</v>
      </c>
      <c r="CF262" s="718">
        <v>0</v>
      </c>
      <c r="CG262" s="316" t="s">
        <v>560</v>
      </c>
      <c r="CH262" s="316" t="s">
        <v>561</v>
      </c>
      <c r="CI262" s="718">
        <v>0.01</v>
      </c>
    </row>
    <row r="263" spans="1:90" ht="15.75" customHeight="1" x14ac:dyDescent="0.2">
      <c r="A263" s="747" t="s">
        <v>413</v>
      </c>
      <c r="B263" s="469" t="s">
        <v>412</v>
      </c>
      <c r="C263" s="718">
        <v>0.4</v>
      </c>
      <c r="D263" s="469" t="s">
        <v>563</v>
      </c>
      <c r="E263" s="469" t="s">
        <v>564</v>
      </c>
      <c r="F263" s="718">
        <v>0.09</v>
      </c>
      <c r="G263" s="469" t="s">
        <v>560</v>
      </c>
      <c r="H263" s="469" t="s">
        <v>561</v>
      </c>
      <c r="I263" s="718">
        <v>0.01</v>
      </c>
      <c r="J263" s="748">
        <f t="shared" si="314"/>
        <v>0.5</v>
      </c>
      <c r="K263" s="718">
        <v>0.4</v>
      </c>
      <c r="L263" s="316" t="s">
        <v>563</v>
      </c>
      <c r="M263" s="316" t="s">
        <v>564</v>
      </c>
      <c r="N263" s="718">
        <v>0.09</v>
      </c>
      <c r="O263" s="316" t="s">
        <v>560</v>
      </c>
      <c r="P263" s="316" t="s">
        <v>561</v>
      </c>
      <c r="Q263" s="718">
        <v>0.01</v>
      </c>
      <c r="R263" s="728">
        <f t="shared" si="325"/>
        <v>0.5</v>
      </c>
      <c r="S263" s="718">
        <v>0.4</v>
      </c>
      <c r="T263" s="316" t="s">
        <v>563</v>
      </c>
      <c r="U263" s="316" t="s">
        <v>564</v>
      </c>
      <c r="V263" s="718">
        <v>0.09</v>
      </c>
      <c r="W263" s="316" t="s">
        <v>560</v>
      </c>
      <c r="X263" s="316" t="s">
        <v>561</v>
      </c>
      <c r="Y263" s="718">
        <v>0.01</v>
      </c>
      <c r="Z263" s="728">
        <f t="shared" si="319"/>
        <v>0.5</v>
      </c>
      <c r="AA263" s="718">
        <v>0.4</v>
      </c>
      <c r="AB263" s="316" t="s">
        <v>563</v>
      </c>
      <c r="AC263" s="316" t="s">
        <v>564</v>
      </c>
      <c r="AD263" s="718">
        <v>0.09</v>
      </c>
      <c r="AE263" s="316" t="s">
        <v>560</v>
      </c>
      <c r="AF263" s="316" t="s">
        <v>561</v>
      </c>
      <c r="AG263" s="718">
        <v>0.01</v>
      </c>
      <c r="AH263" s="728">
        <f t="shared" si="306"/>
        <v>0.5</v>
      </c>
      <c r="AI263" s="718">
        <v>0.4</v>
      </c>
      <c r="AJ263" s="316" t="s">
        <v>563</v>
      </c>
      <c r="AK263" s="316" t="s">
        <v>564</v>
      </c>
      <c r="AL263" s="718">
        <v>0.09</v>
      </c>
      <c r="AM263" s="316" t="s">
        <v>560</v>
      </c>
      <c r="AN263" s="316" t="s">
        <v>561</v>
      </c>
      <c r="AO263" s="718">
        <v>0.01</v>
      </c>
      <c r="AP263" s="728">
        <f t="shared" ref="AP263:AP266" si="351">+AI263+AL263+AO263</f>
        <v>0.5</v>
      </c>
      <c r="AQ263" s="718">
        <v>0.4</v>
      </c>
      <c r="AR263" s="316" t="s">
        <v>563</v>
      </c>
      <c r="AS263" s="316" t="s">
        <v>564</v>
      </c>
      <c r="AT263" s="718">
        <v>0.09</v>
      </c>
      <c r="AU263" s="316" t="s">
        <v>560</v>
      </c>
      <c r="AV263" s="316" t="s">
        <v>561</v>
      </c>
      <c r="AW263" s="718">
        <v>0.01</v>
      </c>
      <c r="AX263" s="463">
        <f t="shared" ref="AX263:AX266" si="352">+AQ263+AT263+AW263</f>
        <v>0.5</v>
      </c>
      <c r="AY263" s="661">
        <v>0.4</v>
      </c>
      <c r="AZ263" s="316" t="s">
        <v>563</v>
      </c>
      <c r="BA263" s="316" t="s">
        <v>564</v>
      </c>
      <c r="BB263" s="463">
        <v>0.59</v>
      </c>
      <c r="BC263" s="316" t="s">
        <v>560</v>
      </c>
      <c r="BD263" s="316" t="s">
        <v>561</v>
      </c>
      <c r="BE263" s="463">
        <v>0.01</v>
      </c>
      <c r="BF263" s="728">
        <f t="shared" ref="BF263:BF266" si="353">+AY263+BB263+BE263</f>
        <v>1</v>
      </c>
      <c r="BG263" s="463"/>
      <c r="BH263" s="463">
        <v>0.4</v>
      </c>
      <c r="BI263" s="316" t="s">
        <v>563</v>
      </c>
      <c r="BJ263" s="316" t="s">
        <v>564</v>
      </c>
      <c r="BK263" s="463">
        <v>0.09</v>
      </c>
      <c r="BL263" s="316" t="s">
        <v>560</v>
      </c>
      <c r="BM263" s="316" t="s">
        <v>561</v>
      </c>
      <c r="BN263" s="463">
        <v>0.01</v>
      </c>
      <c r="BO263" s="728">
        <f t="shared" ref="BO263:BO266" si="354">+BH263+BK263+BN263</f>
        <v>0.5</v>
      </c>
      <c r="BP263" s="463">
        <v>0.4</v>
      </c>
      <c r="BQ263" s="316" t="s">
        <v>563</v>
      </c>
      <c r="BR263" s="316" t="s">
        <v>564</v>
      </c>
      <c r="BS263" s="463">
        <v>0.09</v>
      </c>
      <c r="BT263" s="316" t="s">
        <v>560</v>
      </c>
      <c r="BU263" s="316" t="s">
        <v>561</v>
      </c>
      <c r="BV263" s="463">
        <v>0.01</v>
      </c>
      <c r="BW263" s="463">
        <f t="shared" ref="BW263:BW266" si="355">+BP263+BS263+BV263</f>
        <v>0.5</v>
      </c>
      <c r="BX263" s="444"/>
      <c r="BY263" s="444"/>
      <c r="BZ263" s="444"/>
      <c r="CA263" s="434"/>
      <c r="CB263" s="723">
        <v>0.625</v>
      </c>
      <c r="CC263" s="668" t="s">
        <v>950</v>
      </c>
      <c r="CD263" s="316" t="s">
        <v>563</v>
      </c>
      <c r="CE263" s="316" t="s">
        <v>564</v>
      </c>
      <c r="CF263" s="718">
        <v>0.59</v>
      </c>
      <c r="CG263" s="316" t="s">
        <v>560</v>
      </c>
      <c r="CH263" s="316" t="s">
        <v>561</v>
      </c>
      <c r="CI263" s="718">
        <v>0.01</v>
      </c>
    </row>
    <row r="264" spans="1:90" ht="15.75" customHeight="1" x14ac:dyDescent="0.2">
      <c r="A264" s="747" t="s">
        <v>415</v>
      </c>
      <c r="B264" s="469" t="s">
        <v>414</v>
      </c>
      <c r="C264" s="718">
        <v>0.3</v>
      </c>
      <c r="D264" s="469" t="s">
        <v>680</v>
      </c>
      <c r="E264" s="469" t="s">
        <v>681</v>
      </c>
      <c r="F264" s="718">
        <v>0.37</v>
      </c>
      <c r="G264" s="469" t="s">
        <v>514</v>
      </c>
      <c r="H264" s="469" t="s">
        <v>514</v>
      </c>
      <c r="I264" s="718">
        <v>0</v>
      </c>
      <c r="J264" s="748">
        <f t="shared" si="314"/>
        <v>0.66999999999999993</v>
      </c>
      <c r="K264" s="718">
        <v>0.3</v>
      </c>
      <c r="L264" s="316" t="s">
        <v>680</v>
      </c>
      <c r="M264" s="316" t="s">
        <v>681</v>
      </c>
      <c r="N264" s="718">
        <v>0.37</v>
      </c>
      <c r="O264" s="316" t="s">
        <v>514</v>
      </c>
      <c r="P264" s="316" t="s">
        <v>514</v>
      </c>
      <c r="Q264" s="718">
        <v>0</v>
      </c>
      <c r="R264" s="728">
        <f t="shared" si="325"/>
        <v>0.66999999999999993</v>
      </c>
      <c r="S264" s="718">
        <v>0.3</v>
      </c>
      <c r="T264" s="316" t="s">
        <v>680</v>
      </c>
      <c r="U264" s="316" t="s">
        <v>681</v>
      </c>
      <c r="V264" s="718">
        <v>0.37</v>
      </c>
      <c r="W264" s="316" t="s">
        <v>514</v>
      </c>
      <c r="X264" s="316" t="s">
        <v>514</v>
      </c>
      <c r="Y264" s="718">
        <v>0</v>
      </c>
      <c r="Z264" s="728">
        <f t="shared" si="319"/>
        <v>0.66999999999999993</v>
      </c>
      <c r="AA264" s="718">
        <v>0.3</v>
      </c>
      <c r="AB264" s="316" t="s">
        <v>680</v>
      </c>
      <c r="AC264" s="316" t="s">
        <v>681</v>
      </c>
      <c r="AD264" s="718">
        <v>0.37</v>
      </c>
      <c r="AE264" s="316" t="s">
        <v>514</v>
      </c>
      <c r="AF264" s="316" t="s">
        <v>514</v>
      </c>
      <c r="AG264" s="718">
        <v>0</v>
      </c>
      <c r="AH264" s="728">
        <f t="shared" si="306"/>
        <v>0.66999999999999993</v>
      </c>
      <c r="AI264" s="718">
        <v>0.3</v>
      </c>
      <c r="AJ264" s="316" t="s">
        <v>680</v>
      </c>
      <c r="AK264" s="316" t="s">
        <v>681</v>
      </c>
      <c r="AL264" s="718">
        <v>0.37</v>
      </c>
      <c r="AM264" s="316" t="s">
        <v>514</v>
      </c>
      <c r="AN264" s="316" t="s">
        <v>514</v>
      </c>
      <c r="AO264" s="718">
        <v>0</v>
      </c>
      <c r="AP264" s="728">
        <f t="shared" si="351"/>
        <v>0.66999999999999993</v>
      </c>
      <c r="AQ264" s="718">
        <v>0.48</v>
      </c>
      <c r="AR264" s="316" t="s">
        <v>680</v>
      </c>
      <c r="AS264" s="316" t="s">
        <v>681</v>
      </c>
      <c r="AT264" s="718">
        <v>0.27</v>
      </c>
      <c r="AU264" s="316" t="s">
        <v>514</v>
      </c>
      <c r="AV264" s="316" t="s">
        <v>514</v>
      </c>
      <c r="AW264" s="718">
        <v>0</v>
      </c>
      <c r="AX264" s="463">
        <f t="shared" si="352"/>
        <v>0.75</v>
      </c>
      <c r="AY264" s="661">
        <v>0.64</v>
      </c>
      <c r="AZ264" s="316" t="s">
        <v>680</v>
      </c>
      <c r="BA264" s="316" t="s">
        <v>681</v>
      </c>
      <c r="BB264" s="463">
        <v>0.36</v>
      </c>
      <c r="BC264" s="316" t="s">
        <v>514</v>
      </c>
      <c r="BD264" s="316" t="s">
        <v>514</v>
      </c>
      <c r="BE264" s="463">
        <v>0</v>
      </c>
      <c r="BF264" s="728">
        <f t="shared" si="353"/>
        <v>1</v>
      </c>
      <c r="BG264" s="463"/>
      <c r="BH264" s="463">
        <v>0.3</v>
      </c>
      <c r="BI264" s="316" t="s">
        <v>680</v>
      </c>
      <c r="BJ264" s="316" t="s">
        <v>681</v>
      </c>
      <c r="BK264" s="463">
        <v>0.37</v>
      </c>
      <c r="BL264" s="316" t="s">
        <v>514</v>
      </c>
      <c r="BM264" s="316" t="s">
        <v>514</v>
      </c>
      <c r="BN264" s="463">
        <v>0</v>
      </c>
      <c r="BO264" s="728">
        <f t="shared" si="354"/>
        <v>0.66999999999999993</v>
      </c>
      <c r="BP264" s="463">
        <v>0.3</v>
      </c>
      <c r="BQ264" s="316" t="s">
        <v>680</v>
      </c>
      <c r="BR264" s="316" t="s">
        <v>681</v>
      </c>
      <c r="BS264" s="463">
        <v>0.2</v>
      </c>
      <c r="BT264" s="316" t="s">
        <v>514</v>
      </c>
      <c r="BU264" s="316" t="s">
        <v>514</v>
      </c>
      <c r="BV264" s="463">
        <v>0</v>
      </c>
      <c r="BW264" s="463">
        <f t="shared" si="355"/>
        <v>0.5</v>
      </c>
      <c r="BX264" s="444"/>
      <c r="BY264" s="444"/>
      <c r="BZ264" s="444"/>
      <c r="CA264" s="436" t="s">
        <v>874</v>
      </c>
      <c r="CB264" s="723">
        <v>0.71899999999999997</v>
      </c>
      <c r="CC264" s="668" t="s">
        <v>950</v>
      </c>
      <c r="CD264" s="316" t="s">
        <v>680</v>
      </c>
      <c r="CE264" s="316" t="s">
        <v>681</v>
      </c>
      <c r="CF264" s="718">
        <v>0.2</v>
      </c>
      <c r="CG264" s="316" t="s">
        <v>514</v>
      </c>
      <c r="CH264" s="316" t="s">
        <v>514</v>
      </c>
      <c r="CI264" s="718">
        <v>0</v>
      </c>
    </row>
    <row r="265" spans="1:90" ht="15.75" customHeight="1" x14ac:dyDescent="0.2">
      <c r="A265" s="747" t="s">
        <v>417</v>
      </c>
      <c r="B265" s="469" t="s">
        <v>416</v>
      </c>
      <c r="C265" s="718">
        <v>0.99</v>
      </c>
      <c r="D265" s="469" t="s">
        <v>514</v>
      </c>
      <c r="E265" s="469" t="s">
        <v>666</v>
      </c>
      <c r="F265" s="718">
        <v>0</v>
      </c>
      <c r="G265" s="469" t="s">
        <v>1328</v>
      </c>
      <c r="H265" s="469" t="s">
        <v>1243</v>
      </c>
      <c r="I265" s="718">
        <v>0.01</v>
      </c>
      <c r="J265" s="748">
        <f t="shared" si="314"/>
        <v>1</v>
      </c>
      <c r="K265" s="718">
        <v>0.99</v>
      </c>
      <c r="L265" s="316" t="s">
        <v>514</v>
      </c>
      <c r="M265" s="316" t="s">
        <v>666</v>
      </c>
      <c r="N265" s="718">
        <v>0</v>
      </c>
      <c r="O265" s="316" t="s">
        <v>1328</v>
      </c>
      <c r="P265" s="316" t="s">
        <v>1243</v>
      </c>
      <c r="Q265" s="718">
        <v>0.01</v>
      </c>
      <c r="R265" s="728">
        <f t="shared" si="325"/>
        <v>1</v>
      </c>
      <c r="S265" s="718">
        <v>0.99</v>
      </c>
      <c r="T265" s="316" t="s">
        <v>514</v>
      </c>
      <c r="U265" s="316" t="s">
        <v>666</v>
      </c>
      <c r="V265" s="718">
        <v>0</v>
      </c>
      <c r="W265" s="316" t="s">
        <v>1328</v>
      </c>
      <c r="X265" s="316" t="s">
        <v>1243</v>
      </c>
      <c r="Y265" s="718">
        <v>0.01</v>
      </c>
      <c r="Z265" s="728">
        <f t="shared" si="319"/>
        <v>1</v>
      </c>
      <c r="AA265" s="718">
        <v>0.99</v>
      </c>
      <c r="AB265" s="316" t="s">
        <v>514</v>
      </c>
      <c r="AC265" s="316" t="s">
        <v>666</v>
      </c>
      <c r="AD265" s="718">
        <v>0</v>
      </c>
      <c r="AE265" s="316" t="s">
        <v>1328</v>
      </c>
      <c r="AF265" s="316" t="s">
        <v>1243</v>
      </c>
      <c r="AG265" s="718">
        <v>0.01</v>
      </c>
      <c r="AH265" s="728">
        <f t="shared" si="306"/>
        <v>1</v>
      </c>
      <c r="AI265" s="718">
        <v>0.99</v>
      </c>
      <c r="AJ265" s="316" t="s">
        <v>514</v>
      </c>
      <c r="AK265" s="316" t="s">
        <v>666</v>
      </c>
      <c r="AL265" s="718">
        <v>0</v>
      </c>
      <c r="AM265" s="316" t="s">
        <v>1328</v>
      </c>
      <c r="AN265" s="316" t="s">
        <v>1243</v>
      </c>
      <c r="AO265" s="718">
        <v>0.01</v>
      </c>
      <c r="AP265" s="728">
        <f t="shared" si="351"/>
        <v>1</v>
      </c>
      <c r="AQ265" s="718">
        <v>0.99</v>
      </c>
      <c r="AR265" s="316" t="s">
        <v>514</v>
      </c>
      <c r="AS265" s="316" t="s">
        <v>666</v>
      </c>
      <c r="AT265" s="718">
        <v>0</v>
      </c>
      <c r="AU265" s="316" t="s">
        <v>667</v>
      </c>
      <c r="AV265" s="316" t="s">
        <v>1243</v>
      </c>
      <c r="AW265" s="718">
        <v>0.01</v>
      </c>
      <c r="AX265" s="463">
        <f t="shared" si="352"/>
        <v>1</v>
      </c>
      <c r="AY265" s="661">
        <v>0.99</v>
      </c>
      <c r="AZ265" s="316" t="s">
        <v>514</v>
      </c>
      <c r="BA265" s="316" t="s">
        <v>666</v>
      </c>
      <c r="BB265" s="463">
        <v>0</v>
      </c>
      <c r="BC265" s="316" t="s">
        <v>667</v>
      </c>
      <c r="BD265" s="316" t="s">
        <v>668</v>
      </c>
      <c r="BE265" s="463">
        <v>0.01</v>
      </c>
      <c r="BF265" s="728">
        <f t="shared" si="353"/>
        <v>1</v>
      </c>
      <c r="BG265" s="463"/>
      <c r="BH265" s="463">
        <v>0.99</v>
      </c>
      <c r="BI265" s="316" t="s">
        <v>514</v>
      </c>
      <c r="BJ265" s="316" t="s">
        <v>666</v>
      </c>
      <c r="BK265" s="463">
        <v>0</v>
      </c>
      <c r="BL265" s="316" t="s">
        <v>667</v>
      </c>
      <c r="BM265" s="316" t="s">
        <v>668</v>
      </c>
      <c r="BN265" s="463">
        <v>0.01</v>
      </c>
      <c r="BO265" s="728">
        <f t="shared" si="354"/>
        <v>1</v>
      </c>
      <c r="BP265" s="463">
        <v>0.49</v>
      </c>
      <c r="BQ265" s="316" t="s">
        <v>514</v>
      </c>
      <c r="BR265" s="316" t="s">
        <v>666</v>
      </c>
      <c r="BS265" s="463">
        <v>0</v>
      </c>
      <c r="BT265" s="316" t="s">
        <v>667</v>
      </c>
      <c r="BU265" s="316" t="s">
        <v>668</v>
      </c>
      <c r="BV265" s="463">
        <v>0.01</v>
      </c>
      <c r="BW265" s="463">
        <f t="shared" si="355"/>
        <v>0.5</v>
      </c>
      <c r="BX265" s="444" t="s">
        <v>874</v>
      </c>
      <c r="BY265" s="444"/>
      <c r="BZ265" s="444"/>
      <c r="CA265" s="436" t="s">
        <v>874</v>
      </c>
      <c r="CB265" s="723">
        <v>0.69699999999999995</v>
      </c>
      <c r="CC265" s="668" t="s">
        <v>950</v>
      </c>
      <c r="CD265" s="316" t="s">
        <v>514</v>
      </c>
      <c r="CE265" s="316" t="s">
        <v>666</v>
      </c>
      <c r="CF265" s="718">
        <v>0</v>
      </c>
      <c r="CG265" s="316" t="s">
        <v>667</v>
      </c>
      <c r="CH265" s="316" t="s">
        <v>668</v>
      </c>
      <c r="CI265" s="718">
        <v>0.01</v>
      </c>
    </row>
    <row r="266" spans="1:90" ht="15.75" customHeight="1" x14ac:dyDescent="0.2">
      <c r="A266" s="747" t="s">
        <v>419</v>
      </c>
      <c r="B266" s="469" t="s">
        <v>418</v>
      </c>
      <c r="C266" s="718">
        <v>0.4</v>
      </c>
      <c r="D266" s="469" t="s">
        <v>608</v>
      </c>
      <c r="E266" s="469" t="s">
        <v>609</v>
      </c>
      <c r="F266" s="718">
        <v>0.09</v>
      </c>
      <c r="G266" s="469" t="s">
        <v>606</v>
      </c>
      <c r="H266" s="469" t="s">
        <v>607</v>
      </c>
      <c r="I266" s="718">
        <v>0.01</v>
      </c>
      <c r="J266" s="748">
        <f t="shared" si="314"/>
        <v>0.5</v>
      </c>
      <c r="K266" s="718">
        <v>0.4</v>
      </c>
      <c r="L266" s="316" t="s">
        <v>608</v>
      </c>
      <c r="M266" s="316" t="s">
        <v>609</v>
      </c>
      <c r="N266" s="718">
        <v>0.09</v>
      </c>
      <c r="O266" s="316" t="s">
        <v>606</v>
      </c>
      <c r="P266" s="316" t="s">
        <v>607</v>
      </c>
      <c r="Q266" s="718">
        <v>0.01</v>
      </c>
      <c r="R266" s="728">
        <f t="shared" si="325"/>
        <v>0.5</v>
      </c>
      <c r="S266" s="718">
        <v>0.4</v>
      </c>
      <c r="T266" s="316" t="s">
        <v>608</v>
      </c>
      <c r="U266" s="316" t="s">
        <v>609</v>
      </c>
      <c r="V266" s="718">
        <v>0.09</v>
      </c>
      <c r="W266" s="316" t="s">
        <v>606</v>
      </c>
      <c r="X266" s="316" t="s">
        <v>607</v>
      </c>
      <c r="Y266" s="718">
        <v>0.01</v>
      </c>
      <c r="Z266" s="728">
        <f t="shared" si="319"/>
        <v>0.5</v>
      </c>
      <c r="AA266" s="718">
        <v>0.4</v>
      </c>
      <c r="AB266" s="316" t="s">
        <v>608</v>
      </c>
      <c r="AC266" s="316" t="s">
        <v>609</v>
      </c>
      <c r="AD266" s="718">
        <v>0.09</v>
      </c>
      <c r="AE266" s="316" t="s">
        <v>606</v>
      </c>
      <c r="AF266" s="316" t="s">
        <v>607</v>
      </c>
      <c r="AG266" s="718">
        <v>0.01</v>
      </c>
      <c r="AH266" s="728">
        <f t="shared" si="306"/>
        <v>0.5</v>
      </c>
      <c r="AI266" s="718">
        <v>0.4</v>
      </c>
      <c r="AJ266" s="316" t="s">
        <v>608</v>
      </c>
      <c r="AK266" s="316" t="s">
        <v>609</v>
      </c>
      <c r="AL266" s="718">
        <v>0.09</v>
      </c>
      <c r="AM266" s="316" t="s">
        <v>606</v>
      </c>
      <c r="AN266" s="316" t="s">
        <v>607</v>
      </c>
      <c r="AO266" s="718">
        <v>0.01</v>
      </c>
      <c r="AP266" s="728">
        <f t="shared" si="351"/>
        <v>0.5</v>
      </c>
      <c r="AQ266" s="718">
        <v>0.4</v>
      </c>
      <c r="AR266" s="316" t="s">
        <v>608</v>
      </c>
      <c r="AS266" s="316" t="s">
        <v>609</v>
      </c>
      <c r="AT266" s="718">
        <v>0.09</v>
      </c>
      <c r="AU266" s="316" t="s">
        <v>606</v>
      </c>
      <c r="AV266" s="316" t="s">
        <v>607</v>
      </c>
      <c r="AW266" s="718">
        <v>0.01</v>
      </c>
      <c r="AX266" s="463">
        <f t="shared" si="352"/>
        <v>0.5</v>
      </c>
      <c r="AY266" s="661">
        <v>0.4</v>
      </c>
      <c r="AZ266" s="316" t="s">
        <v>608</v>
      </c>
      <c r="BA266" s="316" t="s">
        <v>609</v>
      </c>
      <c r="BB266" s="463">
        <v>0.59</v>
      </c>
      <c r="BC266" s="316" t="s">
        <v>606</v>
      </c>
      <c r="BD266" s="316" t="s">
        <v>607</v>
      </c>
      <c r="BE266" s="463">
        <v>0.01</v>
      </c>
      <c r="BF266" s="728">
        <f t="shared" si="353"/>
        <v>1</v>
      </c>
      <c r="BG266" s="463"/>
      <c r="BH266" s="463">
        <v>0.4</v>
      </c>
      <c r="BI266" s="316" t="s">
        <v>608</v>
      </c>
      <c r="BJ266" s="316" t="s">
        <v>609</v>
      </c>
      <c r="BK266" s="463">
        <v>0.09</v>
      </c>
      <c r="BL266" s="316" t="s">
        <v>606</v>
      </c>
      <c r="BM266" s="316" t="s">
        <v>607</v>
      </c>
      <c r="BN266" s="463">
        <v>0.01</v>
      </c>
      <c r="BO266" s="728">
        <f t="shared" si="354"/>
        <v>0.5</v>
      </c>
      <c r="BP266" s="463">
        <v>0.4</v>
      </c>
      <c r="BQ266" s="316" t="s">
        <v>608</v>
      </c>
      <c r="BR266" s="316" t="s">
        <v>609</v>
      </c>
      <c r="BS266" s="463">
        <v>0.09</v>
      </c>
      <c r="BT266" s="316" t="s">
        <v>606</v>
      </c>
      <c r="BU266" s="316" t="s">
        <v>607</v>
      </c>
      <c r="BV266" s="463">
        <v>0.01</v>
      </c>
      <c r="BW266" s="463">
        <f t="shared" si="355"/>
        <v>0.5</v>
      </c>
      <c r="BX266" s="444"/>
      <c r="BY266" s="444"/>
      <c r="BZ266" s="444"/>
      <c r="CA266" s="434"/>
      <c r="CB266" s="723">
        <v>0.70399999999999996</v>
      </c>
      <c r="CC266" s="668" t="s">
        <v>950</v>
      </c>
      <c r="CD266" s="316" t="s">
        <v>608</v>
      </c>
      <c r="CE266" s="316" t="s">
        <v>609</v>
      </c>
      <c r="CF266" s="718">
        <v>0.59</v>
      </c>
      <c r="CG266" s="316" t="s">
        <v>606</v>
      </c>
      <c r="CH266" s="316" t="s">
        <v>607</v>
      </c>
      <c r="CI266" s="718">
        <v>0.01</v>
      </c>
    </row>
    <row r="267" spans="1:90" ht="15.75" customHeight="1" x14ac:dyDescent="0.2">
      <c r="A267" s="747" t="s">
        <v>421</v>
      </c>
      <c r="B267" s="469" t="s">
        <v>420</v>
      </c>
      <c r="C267" s="718">
        <v>0.4</v>
      </c>
      <c r="D267" s="469" t="s">
        <v>581</v>
      </c>
      <c r="E267" s="469" t="s">
        <v>582</v>
      </c>
      <c r="F267" s="718">
        <v>0.09</v>
      </c>
      <c r="G267" s="469" t="s">
        <v>578</v>
      </c>
      <c r="H267" s="469" t="s">
        <v>1244</v>
      </c>
      <c r="I267" s="718">
        <v>0.01</v>
      </c>
      <c r="J267" s="748">
        <f t="shared" si="314"/>
        <v>0.5</v>
      </c>
      <c r="K267" s="718">
        <v>0.4</v>
      </c>
      <c r="L267" s="316" t="s">
        <v>581</v>
      </c>
      <c r="M267" s="316" t="s">
        <v>582</v>
      </c>
      <c r="N267" s="718">
        <v>0.09</v>
      </c>
      <c r="O267" s="316" t="s">
        <v>578</v>
      </c>
      <c r="P267" s="316" t="s">
        <v>1244</v>
      </c>
      <c r="Q267" s="718">
        <v>0.01</v>
      </c>
      <c r="R267" s="728">
        <f t="shared" si="325"/>
        <v>0.5</v>
      </c>
      <c r="S267" s="718">
        <v>0.4</v>
      </c>
      <c r="T267" s="316" t="s">
        <v>581</v>
      </c>
      <c r="U267" s="316" t="s">
        <v>582</v>
      </c>
      <c r="V267" s="718">
        <v>0.09</v>
      </c>
      <c r="W267" s="316" t="s">
        <v>578</v>
      </c>
      <c r="X267" s="316" t="s">
        <v>1244</v>
      </c>
      <c r="Y267" s="718">
        <v>0.01</v>
      </c>
      <c r="Z267" s="728">
        <f t="shared" si="319"/>
        <v>0.5</v>
      </c>
      <c r="AA267" s="718">
        <v>0.4</v>
      </c>
      <c r="AB267" s="316" t="s">
        <v>581</v>
      </c>
      <c r="AC267" s="316" t="s">
        <v>582</v>
      </c>
      <c r="AD267" s="718">
        <v>0.09</v>
      </c>
      <c r="AE267" s="316" t="s">
        <v>578</v>
      </c>
      <c r="AF267" s="316" t="s">
        <v>1244</v>
      </c>
      <c r="AG267" s="718">
        <v>0.01</v>
      </c>
      <c r="AH267" s="728">
        <f t="shared" si="306"/>
        <v>0.5</v>
      </c>
      <c r="AI267" s="718">
        <v>0.4</v>
      </c>
      <c r="AJ267" s="316" t="s">
        <v>581</v>
      </c>
      <c r="AK267" s="316" t="s">
        <v>582</v>
      </c>
      <c r="AL267" s="718">
        <v>0.09</v>
      </c>
      <c r="AM267" s="316" t="s">
        <v>578</v>
      </c>
      <c r="AN267" s="316" t="s">
        <v>1244</v>
      </c>
      <c r="AO267" s="718">
        <v>0.01</v>
      </c>
      <c r="AP267" s="728">
        <f t="shared" ref="AP267:AP270" si="356">+AI267+AL267+AO267</f>
        <v>0.5</v>
      </c>
      <c r="AQ267" s="718">
        <v>0.4</v>
      </c>
      <c r="AR267" s="316" t="s">
        <v>581</v>
      </c>
      <c r="AS267" s="316" t="s">
        <v>582</v>
      </c>
      <c r="AT267" s="718">
        <v>0.09</v>
      </c>
      <c r="AU267" s="316" t="s">
        <v>578</v>
      </c>
      <c r="AV267" s="316" t="s">
        <v>1244</v>
      </c>
      <c r="AW267" s="718">
        <v>0.01</v>
      </c>
      <c r="AX267" s="463">
        <f t="shared" ref="AX267:AX270" si="357">+AQ267+AT267+AW267</f>
        <v>0.5</v>
      </c>
      <c r="AY267" s="661">
        <v>0.4</v>
      </c>
      <c r="AZ267" s="316" t="s">
        <v>581</v>
      </c>
      <c r="BA267" s="316" t="s">
        <v>582</v>
      </c>
      <c r="BB267" s="463">
        <v>0.09</v>
      </c>
      <c r="BC267" s="316" t="s">
        <v>578</v>
      </c>
      <c r="BD267" s="316" t="s">
        <v>579</v>
      </c>
      <c r="BE267" s="463">
        <v>0.01</v>
      </c>
      <c r="BF267" s="728">
        <f t="shared" ref="BF267:BF270" si="358">+AY267+BB267+BE267</f>
        <v>0.5</v>
      </c>
      <c r="BG267" s="463"/>
      <c r="BH267" s="463">
        <v>0.4</v>
      </c>
      <c r="BI267" s="316" t="s">
        <v>581</v>
      </c>
      <c r="BJ267" s="316" t="s">
        <v>582</v>
      </c>
      <c r="BK267" s="463">
        <v>0.09</v>
      </c>
      <c r="BL267" s="316" t="s">
        <v>578</v>
      </c>
      <c r="BM267" s="316" t="s">
        <v>579</v>
      </c>
      <c r="BN267" s="463">
        <v>0.01</v>
      </c>
      <c r="BO267" s="728">
        <f t="shared" ref="BO267:BO270" si="359">+BH267+BK267+BN267</f>
        <v>0.5</v>
      </c>
      <c r="BP267" s="463">
        <v>0.4</v>
      </c>
      <c r="BQ267" s="316" t="s">
        <v>581</v>
      </c>
      <c r="BR267" s="316" t="s">
        <v>582</v>
      </c>
      <c r="BS267" s="463">
        <v>0.09</v>
      </c>
      <c r="BT267" s="316" t="s">
        <v>578</v>
      </c>
      <c r="BU267" s="316" t="s">
        <v>579</v>
      </c>
      <c r="BV267" s="463">
        <v>0.01</v>
      </c>
      <c r="BW267" s="463">
        <f t="shared" ref="BW267:BW270" si="360">+BP267+BS267+BV267</f>
        <v>0.5</v>
      </c>
      <c r="BX267" s="444"/>
      <c r="BY267" s="444"/>
      <c r="BZ267" s="444"/>
      <c r="CA267" s="434"/>
      <c r="CB267" s="723">
        <v>0.70699999999999996</v>
      </c>
      <c r="CC267" s="668" t="s">
        <v>950</v>
      </c>
      <c r="CD267" s="316" t="s">
        <v>581</v>
      </c>
      <c r="CE267" s="316" t="s">
        <v>582</v>
      </c>
      <c r="CF267" s="718">
        <v>0.59</v>
      </c>
      <c r="CG267" s="316" t="s">
        <v>578</v>
      </c>
      <c r="CH267" s="316" t="s">
        <v>579</v>
      </c>
      <c r="CI267" s="718">
        <v>0.01</v>
      </c>
    </row>
    <row r="268" spans="1:90" customFormat="1" x14ac:dyDescent="0.2">
      <c r="A268" s="755" t="s">
        <v>423</v>
      </c>
      <c r="B268" s="755" t="s">
        <v>422</v>
      </c>
      <c r="C268" s="719">
        <v>0.4</v>
      </c>
      <c r="D268" s="755" t="s">
        <v>642</v>
      </c>
      <c r="E268" s="755" t="s">
        <v>643</v>
      </c>
      <c r="F268" s="721">
        <v>0.1</v>
      </c>
      <c r="G268" s="755" t="s">
        <v>514</v>
      </c>
      <c r="H268" s="755" t="s">
        <v>552</v>
      </c>
      <c r="I268" s="721">
        <v>0</v>
      </c>
      <c r="J268" s="756">
        <f t="shared" si="314"/>
        <v>0.5</v>
      </c>
      <c r="K268" s="719">
        <v>0.4</v>
      </c>
      <c r="L268" s="424" t="s">
        <v>642</v>
      </c>
      <c r="M268" s="424" t="s">
        <v>643</v>
      </c>
      <c r="N268" s="721">
        <v>0.1</v>
      </c>
      <c r="O268" s="424" t="s">
        <v>514</v>
      </c>
      <c r="P268" s="424" t="s">
        <v>552</v>
      </c>
      <c r="Q268" s="721">
        <v>0</v>
      </c>
      <c r="R268" s="729">
        <f t="shared" si="325"/>
        <v>0.5</v>
      </c>
      <c r="S268" s="719">
        <v>0.4</v>
      </c>
      <c r="T268" s="424" t="s">
        <v>642</v>
      </c>
      <c r="U268" s="424" t="s">
        <v>643</v>
      </c>
      <c r="V268" s="721">
        <v>0.1</v>
      </c>
      <c r="W268" s="424" t="s">
        <v>514</v>
      </c>
      <c r="X268" s="424" t="s">
        <v>552</v>
      </c>
      <c r="Y268" s="721">
        <v>0</v>
      </c>
      <c r="Z268" s="729">
        <f t="shared" si="319"/>
        <v>0.5</v>
      </c>
      <c r="AA268" s="719">
        <v>0.4</v>
      </c>
      <c r="AB268" s="424" t="s">
        <v>642</v>
      </c>
      <c r="AC268" s="424" t="s">
        <v>643</v>
      </c>
      <c r="AD268" s="721">
        <v>0.1</v>
      </c>
      <c r="AE268" s="424" t="s">
        <v>514</v>
      </c>
      <c r="AF268" s="424" t="s">
        <v>552</v>
      </c>
      <c r="AG268" s="721">
        <v>0</v>
      </c>
      <c r="AH268" s="729">
        <f t="shared" si="306"/>
        <v>0.5</v>
      </c>
      <c r="AI268" s="719">
        <v>0.4</v>
      </c>
      <c r="AJ268" s="424" t="s">
        <v>642</v>
      </c>
      <c r="AK268" s="424" t="s">
        <v>643</v>
      </c>
      <c r="AL268" s="721">
        <v>0.1</v>
      </c>
      <c r="AM268" s="424" t="s">
        <v>514</v>
      </c>
      <c r="AN268" s="424" t="s">
        <v>552</v>
      </c>
      <c r="AO268" s="721">
        <v>0</v>
      </c>
      <c r="AP268" s="729">
        <f t="shared" si="356"/>
        <v>0.5</v>
      </c>
      <c r="AQ268" s="719">
        <v>0.4</v>
      </c>
      <c r="AR268" s="424" t="s">
        <v>642</v>
      </c>
      <c r="AS268" s="424" t="s">
        <v>643</v>
      </c>
      <c r="AT268" s="721">
        <v>0.1</v>
      </c>
      <c r="AU268" s="424" t="s">
        <v>514</v>
      </c>
      <c r="AV268" s="424" t="s">
        <v>552</v>
      </c>
      <c r="AW268" s="721">
        <v>0</v>
      </c>
      <c r="AX268" s="442">
        <f t="shared" si="357"/>
        <v>0.5</v>
      </c>
      <c r="AY268" s="662">
        <v>0.4</v>
      </c>
      <c r="AZ268" s="424" t="s">
        <v>642</v>
      </c>
      <c r="BA268" s="424" t="s">
        <v>643</v>
      </c>
      <c r="BB268" s="441">
        <v>0.1</v>
      </c>
      <c r="BC268" s="424" t="s">
        <v>514</v>
      </c>
      <c r="BD268" s="424" t="s">
        <v>552</v>
      </c>
      <c r="BE268" s="442">
        <v>0</v>
      </c>
      <c r="BF268" s="729">
        <f t="shared" si="358"/>
        <v>0.5</v>
      </c>
      <c r="BG268" s="442"/>
      <c r="BH268" s="441">
        <v>0.4</v>
      </c>
      <c r="BI268" s="424" t="s">
        <v>642</v>
      </c>
      <c r="BJ268" s="424" t="s">
        <v>643</v>
      </c>
      <c r="BK268" s="441">
        <v>0.1</v>
      </c>
      <c r="BL268" s="424" t="s">
        <v>514</v>
      </c>
      <c r="BM268" s="424" t="s">
        <v>552</v>
      </c>
      <c r="BN268" s="442">
        <v>0</v>
      </c>
      <c r="BO268" s="729">
        <f t="shared" si="359"/>
        <v>0.5</v>
      </c>
      <c r="BP268" s="441">
        <v>0.4</v>
      </c>
      <c r="BQ268" s="424" t="s">
        <v>642</v>
      </c>
      <c r="BR268" s="424" t="s">
        <v>643</v>
      </c>
      <c r="BS268" s="441">
        <v>0.1</v>
      </c>
      <c r="BT268" s="424" t="s">
        <v>514</v>
      </c>
      <c r="BU268" s="424" t="s">
        <v>552</v>
      </c>
      <c r="BV268" s="442">
        <v>0</v>
      </c>
      <c r="BW268" s="442">
        <f t="shared" si="360"/>
        <v>0.5</v>
      </c>
      <c r="BX268" s="447" t="s">
        <v>874</v>
      </c>
      <c r="BY268" s="447"/>
      <c r="BZ268" s="447"/>
      <c r="CA268" s="437"/>
      <c r="CB268" s="723">
        <v>0.68799999999999994</v>
      </c>
      <c r="CC268" s="668" t="s">
        <v>950</v>
      </c>
      <c r="CD268" s="424" t="s">
        <v>642</v>
      </c>
      <c r="CE268" s="424" t="s">
        <v>643</v>
      </c>
      <c r="CF268" s="718">
        <v>0.6</v>
      </c>
      <c r="CG268" s="424" t="s">
        <v>514</v>
      </c>
      <c r="CH268" s="424" t="s">
        <v>552</v>
      </c>
      <c r="CI268" s="721">
        <v>0</v>
      </c>
      <c r="CK268" s="457"/>
      <c r="CL268" s="457"/>
    </row>
    <row r="269" spans="1:90" ht="15.75" customHeight="1" x14ac:dyDescent="0.2">
      <c r="A269" s="747" t="s">
        <v>425</v>
      </c>
      <c r="B269" s="469" t="s">
        <v>424</v>
      </c>
      <c r="C269" s="718">
        <v>0.49</v>
      </c>
      <c r="D269" s="469" t="s">
        <v>514</v>
      </c>
      <c r="E269" s="469" t="s">
        <v>666</v>
      </c>
      <c r="F269" s="718">
        <v>0</v>
      </c>
      <c r="G269" s="469" t="s">
        <v>677</v>
      </c>
      <c r="H269" s="469" t="s">
        <v>678</v>
      </c>
      <c r="I269" s="718">
        <v>0.01</v>
      </c>
      <c r="J269" s="748">
        <f t="shared" si="314"/>
        <v>0.5</v>
      </c>
      <c r="K269" s="718">
        <v>0.49</v>
      </c>
      <c r="L269" s="316" t="s">
        <v>514</v>
      </c>
      <c r="M269" s="316" t="s">
        <v>666</v>
      </c>
      <c r="N269" s="718">
        <v>0</v>
      </c>
      <c r="O269" s="316" t="s">
        <v>677</v>
      </c>
      <c r="P269" s="316" t="s">
        <v>678</v>
      </c>
      <c r="Q269" s="718">
        <v>0.01</v>
      </c>
      <c r="R269" s="728">
        <f t="shared" si="325"/>
        <v>0.5</v>
      </c>
      <c r="S269" s="718">
        <v>0.49</v>
      </c>
      <c r="T269" s="316" t="s">
        <v>514</v>
      </c>
      <c r="U269" s="316" t="s">
        <v>666</v>
      </c>
      <c r="V269" s="718">
        <v>0</v>
      </c>
      <c r="W269" s="316" t="s">
        <v>677</v>
      </c>
      <c r="X269" s="316" t="s">
        <v>678</v>
      </c>
      <c r="Y269" s="718">
        <v>0.01</v>
      </c>
      <c r="Z269" s="728">
        <f t="shared" si="319"/>
        <v>0.5</v>
      </c>
      <c r="AA269" s="718">
        <v>0.49</v>
      </c>
      <c r="AB269" s="316" t="s">
        <v>514</v>
      </c>
      <c r="AC269" s="316" t="s">
        <v>666</v>
      </c>
      <c r="AD269" s="718">
        <v>0</v>
      </c>
      <c r="AE269" s="316" t="s">
        <v>677</v>
      </c>
      <c r="AF269" s="316" t="s">
        <v>678</v>
      </c>
      <c r="AG269" s="718">
        <v>0.01</v>
      </c>
      <c r="AH269" s="728">
        <f t="shared" si="306"/>
        <v>0.5</v>
      </c>
      <c r="AI269" s="718">
        <v>0.49</v>
      </c>
      <c r="AJ269" s="316" t="s">
        <v>514</v>
      </c>
      <c r="AK269" s="316" t="s">
        <v>666</v>
      </c>
      <c r="AL269" s="718">
        <v>0</v>
      </c>
      <c r="AM269" s="316" t="s">
        <v>677</v>
      </c>
      <c r="AN269" s="316" t="s">
        <v>678</v>
      </c>
      <c r="AO269" s="718">
        <v>0.01</v>
      </c>
      <c r="AP269" s="728">
        <f t="shared" si="356"/>
        <v>0.5</v>
      </c>
      <c r="AQ269" s="718">
        <v>0.74</v>
      </c>
      <c r="AR269" s="316" t="s">
        <v>514</v>
      </c>
      <c r="AS269" s="316" t="s">
        <v>666</v>
      </c>
      <c r="AT269" s="718">
        <v>0</v>
      </c>
      <c r="AU269" s="316" t="s">
        <v>677</v>
      </c>
      <c r="AV269" s="316" t="s">
        <v>678</v>
      </c>
      <c r="AW269" s="718">
        <v>0.01</v>
      </c>
      <c r="AX269" s="463">
        <f t="shared" si="357"/>
        <v>0.75</v>
      </c>
      <c r="AY269" s="661">
        <v>0.99</v>
      </c>
      <c r="AZ269" s="316" t="s">
        <v>514</v>
      </c>
      <c r="BA269" s="316" t="s">
        <v>666</v>
      </c>
      <c r="BB269" s="463">
        <v>0</v>
      </c>
      <c r="BC269" s="316" t="s">
        <v>677</v>
      </c>
      <c r="BD269" s="316" t="s">
        <v>678</v>
      </c>
      <c r="BE269" s="463">
        <v>0.01</v>
      </c>
      <c r="BF269" s="728">
        <f t="shared" si="358"/>
        <v>1</v>
      </c>
      <c r="BG269" s="463"/>
      <c r="BH269" s="463">
        <v>0.49</v>
      </c>
      <c r="BI269" s="316" t="s">
        <v>514</v>
      </c>
      <c r="BJ269" s="316" t="s">
        <v>666</v>
      </c>
      <c r="BK269" s="463">
        <v>0</v>
      </c>
      <c r="BL269" s="316" t="s">
        <v>677</v>
      </c>
      <c r="BM269" s="316" t="s">
        <v>678</v>
      </c>
      <c r="BN269" s="463">
        <v>0.01</v>
      </c>
      <c r="BO269" s="728">
        <f t="shared" si="359"/>
        <v>0.5</v>
      </c>
      <c r="BP269" s="463">
        <v>0.49</v>
      </c>
      <c r="BQ269" s="316" t="s">
        <v>514</v>
      </c>
      <c r="BR269" s="316" t="s">
        <v>666</v>
      </c>
      <c r="BS269" s="463">
        <v>0</v>
      </c>
      <c r="BT269" s="316" t="s">
        <v>677</v>
      </c>
      <c r="BU269" s="316" t="s">
        <v>678</v>
      </c>
      <c r="BV269" s="463">
        <v>0.01</v>
      </c>
      <c r="BW269" s="463">
        <f t="shared" si="360"/>
        <v>0.5</v>
      </c>
      <c r="BX269" s="489" t="s">
        <v>874</v>
      </c>
      <c r="BY269" s="489"/>
      <c r="BZ269" s="489"/>
      <c r="CA269" s="436" t="s">
        <v>874</v>
      </c>
      <c r="CB269" s="723">
        <v>0.68200000000000005</v>
      </c>
      <c r="CC269" s="668" t="s">
        <v>950</v>
      </c>
      <c r="CD269" s="316" t="s">
        <v>514</v>
      </c>
      <c r="CE269" s="316" t="s">
        <v>666</v>
      </c>
      <c r="CF269" s="718">
        <v>0</v>
      </c>
      <c r="CG269" s="316" t="s">
        <v>677</v>
      </c>
      <c r="CH269" s="316" t="s">
        <v>678</v>
      </c>
      <c r="CI269" s="718">
        <v>0.01</v>
      </c>
    </row>
    <row r="270" spans="1:90" ht="15" x14ac:dyDescent="0.2">
      <c r="A270" s="747" t="s">
        <v>427</v>
      </c>
      <c r="B270" s="469" t="s">
        <v>426</v>
      </c>
      <c r="C270" s="718">
        <v>0.99</v>
      </c>
      <c r="D270" s="469" t="s">
        <v>514</v>
      </c>
      <c r="E270" s="469" t="s">
        <v>666</v>
      </c>
      <c r="F270" s="718">
        <v>0</v>
      </c>
      <c r="G270" s="469" t="s">
        <v>675</v>
      </c>
      <c r="H270" s="469" t="s">
        <v>676</v>
      </c>
      <c r="I270" s="718">
        <v>0.01</v>
      </c>
      <c r="J270" s="748">
        <f t="shared" si="314"/>
        <v>1</v>
      </c>
      <c r="K270" s="718">
        <v>0.99</v>
      </c>
      <c r="L270" s="316" t="s">
        <v>514</v>
      </c>
      <c r="M270" s="316" t="s">
        <v>666</v>
      </c>
      <c r="N270" s="718">
        <v>0</v>
      </c>
      <c r="O270" s="316" t="s">
        <v>675</v>
      </c>
      <c r="P270" s="316" t="s">
        <v>676</v>
      </c>
      <c r="Q270" s="718">
        <v>0.01</v>
      </c>
      <c r="R270" s="728">
        <f t="shared" si="325"/>
        <v>1</v>
      </c>
      <c r="S270" s="718">
        <v>0.99</v>
      </c>
      <c r="T270" s="316" t="s">
        <v>514</v>
      </c>
      <c r="U270" s="316" t="s">
        <v>666</v>
      </c>
      <c r="V270" s="718">
        <v>0</v>
      </c>
      <c r="W270" s="316" t="s">
        <v>675</v>
      </c>
      <c r="X270" s="316" t="s">
        <v>676</v>
      </c>
      <c r="Y270" s="718">
        <v>0.01</v>
      </c>
      <c r="Z270" s="728">
        <f t="shared" si="319"/>
        <v>1</v>
      </c>
      <c r="AA270" s="718">
        <v>0.99</v>
      </c>
      <c r="AB270" s="316" t="s">
        <v>514</v>
      </c>
      <c r="AC270" s="316" t="s">
        <v>666</v>
      </c>
      <c r="AD270" s="718">
        <v>0</v>
      </c>
      <c r="AE270" s="316" t="s">
        <v>675</v>
      </c>
      <c r="AF270" s="316" t="s">
        <v>676</v>
      </c>
      <c r="AG270" s="718">
        <v>0.01</v>
      </c>
      <c r="AH270" s="728">
        <f t="shared" si="306"/>
        <v>1</v>
      </c>
      <c r="AI270" s="718">
        <v>0.99</v>
      </c>
      <c r="AJ270" s="316" t="s">
        <v>514</v>
      </c>
      <c r="AK270" s="316" t="s">
        <v>666</v>
      </c>
      <c r="AL270" s="718">
        <v>0</v>
      </c>
      <c r="AM270" s="316" t="s">
        <v>675</v>
      </c>
      <c r="AN270" s="316" t="s">
        <v>676</v>
      </c>
      <c r="AO270" s="718">
        <v>0.01</v>
      </c>
      <c r="AP270" s="728">
        <f t="shared" si="356"/>
        <v>1</v>
      </c>
      <c r="AQ270" s="718">
        <v>0.99</v>
      </c>
      <c r="AR270" s="316" t="s">
        <v>514</v>
      </c>
      <c r="AS270" s="316" t="s">
        <v>666</v>
      </c>
      <c r="AT270" s="718">
        <v>0</v>
      </c>
      <c r="AU270" s="316" t="s">
        <v>675</v>
      </c>
      <c r="AV270" s="316" t="s">
        <v>676</v>
      </c>
      <c r="AW270" s="718">
        <v>0.01</v>
      </c>
      <c r="AX270" s="463">
        <f t="shared" si="357"/>
        <v>1</v>
      </c>
      <c r="AY270" s="661">
        <v>0.99</v>
      </c>
      <c r="AZ270" s="316" t="s">
        <v>514</v>
      </c>
      <c r="BA270" s="316" t="s">
        <v>666</v>
      </c>
      <c r="BB270" s="463">
        <v>0</v>
      </c>
      <c r="BC270" s="316" t="s">
        <v>675</v>
      </c>
      <c r="BD270" s="316" t="s">
        <v>676</v>
      </c>
      <c r="BE270" s="463">
        <v>0.01</v>
      </c>
      <c r="BF270" s="728">
        <f t="shared" si="358"/>
        <v>1</v>
      </c>
      <c r="BG270" s="463"/>
      <c r="BH270" s="463">
        <v>0.99</v>
      </c>
      <c r="BI270" s="316" t="s">
        <v>514</v>
      </c>
      <c r="BJ270" s="316" t="s">
        <v>666</v>
      </c>
      <c r="BK270" s="463">
        <v>0</v>
      </c>
      <c r="BL270" s="316" t="s">
        <v>675</v>
      </c>
      <c r="BM270" s="316" t="s">
        <v>676</v>
      </c>
      <c r="BN270" s="463">
        <v>0.01</v>
      </c>
      <c r="BO270" s="728">
        <f t="shared" si="359"/>
        <v>1</v>
      </c>
      <c r="BP270" s="463">
        <v>0.49</v>
      </c>
      <c r="BQ270" s="316" t="s">
        <v>514</v>
      </c>
      <c r="BR270" s="316" t="s">
        <v>666</v>
      </c>
      <c r="BS270" s="463">
        <v>0</v>
      </c>
      <c r="BT270" s="316" t="s">
        <v>675</v>
      </c>
      <c r="BU270" s="316" t="s">
        <v>676</v>
      </c>
      <c r="BV270" s="463">
        <v>0.01</v>
      </c>
      <c r="BW270" s="463">
        <f t="shared" si="360"/>
        <v>0.5</v>
      </c>
      <c r="BX270" s="444" t="s">
        <v>874</v>
      </c>
      <c r="BY270" s="444"/>
      <c r="BZ270" s="444"/>
      <c r="CA270" s="436" t="s">
        <v>874</v>
      </c>
      <c r="CB270" s="723">
        <v>0.67200000000000004</v>
      </c>
      <c r="CC270" s="668" t="s">
        <v>950</v>
      </c>
      <c r="CD270" s="316" t="s">
        <v>514</v>
      </c>
      <c r="CE270" s="316" t="s">
        <v>666</v>
      </c>
      <c r="CF270" s="718">
        <v>0</v>
      </c>
      <c r="CG270" s="316" t="s">
        <v>675</v>
      </c>
      <c r="CH270" s="316" t="s">
        <v>676</v>
      </c>
      <c r="CI270" s="718">
        <v>0.01</v>
      </c>
    </row>
    <row r="271" spans="1:90" ht="15.75" customHeight="1" x14ac:dyDescent="0.2">
      <c r="A271" s="747" t="s">
        <v>429</v>
      </c>
      <c r="B271" s="469" t="s">
        <v>428</v>
      </c>
      <c r="C271" s="718">
        <v>0.3</v>
      </c>
      <c r="D271" s="469" t="s">
        <v>680</v>
      </c>
      <c r="E271" s="469" t="s">
        <v>681</v>
      </c>
      <c r="F271" s="718">
        <v>0.37</v>
      </c>
      <c r="G271" s="469" t="s">
        <v>514</v>
      </c>
      <c r="H271" s="469" t="s">
        <v>514</v>
      </c>
      <c r="I271" s="718">
        <v>0</v>
      </c>
      <c r="J271" s="748">
        <f t="shared" si="314"/>
        <v>0.66999999999999993</v>
      </c>
      <c r="K271" s="718">
        <v>0.3</v>
      </c>
      <c r="L271" s="316" t="s">
        <v>680</v>
      </c>
      <c r="M271" s="316" t="s">
        <v>681</v>
      </c>
      <c r="N271" s="718">
        <v>0.37</v>
      </c>
      <c r="O271" s="316" t="s">
        <v>514</v>
      </c>
      <c r="P271" s="316" t="s">
        <v>514</v>
      </c>
      <c r="Q271" s="718">
        <v>0</v>
      </c>
      <c r="R271" s="728">
        <f t="shared" si="325"/>
        <v>0.66999999999999993</v>
      </c>
      <c r="S271" s="718">
        <v>0.3</v>
      </c>
      <c r="T271" s="316" t="s">
        <v>680</v>
      </c>
      <c r="U271" s="316" t="s">
        <v>681</v>
      </c>
      <c r="V271" s="718">
        <v>0.37</v>
      </c>
      <c r="W271" s="316" t="s">
        <v>514</v>
      </c>
      <c r="X271" s="316" t="s">
        <v>514</v>
      </c>
      <c r="Y271" s="718">
        <v>0</v>
      </c>
      <c r="Z271" s="728">
        <f t="shared" si="319"/>
        <v>0.66999999999999993</v>
      </c>
      <c r="AA271" s="718">
        <v>0.3</v>
      </c>
      <c r="AB271" s="316" t="s">
        <v>680</v>
      </c>
      <c r="AC271" s="316" t="s">
        <v>681</v>
      </c>
      <c r="AD271" s="718">
        <v>0.37</v>
      </c>
      <c r="AE271" s="316" t="s">
        <v>514</v>
      </c>
      <c r="AF271" s="316" t="s">
        <v>514</v>
      </c>
      <c r="AG271" s="718">
        <v>0</v>
      </c>
      <c r="AH271" s="728">
        <f t="shared" si="306"/>
        <v>0.66999999999999993</v>
      </c>
      <c r="AI271" s="718">
        <v>0.3</v>
      </c>
      <c r="AJ271" s="316" t="s">
        <v>680</v>
      </c>
      <c r="AK271" s="316" t="s">
        <v>681</v>
      </c>
      <c r="AL271" s="718">
        <v>0.37</v>
      </c>
      <c r="AM271" s="316" t="s">
        <v>514</v>
      </c>
      <c r="AN271" s="316" t="s">
        <v>514</v>
      </c>
      <c r="AO271" s="718">
        <v>0</v>
      </c>
      <c r="AP271" s="728">
        <f t="shared" ref="AP271:AP274" si="361">+AI271+AL271+AO271</f>
        <v>0.66999999999999993</v>
      </c>
      <c r="AQ271" s="718">
        <v>0.48</v>
      </c>
      <c r="AR271" s="316" t="s">
        <v>680</v>
      </c>
      <c r="AS271" s="316" t="s">
        <v>681</v>
      </c>
      <c r="AT271" s="718">
        <v>0.27</v>
      </c>
      <c r="AU271" s="316" t="s">
        <v>514</v>
      </c>
      <c r="AV271" s="316" t="s">
        <v>514</v>
      </c>
      <c r="AW271" s="718">
        <v>0</v>
      </c>
      <c r="AX271" s="463">
        <f t="shared" ref="AX271:AX274" si="362">+AQ271+AT271+AW271</f>
        <v>0.75</v>
      </c>
      <c r="AY271" s="661">
        <v>0.64</v>
      </c>
      <c r="AZ271" s="316" t="s">
        <v>680</v>
      </c>
      <c r="BA271" s="316" t="s">
        <v>681</v>
      </c>
      <c r="BB271" s="463">
        <v>0.36</v>
      </c>
      <c r="BC271" s="316" t="s">
        <v>514</v>
      </c>
      <c r="BD271" s="316" t="s">
        <v>514</v>
      </c>
      <c r="BE271" s="463">
        <v>0</v>
      </c>
      <c r="BF271" s="728">
        <f t="shared" ref="BF271:BF274" si="363">+AY271+BB271+BE271</f>
        <v>1</v>
      </c>
      <c r="BG271" s="463"/>
      <c r="BH271" s="463">
        <v>0.3</v>
      </c>
      <c r="BI271" s="316" t="s">
        <v>680</v>
      </c>
      <c r="BJ271" s="316" t="s">
        <v>681</v>
      </c>
      <c r="BK271" s="463">
        <v>0.37</v>
      </c>
      <c r="BL271" s="316" t="s">
        <v>514</v>
      </c>
      <c r="BM271" s="316" t="s">
        <v>514</v>
      </c>
      <c r="BN271" s="463">
        <v>0</v>
      </c>
      <c r="BO271" s="728">
        <f t="shared" ref="BO271:BO274" si="364">+BH271+BK271+BN271</f>
        <v>0.66999999999999993</v>
      </c>
      <c r="BP271" s="463">
        <v>0.3</v>
      </c>
      <c r="BQ271" s="316" t="s">
        <v>680</v>
      </c>
      <c r="BR271" s="316" t="s">
        <v>681</v>
      </c>
      <c r="BS271" s="463">
        <v>0.2</v>
      </c>
      <c r="BT271" s="316" t="s">
        <v>514</v>
      </c>
      <c r="BU271" s="316" t="s">
        <v>514</v>
      </c>
      <c r="BV271" s="463">
        <v>0</v>
      </c>
      <c r="BW271" s="463">
        <f t="shared" ref="BW271:BW274" si="365">+BP271+BS271+BV271</f>
        <v>0.5</v>
      </c>
      <c r="BX271" s="444"/>
      <c r="BY271" s="444"/>
      <c r="BZ271" s="444"/>
      <c r="CA271" s="436" t="s">
        <v>874</v>
      </c>
      <c r="CB271" s="723">
        <v>0.76900000000000002</v>
      </c>
      <c r="CC271" s="668" t="s">
        <v>950</v>
      </c>
      <c r="CD271" s="316" t="s">
        <v>680</v>
      </c>
      <c r="CE271" s="316" t="s">
        <v>681</v>
      </c>
      <c r="CF271" s="718">
        <v>0.2</v>
      </c>
      <c r="CG271" s="316" t="s">
        <v>514</v>
      </c>
      <c r="CH271" s="316" t="s">
        <v>514</v>
      </c>
      <c r="CI271" s="718">
        <v>0</v>
      </c>
    </row>
    <row r="272" spans="1:90" ht="15.75" customHeight="1" x14ac:dyDescent="0.2">
      <c r="A272" s="747" t="s">
        <v>431</v>
      </c>
      <c r="B272" s="469" t="s">
        <v>430</v>
      </c>
      <c r="C272" s="718">
        <v>0.3</v>
      </c>
      <c r="D272" s="469" t="s">
        <v>680</v>
      </c>
      <c r="E272" s="469" t="s">
        <v>681</v>
      </c>
      <c r="F272" s="718">
        <v>0.37</v>
      </c>
      <c r="G272" s="469" t="s">
        <v>514</v>
      </c>
      <c r="H272" s="469" t="s">
        <v>514</v>
      </c>
      <c r="I272" s="718">
        <v>0</v>
      </c>
      <c r="J272" s="748">
        <f t="shared" si="314"/>
        <v>0.66999999999999993</v>
      </c>
      <c r="K272" s="718">
        <v>0.3</v>
      </c>
      <c r="L272" s="316" t="s">
        <v>680</v>
      </c>
      <c r="M272" s="316" t="s">
        <v>681</v>
      </c>
      <c r="N272" s="718">
        <v>0.37</v>
      </c>
      <c r="O272" s="316" t="s">
        <v>514</v>
      </c>
      <c r="P272" s="316" t="s">
        <v>514</v>
      </c>
      <c r="Q272" s="718">
        <v>0</v>
      </c>
      <c r="R272" s="728">
        <f t="shared" si="325"/>
        <v>0.66999999999999993</v>
      </c>
      <c r="S272" s="718">
        <v>0.3</v>
      </c>
      <c r="T272" s="316" t="s">
        <v>680</v>
      </c>
      <c r="U272" s="316" t="s">
        <v>681</v>
      </c>
      <c r="V272" s="718">
        <v>0.37</v>
      </c>
      <c r="W272" s="316" t="s">
        <v>514</v>
      </c>
      <c r="X272" s="316" t="s">
        <v>514</v>
      </c>
      <c r="Y272" s="718">
        <v>0</v>
      </c>
      <c r="Z272" s="728">
        <f t="shared" si="319"/>
        <v>0.66999999999999993</v>
      </c>
      <c r="AA272" s="718">
        <v>0.3</v>
      </c>
      <c r="AB272" s="316" t="s">
        <v>680</v>
      </c>
      <c r="AC272" s="316" t="s">
        <v>681</v>
      </c>
      <c r="AD272" s="718">
        <v>0.37</v>
      </c>
      <c r="AE272" s="316" t="s">
        <v>514</v>
      </c>
      <c r="AF272" s="316" t="s">
        <v>514</v>
      </c>
      <c r="AG272" s="718">
        <v>0</v>
      </c>
      <c r="AH272" s="728">
        <f t="shared" si="306"/>
        <v>0.66999999999999993</v>
      </c>
      <c r="AI272" s="718">
        <v>0.3</v>
      </c>
      <c r="AJ272" s="316" t="s">
        <v>680</v>
      </c>
      <c r="AK272" s="316" t="s">
        <v>681</v>
      </c>
      <c r="AL272" s="718">
        <v>0.37</v>
      </c>
      <c r="AM272" s="316" t="s">
        <v>514</v>
      </c>
      <c r="AN272" s="316" t="s">
        <v>514</v>
      </c>
      <c r="AO272" s="718">
        <v>0</v>
      </c>
      <c r="AP272" s="728">
        <f t="shared" si="361"/>
        <v>0.66999999999999993</v>
      </c>
      <c r="AQ272" s="718">
        <v>0.48</v>
      </c>
      <c r="AR272" s="316" t="s">
        <v>680</v>
      </c>
      <c r="AS272" s="316" t="s">
        <v>681</v>
      </c>
      <c r="AT272" s="718">
        <v>0.27</v>
      </c>
      <c r="AU272" s="316" t="s">
        <v>514</v>
      </c>
      <c r="AV272" s="316" t="s">
        <v>514</v>
      </c>
      <c r="AW272" s="718">
        <v>0</v>
      </c>
      <c r="AX272" s="463">
        <f t="shared" si="362"/>
        <v>0.75</v>
      </c>
      <c r="AY272" s="661">
        <v>0.64</v>
      </c>
      <c r="AZ272" s="316" t="s">
        <v>680</v>
      </c>
      <c r="BA272" s="316" t="s">
        <v>681</v>
      </c>
      <c r="BB272" s="463">
        <v>0.36</v>
      </c>
      <c r="BC272" s="316" t="s">
        <v>514</v>
      </c>
      <c r="BD272" s="316" t="s">
        <v>514</v>
      </c>
      <c r="BE272" s="463">
        <v>0</v>
      </c>
      <c r="BF272" s="728">
        <f t="shared" si="363"/>
        <v>1</v>
      </c>
      <c r="BG272" s="463"/>
      <c r="BH272" s="463">
        <v>0.3</v>
      </c>
      <c r="BI272" s="316" t="s">
        <v>680</v>
      </c>
      <c r="BJ272" s="316" t="s">
        <v>681</v>
      </c>
      <c r="BK272" s="463">
        <v>0.37</v>
      </c>
      <c r="BL272" s="316" t="s">
        <v>514</v>
      </c>
      <c r="BM272" s="316" t="s">
        <v>514</v>
      </c>
      <c r="BN272" s="463">
        <v>0</v>
      </c>
      <c r="BO272" s="728">
        <f t="shared" si="364"/>
        <v>0.66999999999999993</v>
      </c>
      <c r="BP272" s="463">
        <v>0.3</v>
      </c>
      <c r="BQ272" s="316" t="s">
        <v>680</v>
      </c>
      <c r="BR272" s="316" t="s">
        <v>681</v>
      </c>
      <c r="BS272" s="463">
        <v>0.2</v>
      </c>
      <c r="BT272" s="316" t="s">
        <v>514</v>
      </c>
      <c r="BU272" s="316" t="s">
        <v>514</v>
      </c>
      <c r="BV272" s="463">
        <v>0</v>
      </c>
      <c r="BW272" s="463">
        <f t="shared" si="365"/>
        <v>0.5</v>
      </c>
      <c r="BX272" s="444" t="s">
        <v>874</v>
      </c>
      <c r="BY272" s="444"/>
      <c r="BZ272" s="444"/>
      <c r="CA272" s="436" t="s">
        <v>874</v>
      </c>
      <c r="CB272" s="723">
        <v>0.76100000000000001</v>
      </c>
      <c r="CC272" s="668" t="s">
        <v>950</v>
      </c>
      <c r="CD272" s="316" t="s">
        <v>680</v>
      </c>
      <c r="CE272" s="316" t="s">
        <v>681</v>
      </c>
      <c r="CF272" s="718">
        <v>0.2</v>
      </c>
      <c r="CG272" s="316" t="s">
        <v>514</v>
      </c>
      <c r="CH272" s="316" t="s">
        <v>514</v>
      </c>
      <c r="CI272" s="718">
        <v>0</v>
      </c>
    </row>
    <row r="273" spans="1:90" ht="15" x14ac:dyDescent="0.2">
      <c r="A273" s="747" t="s">
        <v>433</v>
      </c>
      <c r="B273" s="469" t="s">
        <v>544</v>
      </c>
      <c r="C273" s="718">
        <v>0.49</v>
      </c>
      <c r="D273" s="469" t="s">
        <v>514</v>
      </c>
      <c r="E273" s="469" t="s">
        <v>515</v>
      </c>
      <c r="F273" s="718">
        <v>0</v>
      </c>
      <c r="G273" s="469" t="s">
        <v>542</v>
      </c>
      <c r="H273" s="469" t="s">
        <v>543</v>
      </c>
      <c r="I273" s="718">
        <v>0.01</v>
      </c>
      <c r="J273" s="748">
        <f t="shared" si="314"/>
        <v>0.5</v>
      </c>
      <c r="K273" s="718">
        <v>0.49</v>
      </c>
      <c r="L273" s="316" t="s">
        <v>514</v>
      </c>
      <c r="M273" s="316" t="s">
        <v>515</v>
      </c>
      <c r="N273" s="718">
        <v>0</v>
      </c>
      <c r="O273" s="316" t="s">
        <v>542</v>
      </c>
      <c r="P273" s="316" t="s">
        <v>543</v>
      </c>
      <c r="Q273" s="718">
        <v>0.01</v>
      </c>
      <c r="R273" s="728">
        <f t="shared" si="325"/>
        <v>0.5</v>
      </c>
      <c r="S273" s="718">
        <v>0.49</v>
      </c>
      <c r="T273" s="316" t="s">
        <v>514</v>
      </c>
      <c r="U273" s="316" t="s">
        <v>515</v>
      </c>
      <c r="V273" s="718">
        <v>0</v>
      </c>
      <c r="W273" s="316" t="s">
        <v>542</v>
      </c>
      <c r="X273" s="316" t="s">
        <v>543</v>
      </c>
      <c r="Y273" s="718">
        <v>0.01</v>
      </c>
      <c r="Z273" s="728">
        <f t="shared" si="319"/>
        <v>0.5</v>
      </c>
      <c r="AA273" s="718">
        <v>0.49</v>
      </c>
      <c r="AB273" s="316" t="s">
        <v>514</v>
      </c>
      <c r="AC273" s="316" t="s">
        <v>515</v>
      </c>
      <c r="AD273" s="718">
        <v>0</v>
      </c>
      <c r="AE273" s="316" t="s">
        <v>542</v>
      </c>
      <c r="AF273" s="316" t="s">
        <v>543</v>
      </c>
      <c r="AG273" s="718">
        <v>0.01</v>
      </c>
      <c r="AH273" s="728">
        <f t="shared" si="306"/>
        <v>0.5</v>
      </c>
      <c r="AI273" s="718">
        <v>0.49</v>
      </c>
      <c r="AJ273" s="316" t="s">
        <v>514</v>
      </c>
      <c r="AK273" s="316" t="s">
        <v>515</v>
      </c>
      <c r="AL273" s="718">
        <v>0</v>
      </c>
      <c r="AM273" s="316" t="s">
        <v>542</v>
      </c>
      <c r="AN273" s="316" t="s">
        <v>543</v>
      </c>
      <c r="AO273" s="718">
        <v>0.01</v>
      </c>
      <c r="AP273" s="728">
        <f t="shared" si="361"/>
        <v>0.5</v>
      </c>
      <c r="AQ273" s="718">
        <v>0.49</v>
      </c>
      <c r="AR273" s="316" t="s">
        <v>514</v>
      </c>
      <c r="AS273" s="316" t="s">
        <v>515</v>
      </c>
      <c r="AT273" s="718">
        <v>0</v>
      </c>
      <c r="AU273" s="316" t="s">
        <v>542</v>
      </c>
      <c r="AV273" s="316" t="s">
        <v>543</v>
      </c>
      <c r="AW273" s="718">
        <v>0.01</v>
      </c>
      <c r="AX273" s="463">
        <f t="shared" si="362"/>
        <v>0.5</v>
      </c>
      <c r="AY273" s="661">
        <v>0.49</v>
      </c>
      <c r="AZ273" s="316" t="s">
        <v>514</v>
      </c>
      <c r="BA273" s="316" t="s">
        <v>515</v>
      </c>
      <c r="BB273" s="463">
        <v>0</v>
      </c>
      <c r="BC273" s="316" t="s">
        <v>542</v>
      </c>
      <c r="BD273" s="316" t="s">
        <v>543</v>
      </c>
      <c r="BE273" s="463">
        <v>0.01</v>
      </c>
      <c r="BF273" s="728">
        <f t="shared" si="363"/>
        <v>0.5</v>
      </c>
      <c r="BG273" s="463"/>
      <c r="BH273" s="463">
        <v>0.49</v>
      </c>
      <c r="BI273" s="316" t="s">
        <v>514</v>
      </c>
      <c r="BJ273" s="316" t="s">
        <v>515</v>
      </c>
      <c r="BK273" s="463">
        <v>0</v>
      </c>
      <c r="BL273" s="316" t="s">
        <v>542</v>
      </c>
      <c r="BM273" s="316" t="s">
        <v>543</v>
      </c>
      <c r="BN273" s="463">
        <v>0.01</v>
      </c>
      <c r="BO273" s="728">
        <f t="shared" si="364"/>
        <v>0.5</v>
      </c>
      <c r="BP273" s="463">
        <v>0.49</v>
      </c>
      <c r="BQ273" s="316" t="s">
        <v>514</v>
      </c>
      <c r="BR273" s="316" t="s">
        <v>515</v>
      </c>
      <c r="BS273" s="463">
        <v>0</v>
      </c>
      <c r="BT273" s="316" t="s">
        <v>542</v>
      </c>
      <c r="BU273" s="316" t="s">
        <v>543</v>
      </c>
      <c r="BV273" s="463">
        <v>0.01</v>
      </c>
      <c r="BW273" s="463">
        <f t="shared" si="365"/>
        <v>0.5</v>
      </c>
      <c r="BX273" s="444" t="s">
        <v>874</v>
      </c>
      <c r="BY273" s="444"/>
      <c r="BZ273" s="444"/>
      <c r="CA273" s="436" t="s">
        <v>874</v>
      </c>
      <c r="CB273" s="723">
        <v>0.69499999999999995</v>
      </c>
      <c r="CC273" s="668" t="s">
        <v>950</v>
      </c>
      <c r="CD273" s="316" t="s">
        <v>514</v>
      </c>
      <c r="CE273" s="316" t="s">
        <v>515</v>
      </c>
      <c r="CF273" s="718">
        <v>0</v>
      </c>
      <c r="CG273" s="316" t="s">
        <v>542</v>
      </c>
      <c r="CH273" s="316" t="s">
        <v>543</v>
      </c>
      <c r="CI273" s="718">
        <v>0.01</v>
      </c>
    </row>
    <row r="274" spans="1:90" ht="15.75" customHeight="1" x14ac:dyDescent="0.2">
      <c r="A274" s="747" t="s">
        <v>435</v>
      </c>
      <c r="B274" s="469" t="s">
        <v>434</v>
      </c>
      <c r="C274" s="718">
        <v>0.4</v>
      </c>
      <c r="D274" s="469" t="s">
        <v>658</v>
      </c>
      <c r="E274" s="469" t="s">
        <v>659</v>
      </c>
      <c r="F274" s="718">
        <v>0.1</v>
      </c>
      <c r="G274" s="469" t="s">
        <v>514</v>
      </c>
      <c r="H274" s="469" t="s">
        <v>552</v>
      </c>
      <c r="I274" s="718">
        <v>0</v>
      </c>
      <c r="J274" s="748">
        <f t="shared" si="314"/>
        <v>0.5</v>
      </c>
      <c r="K274" s="718">
        <v>0.4</v>
      </c>
      <c r="L274" s="316" t="s">
        <v>658</v>
      </c>
      <c r="M274" s="316" t="s">
        <v>659</v>
      </c>
      <c r="N274" s="718">
        <v>0.1</v>
      </c>
      <c r="O274" s="316" t="s">
        <v>514</v>
      </c>
      <c r="P274" s="316" t="s">
        <v>552</v>
      </c>
      <c r="Q274" s="718">
        <v>0</v>
      </c>
      <c r="R274" s="728">
        <f t="shared" si="325"/>
        <v>0.5</v>
      </c>
      <c r="S274" s="718">
        <v>0.4</v>
      </c>
      <c r="T274" s="316" t="s">
        <v>658</v>
      </c>
      <c r="U274" s="316" t="s">
        <v>659</v>
      </c>
      <c r="V274" s="718">
        <v>0.1</v>
      </c>
      <c r="W274" s="316" t="s">
        <v>514</v>
      </c>
      <c r="X274" s="316" t="s">
        <v>552</v>
      </c>
      <c r="Y274" s="718">
        <v>0</v>
      </c>
      <c r="Z274" s="728">
        <f t="shared" si="319"/>
        <v>0.5</v>
      </c>
      <c r="AA274" s="718">
        <v>0.4</v>
      </c>
      <c r="AB274" s="316" t="s">
        <v>658</v>
      </c>
      <c r="AC274" s="316" t="s">
        <v>659</v>
      </c>
      <c r="AD274" s="718">
        <v>0.1</v>
      </c>
      <c r="AE274" s="316" t="s">
        <v>514</v>
      </c>
      <c r="AF274" s="316" t="s">
        <v>552</v>
      </c>
      <c r="AG274" s="718">
        <v>0</v>
      </c>
      <c r="AH274" s="728">
        <f t="shared" si="306"/>
        <v>0.5</v>
      </c>
      <c r="AI274" s="718">
        <v>0.4</v>
      </c>
      <c r="AJ274" s="316" t="s">
        <v>658</v>
      </c>
      <c r="AK274" s="316" t="s">
        <v>659</v>
      </c>
      <c r="AL274" s="718">
        <v>0.1</v>
      </c>
      <c r="AM274" s="316" t="s">
        <v>514</v>
      </c>
      <c r="AN274" s="316" t="s">
        <v>552</v>
      </c>
      <c r="AO274" s="718">
        <v>0</v>
      </c>
      <c r="AP274" s="728">
        <f t="shared" si="361"/>
        <v>0.5</v>
      </c>
      <c r="AQ274" s="718">
        <v>0.4</v>
      </c>
      <c r="AR274" s="316" t="s">
        <v>658</v>
      </c>
      <c r="AS274" s="316" t="s">
        <v>659</v>
      </c>
      <c r="AT274" s="718">
        <v>0.1</v>
      </c>
      <c r="AU274" s="316" t="s">
        <v>514</v>
      </c>
      <c r="AV274" s="316" t="s">
        <v>552</v>
      </c>
      <c r="AW274" s="718">
        <v>0</v>
      </c>
      <c r="AX274" s="463">
        <f t="shared" si="362"/>
        <v>0.5</v>
      </c>
      <c r="AY274" s="661">
        <v>0.4</v>
      </c>
      <c r="AZ274" s="316" t="s">
        <v>658</v>
      </c>
      <c r="BA274" s="316" t="s">
        <v>659</v>
      </c>
      <c r="BB274" s="463">
        <v>0.1</v>
      </c>
      <c r="BC274" s="316" t="s">
        <v>514</v>
      </c>
      <c r="BD274" s="316" t="s">
        <v>552</v>
      </c>
      <c r="BE274" s="463">
        <v>0</v>
      </c>
      <c r="BF274" s="728">
        <f t="shared" si="363"/>
        <v>0.5</v>
      </c>
      <c r="BG274" s="463"/>
      <c r="BH274" s="463">
        <v>0.4</v>
      </c>
      <c r="BI274" s="316" t="s">
        <v>658</v>
      </c>
      <c r="BJ274" s="316" t="s">
        <v>659</v>
      </c>
      <c r="BK274" s="463">
        <v>0.1</v>
      </c>
      <c r="BL274" s="316" t="s">
        <v>514</v>
      </c>
      <c r="BM274" s="316" t="s">
        <v>552</v>
      </c>
      <c r="BN274" s="463">
        <v>0</v>
      </c>
      <c r="BO274" s="728">
        <f t="shared" si="364"/>
        <v>0.5</v>
      </c>
      <c r="BP274" s="463">
        <v>0.4</v>
      </c>
      <c r="BQ274" s="316" t="s">
        <v>658</v>
      </c>
      <c r="BR274" s="316" t="s">
        <v>659</v>
      </c>
      <c r="BS274" s="463">
        <v>0.1</v>
      </c>
      <c r="BT274" s="316" t="s">
        <v>514</v>
      </c>
      <c r="BU274" s="316" t="s">
        <v>552</v>
      </c>
      <c r="BV274" s="463">
        <v>0</v>
      </c>
      <c r="BW274" s="463">
        <f t="shared" si="365"/>
        <v>0.5</v>
      </c>
      <c r="BX274" s="444" t="s">
        <v>874</v>
      </c>
      <c r="BY274" s="444"/>
      <c r="BZ274" s="444" t="s">
        <v>874</v>
      </c>
      <c r="CA274" s="434"/>
      <c r="CB274" s="723">
        <v>0.7</v>
      </c>
      <c r="CC274" s="668" t="s">
        <v>950</v>
      </c>
      <c r="CD274" s="316" t="s">
        <v>658</v>
      </c>
      <c r="CE274" s="316" t="s">
        <v>659</v>
      </c>
      <c r="CF274" s="718">
        <v>0.6</v>
      </c>
      <c r="CG274" s="316" t="s">
        <v>514</v>
      </c>
      <c r="CH274" s="316" t="s">
        <v>552</v>
      </c>
      <c r="CI274" s="718">
        <v>0</v>
      </c>
    </row>
    <row r="275" spans="1:90" ht="15.75" customHeight="1" x14ac:dyDescent="0.2">
      <c r="A275" s="747" t="s">
        <v>437</v>
      </c>
      <c r="B275" s="469" t="s">
        <v>436</v>
      </c>
      <c r="C275" s="718">
        <v>0.4</v>
      </c>
      <c r="D275" s="469" t="s">
        <v>596</v>
      </c>
      <c r="E275" s="469" t="s">
        <v>597</v>
      </c>
      <c r="F275" s="718">
        <v>0.1</v>
      </c>
      <c r="G275" s="469" t="s">
        <v>514</v>
      </c>
      <c r="H275" s="469" t="s">
        <v>552</v>
      </c>
      <c r="I275" s="718">
        <v>0</v>
      </c>
      <c r="J275" s="748">
        <f t="shared" si="314"/>
        <v>0.5</v>
      </c>
      <c r="K275" s="718">
        <v>0.4</v>
      </c>
      <c r="L275" s="316" t="s">
        <v>596</v>
      </c>
      <c r="M275" s="316" t="s">
        <v>597</v>
      </c>
      <c r="N275" s="718">
        <v>0.1</v>
      </c>
      <c r="O275" s="316" t="s">
        <v>514</v>
      </c>
      <c r="P275" s="316" t="s">
        <v>552</v>
      </c>
      <c r="Q275" s="718">
        <v>0</v>
      </c>
      <c r="R275" s="728">
        <f t="shared" si="325"/>
        <v>0.5</v>
      </c>
      <c r="S275" s="718">
        <v>0.4</v>
      </c>
      <c r="T275" s="316" t="s">
        <v>596</v>
      </c>
      <c r="U275" s="316" t="s">
        <v>597</v>
      </c>
      <c r="V275" s="718">
        <v>0.1</v>
      </c>
      <c r="W275" s="316" t="s">
        <v>514</v>
      </c>
      <c r="X275" s="316" t="s">
        <v>552</v>
      </c>
      <c r="Y275" s="718">
        <v>0</v>
      </c>
      <c r="Z275" s="728">
        <f t="shared" si="319"/>
        <v>0.5</v>
      </c>
      <c r="AA275" s="718">
        <v>0.4</v>
      </c>
      <c r="AB275" s="316" t="s">
        <v>596</v>
      </c>
      <c r="AC275" s="316" t="s">
        <v>597</v>
      </c>
      <c r="AD275" s="718">
        <v>0.1</v>
      </c>
      <c r="AE275" s="316" t="s">
        <v>514</v>
      </c>
      <c r="AF275" s="316" t="s">
        <v>552</v>
      </c>
      <c r="AG275" s="718">
        <v>0</v>
      </c>
      <c r="AH275" s="728">
        <f t="shared" si="306"/>
        <v>0.5</v>
      </c>
      <c r="AI275" s="718">
        <v>0.4</v>
      </c>
      <c r="AJ275" s="316" t="s">
        <v>596</v>
      </c>
      <c r="AK275" s="316" t="s">
        <v>597</v>
      </c>
      <c r="AL275" s="718">
        <v>0.1</v>
      </c>
      <c r="AM275" s="316" t="s">
        <v>514</v>
      </c>
      <c r="AN275" s="316" t="s">
        <v>552</v>
      </c>
      <c r="AO275" s="718">
        <v>0</v>
      </c>
      <c r="AP275" s="728">
        <f t="shared" ref="AP275:AP278" si="366">+AI275+AL275+AO275</f>
        <v>0.5</v>
      </c>
      <c r="AQ275" s="718">
        <v>0.35</v>
      </c>
      <c r="AR275" s="316" t="s">
        <v>596</v>
      </c>
      <c r="AS275" s="316" t="s">
        <v>597</v>
      </c>
      <c r="AT275" s="718">
        <v>0.4</v>
      </c>
      <c r="AU275" s="316" t="s">
        <v>514</v>
      </c>
      <c r="AV275" s="316" t="s">
        <v>552</v>
      </c>
      <c r="AW275" s="718">
        <v>0</v>
      </c>
      <c r="AX275" s="463">
        <f t="shared" ref="AX275:AX278" si="367">+AQ275+AT275+AW275</f>
        <v>0.75</v>
      </c>
      <c r="AY275" s="661">
        <v>0.4</v>
      </c>
      <c r="AZ275" s="316" t="s">
        <v>596</v>
      </c>
      <c r="BA275" s="316" t="s">
        <v>597</v>
      </c>
      <c r="BB275" s="463">
        <v>0.1</v>
      </c>
      <c r="BC275" s="316" t="s">
        <v>514</v>
      </c>
      <c r="BD275" s="316" t="s">
        <v>552</v>
      </c>
      <c r="BE275" s="463">
        <v>0</v>
      </c>
      <c r="BF275" s="728">
        <f t="shared" ref="BF275:BF278" si="368">+AY275+BB275+BE275</f>
        <v>0.5</v>
      </c>
      <c r="BG275" s="463"/>
      <c r="BH275" s="463">
        <v>0.4</v>
      </c>
      <c r="BI275" s="316" t="s">
        <v>596</v>
      </c>
      <c r="BJ275" s="316" t="s">
        <v>597</v>
      </c>
      <c r="BK275" s="463">
        <v>0.1</v>
      </c>
      <c r="BL275" s="316" t="s">
        <v>514</v>
      </c>
      <c r="BM275" s="316" t="s">
        <v>552</v>
      </c>
      <c r="BN275" s="463">
        <v>0</v>
      </c>
      <c r="BO275" s="728">
        <f t="shared" ref="BO275:BO278" si="369">+BH275+BK275+BN275</f>
        <v>0.5</v>
      </c>
      <c r="BP275" s="463">
        <v>0.4</v>
      </c>
      <c r="BQ275" s="316" t="s">
        <v>596</v>
      </c>
      <c r="BR275" s="316" t="s">
        <v>597</v>
      </c>
      <c r="BS275" s="463">
        <v>0.1</v>
      </c>
      <c r="BT275" s="316" t="s">
        <v>514</v>
      </c>
      <c r="BU275" s="316" t="s">
        <v>552</v>
      </c>
      <c r="BV275" s="463">
        <v>0</v>
      </c>
      <c r="BW275" s="463">
        <f t="shared" ref="BW275:BW278" si="370">+BP275+BS275+BV275</f>
        <v>0.5</v>
      </c>
      <c r="BX275" s="444"/>
      <c r="BY275" s="444"/>
      <c r="BZ275" s="444"/>
      <c r="CA275" s="434"/>
      <c r="CB275" s="723">
        <v>0.72699999999999998</v>
      </c>
      <c r="CC275" s="668" t="s">
        <v>950</v>
      </c>
      <c r="CD275" s="316" t="s">
        <v>596</v>
      </c>
      <c r="CE275" s="316" t="s">
        <v>597</v>
      </c>
      <c r="CF275" s="718">
        <v>0.6</v>
      </c>
      <c r="CG275" s="316" t="s">
        <v>514</v>
      </c>
      <c r="CH275" s="316" t="s">
        <v>552</v>
      </c>
      <c r="CI275" s="718">
        <v>0</v>
      </c>
    </row>
    <row r="276" spans="1:90" ht="15.75" customHeight="1" x14ac:dyDescent="0.2">
      <c r="A276" s="747" t="s">
        <v>439</v>
      </c>
      <c r="B276" s="469" t="s">
        <v>438</v>
      </c>
      <c r="C276" s="718">
        <v>0.4</v>
      </c>
      <c r="D276" s="469" t="s">
        <v>655</v>
      </c>
      <c r="E276" s="469" t="s">
        <v>656</v>
      </c>
      <c r="F276" s="718">
        <v>0.1</v>
      </c>
      <c r="G276" s="469" t="s">
        <v>514</v>
      </c>
      <c r="H276" s="469" t="s">
        <v>552</v>
      </c>
      <c r="I276" s="718">
        <v>0</v>
      </c>
      <c r="J276" s="748">
        <f t="shared" si="314"/>
        <v>0.5</v>
      </c>
      <c r="K276" s="718">
        <v>0.4</v>
      </c>
      <c r="L276" s="316" t="s">
        <v>655</v>
      </c>
      <c r="M276" s="316" t="s">
        <v>656</v>
      </c>
      <c r="N276" s="718">
        <v>0.1</v>
      </c>
      <c r="O276" s="316" t="s">
        <v>514</v>
      </c>
      <c r="P276" s="316" t="s">
        <v>552</v>
      </c>
      <c r="Q276" s="718">
        <v>0</v>
      </c>
      <c r="R276" s="728">
        <f t="shared" si="325"/>
        <v>0.5</v>
      </c>
      <c r="S276" s="718">
        <v>0.4</v>
      </c>
      <c r="T276" s="316" t="s">
        <v>655</v>
      </c>
      <c r="U276" s="316" t="s">
        <v>656</v>
      </c>
      <c r="V276" s="718">
        <v>0.1</v>
      </c>
      <c r="W276" s="316" t="s">
        <v>514</v>
      </c>
      <c r="X276" s="316" t="s">
        <v>552</v>
      </c>
      <c r="Y276" s="718">
        <v>0</v>
      </c>
      <c r="Z276" s="728">
        <f t="shared" si="319"/>
        <v>0.5</v>
      </c>
      <c r="AA276" s="718">
        <v>0.4</v>
      </c>
      <c r="AB276" s="316" t="s">
        <v>655</v>
      </c>
      <c r="AC276" s="316" t="s">
        <v>656</v>
      </c>
      <c r="AD276" s="718">
        <v>0.1</v>
      </c>
      <c r="AE276" s="316" t="s">
        <v>514</v>
      </c>
      <c r="AF276" s="316" t="s">
        <v>552</v>
      </c>
      <c r="AG276" s="718">
        <v>0</v>
      </c>
      <c r="AH276" s="728">
        <f t="shared" si="306"/>
        <v>0.5</v>
      </c>
      <c r="AI276" s="718">
        <v>0.4</v>
      </c>
      <c r="AJ276" s="316" t="s">
        <v>655</v>
      </c>
      <c r="AK276" s="316" t="s">
        <v>656</v>
      </c>
      <c r="AL276" s="718">
        <v>0.1</v>
      </c>
      <c r="AM276" s="316" t="s">
        <v>514</v>
      </c>
      <c r="AN276" s="316" t="s">
        <v>552</v>
      </c>
      <c r="AO276" s="718">
        <v>0</v>
      </c>
      <c r="AP276" s="728">
        <f t="shared" si="366"/>
        <v>0.5</v>
      </c>
      <c r="AQ276" s="718">
        <v>0.4</v>
      </c>
      <c r="AR276" s="316" t="s">
        <v>655</v>
      </c>
      <c r="AS276" s="316" t="s">
        <v>656</v>
      </c>
      <c r="AT276" s="718">
        <v>0.1</v>
      </c>
      <c r="AU276" s="316" t="s">
        <v>514</v>
      </c>
      <c r="AV276" s="316" t="s">
        <v>552</v>
      </c>
      <c r="AW276" s="718">
        <v>0</v>
      </c>
      <c r="AX276" s="463">
        <f t="shared" si="367"/>
        <v>0.5</v>
      </c>
      <c r="AY276" s="661">
        <v>0.3</v>
      </c>
      <c r="AZ276" s="316" t="s">
        <v>655</v>
      </c>
      <c r="BA276" s="316" t="s">
        <v>656</v>
      </c>
      <c r="BB276" s="463">
        <v>0.7</v>
      </c>
      <c r="BC276" s="316" t="s">
        <v>514</v>
      </c>
      <c r="BD276" s="316" t="s">
        <v>552</v>
      </c>
      <c r="BE276" s="463">
        <v>0</v>
      </c>
      <c r="BF276" s="728">
        <f t="shared" si="368"/>
        <v>1</v>
      </c>
      <c r="BG276" s="463"/>
      <c r="BH276" s="463">
        <v>0.4</v>
      </c>
      <c r="BI276" s="316" t="s">
        <v>655</v>
      </c>
      <c r="BJ276" s="316" t="s">
        <v>656</v>
      </c>
      <c r="BK276" s="463">
        <v>0.1</v>
      </c>
      <c r="BL276" s="316" t="s">
        <v>514</v>
      </c>
      <c r="BM276" s="316" t="s">
        <v>552</v>
      </c>
      <c r="BN276" s="463">
        <v>0</v>
      </c>
      <c r="BO276" s="728">
        <f t="shared" si="369"/>
        <v>0.5</v>
      </c>
      <c r="BP276" s="463">
        <v>0.4</v>
      </c>
      <c r="BQ276" s="316" t="s">
        <v>655</v>
      </c>
      <c r="BR276" s="316" t="s">
        <v>656</v>
      </c>
      <c r="BS276" s="463">
        <v>0.1</v>
      </c>
      <c r="BT276" s="316" t="s">
        <v>514</v>
      </c>
      <c r="BU276" s="316" t="s">
        <v>552</v>
      </c>
      <c r="BV276" s="463">
        <v>0</v>
      </c>
      <c r="BW276" s="463">
        <f t="shared" si="370"/>
        <v>0.5</v>
      </c>
      <c r="BX276" s="444"/>
      <c r="BY276" s="444"/>
      <c r="BZ276" s="444"/>
      <c r="CA276" s="434"/>
      <c r="CB276" s="723">
        <v>0.72399999999999998</v>
      </c>
      <c r="CC276" s="668" t="s">
        <v>950</v>
      </c>
      <c r="CD276" s="316" t="s">
        <v>655</v>
      </c>
      <c r="CE276" s="316" t="s">
        <v>656</v>
      </c>
      <c r="CF276" s="718">
        <v>0.6</v>
      </c>
      <c r="CG276" s="316" t="s">
        <v>514</v>
      </c>
      <c r="CH276" s="316" t="s">
        <v>552</v>
      </c>
      <c r="CI276" s="718">
        <v>0</v>
      </c>
    </row>
    <row r="277" spans="1:90" ht="15.75" customHeight="1" x14ac:dyDescent="0.2">
      <c r="A277" s="747" t="s">
        <v>441</v>
      </c>
      <c r="B277" s="469" t="s">
        <v>440</v>
      </c>
      <c r="C277" s="718">
        <v>0.4</v>
      </c>
      <c r="D277" s="469" t="s">
        <v>575</v>
      </c>
      <c r="E277" s="469" t="s">
        <v>576</v>
      </c>
      <c r="F277" s="718">
        <v>0.09</v>
      </c>
      <c r="G277" s="469" t="s">
        <v>573</v>
      </c>
      <c r="H277" s="469" t="s">
        <v>574</v>
      </c>
      <c r="I277" s="718">
        <v>0.01</v>
      </c>
      <c r="J277" s="748">
        <f t="shared" si="314"/>
        <v>0.5</v>
      </c>
      <c r="K277" s="718">
        <v>0.4</v>
      </c>
      <c r="L277" s="316" t="s">
        <v>575</v>
      </c>
      <c r="M277" s="316" t="s">
        <v>576</v>
      </c>
      <c r="N277" s="718">
        <v>0.09</v>
      </c>
      <c r="O277" s="316" t="s">
        <v>573</v>
      </c>
      <c r="P277" s="316" t="s">
        <v>574</v>
      </c>
      <c r="Q277" s="718">
        <v>0.01</v>
      </c>
      <c r="R277" s="728">
        <f t="shared" si="325"/>
        <v>0.5</v>
      </c>
      <c r="S277" s="718">
        <v>0.4</v>
      </c>
      <c r="T277" s="316" t="s">
        <v>575</v>
      </c>
      <c r="U277" s="316" t="s">
        <v>576</v>
      </c>
      <c r="V277" s="718">
        <v>0.09</v>
      </c>
      <c r="W277" s="316" t="s">
        <v>573</v>
      </c>
      <c r="X277" s="316" t="s">
        <v>574</v>
      </c>
      <c r="Y277" s="718">
        <v>0.01</v>
      </c>
      <c r="Z277" s="728">
        <f t="shared" si="319"/>
        <v>0.5</v>
      </c>
      <c r="AA277" s="718">
        <v>0.4</v>
      </c>
      <c r="AB277" s="316" t="s">
        <v>575</v>
      </c>
      <c r="AC277" s="316" t="s">
        <v>576</v>
      </c>
      <c r="AD277" s="718">
        <v>0.09</v>
      </c>
      <c r="AE277" s="316" t="s">
        <v>573</v>
      </c>
      <c r="AF277" s="316" t="s">
        <v>574</v>
      </c>
      <c r="AG277" s="718">
        <v>0.01</v>
      </c>
      <c r="AH277" s="728">
        <f t="shared" si="306"/>
        <v>0.5</v>
      </c>
      <c r="AI277" s="718">
        <v>0.4</v>
      </c>
      <c r="AJ277" s="316" t="s">
        <v>575</v>
      </c>
      <c r="AK277" s="316" t="s">
        <v>576</v>
      </c>
      <c r="AL277" s="718">
        <v>0.09</v>
      </c>
      <c r="AM277" s="316" t="s">
        <v>573</v>
      </c>
      <c r="AN277" s="316" t="s">
        <v>574</v>
      </c>
      <c r="AO277" s="718">
        <v>0.01</v>
      </c>
      <c r="AP277" s="728">
        <f t="shared" si="366"/>
        <v>0.5</v>
      </c>
      <c r="AQ277" s="718">
        <v>0.44</v>
      </c>
      <c r="AR277" s="316" t="s">
        <v>575</v>
      </c>
      <c r="AS277" s="316" t="s">
        <v>576</v>
      </c>
      <c r="AT277" s="718">
        <v>0.26</v>
      </c>
      <c r="AU277" s="316" t="s">
        <v>573</v>
      </c>
      <c r="AV277" s="316" t="s">
        <v>574</v>
      </c>
      <c r="AW277" s="718">
        <v>0.05</v>
      </c>
      <c r="AX277" s="463">
        <f t="shared" si="367"/>
        <v>0.75</v>
      </c>
      <c r="AY277" s="661">
        <v>0.4</v>
      </c>
      <c r="AZ277" s="316" t="s">
        <v>575</v>
      </c>
      <c r="BA277" s="316" t="s">
        <v>576</v>
      </c>
      <c r="BB277" s="463">
        <v>0.09</v>
      </c>
      <c r="BC277" s="316" t="s">
        <v>573</v>
      </c>
      <c r="BD277" s="316" t="s">
        <v>574</v>
      </c>
      <c r="BE277" s="463">
        <v>0.01</v>
      </c>
      <c r="BF277" s="728">
        <f t="shared" si="368"/>
        <v>0.5</v>
      </c>
      <c r="BG277" s="463"/>
      <c r="BH277" s="463">
        <v>0.4</v>
      </c>
      <c r="BI277" s="316" t="s">
        <v>575</v>
      </c>
      <c r="BJ277" s="316" t="s">
        <v>576</v>
      </c>
      <c r="BK277" s="463">
        <v>0.09</v>
      </c>
      <c r="BL277" s="316" t="s">
        <v>573</v>
      </c>
      <c r="BM277" s="316" t="s">
        <v>574</v>
      </c>
      <c r="BN277" s="463">
        <v>0.01</v>
      </c>
      <c r="BO277" s="728">
        <f t="shared" si="369"/>
        <v>0.5</v>
      </c>
      <c r="BP277" s="463">
        <v>0.4</v>
      </c>
      <c r="BQ277" s="316" t="s">
        <v>575</v>
      </c>
      <c r="BR277" s="316" t="s">
        <v>576</v>
      </c>
      <c r="BS277" s="463">
        <v>0.09</v>
      </c>
      <c r="BT277" s="316" t="s">
        <v>573</v>
      </c>
      <c r="BU277" s="316" t="s">
        <v>574</v>
      </c>
      <c r="BV277" s="463">
        <v>0.01</v>
      </c>
      <c r="BW277" s="463">
        <f t="shared" si="370"/>
        <v>0.5</v>
      </c>
      <c r="BX277" s="444"/>
      <c r="BY277" s="444"/>
      <c r="BZ277" s="444"/>
      <c r="CA277" s="434"/>
      <c r="CB277" s="723">
        <v>0.68200000000000005</v>
      </c>
      <c r="CC277" s="668" t="s">
        <v>950</v>
      </c>
      <c r="CD277" s="316" t="s">
        <v>575</v>
      </c>
      <c r="CE277" s="316" t="s">
        <v>576</v>
      </c>
      <c r="CF277" s="718">
        <v>0.59</v>
      </c>
      <c r="CG277" s="316" t="s">
        <v>573</v>
      </c>
      <c r="CH277" s="316" t="s">
        <v>574</v>
      </c>
      <c r="CI277" s="718">
        <v>0.01</v>
      </c>
    </row>
    <row r="278" spans="1:90" ht="15.75" customHeight="1" x14ac:dyDescent="0.2">
      <c r="A278" s="747" t="s">
        <v>443</v>
      </c>
      <c r="B278" s="469" t="s">
        <v>442</v>
      </c>
      <c r="C278" s="718">
        <v>0.4</v>
      </c>
      <c r="D278" s="469" t="s">
        <v>596</v>
      </c>
      <c r="E278" s="469" t="s">
        <v>597</v>
      </c>
      <c r="F278" s="718">
        <v>0.1</v>
      </c>
      <c r="G278" s="469" t="s">
        <v>514</v>
      </c>
      <c r="H278" s="469" t="s">
        <v>552</v>
      </c>
      <c r="I278" s="718">
        <v>0</v>
      </c>
      <c r="J278" s="748">
        <f t="shared" si="314"/>
        <v>0.5</v>
      </c>
      <c r="K278" s="718">
        <v>0.4</v>
      </c>
      <c r="L278" s="316" t="s">
        <v>596</v>
      </c>
      <c r="M278" s="316" t="s">
        <v>597</v>
      </c>
      <c r="N278" s="718">
        <v>0.1</v>
      </c>
      <c r="O278" s="316" t="s">
        <v>514</v>
      </c>
      <c r="P278" s="316" t="s">
        <v>552</v>
      </c>
      <c r="Q278" s="718">
        <v>0</v>
      </c>
      <c r="R278" s="728">
        <f t="shared" si="325"/>
        <v>0.5</v>
      </c>
      <c r="S278" s="718">
        <v>0.4</v>
      </c>
      <c r="T278" s="316" t="s">
        <v>596</v>
      </c>
      <c r="U278" s="316" t="s">
        <v>597</v>
      </c>
      <c r="V278" s="718">
        <v>0.1</v>
      </c>
      <c r="W278" s="316" t="s">
        <v>514</v>
      </c>
      <c r="X278" s="316" t="s">
        <v>552</v>
      </c>
      <c r="Y278" s="718">
        <v>0</v>
      </c>
      <c r="Z278" s="728">
        <f t="shared" si="319"/>
        <v>0.5</v>
      </c>
      <c r="AA278" s="718">
        <v>0.4</v>
      </c>
      <c r="AB278" s="316" t="s">
        <v>596</v>
      </c>
      <c r="AC278" s="316" t="s">
        <v>597</v>
      </c>
      <c r="AD278" s="718">
        <v>0.1</v>
      </c>
      <c r="AE278" s="316" t="s">
        <v>514</v>
      </c>
      <c r="AF278" s="316" t="s">
        <v>552</v>
      </c>
      <c r="AG278" s="718">
        <v>0</v>
      </c>
      <c r="AH278" s="728">
        <f t="shared" si="306"/>
        <v>0.5</v>
      </c>
      <c r="AI278" s="718">
        <v>0.4</v>
      </c>
      <c r="AJ278" s="316" t="s">
        <v>596</v>
      </c>
      <c r="AK278" s="316" t="s">
        <v>597</v>
      </c>
      <c r="AL278" s="718">
        <v>0.1</v>
      </c>
      <c r="AM278" s="316" t="s">
        <v>514</v>
      </c>
      <c r="AN278" s="316" t="s">
        <v>552</v>
      </c>
      <c r="AO278" s="718">
        <v>0</v>
      </c>
      <c r="AP278" s="728">
        <f t="shared" si="366"/>
        <v>0.5</v>
      </c>
      <c r="AQ278" s="718">
        <v>0.35</v>
      </c>
      <c r="AR278" s="316" t="s">
        <v>596</v>
      </c>
      <c r="AS278" s="316" t="s">
        <v>597</v>
      </c>
      <c r="AT278" s="718">
        <v>0.4</v>
      </c>
      <c r="AU278" s="316" t="s">
        <v>514</v>
      </c>
      <c r="AV278" s="316" t="s">
        <v>552</v>
      </c>
      <c r="AW278" s="718">
        <v>0</v>
      </c>
      <c r="AX278" s="463">
        <f t="shared" si="367"/>
        <v>0.75</v>
      </c>
      <c r="AY278" s="661">
        <v>0.4</v>
      </c>
      <c r="AZ278" s="316" t="s">
        <v>596</v>
      </c>
      <c r="BA278" s="316" t="s">
        <v>597</v>
      </c>
      <c r="BB278" s="463">
        <v>0.1</v>
      </c>
      <c r="BC278" s="316" t="s">
        <v>514</v>
      </c>
      <c r="BD278" s="316" t="s">
        <v>552</v>
      </c>
      <c r="BE278" s="463">
        <v>0</v>
      </c>
      <c r="BF278" s="728">
        <f t="shared" si="368"/>
        <v>0.5</v>
      </c>
      <c r="BG278" s="463"/>
      <c r="BH278" s="463">
        <v>0.4</v>
      </c>
      <c r="BI278" s="316" t="s">
        <v>596</v>
      </c>
      <c r="BJ278" s="316" t="s">
        <v>597</v>
      </c>
      <c r="BK278" s="463">
        <v>0.1</v>
      </c>
      <c r="BL278" s="316" t="s">
        <v>514</v>
      </c>
      <c r="BM278" s="316" t="s">
        <v>552</v>
      </c>
      <c r="BN278" s="463">
        <v>0</v>
      </c>
      <c r="BO278" s="728">
        <f t="shared" si="369"/>
        <v>0.5</v>
      </c>
      <c r="BP278" s="463">
        <v>0.4</v>
      </c>
      <c r="BQ278" s="316" t="s">
        <v>596</v>
      </c>
      <c r="BR278" s="316" t="s">
        <v>597</v>
      </c>
      <c r="BS278" s="463">
        <v>0.1</v>
      </c>
      <c r="BT278" s="316" t="s">
        <v>514</v>
      </c>
      <c r="BU278" s="316" t="s">
        <v>552</v>
      </c>
      <c r="BV278" s="463">
        <v>0</v>
      </c>
      <c r="BW278" s="463">
        <f t="shared" si="370"/>
        <v>0.5</v>
      </c>
      <c r="BX278" s="444"/>
      <c r="BY278" s="444"/>
      <c r="BZ278" s="444"/>
      <c r="CA278" s="434"/>
      <c r="CB278" s="723">
        <v>0.72299999999999998</v>
      </c>
      <c r="CC278" s="668" t="s">
        <v>950</v>
      </c>
      <c r="CD278" s="316" t="s">
        <v>596</v>
      </c>
      <c r="CE278" s="316" t="s">
        <v>597</v>
      </c>
      <c r="CF278" s="718">
        <v>0.6</v>
      </c>
      <c r="CG278" s="316" t="s">
        <v>514</v>
      </c>
      <c r="CH278" s="316" t="s">
        <v>552</v>
      </c>
      <c r="CI278" s="718">
        <v>0</v>
      </c>
    </row>
    <row r="279" spans="1:90" ht="15.75" customHeight="1" x14ac:dyDescent="0.2">
      <c r="A279" s="747" t="s">
        <v>445</v>
      </c>
      <c r="B279" s="469" t="s">
        <v>527</v>
      </c>
      <c r="C279" s="718">
        <v>0.49</v>
      </c>
      <c r="D279" s="469" t="s">
        <v>514</v>
      </c>
      <c r="E279" s="469" t="s">
        <v>515</v>
      </c>
      <c r="F279" s="718">
        <v>0</v>
      </c>
      <c r="G279" s="469" t="s">
        <v>525</v>
      </c>
      <c r="H279" s="469" t="s">
        <v>526</v>
      </c>
      <c r="I279" s="718">
        <v>0.01</v>
      </c>
      <c r="J279" s="748">
        <f t="shared" si="314"/>
        <v>0.5</v>
      </c>
      <c r="K279" s="718">
        <v>0.49</v>
      </c>
      <c r="L279" s="316" t="s">
        <v>514</v>
      </c>
      <c r="M279" s="316" t="s">
        <v>515</v>
      </c>
      <c r="N279" s="718">
        <v>0</v>
      </c>
      <c r="O279" s="316" t="s">
        <v>525</v>
      </c>
      <c r="P279" s="316" t="s">
        <v>526</v>
      </c>
      <c r="Q279" s="718">
        <v>0.01</v>
      </c>
      <c r="R279" s="728">
        <f t="shared" si="325"/>
        <v>0.5</v>
      </c>
      <c r="S279" s="718">
        <v>0.49</v>
      </c>
      <c r="T279" s="316" t="s">
        <v>514</v>
      </c>
      <c r="U279" s="316" t="s">
        <v>515</v>
      </c>
      <c r="V279" s="718">
        <v>0</v>
      </c>
      <c r="W279" s="316" t="s">
        <v>525</v>
      </c>
      <c r="X279" s="316" t="s">
        <v>526</v>
      </c>
      <c r="Y279" s="718">
        <v>0.01</v>
      </c>
      <c r="Z279" s="728">
        <f t="shared" si="319"/>
        <v>0.5</v>
      </c>
      <c r="AA279" s="718">
        <v>0.49</v>
      </c>
      <c r="AB279" s="316" t="s">
        <v>514</v>
      </c>
      <c r="AC279" s="316" t="s">
        <v>515</v>
      </c>
      <c r="AD279" s="718">
        <v>0</v>
      </c>
      <c r="AE279" s="316" t="s">
        <v>525</v>
      </c>
      <c r="AF279" s="316" t="s">
        <v>526</v>
      </c>
      <c r="AG279" s="718">
        <v>0.01</v>
      </c>
      <c r="AH279" s="728">
        <f t="shared" si="306"/>
        <v>0.5</v>
      </c>
      <c r="AI279" s="718">
        <v>0.49</v>
      </c>
      <c r="AJ279" s="316" t="s">
        <v>514</v>
      </c>
      <c r="AK279" s="316" t="s">
        <v>515</v>
      </c>
      <c r="AL279" s="718">
        <v>0</v>
      </c>
      <c r="AM279" s="316" t="s">
        <v>525</v>
      </c>
      <c r="AN279" s="316" t="s">
        <v>526</v>
      </c>
      <c r="AO279" s="718">
        <v>0.01</v>
      </c>
      <c r="AP279" s="728">
        <f t="shared" ref="AP279:AP282" si="371">+AI279+AL279+AO279</f>
        <v>0.5</v>
      </c>
      <c r="AQ279" s="718">
        <v>0.74</v>
      </c>
      <c r="AR279" s="316" t="s">
        <v>514</v>
      </c>
      <c r="AS279" s="316" t="s">
        <v>515</v>
      </c>
      <c r="AT279" s="718">
        <v>0</v>
      </c>
      <c r="AU279" s="316" t="s">
        <v>525</v>
      </c>
      <c r="AV279" s="316" t="s">
        <v>526</v>
      </c>
      <c r="AW279" s="718">
        <v>0.01</v>
      </c>
      <c r="AX279" s="463">
        <f t="shared" ref="AX279:AX282" si="372">+AQ279+AT279+AW279</f>
        <v>0.75</v>
      </c>
      <c r="AY279" s="661">
        <v>0.99</v>
      </c>
      <c r="AZ279" s="316" t="s">
        <v>514</v>
      </c>
      <c r="BA279" s="316" t="s">
        <v>515</v>
      </c>
      <c r="BB279" s="463">
        <v>0</v>
      </c>
      <c r="BC279" s="316" t="s">
        <v>525</v>
      </c>
      <c r="BD279" s="316" t="s">
        <v>526</v>
      </c>
      <c r="BE279" s="463">
        <v>0.01</v>
      </c>
      <c r="BF279" s="728">
        <f t="shared" ref="BF279:BF282" si="373">+AY279+BB279+BE279</f>
        <v>1</v>
      </c>
      <c r="BG279" s="463"/>
      <c r="BH279" s="463">
        <v>0.49</v>
      </c>
      <c r="BI279" s="316" t="s">
        <v>514</v>
      </c>
      <c r="BJ279" s="316" t="s">
        <v>515</v>
      </c>
      <c r="BK279" s="463">
        <v>0</v>
      </c>
      <c r="BL279" s="316" t="s">
        <v>525</v>
      </c>
      <c r="BM279" s="316" t="s">
        <v>526</v>
      </c>
      <c r="BN279" s="463">
        <v>0.01</v>
      </c>
      <c r="BO279" s="728">
        <f t="shared" ref="BO279:BO282" si="374">+BH279+BK279+BN279</f>
        <v>0.5</v>
      </c>
      <c r="BP279" s="463">
        <v>0.49</v>
      </c>
      <c r="BQ279" s="316" t="s">
        <v>514</v>
      </c>
      <c r="BR279" s="316" t="s">
        <v>515</v>
      </c>
      <c r="BS279" s="463">
        <v>0</v>
      </c>
      <c r="BT279" s="316" t="s">
        <v>525</v>
      </c>
      <c r="BU279" s="316" t="s">
        <v>526</v>
      </c>
      <c r="BV279" s="463">
        <v>0.01</v>
      </c>
      <c r="BW279" s="463">
        <f t="shared" ref="BW279:BW282" si="375">+BP279+BS279+BV279</f>
        <v>0.5</v>
      </c>
      <c r="BX279" s="444"/>
      <c r="BY279" s="444"/>
      <c r="BZ279" s="444"/>
      <c r="CA279" s="436" t="s">
        <v>874</v>
      </c>
      <c r="CB279" s="723">
        <v>0.72499999999999998</v>
      </c>
      <c r="CC279" s="668" t="s">
        <v>950</v>
      </c>
      <c r="CD279" s="316" t="s">
        <v>514</v>
      </c>
      <c r="CE279" s="316" t="s">
        <v>515</v>
      </c>
      <c r="CF279" s="718">
        <v>0</v>
      </c>
      <c r="CG279" s="316" t="s">
        <v>525</v>
      </c>
      <c r="CH279" s="316" t="s">
        <v>526</v>
      </c>
      <c r="CI279" s="718">
        <v>0.01</v>
      </c>
    </row>
    <row r="280" spans="1:90" ht="15.75" customHeight="1" x14ac:dyDescent="0.2">
      <c r="A280" s="747" t="s">
        <v>447</v>
      </c>
      <c r="B280" s="469" t="s">
        <v>446</v>
      </c>
      <c r="C280" s="718">
        <v>0.4</v>
      </c>
      <c r="D280" s="469" t="s">
        <v>563</v>
      </c>
      <c r="E280" s="469" t="s">
        <v>564</v>
      </c>
      <c r="F280" s="718">
        <v>0.09</v>
      </c>
      <c r="G280" s="469" t="s">
        <v>560</v>
      </c>
      <c r="H280" s="469" t="s">
        <v>561</v>
      </c>
      <c r="I280" s="718">
        <v>0.01</v>
      </c>
      <c r="J280" s="748">
        <f t="shared" si="314"/>
        <v>0.5</v>
      </c>
      <c r="K280" s="718">
        <v>0.4</v>
      </c>
      <c r="L280" s="316" t="s">
        <v>563</v>
      </c>
      <c r="M280" s="316" t="s">
        <v>564</v>
      </c>
      <c r="N280" s="718">
        <v>0.09</v>
      </c>
      <c r="O280" s="316" t="s">
        <v>560</v>
      </c>
      <c r="P280" s="316" t="s">
        <v>561</v>
      </c>
      <c r="Q280" s="718">
        <v>0.01</v>
      </c>
      <c r="R280" s="728">
        <f t="shared" si="325"/>
        <v>0.5</v>
      </c>
      <c r="S280" s="718">
        <v>0.4</v>
      </c>
      <c r="T280" s="316" t="s">
        <v>563</v>
      </c>
      <c r="U280" s="316" t="s">
        <v>564</v>
      </c>
      <c r="V280" s="718">
        <v>0.09</v>
      </c>
      <c r="W280" s="316" t="s">
        <v>560</v>
      </c>
      <c r="X280" s="316" t="s">
        <v>561</v>
      </c>
      <c r="Y280" s="718">
        <v>0.01</v>
      </c>
      <c r="Z280" s="728">
        <f t="shared" si="319"/>
        <v>0.5</v>
      </c>
      <c r="AA280" s="718">
        <v>0.4</v>
      </c>
      <c r="AB280" s="316" t="s">
        <v>563</v>
      </c>
      <c r="AC280" s="316" t="s">
        <v>564</v>
      </c>
      <c r="AD280" s="718">
        <v>0.09</v>
      </c>
      <c r="AE280" s="316" t="s">
        <v>560</v>
      </c>
      <c r="AF280" s="316" t="s">
        <v>561</v>
      </c>
      <c r="AG280" s="718">
        <v>0.01</v>
      </c>
      <c r="AH280" s="728">
        <f t="shared" si="306"/>
        <v>0.5</v>
      </c>
      <c r="AI280" s="718">
        <v>0.4</v>
      </c>
      <c r="AJ280" s="316" t="s">
        <v>563</v>
      </c>
      <c r="AK280" s="316" t="s">
        <v>564</v>
      </c>
      <c r="AL280" s="718">
        <v>0.09</v>
      </c>
      <c r="AM280" s="316" t="s">
        <v>560</v>
      </c>
      <c r="AN280" s="316" t="s">
        <v>561</v>
      </c>
      <c r="AO280" s="718">
        <v>0.01</v>
      </c>
      <c r="AP280" s="728">
        <f t="shared" si="371"/>
        <v>0.5</v>
      </c>
      <c r="AQ280" s="718">
        <v>0.4</v>
      </c>
      <c r="AR280" s="316" t="s">
        <v>563</v>
      </c>
      <c r="AS280" s="316" t="s">
        <v>564</v>
      </c>
      <c r="AT280" s="718">
        <v>0.09</v>
      </c>
      <c r="AU280" s="316" t="s">
        <v>560</v>
      </c>
      <c r="AV280" s="316" t="s">
        <v>561</v>
      </c>
      <c r="AW280" s="718">
        <v>0.01</v>
      </c>
      <c r="AX280" s="463">
        <f t="shared" si="372"/>
        <v>0.5</v>
      </c>
      <c r="AY280" s="661">
        <v>0.4</v>
      </c>
      <c r="AZ280" s="316" t="s">
        <v>563</v>
      </c>
      <c r="BA280" s="316" t="s">
        <v>564</v>
      </c>
      <c r="BB280" s="463">
        <v>0.59</v>
      </c>
      <c r="BC280" s="316" t="s">
        <v>560</v>
      </c>
      <c r="BD280" s="316" t="s">
        <v>561</v>
      </c>
      <c r="BE280" s="463">
        <v>0.01</v>
      </c>
      <c r="BF280" s="728">
        <f t="shared" si="373"/>
        <v>1</v>
      </c>
      <c r="BG280" s="463"/>
      <c r="BH280" s="463">
        <v>0.4</v>
      </c>
      <c r="BI280" s="316" t="s">
        <v>563</v>
      </c>
      <c r="BJ280" s="316" t="s">
        <v>564</v>
      </c>
      <c r="BK280" s="463">
        <v>0.09</v>
      </c>
      <c r="BL280" s="316" t="s">
        <v>560</v>
      </c>
      <c r="BM280" s="316" t="s">
        <v>561</v>
      </c>
      <c r="BN280" s="463">
        <v>0.01</v>
      </c>
      <c r="BO280" s="728">
        <f t="shared" si="374"/>
        <v>0.5</v>
      </c>
      <c r="BP280" s="463">
        <v>0.4</v>
      </c>
      <c r="BQ280" s="316" t="s">
        <v>563</v>
      </c>
      <c r="BR280" s="316" t="s">
        <v>564</v>
      </c>
      <c r="BS280" s="463">
        <v>0.09</v>
      </c>
      <c r="BT280" s="316" t="s">
        <v>560</v>
      </c>
      <c r="BU280" s="316" t="s">
        <v>561</v>
      </c>
      <c r="BV280" s="463">
        <v>0.01</v>
      </c>
      <c r="BW280" s="463">
        <f t="shared" si="375"/>
        <v>0.5</v>
      </c>
      <c r="BX280" s="444"/>
      <c r="BY280" s="444"/>
      <c r="BZ280" s="444"/>
      <c r="CA280" s="434"/>
      <c r="CB280" s="723">
        <v>0.66800000000000004</v>
      </c>
      <c r="CC280" s="668" t="s">
        <v>950</v>
      </c>
      <c r="CD280" s="316" t="s">
        <v>563</v>
      </c>
      <c r="CE280" s="316" t="s">
        <v>564</v>
      </c>
      <c r="CF280" s="718">
        <v>0.59</v>
      </c>
      <c r="CG280" s="316" t="s">
        <v>560</v>
      </c>
      <c r="CH280" s="316" t="s">
        <v>561</v>
      </c>
      <c r="CI280" s="718">
        <v>0.01</v>
      </c>
    </row>
    <row r="281" spans="1:90" ht="15.75" customHeight="1" x14ac:dyDescent="0.2">
      <c r="A281" s="747" t="s">
        <v>449</v>
      </c>
      <c r="B281" s="469" t="s">
        <v>448</v>
      </c>
      <c r="C281" s="718">
        <v>0.4</v>
      </c>
      <c r="D281" s="469" t="s">
        <v>615</v>
      </c>
      <c r="E281" s="469" t="s">
        <v>616</v>
      </c>
      <c r="F281" s="718">
        <v>0.09</v>
      </c>
      <c r="G281" s="469" t="s">
        <v>612</v>
      </c>
      <c r="H281" s="469" t="s">
        <v>613</v>
      </c>
      <c r="I281" s="718">
        <v>0.01</v>
      </c>
      <c r="J281" s="748">
        <f t="shared" si="314"/>
        <v>0.5</v>
      </c>
      <c r="K281" s="718">
        <v>0.4</v>
      </c>
      <c r="L281" s="316" t="s">
        <v>615</v>
      </c>
      <c r="M281" s="316" t="s">
        <v>616</v>
      </c>
      <c r="N281" s="718">
        <v>0.09</v>
      </c>
      <c r="O281" s="316" t="s">
        <v>612</v>
      </c>
      <c r="P281" s="316" t="s">
        <v>613</v>
      </c>
      <c r="Q281" s="718">
        <v>0.01</v>
      </c>
      <c r="R281" s="728">
        <f t="shared" si="325"/>
        <v>0.5</v>
      </c>
      <c r="S281" s="718">
        <v>0.4</v>
      </c>
      <c r="T281" s="316" t="s">
        <v>615</v>
      </c>
      <c r="U281" s="316" t="s">
        <v>616</v>
      </c>
      <c r="V281" s="718">
        <v>0.09</v>
      </c>
      <c r="W281" s="316" t="s">
        <v>612</v>
      </c>
      <c r="X281" s="316" t="s">
        <v>613</v>
      </c>
      <c r="Y281" s="718">
        <v>0.01</v>
      </c>
      <c r="Z281" s="728">
        <f t="shared" si="319"/>
        <v>0.5</v>
      </c>
      <c r="AA281" s="718">
        <v>0.4</v>
      </c>
      <c r="AB281" s="316" t="s">
        <v>615</v>
      </c>
      <c r="AC281" s="316" t="s">
        <v>616</v>
      </c>
      <c r="AD281" s="718">
        <v>0.09</v>
      </c>
      <c r="AE281" s="316" t="s">
        <v>612</v>
      </c>
      <c r="AF281" s="316" t="s">
        <v>613</v>
      </c>
      <c r="AG281" s="718">
        <v>0.01</v>
      </c>
      <c r="AH281" s="728">
        <f t="shared" si="306"/>
        <v>0.5</v>
      </c>
      <c r="AI281" s="718">
        <v>0.4</v>
      </c>
      <c r="AJ281" s="316" t="s">
        <v>615</v>
      </c>
      <c r="AK281" s="316" t="s">
        <v>616</v>
      </c>
      <c r="AL281" s="718">
        <v>0.09</v>
      </c>
      <c r="AM281" s="316" t="s">
        <v>612</v>
      </c>
      <c r="AN281" s="316" t="s">
        <v>613</v>
      </c>
      <c r="AO281" s="718">
        <v>0.01</v>
      </c>
      <c r="AP281" s="728">
        <f t="shared" si="371"/>
        <v>0.5</v>
      </c>
      <c r="AQ281" s="718">
        <v>0.56000000000000005</v>
      </c>
      <c r="AR281" s="316" t="s">
        <v>615</v>
      </c>
      <c r="AS281" s="316" t="s">
        <v>616</v>
      </c>
      <c r="AT281" s="718">
        <v>0.17499999999999999</v>
      </c>
      <c r="AU281" s="316" t="s">
        <v>612</v>
      </c>
      <c r="AV281" s="316" t="s">
        <v>613</v>
      </c>
      <c r="AW281" s="718">
        <v>1.4999999999999999E-2</v>
      </c>
      <c r="AX281" s="463">
        <f t="shared" si="372"/>
        <v>0.75000000000000011</v>
      </c>
      <c r="AY281" s="661">
        <v>0.4</v>
      </c>
      <c r="AZ281" s="316" t="s">
        <v>615</v>
      </c>
      <c r="BA281" s="316" t="s">
        <v>616</v>
      </c>
      <c r="BB281" s="463">
        <v>0.09</v>
      </c>
      <c r="BC281" s="316" t="s">
        <v>612</v>
      </c>
      <c r="BD281" s="316" t="s">
        <v>613</v>
      </c>
      <c r="BE281" s="463">
        <v>0.01</v>
      </c>
      <c r="BF281" s="728">
        <f t="shared" si="373"/>
        <v>0.5</v>
      </c>
      <c r="BG281" s="463"/>
      <c r="BH281" s="463">
        <v>0.4</v>
      </c>
      <c r="BI281" s="316" t="s">
        <v>615</v>
      </c>
      <c r="BJ281" s="316" t="s">
        <v>616</v>
      </c>
      <c r="BK281" s="463">
        <v>0.09</v>
      </c>
      <c r="BL281" s="316" t="s">
        <v>612</v>
      </c>
      <c r="BM281" s="316" t="s">
        <v>613</v>
      </c>
      <c r="BN281" s="463">
        <v>0.01</v>
      </c>
      <c r="BO281" s="728">
        <f t="shared" si="374"/>
        <v>0.5</v>
      </c>
      <c r="BP281" s="463">
        <v>0.4</v>
      </c>
      <c r="BQ281" s="316" t="s">
        <v>615</v>
      </c>
      <c r="BR281" s="316" t="s">
        <v>616</v>
      </c>
      <c r="BS281" s="463">
        <v>0.09</v>
      </c>
      <c r="BT281" s="316" t="s">
        <v>612</v>
      </c>
      <c r="BU281" s="316" t="s">
        <v>613</v>
      </c>
      <c r="BV281" s="463">
        <v>0.01</v>
      </c>
      <c r="BW281" s="463">
        <f t="shared" si="375"/>
        <v>0.5</v>
      </c>
      <c r="BX281" s="444"/>
      <c r="BY281" s="444"/>
      <c r="BZ281" s="444"/>
      <c r="CA281" s="434"/>
      <c r="CB281" s="723">
        <v>0.68300000000000005</v>
      </c>
      <c r="CC281" s="668" t="s">
        <v>874</v>
      </c>
      <c r="CD281" s="316" t="s">
        <v>615</v>
      </c>
      <c r="CE281" s="316" t="s">
        <v>616</v>
      </c>
      <c r="CF281" s="718">
        <v>0.59</v>
      </c>
      <c r="CG281" s="316" t="s">
        <v>612</v>
      </c>
      <c r="CH281" s="316" t="s">
        <v>613</v>
      </c>
      <c r="CI281" s="718">
        <v>0.01</v>
      </c>
    </row>
    <row r="282" spans="1:90" ht="15.75" customHeight="1" x14ac:dyDescent="0.2">
      <c r="A282" s="747" t="s">
        <v>451</v>
      </c>
      <c r="B282" s="469" t="s">
        <v>450</v>
      </c>
      <c r="C282" s="718">
        <v>0.4</v>
      </c>
      <c r="D282" s="469" t="s">
        <v>625</v>
      </c>
      <c r="E282" s="469" t="s">
        <v>626</v>
      </c>
      <c r="F282" s="718">
        <v>0.1</v>
      </c>
      <c r="G282" s="469" t="s">
        <v>514</v>
      </c>
      <c r="H282" s="469" t="s">
        <v>552</v>
      </c>
      <c r="I282" s="718">
        <v>0</v>
      </c>
      <c r="J282" s="748">
        <f t="shared" si="314"/>
        <v>0.5</v>
      </c>
      <c r="K282" s="718">
        <v>0.4</v>
      </c>
      <c r="L282" s="316" t="s">
        <v>625</v>
      </c>
      <c r="M282" s="316" t="s">
        <v>626</v>
      </c>
      <c r="N282" s="718">
        <v>0.1</v>
      </c>
      <c r="O282" s="316" t="s">
        <v>514</v>
      </c>
      <c r="P282" s="316" t="s">
        <v>552</v>
      </c>
      <c r="Q282" s="718">
        <v>0</v>
      </c>
      <c r="R282" s="728">
        <f t="shared" si="325"/>
        <v>0.5</v>
      </c>
      <c r="S282" s="718">
        <v>0.4</v>
      </c>
      <c r="T282" s="316" t="s">
        <v>625</v>
      </c>
      <c r="U282" s="316" t="s">
        <v>626</v>
      </c>
      <c r="V282" s="718">
        <v>0.1</v>
      </c>
      <c r="W282" s="316" t="s">
        <v>514</v>
      </c>
      <c r="X282" s="316" t="s">
        <v>552</v>
      </c>
      <c r="Y282" s="718">
        <v>0</v>
      </c>
      <c r="Z282" s="728">
        <f t="shared" si="319"/>
        <v>0.5</v>
      </c>
      <c r="AA282" s="718">
        <v>0.4</v>
      </c>
      <c r="AB282" s="316" t="s">
        <v>625</v>
      </c>
      <c r="AC282" s="316" t="s">
        <v>626</v>
      </c>
      <c r="AD282" s="718">
        <v>0.1</v>
      </c>
      <c r="AE282" s="316" t="s">
        <v>514</v>
      </c>
      <c r="AF282" s="316" t="s">
        <v>552</v>
      </c>
      <c r="AG282" s="718">
        <v>0</v>
      </c>
      <c r="AH282" s="728">
        <f t="shared" si="306"/>
        <v>0.5</v>
      </c>
      <c r="AI282" s="718">
        <v>0.4</v>
      </c>
      <c r="AJ282" s="316" t="s">
        <v>625</v>
      </c>
      <c r="AK282" s="316" t="s">
        <v>626</v>
      </c>
      <c r="AL282" s="718">
        <v>0.1</v>
      </c>
      <c r="AM282" s="316" t="s">
        <v>514</v>
      </c>
      <c r="AN282" s="316" t="s">
        <v>552</v>
      </c>
      <c r="AO282" s="718">
        <v>0</v>
      </c>
      <c r="AP282" s="728">
        <f t="shared" si="371"/>
        <v>0.5</v>
      </c>
      <c r="AQ282" s="718">
        <v>0.4</v>
      </c>
      <c r="AR282" s="316" t="s">
        <v>625</v>
      </c>
      <c r="AS282" s="316" t="s">
        <v>626</v>
      </c>
      <c r="AT282" s="718">
        <v>0.1</v>
      </c>
      <c r="AU282" s="316" t="s">
        <v>514</v>
      </c>
      <c r="AV282" s="316" t="s">
        <v>552</v>
      </c>
      <c r="AW282" s="718">
        <v>0</v>
      </c>
      <c r="AX282" s="463">
        <f t="shared" si="372"/>
        <v>0.5</v>
      </c>
      <c r="AY282" s="661">
        <v>0.6</v>
      </c>
      <c r="AZ282" s="316" t="s">
        <v>625</v>
      </c>
      <c r="BA282" s="316" t="s">
        <v>626</v>
      </c>
      <c r="BB282" s="463">
        <v>0.4</v>
      </c>
      <c r="BC282" s="316" t="s">
        <v>514</v>
      </c>
      <c r="BD282" s="316" t="s">
        <v>552</v>
      </c>
      <c r="BE282" s="463">
        <v>0</v>
      </c>
      <c r="BF282" s="728">
        <f t="shared" si="373"/>
        <v>1</v>
      </c>
      <c r="BG282" s="463"/>
      <c r="BH282" s="463">
        <v>0.4</v>
      </c>
      <c r="BI282" s="316" t="s">
        <v>625</v>
      </c>
      <c r="BJ282" s="316" t="s">
        <v>626</v>
      </c>
      <c r="BK282" s="463">
        <v>0.1</v>
      </c>
      <c r="BL282" s="316" t="s">
        <v>514</v>
      </c>
      <c r="BM282" s="316" t="s">
        <v>552</v>
      </c>
      <c r="BN282" s="463">
        <v>0</v>
      </c>
      <c r="BO282" s="728">
        <f t="shared" si="374"/>
        <v>0.5</v>
      </c>
      <c r="BP282" s="463">
        <v>0.4</v>
      </c>
      <c r="BQ282" s="316" t="s">
        <v>625</v>
      </c>
      <c r="BR282" s="316" t="s">
        <v>626</v>
      </c>
      <c r="BS282" s="463">
        <v>0.1</v>
      </c>
      <c r="BT282" s="316" t="s">
        <v>514</v>
      </c>
      <c r="BU282" s="316" t="s">
        <v>552</v>
      </c>
      <c r="BV282" s="463">
        <v>0</v>
      </c>
      <c r="BW282" s="463">
        <f t="shared" si="375"/>
        <v>0.5</v>
      </c>
      <c r="BX282" s="444"/>
      <c r="BY282" s="444"/>
      <c r="BZ282" s="444"/>
      <c r="CA282" s="434"/>
      <c r="CB282" s="723">
        <v>0.64800000000000002</v>
      </c>
      <c r="CC282" s="668" t="s">
        <v>950</v>
      </c>
      <c r="CD282" s="316" t="s">
        <v>625</v>
      </c>
      <c r="CE282" s="316" t="s">
        <v>626</v>
      </c>
      <c r="CF282" s="718">
        <v>0.6</v>
      </c>
      <c r="CG282" s="316" t="s">
        <v>514</v>
      </c>
      <c r="CH282" s="316" t="s">
        <v>552</v>
      </c>
      <c r="CI282" s="718">
        <v>0</v>
      </c>
    </row>
    <row r="283" spans="1:90" ht="15" x14ac:dyDescent="0.2">
      <c r="A283" s="469" t="s">
        <v>1380</v>
      </c>
      <c r="B283" s="469" t="s">
        <v>1337</v>
      </c>
      <c r="C283" s="718">
        <v>0.49</v>
      </c>
      <c r="D283" s="469" t="s">
        <v>514</v>
      </c>
      <c r="E283" s="469" t="s">
        <v>515</v>
      </c>
      <c r="F283" s="718">
        <v>0</v>
      </c>
      <c r="G283" s="469" t="s">
        <v>2335</v>
      </c>
      <c r="H283" s="469" t="s">
        <v>1228</v>
      </c>
      <c r="I283" s="718">
        <v>0.01</v>
      </c>
      <c r="J283" s="748">
        <f t="shared" si="314"/>
        <v>0.5</v>
      </c>
      <c r="K283" s="718">
        <v>0.49</v>
      </c>
      <c r="L283" s="469" t="s">
        <v>514</v>
      </c>
      <c r="M283" s="469" t="s">
        <v>515</v>
      </c>
      <c r="N283" s="718">
        <v>0</v>
      </c>
      <c r="O283" s="469" t="s">
        <v>2335</v>
      </c>
      <c r="P283" s="469" t="s">
        <v>1228</v>
      </c>
      <c r="Q283" s="718">
        <v>0.01</v>
      </c>
      <c r="R283" s="748">
        <f t="shared" si="325"/>
        <v>0.5</v>
      </c>
      <c r="S283" s="718">
        <v>0.49</v>
      </c>
      <c r="T283" s="469" t="s">
        <v>514</v>
      </c>
      <c r="U283" s="469" t="s">
        <v>515</v>
      </c>
      <c r="V283" s="718">
        <v>0</v>
      </c>
      <c r="W283" s="469" t="s">
        <v>2335</v>
      </c>
      <c r="X283" s="469" t="s">
        <v>1228</v>
      </c>
      <c r="Y283" s="718">
        <v>0.01</v>
      </c>
      <c r="Z283" s="748">
        <f t="shared" si="319"/>
        <v>0.5</v>
      </c>
      <c r="AA283" s="718">
        <v>0.49</v>
      </c>
      <c r="AB283" s="469" t="s">
        <v>514</v>
      </c>
      <c r="AC283" s="469" t="s">
        <v>515</v>
      </c>
      <c r="AD283" s="718">
        <v>0</v>
      </c>
      <c r="AE283" s="469" t="s">
        <v>2335</v>
      </c>
      <c r="AF283" s="469" t="s">
        <v>1228</v>
      </c>
      <c r="AG283" s="718">
        <v>0.01</v>
      </c>
      <c r="AH283" s="748">
        <f t="shared" si="306"/>
        <v>0.5</v>
      </c>
      <c r="AI283" s="718">
        <v>0.49</v>
      </c>
      <c r="AJ283" s="469" t="s">
        <v>514</v>
      </c>
      <c r="AK283" s="469" t="s">
        <v>515</v>
      </c>
      <c r="AL283" s="718">
        <v>0</v>
      </c>
      <c r="AM283" s="469" t="s">
        <v>1229</v>
      </c>
      <c r="AN283" s="469" t="s">
        <v>1228</v>
      </c>
      <c r="AO283" s="718">
        <v>0.01</v>
      </c>
      <c r="AP283" s="748">
        <f>+AI283+AL283+AO283</f>
        <v>0.5</v>
      </c>
      <c r="AQ283" s="718">
        <v>0.74</v>
      </c>
      <c r="AR283" s="469" t="s">
        <v>514</v>
      </c>
      <c r="AS283" s="469" t="s">
        <v>515</v>
      </c>
      <c r="AT283" s="718">
        <v>0</v>
      </c>
      <c r="AU283" s="469" t="s">
        <v>1229</v>
      </c>
      <c r="AV283" s="469" t="s">
        <v>1228</v>
      </c>
      <c r="AW283" s="718">
        <v>0.01</v>
      </c>
      <c r="AX283" s="748">
        <f>+AQ283+AT283+AW283</f>
        <v>0.75</v>
      </c>
      <c r="AY283" s="718">
        <v>0.49</v>
      </c>
      <c r="AZ283" s="469" t="s">
        <v>514</v>
      </c>
      <c r="BA283" s="469" t="s">
        <v>515</v>
      </c>
      <c r="BB283" s="718">
        <v>0</v>
      </c>
      <c r="BC283" s="469" t="s">
        <v>1229</v>
      </c>
      <c r="BD283" s="469" t="s">
        <v>1228</v>
      </c>
      <c r="BE283" s="718">
        <v>0.01</v>
      </c>
      <c r="BF283" s="748">
        <f>+AY283+BB283+BE283</f>
        <v>0.5</v>
      </c>
      <c r="BG283" s="718"/>
      <c r="BH283" s="718">
        <v>0.49</v>
      </c>
      <c r="BI283" s="469" t="s">
        <v>514</v>
      </c>
      <c r="BJ283" s="469" t="s">
        <v>515</v>
      </c>
      <c r="BK283" s="718">
        <v>0</v>
      </c>
      <c r="BL283" s="469" t="s">
        <v>1229</v>
      </c>
      <c r="BM283" s="469" t="s">
        <v>1228</v>
      </c>
      <c r="BN283" s="718">
        <v>0.01</v>
      </c>
      <c r="BO283" s="748">
        <f>+BH283+BK283+BN283</f>
        <v>0.5</v>
      </c>
      <c r="BP283" s="718">
        <v>0.49</v>
      </c>
      <c r="BQ283" s="469" t="s">
        <v>514</v>
      </c>
      <c r="BR283" s="469" t="s">
        <v>515</v>
      </c>
      <c r="BS283" s="718">
        <v>0</v>
      </c>
      <c r="BT283" s="469" t="s">
        <v>1229</v>
      </c>
      <c r="BU283" s="469" t="s">
        <v>1228</v>
      </c>
      <c r="BV283" s="718">
        <v>0.01</v>
      </c>
      <c r="BW283" s="748">
        <f>+BP283+BS283+BV283</f>
        <v>0.5</v>
      </c>
      <c r="BX283" s="845" t="s">
        <v>874</v>
      </c>
      <c r="BY283" s="845"/>
      <c r="BZ283" s="845"/>
      <c r="CA283" s="996" t="s">
        <v>874</v>
      </c>
      <c r="CB283" s="723">
        <v>0.68600000000000005</v>
      </c>
      <c r="CC283" s="751" t="s">
        <v>950</v>
      </c>
      <c r="CD283" s="469" t="s">
        <v>634</v>
      </c>
      <c r="CE283" s="469" t="s">
        <v>635</v>
      </c>
      <c r="CF283" s="718">
        <v>0.59</v>
      </c>
      <c r="CG283" s="469" t="s">
        <v>1229</v>
      </c>
      <c r="CH283" s="469" t="s">
        <v>1228</v>
      </c>
      <c r="CI283" s="718">
        <v>0.01</v>
      </c>
    </row>
    <row r="284" spans="1:90" ht="15.75" customHeight="1" x14ac:dyDescent="0.2">
      <c r="A284" s="747" t="s">
        <v>453</v>
      </c>
      <c r="B284" s="469" t="s">
        <v>452</v>
      </c>
      <c r="C284" s="718">
        <v>0.4</v>
      </c>
      <c r="D284" s="469" t="s">
        <v>642</v>
      </c>
      <c r="E284" s="469" t="s">
        <v>643</v>
      </c>
      <c r="F284" s="718">
        <v>0.1</v>
      </c>
      <c r="G284" s="469" t="s">
        <v>514</v>
      </c>
      <c r="H284" s="469" t="s">
        <v>552</v>
      </c>
      <c r="I284" s="718">
        <v>0</v>
      </c>
      <c r="J284" s="748">
        <f t="shared" si="314"/>
        <v>0.5</v>
      </c>
      <c r="K284" s="718">
        <v>0.4</v>
      </c>
      <c r="L284" s="316" t="s">
        <v>642</v>
      </c>
      <c r="M284" s="316" t="s">
        <v>643</v>
      </c>
      <c r="N284" s="718">
        <v>0.1</v>
      </c>
      <c r="O284" s="316" t="s">
        <v>514</v>
      </c>
      <c r="P284" s="316" t="s">
        <v>552</v>
      </c>
      <c r="Q284" s="718">
        <v>0</v>
      </c>
      <c r="R284" s="728">
        <f t="shared" si="325"/>
        <v>0.5</v>
      </c>
      <c r="S284" s="718">
        <v>0.4</v>
      </c>
      <c r="T284" s="316" t="s">
        <v>642</v>
      </c>
      <c r="U284" s="316" t="s">
        <v>643</v>
      </c>
      <c r="V284" s="718">
        <v>0.1</v>
      </c>
      <c r="W284" s="316" t="s">
        <v>514</v>
      </c>
      <c r="X284" s="316" t="s">
        <v>552</v>
      </c>
      <c r="Y284" s="718">
        <v>0</v>
      </c>
      <c r="Z284" s="728">
        <f t="shared" si="319"/>
        <v>0.5</v>
      </c>
      <c r="AA284" s="718">
        <v>0.4</v>
      </c>
      <c r="AB284" s="316" t="s">
        <v>642</v>
      </c>
      <c r="AC284" s="316" t="s">
        <v>643</v>
      </c>
      <c r="AD284" s="718">
        <v>0.1</v>
      </c>
      <c r="AE284" s="316" t="s">
        <v>514</v>
      </c>
      <c r="AF284" s="316" t="s">
        <v>552</v>
      </c>
      <c r="AG284" s="718">
        <v>0</v>
      </c>
      <c r="AH284" s="728">
        <f t="shared" ref="AH284:AH289" si="376">+AA284+AD284+AG284</f>
        <v>0.5</v>
      </c>
      <c r="AI284" s="718">
        <v>0.4</v>
      </c>
      <c r="AJ284" s="316" t="s">
        <v>642</v>
      </c>
      <c r="AK284" s="316" t="s">
        <v>643</v>
      </c>
      <c r="AL284" s="718">
        <v>0.1</v>
      </c>
      <c r="AM284" s="316" t="s">
        <v>514</v>
      </c>
      <c r="AN284" s="316" t="s">
        <v>552</v>
      </c>
      <c r="AO284" s="718">
        <v>0</v>
      </c>
      <c r="AP284" s="728">
        <f t="shared" ref="AP284:AP285" si="377">+AI284+AL284+AO284</f>
        <v>0.5</v>
      </c>
      <c r="AQ284" s="718">
        <v>0.4</v>
      </c>
      <c r="AR284" s="316" t="s">
        <v>642</v>
      </c>
      <c r="AS284" s="316" t="s">
        <v>643</v>
      </c>
      <c r="AT284" s="718">
        <v>0.1</v>
      </c>
      <c r="AU284" s="316" t="s">
        <v>514</v>
      </c>
      <c r="AV284" s="316" t="s">
        <v>552</v>
      </c>
      <c r="AW284" s="718">
        <v>0</v>
      </c>
      <c r="AX284" s="463">
        <f t="shared" ref="AX284:AX285" si="378">+AQ284+AT284+AW284</f>
        <v>0.5</v>
      </c>
      <c r="AY284" s="661">
        <v>0.4</v>
      </c>
      <c r="AZ284" s="316" t="s">
        <v>642</v>
      </c>
      <c r="BA284" s="316" t="s">
        <v>643</v>
      </c>
      <c r="BB284" s="463">
        <v>0.1</v>
      </c>
      <c r="BC284" s="316" t="s">
        <v>514</v>
      </c>
      <c r="BD284" s="316" t="s">
        <v>552</v>
      </c>
      <c r="BE284" s="463">
        <v>0</v>
      </c>
      <c r="BF284" s="728">
        <f t="shared" ref="BF284:BF285" si="379">+AY284+BB284+BE284</f>
        <v>0.5</v>
      </c>
      <c r="BG284" s="463"/>
      <c r="BH284" s="463">
        <v>0.4</v>
      </c>
      <c r="BI284" s="316" t="s">
        <v>642</v>
      </c>
      <c r="BJ284" s="316" t="s">
        <v>643</v>
      </c>
      <c r="BK284" s="463">
        <v>0.1</v>
      </c>
      <c r="BL284" s="316" t="s">
        <v>514</v>
      </c>
      <c r="BM284" s="316" t="s">
        <v>552</v>
      </c>
      <c r="BN284" s="463">
        <v>0</v>
      </c>
      <c r="BO284" s="728">
        <f t="shared" ref="BO284:BO285" si="380">+BH284+BK284+BN284</f>
        <v>0.5</v>
      </c>
      <c r="BP284" s="463">
        <v>0.4</v>
      </c>
      <c r="BQ284" s="316" t="s">
        <v>642</v>
      </c>
      <c r="BR284" s="316" t="s">
        <v>643</v>
      </c>
      <c r="BS284" s="463">
        <v>0.1</v>
      </c>
      <c r="BT284" s="316" t="s">
        <v>514</v>
      </c>
      <c r="BU284" s="316" t="s">
        <v>552</v>
      </c>
      <c r="BV284" s="463">
        <v>0</v>
      </c>
      <c r="BW284" s="463">
        <f t="shared" ref="BW284:BW285" si="381">+BP284+BS284+BV284</f>
        <v>0.5</v>
      </c>
      <c r="CA284" s="434"/>
      <c r="CB284" s="723">
        <v>0.7</v>
      </c>
      <c r="CC284" s="668" t="s">
        <v>950</v>
      </c>
      <c r="CD284" s="316" t="s">
        <v>642</v>
      </c>
      <c r="CE284" s="316" t="s">
        <v>643</v>
      </c>
      <c r="CF284" s="718">
        <v>0.6</v>
      </c>
      <c r="CG284" s="316" t="s">
        <v>514</v>
      </c>
      <c r="CH284" s="316" t="s">
        <v>552</v>
      </c>
      <c r="CI284" s="718">
        <v>0</v>
      </c>
    </row>
    <row r="285" spans="1:90" s="544" customFormat="1" ht="15.75" customHeight="1" x14ac:dyDescent="0.2">
      <c r="A285" s="747" t="s">
        <v>1226</v>
      </c>
      <c r="B285" s="469" t="s">
        <v>1225</v>
      </c>
      <c r="C285" s="718">
        <v>0.4</v>
      </c>
      <c r="D285" s="469" t="s">
        <v>653</v>
      </c>
      <c r="E285" s="469" t="s">
        <v>654</v>
      </c>
      <c r="F285" s="718">
        <v>0.1</v>
      </c>
      <c r="G285" s="469" t="s">
        <v>514</v>
      </c>
      <c r="H285" s="469" t="s">
        <v>552</v>
      </c>
      <c r="I285" s="718">
        <v>0</v>
      </c>
      <c r="J285" s="748">
        <f t="shared" si="314"/>
        <v>0.5</v>
      </c>
      <c r="K285" s="718">
        <v>0.4</v>
      </c>
      <c r="L285" s="469" t="s">
        <v>653</v>
      </c>
      <c r="M285" s="469" t="s">
        <v>654</v>
      </c>
      <c r="N285" s="718">
        <v>0.1</v>
      </c>
      <c r="O285" s="469" t="s">
        <v>514</v>
      </c>
      <c r="P285" s="469" t="s">
        <v>552</v>
      </c>
      <c r="Q285" s="718">
        <v>0</v>
      </c>
      <c r="R285" s="748">
        <f t="shared" si="325"/>
        <v>0.5</v>
      </c>
      <c r="S285" s="718">
        <v>0.4</v>
      </c>
      <c r="T285" s="469" t="s">
        <v>653</v>
      </c>
      <c r="U285" s="469" t="s">
        <v>654</v>
      </c>
      <c r="V285" s="718">
        <v>0.1</v>
      </c>
      <c r="W285" s="469" t="s">
        <v>514</v>
      </c>
      <c r="X285" s="469" t="s">
        <v>552</v>
      </c>
      <c r="Y285" s="718">
        <v>0</v>
      </c>
      <c r="Z285" s="748">
        <f t="shared" si="319"/>
        <v>0.5</v>
      </c>
      <c r="AA285" s="718">
        <v>0.4</v>
      </c>
      <c r="AB285" s="469" t="s">
        <v>653</v>
      </c>
      <c r="AC285" s="469" t="s">
        <v>654</v>
      </c>
      <c r="AD285" s="718">
        <v>0.1</v>
      </c>
      <c r="AE285" s="469" t="s">
        <v>514</v>
      </c>
      <c r="AF285" s="469" t="s">
        <v>552</v>
      </c>
      <c r="AG285" s="718">
        <v>0</v>
      </c>
      <c r="AH285" s="748">
        <f t="shared" si="376"/>
        <v>0.5</v>
      </c>
      <c r="AI285" s="718">
        <v>0.4</v>
      </c>
      <c r="AJ285" s="469" t="s">
        <v>653</v>
      </c>
      <c r="AK285" s="469" t="s">
        <v>654</v>
      </c>
      <c r="AL285" s="718">
        <v>0.1</v>
      </c>
      <c r="AM285" s="469" t="s">
        <v>514</v>
      </c>
      <c r="AN285" s="469" t="s">
        <v>552</v>
      </c>
      <c r="AO285" s="718">
        <v>0</v>
      </c>
      <c r="AP285" s="748">
        <f t="shared" si="377"/>
        <v>0.5</v>
      </c>
      <c r="AQ285" s="718">
        <v>0.4</v>
      </c>
      <c r="AR285" s="469" t="s">
        <v>653</v>
      </c>
      <c r="AS285" s="469" t="s">
        <v>654</v>
      </c>
      <c r="AT285" s="718">
        <v>0.1</v>
      </c>
      <c r="AU285" s="469" t="s">
        <v>514</v>
      </c>
      <c r="AV285" s="469" t="s">
        <v>552</v>
      </c>
      <c r="AW285" s="718">
        <v>0</v>
      </c>
      <c r="AX285" s="718">
        <f t="shared" si="378"/>
        <v>0.5</v>
      </c>
      <c r="AY285" s="749">
        <v>0.8</v>
      </c>
      <c r="AZ285" s="469" t="s">
        <v>653</v>
      </c>
      <c r="BA285" s="469" t="s">
        <v>654</v>
      </c>
      <c r="BB285" s="718">
        <v>0.2</v>
      </c>
      <c r="BC285" s="469" t="s">
        <v>514</v>
      </c>
      <c r="BD285" s="469" t="s">
        <v>552</v>
      </c>
      <c r="BE285" s="718">
        <v>0</v>
      </c>
      <c r="BF285" s="748">
        <f t="shared" si="379"/>
        <v>1</v>
      </c>
      <c r="BG285" s="718"/>
      <c r="BH285" s="718">
        <v>0.4</v>
      </c>
      <c r="BI285" s="469" t="s">
        <v>653</v>
      </c>
      <c r="BJ285" s="469" t="s">
        <v>654</v>
      </c>
      <c r="BK285" s="718">
        <v>0.1</v>
      </c>
      <c r="BL285" s="469" t="s">
        <v>514</v>
      </c>
      <c r="BM285" s="469" t="s">
        <v>552</v>
      </c>
      <c r="BN285" s="718">
        <v>0</v>
      </c>
      <c r="BO285" s="748">
        <f t="shared" si="380"/>
        <v>0.5</v>
      </c>
      <c r="BP285" s="718">
        <v>0.4</v>
      </c>
      <c r="BQ285" s="469" t="s">
        <v>653</v>
      </c>
      <c r="BR285" s="469" t="s">
        <v>654</v>
      </c>
      <c r="BS285" s="718">
        <v>0.1</v>
      </c>
      <c r="BT285" s="469" t="s">
        <v>514</v>
      </c>
      <c r="BU285" s="469" t="s">
        <v>552</v>
      </c>
      <c r="BV285" s="718">
        <v>0</v>
      </c>
      <c r="BW285" s="718">
        <f t="shared" si="381"/>
        <v>0.5</v>
      </c>
      <c r="BX285" s="449" t="s">
        <v>874</v>
      </c>
      <c r="BY285" s="449"/>
      <c r="BZ285" s="449"/>
      <c r="CA285" s="753"/>
      <c r="CB285" s="723">
        <v>0.70899999999999996</v>
      </c>
      <c r="CC285" s="751" t="s">
        <v>950</v>
      </c>
      <c r="CD285" s="469" t="s">
        <v>653</v>
      </c>
      <c r="CE285" s="469" t="s">
        <v>654</v>
      </c>
      <c r="CF285" s="718">
        <v>0.6</v>
      </c>
      <c r="CG285" s="469" t="s">
        <v>514</v>
      </c>
      <c r="CH285" s="469" t="s">
        <v>552</v>
      </c>
      <c r="CI285" s="718">
        <v>0</v>
      </c>
      <c r="CK285" s="457"/>
      <c r="CL285" s="457"/>
    </row>
    <row r="286" spans="1:90" ht="15.75" customHeight="1" x14ac:dyDescent="0.2">
      <c r="A286" s="747" t="s">
        <v>455</v>
      </c>
      <c r="B286" s="469" t="s">
        <v>454</v>
      </c>
      <c r="C286" s="718">
        <v>0.3</v>
      </c>
      <c r="D286" s="469" t="s">
        <v>680</v>
      </c>
      <c r="E286" s="469" t="s">
        <v>681</v>
      </c>
      <c r="F286" s="718">
        <v>0.37</v>
      </c>
      <c r="G286" s="469" t="s">
        <v>514</v>
      </c>
      <c r="H286" s="469" t="s">
        <v>514</v>
      </c>
      <c r="I286" s="718">
        <v>0</v>
      </c>
      <c r="J286" s="748">
        <f t="shared" si="314"/>
        <v>0.66999999999999993</v>
      </c>
      <c r="K286" s="718">
        <v>0.3</v>
      </c>
      <c r="L286" s="316" t="s">
        <v>680</v>
      </c>
      <c r="M286" s="316" t="s">
        <v>681</v>
      </c>
      <c r="N286" s="718">
        <v>0.37</v>
      </c>
      <c r="O286" s="316" t="s">
        <v>514</v>
      </c>
      <c r="P286" s="316" t="s">
        <v>514</v>
      </c>
      <c r="Q286" s="718">
        <v>0</v>
      </c>
      <c r="R286" s="728">
        <f t="shared" si="325"/>
        <v>0.66999999999999993</v>
      </c>
      <c r="S286" s="718">
        <v>0.3</v>
      </c>
      <c r="T286" s="316" t="s">
        <v>680</v>
      </c>
      <c r="U286" s="316" t="s">
        <v>681</v>
      </c>
      <c r="V286" s="718">
        <v>0.37</v>
      </c>
      <c r="W286" s="316" t="s">
        <v>514</v>
      </c>
      <c r="X286" s="316" t="s">
        <v>514</v>
      </c>
      <c r="Y286" s="718">
        <v>0</v>
      </c>
      <c r="Z286" s="728">
        <f t="shared" si="319"/>
        <v>0.66999999999999993</v>
      </c>
      <c r="AA286" s="718">
        <v>0.3</v>
      </c>
      <c r="AB286" s="316" t="s">
        <v>680</v>
      </c>
      <c r="AC286" s="316" t="s">
        <v>681</v>
      </c>
      <c r="AD286" s="718">
        <v>0.37</v>
      </c>
      <c r="AE286" s="316" t="s">
        <v>514</v>
      </c>
      <c r="AF286" s="316" t="s">
        <v>514</v>
      </c>
      <c r="AG286" s="718">
        <v>0</v>
      </c>
      <c r="AH286" s="728">
        <f t="shared" si="376"/>
        <v>0.66999999999999993</v>
      </c>
      <c r="AI286" s="718">
        <v>0.3</v>
      </c>
      <c r="AJ286" s="316" t="s">
        <v>680</v>
      </c>
      <c r="AK286" s="316" t="s">
        <v>681</v>
      </c>
      <c r="AL286" s="718">
        <v>0.37</v>
      </c>
      <c r="AM286" s="316" t="s">
        <v>514</v>
      </c>
      <c r="AN286" s="316" t="s">
        <v>514</v>
      </c>
      <c r="AO286" s="718">
        <v>0</v>
      </c>
      <c r="AP286" s="728">
        <f t="shared" ref="AP286:AP289" si="382">+AI286+AL286+AO286</f>
        <v>0.66999999999999993</v>
      </c>
      <c r="AQ286" s="718">
        <v>0.48</v>
      </c>
      <c r="AR286" s="316" t="s">
        <v>680</v>
      </c>
      <c r="AS286" s="316" t="s">
        <v>681</v>
      </c>
      <c r="AT286" s="718">
        <v>0.27</v>
      </c>
      <c r="AU286" s="316" t="s">
        <v>514</v>
      </c>
      <c r="AV286" s="316" t="s">
        <v>514</v>
      </c>
      <c r="AW286" s="718">
        <v>0</v>
      </c>
      <c r="AX286" s="463">
        <f t="shared" ref="AX286:AX289" si="383">+AQ286+AT286+AW286</f>
        <v>0.75</v>
      </c>
      <c r="AY286" s="661">
        <v>0.64</v>
      </c>
      <c r="AZ286" s="316" t="s">
        <v>680</v>
      </c>
      <c r="BA286" s="316" t="s">
        <v>681</v>
      </c>
      <c r="BB286" s="463">
        <v>0.36</v>
      </c>
      <c r="BC286" s="316" t="s">
        <v>514</v>
      </c>
      <c r="BD286" s="316" t="s">
        <v>514</v>
      </c>
      <c r="BE286" s="463">
        <v>0</v>
      </c>
      <c r="BF286" s="728">
        <f t="shared" ref="BF286:BF289" si="384">+AY286+BB286+BE286</f>
        <v>1</v>
      </c>
      <c r="BG286" s="463"/>
      <c r="BH286" s="463">
        <v>0.3</v>
      </c>
      <c r="BI286" s="316" t="s">
        <v>680</v>
      </c>
      <c r="BJ286" s="316" t="s">
        <v>681</v>
      </c>
      <c r="BK286" s="463">
        <v>0.37</v>
      </c>
      <c r="BL286" s="316" t="s">
        <v>514</v>
      </c>
      <c r="BM286" s="316" t="s">
        <v>514</v>
      </c>
      <c r="BN286" s="463">
        <v>0</v>
      </c>
      <c r="BO286" s="728">
        <f t="shared" ref="BO286:BO289" si="385">+BH286+BK286+BN286</f>
        <v>0.66999999999999993</v>
      </c>
      <c r="BP286" s="463">
        <v>0.3</v>
      </c>
      <c r="BQ286" s="316" t="s">
        <v>680</v>
      </c>
      <c r="BR286" s="316" t="s">
        <v>681</v>
      </c>
      <c r="BS286" s="463">
        <v>0.2</v>
      </c>
      <c r="BT286" s="316" t="s">
        <v>514</v>
      </c>
      <c r="BU286" s="316" t="s">
        <v>514</v>
      </c>
      <c r="BV286" s="463">
        <v>0</v>
      </c>
      <c r="BW286" s="463">
        <f t="shared" ref="BW286:BW289" si="386">+BP286+BS286+BV286</f>
        <v>0.5</v>
      </c>
      <c r="BX286" s="444"/>
      <c r="BY286" s="444"/>
      <c r="BZ286" s="444"/>
      <c r="CA286" s="436" t="s">
        <v>874</v>
      </c>
      <c r="CB286" s="723">
        <v>0.73599999999999999</v>
      </c>
      <c r="CC286" s="668" t="s">
        <v>950</v>
      </c>
      <c r="CD286" s="316" t="s">
        <v>680</v>
      </c>
      <c r="CE286" s="316" t="s">
        <v>681</v>
      </c>
      <c r="CF286" s="718">
        <v>0.2</v>
      </c>
      <c r="CG286" s="316" t="s">
        <v>514</v>
      </c>
      <c r="CH286" s="316" t="s">
        <v>514</v>
      </c>
      <c r="CI286" s="718">
        <v>0</v>
      </c>
    </row>
    <row r="287" spans="1:90" ht="15.75" customHeight="1" x14ac:dyDescent="0.2">
      <c r="A287" s="747" t="s">
        <v>2432</v>
      </c>
      <c r="B287" s="469" t="s">
        <v>2441</v>
      </c>
      <c r="C287" s="718">
        <v>0.49</v>
      </c>
      <c r="D287" s="469" t="s">
        <v>514</v>
      </c>
      <c r="E287" s="469" t="s">
        <v>515</v>
      </c>
      <c r="F287" s="718">
        <v>0</v>
      </c>
      <c r="G287" s="469" t="s">
        <v>2784</v>
      </c>
      <c r="H287" s="469" t="s">
        <v>2795</v>
      </c>
      <c r="I287" s="718">
        <v>0.01</v>
      </c>
      <c r="J287" s="748">
        <f t="shared" si="314"/>
        <v>0.5</v>
      </c>
      <c r="K287" s="842">
        <v>0.49</v>
      </c>
      <c r="L287" s="843" t="s">
        <v>514</v>
      </c>
      <c r="M287" s="843" t="s">
        <v>515</v>
      </c>
      <c r="N287" s="842">
        <v>0</v>
      </c>
      <c r="O287" s="843" t="s">
        <v>2784</v>
      </c>
      <c r="P287" s="843" t="s">
        <v>2795</v>
      </c>
      <c r="Q287" s="842">
        <v>0.01</v>
      </c>
      <c r="R287" s="844">
        <f t="shared" si="325"/>
        <v>0.5</v>
      </c>
      <c r="S287" s="842">
        <v>0.5</v>
      </c>
      <c r="T287" s="843" t="s">
        <v>515</v>
      </c>
      <c r="U287" s="843" t="s">
        <v>514</v>
      </c>
      <c r="V287" s="842">
        <v>0</v>
      </c>
      <c r="W287" s="843" t="s">
        <v>514</v>
      </c>
      <c r="X287" s="843" t="s">
        <v>552</v>
      </c>
      <c r="Y287" s="842">
        <v>0</v>
      </c>
      <c r="Z287" s="844">
        <f t="shared" si="319"/>
        <v>0.5</v>
      </c>
      <c r="AA287" s="842">
        <v>0.5</v>
      </c>
      <c r="AB287" s="843" t="s">
        <v>515</v>
      </c>
      <c r="AC287" s="843" t="s">
        <v>514</v>
      </c>
      <c r="AD287" s="842">
        <v>0</v>
      </c>
      <c r="AE287" s="843" t="s">
        <v>514</v>
      </c>
      <c r="AF287" s="843" t="s">
        <v>552</v>
      </c>
      <c r="AG287" s="842">
        <v>0</v>
      </c>
      <c r="AH287" s="844">
        <f t="shared" si="376"/>
        <v>0.5</v>
      </c>
      <c r="AI287" s="842">
        <v>0.5</v>
      </c>
      <c r="AJ287" s="843" t="s">
        <v>515</v>
      </c>
      <c r="AK287" s="843" t="s">
        <v>514</v>
      </c>
      <c r="AL287" s="842">
        <v>0</v>
      </c>
      <c r="AM287" s="843" t="s">
        <v>514</v>
      </c>
      <c r="AN287" s="843" t="s">
        <v>552</v>
      </c>
      <c r="AO287" s="842">
        <v>0</v>
      </c>
      <c r="AP287" s="844">
        <f t="shared" si="382"/>
        <v>0.5</v>
      </c>
      <c r="AQ287" s="842">
        <v>0.5</v>
      </c>
      <c r="AR287" s="843" t="s">
        <v>515</v>
      </c>
      <c r="AS287" s="843" t="s">
        <v>514</v>
      </c>
      <c r="AT287" s="842">
        <v>0</v>
      </c>
      <c r="AU287" s="843" t="s">
        <v>514</v>
      </c>
      <c r="AV287" s="843" t="s">
        <v>552</v>
      </c>
      <c r="AW287" s="842">
        <v>0</v>
      </c>
      <c r="AX287" s="844">
        <f t="shared" si="383"/>
        <v>0.5</v>
      </c>
      <c r="AY287" s="842">
        <v>0.5</v>
      </c>
      <c r="AZ287" s="843" t="s">
        <v>515</v>
      </c>
      <c r="BA287" s="843" t="s">
        <v>514</v>
      </c>
      <c r="BB287" s="842">
        <v>0</v>
      </c>
      <c r="BC287" s="843" t="s">
        <v>514</v>
      </c>
      <c r="BD287" s="843" t="s">
        <v>552</v>
      </c>
      <c r="BE287" s="842">
        <v>0</v>
      </c>
      <c r="BF287" s="844">
        <f t="shared" si="384"/>
        <v>0.5</v>
      </c>
      <c r="BG287" s="463"/>
      <c r="BH287" s="842">
        <v>0.5</v>
      </c>
      <c r="BI287" s="843" t="s">
        <v>515</v>
      </c>
      <c r="BJ287" s="843" t="s">
        <v>514</v>
      </c>
      <c r="BK287" s="842">
        <v>0</v>
      </c>
      <c r="BL287" s="843" t="s">
        <v>514</v>
      </c>
      <c r="BM287" s="843" t="s">
        <v>552</v>
      </c>
      <c r="BN287" s="842">
        <v>0</v>
      </c>
      <c r="BO287" s="844">
        <f t="shared" si="385"/>
        <v>0.5</v>
      </c>
      <c r="BP287" s="842">
        <v>0.5</v>
      </c>
      <c r="BQ287" s="843" t="s">
        <v>515</v>
      </c>
      <c r="BR287" s="843" t="s">
        <v>514</v>
      </c>
      <c r="BS287" s="842">
        <v>0</v>
      </c>
      <c r="BT287" s="843" t="s">
        <v>514</v>
      </c>
      <c r="BU287" s="843" t="s">
        <v>552</v>
      </c>
      <c r="BV287" s="842">
        <v>0</v>
      </c>
      <c r="BW287" s="844">
        <f t="shared" si="386"/>
        <v>0.5</v>
      </c>
      <c r="BX287" s="444"/>
      <c r="BY287" s="444"/>
      <c r="BZ287" s="444"/>
      <c r="CA287" s="436" t="s">
        <v>874</v>
      </c>
      <c r="CB287" s="723">
        <v>0.64</v>
      </c>
      <c r="CC287" s="668" t="s">
        <v>950</v>
      </c>
      <c r="CD287" s="316" t="s">
        <v>514</v>
      </c>
      <c r="CE287" s="316" t="s">
        <v>515</v>
      </c>
      <c r="CF287" s="718">
        <v>0</v>
      </c>
      <c r="CG287" s="316" t="s">
        <v>514</v>
      </c>
      <c r="CH287" s="316" t="s">
        <v>552</v>
      </c>
      <c r="CI287" s="718">
        <v>0</v>
      </c>
    </row>
    <row r="288" spans="1:90" ht="15.75" customHeight="1" x14ac:dyDescent="0.2">
      <c r="A288" s="747" t="s">
        <v>457</v>
      </c>
      <c r="B288" s="469" t="s">
        <v>456</v>
      </c>
      <c r="C288" s="718">
        <v>0.99</v>
      </c>
      <c r="D288" s="469" t="s">
        <v>514</v>
      </c>
      <c r="E288" s="469" t="s">
        <v>666</v>
      </c>
      <c r="F288" s="718">
        <v>0</v>
      </c>
      <c r="G288" s="469" t="s">
        <v>1328</v>
      </c>
      <c r="H288" s="469" t="s">
        <v>1243</v>
      </c>
      <c r="I288" s="718">
        <v>0.01</v>
      </c>
      <c r="J288" s="748">
        <f t="shared" si="314"/>
        <v>1</v>
      </c>
      <c r="K288" s="718">
        <v>0.99</v>
      </c>
      <c r="L288" s="316" t="s">
        <v>514</v>
      </c>
      <c r="M288" s="316" t="s">
        <v>666</v>
      </c>
      <c r="N288" s="718">
        <v>0</v>
      </c>
      <c r="O288" s="316" t="s">
        <v>1328</v>
      </c>
      <c r="P288" s="316" t="s">
        <v>1243</v>
      </c>
      <c r="Q288" s="718">
        <v>0.01</v>
      </c>
      <c r="R288" s="728">
        <f t="shared" si="325"/>
        <v>1</v>
      </c>
      <c r="S288" s="718">
        <v>0.99</v>
      </c>
      <c r="T288" s="316" t="s">
        <v>514</v>
      </c>
      <c r="U288" s="316" t="s">
        <v>666</v>
      </c>
      <c r="V288" s="718">
        <v>0</v>
      </c>
      <c r="W288" s="316" t="s">
        <v>1328</v>
      </c>
      <c r="X288" s="316" t="s">
        <v>1243</v>
      </c>
      <c r="Y288" s="718">
        <v>0.01</v>
      </c>
      <c r="Z288" s="728">
        <f t="shared" si="319"/>
        <v>1</v>
      </c>
      <c r="AA288" s="718">
        <v>0.99</v>
      </c>
      <c r="AB288" s="316" t="s">
        <v>514</v>
      </c>
      <c r="AC288" s="316" t="s">
        <v>666</v>
      </c>
      <c r="AD288" s="718">
        <v>0</v>
      </c>
      <c r="AE288" s="316" t="s">
        <v>1328</v>
      </c>
      <c r="AF288" s="316" t="s">
        <v>1243</v>
      </c>
      <c r="AG288" s="718">
        <v>0.01</v>
      </c>
      <c r="AH288" s="728">
        <f t="shared" si="376"/>
        <v>1</v>
      </c>
      <c r="AI288" s="718">
        <v>0.99</v>
      </c>
      <c r="AJ288" s="316" t="s">
        <v>514</v>
      </c>
      <c r="AK288" s="316" t="s">
        <v>666</v>
      </c>
      <c r="AL288" s="718">
        <v>0</v>
      </c>
      <c r="AM288" s="316" t="s">
        <v>1328</v>
      </c>
      <c r="AN288" s="316" t="s">
        <v>1243</v>
      </c>
      <c r="AO288" s="718">
        <v>0.01</v>
      </c>
      <c r="AP288" s="728">
        <f t="shared" si="382"/>
        <v>1</v>
      </c>
      <c r="AQ288" s="718">
        <v>0.99</v>
      </c>
      <c r="AR288" s="316" t="s">
        <v>514</v>
      </c>
      <c r="AS288" s="316" t="s">
        <v>666</v>
      </c>
      <c r="AT288" s="718">
        <v>0</v>
      </c>
      <c r="AU288" s="316" t="s">
        <v>667</v>
      </c>
      <c r="AV288" s="316" t="s">
        <v>1243</v>
      </c>
      <c r="AW288" s="718">
        <v>0.01</v>
      </c>
      <c r="AX288" s="463">
        <f t="shared" si="383"/>
        <v>1</v>
      </c>
      <c r="AY288" s="661">
        <v>0.99</v>
      </c>
      <c r="AZ288" s="316" t="s">
        <v>514</v>
      </c>
      <c r="BA288" s="316" t="s">
        <v>666</v>
      </c>
      <c r="BB288" s="463">
        <v>0</v>
      </c>
      <c r="BC288" s="316" t="s">
        <v>667</v>
      </c>
      <c r="BD288" s="316" t="s">
        <v>668</v>
      </c>
      <c r="BE288" s="463">
        <v>0.01</v>
      </c>
      <c r="BF288" s="728">
        <f t="shared" si="384"/>
        <v>1</v>
      </c>
      <c r="BG288" s="463"/>
      <c r="BH288" s="463">
        <v>0.99</v>
      </c>
      <c r="BI288" s="316" t="s">
        <v>514</v>
      </c>
      <c r="BJ288" s="316" t="s">
        <v>666</v>
      </c>
      <c r="BK288" s="463">
        <v>0</v>
      </c>
      <c r="BL288" s="316" t="s">
        <v>667</v>
      </c>
      <c r="BM288" s="316" t="s">
        <v>668</v>
      </c>
      <c r="BN288" s="463">
        <v>0.01</v>
      </c>
      <c r="BO288" s="728">
        <f t="shared" si="385"/>
        <v>1</v>
      </c>
      <c r="BP288" s="463">
        <v>0.49</v>
      </c>
      <c r="BQ288" s="316" t="s">
        <v>514</v>
      </c>
      <c r="BR288" s="316" t="s">
        <v>666</v>
      </c>
      <c r="BS288" s="463">
        <v>0</v>
      </c>
      <c r="BT288" s="316" t="s">
        <v>667</v>
      </c>
      <c r="BU288" s="316" t="s">
        <v>668</v>
      </c>
      <c r="BV288" s="463">
        <v>0.01</v>
      </c>
      <c r="BW288" s="463">
        <f t="shared" si="386"/>
        <v>0.5</v>
      </c>
      <c r="BX288" s="444"/>
      <c r="BY288" s="444"/>
      <c r="BZ288" s="444"/>
      <c r="CA288" s="436" t="s">
        <v>874</v>
      </c>
      <c r="CB288" s="723">
        <v>0.66500000000000004</v>
      </c>
      <c r="CC288" s="668" t="s">
        <v>950</v>
      </c>
      <c r="CD288" s="316" t="s">
        <v>514</v>
      </c>
      <c r="CE288" s="316" t="s">
        <v>666</v>
      </c>
      <c r="CF288" s="718">
        <v>0</v>
      </c>
      <c r="CG288" s="316" t="s">
        <v>667</v>
      </c>
      <c r="CH288" s="316" t="s">
        <v>668</v>
      </c>
      <c r="CI288" s="718">
        <v>0.01</v>
      </c>
    </row>
    <row r="289" spans="1:87" ht="15.75" customHeight="1" x14ac:dyDescent="0.2">
      <c r="A289" s="747" t="s">
        <v>459</v>
      </c>
      <c r="B289" s="469" t="s">
        <v>458</v>
      </c>
      <c r="C289" s="718">
        <v>0.49</v>
      </c>
      <c r="D289" s="469" t="s">
        <v>514</v>
      </c>
      <c r="E289" s="469" t="s">
        <v>515</v>
      </c>
      <c r="F289" s="718">
        <v>0</v>
      </c>
      <c r="G289" s="469" t="s">
        <v>1329</v>
      </c>
      <c r="H289" s="469" t="s">
        <v>1330</v>
      </c>
      <c r="I289" s="718">
        <v>0.01</v>
      </c>
      <c r="J289" s="748">
        <f t="shared" si="314"/>
        <v>0.5</v>
      </c>
      <c r="K289" s="718">
        <v>0.49</v>
      </c>
      <c r="L289" s="316" t="s">
        <v>514</v>
      </c>
      <c r="M289" s="316" t="s">
        <v>515</v>
      </c>
      <c r="N289" s="718">
        <v>0</v>
      </c>
      <c r="O289" s="316" t="s">
        <v>1329</v>
      </c>
      <c r="P289" s="316" t="s">
        <v>1330</v>
      </c>
      <c r="Q289" s="718">
        <v>0.01</v>
      </c>
      <c r="R289" s="728">
        <f t="shared" si="325"/>
        <v>0.5</v>
      </c>
      <c r="S289" s="718">
        <v>0.49</v>
      </c>
      <c r="T289" s="316" t="s">
        <v>514</v>
      </c>
      <c r="U289" s="316" t="s">
        <v>515</v>
      </c>
      <c r="V289" s="718">
        <v>0</v>
      </c>
      <c r="W289" s="316" t="s">
        <v>1329</v>
      </c>
      <c r="X289" s="316" t="s">
        <v>1330</v>
      </c>
      <c r="Y289" s="718">
        <v>0.01</v>
      </c>
      <c r="Z289" s="728">
        <f t="shared" si="319"/>
        <v>0.5</v>
      </c>
      <c r="AA289" s="718">
        <v>0.49</v>
      </c>
      <c r="AB289" s="316" t="s">
        <v>514</v>
      </c>
      <c r="AC289" s="316" t="s">
        <v>515</v>
      </c>
      <c r="AD289" s="718">
        <v>0</v>
      </c>
      <c r="AE289" s="316" t="s">
        <v>1329</v>
      </c>
      <c r="AF289" s="316" t="s">
        <v>1330</v>
      </c>
      <c r="AG289" s="718">
        <v>0.01</v>
      </c>
      <c r="AH289" s="728">
        <f t="shared" si="376"/>
        <v>0.5</v>
      </c>
      <c r="AI289" s="718">
        <v>0.49</v>
      </c>
      <c r="AJ289" s="316" t="s">
        <v>514</v>
      </c>
      <c r="AK289" s="316" t="s">
        <v>515</v>
      </c>
      <c r="AL289" s="718">
        <v>0</v>
      </c>
      <c r="AM289" s="316" t="s">
        <v>1329</v>
      </c>
      <c r="AN289" s="316" t="s">
        <v>1330</v>
      </c>
      <c r="AO289" s="718">
        <v>0.01</v>
      </c>
      <c r="AP289" s="728">
        <f t="shared" si="382"/>
        <v>0.5</v>
      </c>
      <c r="AQ289" s="718">
        <v>0.49</v>
      </c>
      <c r="AR289" s="316" t="s">
        <v>514</v>
      </c>
      <c r="AS289" s="316" t="s">
        <v>515</v>
      </c>
      <c r="AT289" s="718">
        <v>0</v>
      </c>
      <c r="AU289" s="316" t="s">
        <v>664</v>
      </c>
      <c r="AV289" s="316" t="s">
        <v>665</v>
      </c>
      <c r="AW289" s="718">
        <v>0.01</v>
      </c>
      <c r="AX289" s="463">
        <f t="shared" si="383"/>
        <v>0.5</v>
      </c>
      <c r="AY289" s="661">
        <v>0.49</v>
      </c>
      <c r="AZ289" s="316" t="s">
        <v>514</v>
      </c>
      <c r="BA289" s="316" t="s">
        <v>515</v>
      </c>
      <c r="BB289" s="463">
        <v>0</v>
      </c>
      <c r="BC289" s="316" t="s">
        <v>664</v>
      </c>
      <c r="BD289" s="316" t="s">
        <v>665</v>
      </c>
      <c r="BE289" s="463">
        <v>0.01</v>
      </c>
      <c r="BF289" s="728">
        <f t="shared" si="384"/>
        <v>0.5</v>
      </c>
      <c r="BG289" s="463"/>
      <c r="BH289" s="463">
        <v>0.49</v>
      </c>
      <c r="BI289" s="316" t="s">
        <v>514</v>
      </c>
      <c r="BJ289" s="316" t="s">
        <v>515</v>
      </c>
      <c r="BK289" s="463">
        <v>0</v>
      </c>
      <c r="BL289" s="316" t="s">
        <v>664</v>
      </c>
      <c r="BM289" s="316" t="s">
        <v>665</v>
      </c>
      <c r="BN289" s="463">
        <v>0.01</v>
      </c>
      <c r="BO289" s="728">
        <f t="shared" si="385"/>
        <v>0.5</v>
      </c>
      <c r="BP289" s="463">
        <v>0.49</v>
      </c>
      <c r="BQ289" s="316" t="s">
        <v>514</v>
      </c>
      <c r="BR289" s="316" t="s">
        <v>515</v>
      </c>
      <c r="BS289" s="463">
        <v>0</v>
      </c>
      <c r="BT289" s="316" t="s">
        <v>664</v>
      </c>
      <c r="BU289" s="316" t="s">
        <v>665</v>
      </c>
      <c r="BV289" s="463">
        <v>0.01</v>
      </c>
      <c r="BW289" s="463">
        <f t="shared" si="386"/>
        <v>0.5</v>
      </c>
      <c r="BX289" s="444"/>
      <c r="BY289" s="444"/>
      <c r="BZ289" s="444"/>
      <c r="CA289" s="436" t="s">
        <v>874</v>
      </c>
      <c r="CB289" s="723">
        <v>0.68500000000000005</v>
      </c>
      <c r="CC289" s="668" t="s">
        <v>950</v>
      </c>
      <c r="CD289" s="316" t="s">
        <v>514</v>
      </c>
      <c r="CE289" s="316" t="s">
        <v>515</v>
      </c>
      <c r="CF289" s="718">
        <v>0</v>
      </c>
      <c r="CG289" s="316" t="s">
        <v>664</v>
      </c>
      <c r="CH289" s="316" t="s">
        <v>665</v>
      </c>
      <c r="CI289" s="718">
        <v>0.01</v>
      </c>
    </row>
    <row r="290" spans="1:87" ht="15.75" customHeight="1" x14ac:dyDescent="0.2">
      <c r="A290" s="747" t="s">
        <v>461</v>
      </c>
      <c r="B290" s="469" t="s">
        <v>460</v>
      </c>
      <c r="C290" s="718">
        <v>0.4</v>
      </c>
      <c r="D290" s="469" t="s">
        <v>589</v>
      </c>
      <c r="E290" s="469" t="s">
        <v>590</v>
      </c>
      <c r="F290" s="718">
        <v>0.09</v>
      </c>
      <c r="G290" s="469" t="s">
        <v>2290</v>
      </c>
      <c r="H290" s="469" t="s">
        <v>2291</v>
      </c>
      <c r="I290" s="718">
        <v>0.01</v>
      </c>
      <c r="J290" s="748">
        <f t="shared" si="314"/>
        <v>0.5</v>
      </c>
      <c r="K290" s="718">
        <v>0.4</v>
      </c>
      <c r="L290" s="316" t="s">
        <v>589</v>
      </c>
      <c r="M290" s="316" t="s">
        <v>590</v>
      </c>
      <c r="N290" s="718">
        <v>0.09</v>
      </c>
      <c r="O290" s="316" t="s">
        <v>2290</v>
      </c>
      <c r="P290" s="316" t="s">
        <v>2291</v>
      </c>
      <c r="Q290" s="718">
        <v>0.01</v>
      </c>
      <c r="R290" s="728">
        <f t="shared" si="325"/>
        <v>0.5</v>
      </c>
      <c r="S290" s="718">
        <v>0.4</v>
      </c>
      <c r="T290" s="316" t="s">
        <v>589</v>
      </c>
      <c r="U290" s="316" t="s">
        <v>590</v>
      </c>
      <c r="V290" s="718">
        <v>0.09</v>
      </c>
      <c r="W290" s="316" t="s">
        <v>2290</v>
      </c>
      <c r="X290" s="316" t="s">
        <v>2291</v>
      </c>
      <c r="Y290" s="718">
        <v>0.01</v>
      </c>
      <c r="Z290" s="728">
        <f t="shared" si="319"/>
        <v>0.5</v>
      </c>
      <c r="AA290" s="718">
        <v>0.4</v>
      </c>
      <c r="AB290" s="316" t="s">
        <v>589</v>
      </c>
      <c r="AC290" s="316" t="s">
        <v>590</v>
      </c>
      <c r="AD290" s="718">
        <v>0.09</v>
      </c>
      <c r="AE290" s="316" t="s">
        <v>2290</v>
      </c>
      <c r="AF290" s="316" t="s">
        <v>2291</v>
      </c>
      <c r="AG290" s="718">
        <v>0.01</v>
      </c>
      <c r="AH290" s="728">
        <f t="shared" ref="AH290:AH295" si="387">+AA290+AD290+AG290</f>
        <v>0.5</v>
      </c>
      <c r="AI290" s="718">
        <v>0.4</v>
      </c>
      <c r="AJ290" s="316" t="s">
        <v>589</v>
      </c>
      <c r="AK290" s="316" t="s">
        <v>590</v>
      </c>
      <c r="AL290" s="718">
        <v>0.09</v>
      </c>
      <c r="AM290" s="316" t="s">
        <v>586</v>
      </c>
      <c r="AN290" s="316" t="s">
        <v>1341</v>
      </c>
      <c r="AO290" s="718">
        <v>0.01</v>
      </c>
      <c r="AP290" s="728">
        <f t="shared" ref="AP290:AP293" si="388">+AI290+AL290+AO290</f>
        <v>0.5</v>
      </c>
      <c r="AQ290" s="718">
        <v>0.4</v>
      </c>
      <c r="AR290" s="316" t="s">
        <v>589</v>
      </c>
      <c r="AS290" s="316" t="s">
        <v>590</v>
      </c>
      <c r="AT290" s="718">
        <v>0.09</v>
      </c>
      <c r="AU290" s="316" t="s">
        <v>586</v>
      </c>
      <c r="AV290" s="316" t="s">
        <v>587</v>
      </c>
      <c r="AW290" s="718">
        <v>0.01</v>
      </c>
      <c r="AX290" s="463">
        <f t="shared" ref="AX290:AX293" si="389">+AQ290+AT290+AW290</f>
        <v>0.5</v>
      </c>
      <c r="AY290" s="661">
        <v>0.4</v>
      </c>
      <c r="AZ290" s="316" t="s">
        <v>589</v>
      </c>
      <c r="BA290" s="316" t="s">
        <v>590</v>
      </c>
      <c r="BB290" s="463">
        <v>0.09</v>
      </c>
      <c r="BC290" s="316" t="s">
        <v>586</v>
      </c>
      <c r="BD290" s="316" t="s">
        <v>587</v>
      </c>
      <c r="BE290" s="463">
        <v>0.01</v>
      </c>
      <c r="BF290" s="728">
        <f t="shared" ref="BF290:BF293" si="390">+AY290+BB290+BE290</f>
        <v>0.5</v>
      </c>
      <c r="BG290" s="463"/>
      <c r="BH290" s="463">
        <v>0.4</v>
      </c>
      <c r="BI290" s="316" t="s">
        <v>589</v>
      </c>
      <c r="BJ290" s="316" t="s">
        <v>590</v>
      </c>
      <c r="BK290" s="463">
        <v>0.09</v>
      </c>
      <c r="BL290" s="316" t="s">
        <v>586</v>
      </c>
      <c r="BM290" s="316" t="s">
        <v>587</v>
      </c>
      <c r="BN290" s="463">
        <v>0.01</v>
      </c>
      <c r="BO290" s="728">
        <f t="shared" ref="BO290:BO293" si="391">+BH290+BK290+BN290</f>
        <v>0.5</v>
      </c>
      <c r="BP290" s="463">
        <v>0.4</v>
      </c>
      <c r="BQ290" s="316" t="s">
        <v>589</v>
      </c>
      <c r="BR290" s="316" t="s">
        <v>590</v>
      </c>
      <c r="BS290" s="463">
        <v>0.09</v>
      </c>
      <c r="BT290" s="316" t="s">
        <v>586</v>
      </c>
      <c r="BU290" s="316" t="s">
        <v>587</v>
      </c>
      <c r="BV290" s="463">
        <v>0.01</v>
      </c>
      <c r="BW290" s="463">
        <f t="shared" ref="BW290:BW293" si="392">+BP290+BS290+BV290</f>
        <v>0.5</v>
      </c>
      <c r="BX290" s="444"/>
      <c r="BY290" s="444"/>
      <c r="BZ290" s="444"/>
      <c r="CA290" s="434"/>
      <c r="CB290" s="723">
        <v>0.70699999999999996</v>
      </c>
      <c r="CC290" s="668" t="s">
        <v>950</v>
      </c>
      <c r="CD290" s="316" t="s">
        <v>589</v>
      </c>
      <c r="CE290" s="316" t="s">
        <v>590</v>
      </c>
      <c r="CF290" s="718">
        <v>0.59</v>
      </c>
      <c r="CG290" s="316" t="s">
        <v>586</v>
      </c>
      <c r="CH290" s="316" t="s">
        <v>587</v>
      </c>
      <c r="CI290" s="718">
        <v>0.01</v>
      </c>
    </row>
    <row r="291" spans="1:87" ht="15.75" customHeight="1" x14ac:dyDescent="0.2">
      <c r="A291" s="747" t="s">
        <v>463</v>
      </c>
      <c r="B291" s="469" t="s">
        <v>530</v>
      </c>
      <c r="C291" s="718">
        <v>0.49</v>
      </c>
      <c r="D291" s="469" t="s">
        <v>514</v>
      </c>
      <c r="E291" s="469" t="s">
        <v>515</v>
      </c>
      <c r="F291" s="718">
        <v>0</v>
      </c>
      <c r="G291" s="469" t="s">
        <v>525</v>
      </c>
      <c r="H291" s="469" t="s">
        <v>526</v>
      </c>
      <c r="I291" s="718">
        <v>0.01</v>
      </c>
      <c r="J291" s="748">
        <f t="shared" si="314"/>
        <v>0.5</v>
      </c>
      <c r="K291" s="718">
        <v>0.49</v>
      </c>
      <c r="L291" s="316" t="s">
        <v>514</v>
      </c>
      <c r="M291" s="316" t="s">
        <v>515</v>
      </c>
      <c r="N291" s="718">
        <v>0</v>
      </c>
      <c r="O291" s="316" t="s">
        <v>525</v>
      </c>
      <c r="P291" s="316" t="s">
        <v>526</v>
      </c>
      <c r="Q291" s="718">
        <v>0.01</v>
      </c>
      <c r="R291" s="728">
        <f t="shared" si="325"/>
        <v>0.5</v>
      </c>
      <c r="S291" s="718">
        <v>0.49</v>
      </c>
      <c r="T291" s="316" t="s">
        <v>514</v>
      </c>
      <c r="U291" s="316" t="s">
        <v>515</v>
      </c>
      <c r="V291" s="718">
        <v>0</v>
      </c>
      <c r="W291" s="316" t="s">
        <v>525</v>
      </c>
      <c r="X291" s="316" t="s">
        <v>526</v>
      </c>
      <c r="Y291" s="718">
        <v>0.01</v>
      </c>
      <c r="Z291" s="728">
        <f t="shared" si="319"/>
        <v>0.5</v>
      </c>
      <c r="AA291" s="718">
        <v>0.49</v>
      </c>
      <c r="AB291" s="316" t="s">
        <v>514</v>
      </c>
      <c r="AC291" s="316" t="s">
        <v>515</v>
      </c>
      <c r="AD291" s="718">
        <v>0</v>
      </c>
      <c r="AE291" s="316" t="s">
        <v>525</v>
      </c>
      <c r="AF291" s="316" t="s">
        <v>526</v>
      </c>
      <c r="AG291" s="718">
        <v>0.01</v>
      </c>
      <c r="AH291" s="728">
        <f t="shared" si="387"/>
        <v>0.5</v>
      </c>
      <c r="AI291" s="718">
        <v>0.49</v>
      </c>
      <c r="AJ291" s="316" t="s">
        <v>514</v>
      </c>
      <c r="AK291" s="316" t="s">
        <v>515</v>
      </c>
      <c r="AL291" s="718">
        <v>0</v>
      </c>
      <c r="AM291" s="316" t="s">
        <v>525</v>
      </c>
      <c r="AN291" s="316" t="s">
        <v>526</v>
      </c>
      <c r="AO291" s="718">
        <v>0.01</v>
      </c>
      <c r="AP291" s="728">
        <f t="shared" si="388"/>
        <v>0.5</v>
      </c>
      <c r="AQ291" s="718">
        <v>0.74</v>
      </c>
      <c r="AR291" s="316" t="s">
        <v>514</v>
      </c>
      <c r="AS291" s="316" t="s">
        <v>515</v>
      </c>
      <c r="AT291" s="718">
        <v>0</v>
      </c>
      <c r="AU291" s="316" t="s">
        <v>525</v>
      </c>
      <c r="AV291" s="316" t="s">
        <v>526</v>
      </c>
      <c r="AW291" s="718">
        <v>0.01</v>
      </c>
      <c r="AX291" s="463">
        <f t="shared" si="389"/>
        <v>0.75</v>
      </c>
      <c r="AY291" s="661">
        <v>0.99</v>
      </c>
      <c r="AZ291" s="316" t="s">
        <v>514</v>
      </c>
      <c r="BA291" s="316" t="s">
        <v>515</v>
      </c>
      <c r="BB291" s="463">
        <v>0</v>
      </c>
      <c r="BC291" s="316" t="s">
        <v>525</v>
      </c>
      <c r="BD291" s="316" t="s">
        <v>526</v>
      </c>
      <c r="BE291" s="463">
        <v>0.01</v>
      </c>
      <c r="BF291" s="728">
        <f t="shared" si="390"/>
        <v>1</v>
      </c>
      <c r="BG291" s="463"/>
      <c r="BH291" s="463">
        <v>0.49</v>
      </c>
      <c r="BI291" s="316" t="s">
        <v>514</v>
      </c>
      <c r="BJ291" s="316" t="s">
        <v>515</v>
      </c>
      <c r="BK291" s="463">
        <v>0</v>
      </c>
      <c r="BL291" s="316" t="s">
        <v>525</v>
      </c>
      <c r="BM291" s="316" t="s">
        <v>526</v>
      </c>
      <c r="BN291" s="463">
        <v>0.01</v>
      </c>
      <c r="BO291" s="728">
        <f t="shared" si="391"/>
        <v>0.5</v>
      </c>
      <c r="BP291" s="463">
        <v>0.49</v>
      </c>
      <c r="BQ291" s="316" t="s">
        <v>514</v>
      </c>
      <c r="BR291" s="316" t="s">
        <v>515</v>
      </c>
      <c r="BS291" s="463">
        <v>0</v>
      </c>
      <c r="BT291" s="316" t="s">
        <v>525</v>
      </c>
      <c r="BU291" s="316" t="s">
        <v>526</v>
      </c>
      <c r="BV291" s="463">
        <v>0.01</v>
      </c>
      <c r="BW291" s="463">
        <f t="shared" si="392"/>
        <v>0.5</v>
      </c>
      <c r="BX291" s="444"/>
      <c r="BY291" s="444"/>
      <c r="BZ291" s="444"/>
      <c r="CA291" s="436" t="s">
        <v>874</v>
      </c>
      <c r="CB291" s="723">
        <v>0.73899999999999999</v>
      </c>
      <c r="CC291" s="668" t="s">
        <v>950</v>
      </c>
      <c r="CD291" s="316" t="s">
        <v>514</v>
      </c>
      <c r="CE291" s="316" t="s">
        <v>515</v>
      </c>
      <c r="CF291" s="718">
        <v>0</v>
      </c>
      <c r="CG291" s="316" t="s">
        <v>525</v>
      </c>
      <c r="CH291" s="316" t="s">
        <v>526</v>
      </c>
      <c r="CI291" s="718">
        <v>0.01</v>
      </c>
    </row>
    <row r="292" spans="1:87" ht="15" x14ac:dyDescent="0.2">
      <c r="A292" s="747" t="s">
        <v>465</v>
      </c>
      <c r="B292" s="469" t="s">
        <v>464</v>
      </c>
      <c r="C292" s="718">
        <v>0.99</v>
      </c>
      <c r="D292" s="469" t="s">
        <v>514</v>
      </c>
      <c r="E292" s="469" t="s">
        <v>666</v>
      </c>
      <c r="F292" s="718">
        <v>0</v>
      </c>
      <c r="G292" s="469" t="s">
        <v>669</v>
      </c>
      <c r="H292" s="469" t="s">
        <v>670</v>
      </c>
      <c r="I292" s="718">
        <v>0.01</v>
      </c>
      <c r="J292" s="748">
        <f t="shared" si="314"/>
        <v>1</v>
      </c>
      <c r="K292" s="718">
        <v>0.99</v>
      </c>
      <c r="L292" s="316" t="s">
        <v>514</v>
      </c>
      <c r="M292" s="316" t="s">
        <v>666</v>
      </c>
      <c r="N292" s="718">
        <v>0</v>
      </c>
      <c r="O292" s="316" t="s">
        <v>669</v>
      </c>
      <c r="P292" s="316" t="s">
        <v>670</v>
      </c>
      <c r="Q292" s="718">
        <v>0.01</v>
      </c>
      <c r="R292" s="728">
        <f t="shared" si="325"/>
        <v>1</v>
      </c>
      <c r="S292" s="718">
        <v>0.99</v>
      </c>
      <c r="T292" s="316" t="s">
        <v>514</v>
      </c>
      <c r="U292" s="316" t="s">
        <v>666</v>
      </c>
      <c r="V292" s="718">
        <v>0</v>
      </c>
      <c r="W292" s="316" t="s">
        <v>669</v>
      </c>
      <c r="X292" s="316" t="s">
        <v>670</v>
      </c>
      <c r="Y292" s="718">
        <v>0.01</v>
      </c>
      <c r="Z292" s="728">
        <f t="shared" si="319"/>
        <v>1</v>
      </c>
      <c r="AA292" s="718">
        <v>0.99</v>
      </c>
      <c r="AB292" s="316" t="s">
        <v>514</v>
      </c>
      <c r="AC292" s="316" t="s">
        <v>666</v>
      </c>
      <c r="AD292" s="718">
        <v>0</v>
      </c>
      <c r="AE292" s="316" t="s">
        <v>669</v>
      </c>
      <c r="AF292" s="316" t="s">
        <v>670</v>
      </c>
      <c r="AG292" s="718">
        <v>0.01</v>
      </c>
      <c r="AH292" s="728">
        <f t="shared" si="387"/>
        <v>1</v>
      </c>
      <c r="AI292" s="718">
        <v>0.99</v>
      </c>
      <c r="AJ292" s="316" t="s">
        <v>514</v>
      </c>
      <c r="AK292" s="316" t="s">
        <v>666</v>
      </c>
      <c r="AL292" s="718">
        <v>0</v>
      </c>
      <c r="AM292" s="316" t="s">
        <v>669</v>
      </c>
      <c r="AN292" s="316" t="s">
        <v>670</v>
      </c>
      <c r="AO292" s="718">
        <v>0.01</v>
      </c>
      <c r="AP292" s="728">
        <f t="shared" si="388"/>
        <v>1</v>
      </c>
      <c r="AQ292" s="718">
        <v>0.99</v>
      </c>
      <c r="AR292" s="316" t="s">
        <v>514</v>
      </c>
      <c r="AS292" s="316" t="s">
        <v>666</v>
      </c>
      <c r="AT292" s="718">
        <v>0</v>
      </c>
      <c r="AU292" s="316" t="s">
        <v>669</v>
      </c>
      <c r="AV292" s="316" t="s">
        <v>670</v>
      </c>
      <c r="AW292" s="718">
        <v>0.01</v>
      </c>
      <c r="AX292" s="463">
        <f t="shared" si="389"/>
        <v>1</v>
      </c>
      <c r="AY292" s="661">
        <v>0.99</v>
      </c>
      <c r="AZ292" s="316" t="s">
        <v>514</v>
      </c>
      <c r="BA292" s="316" t="s">
        <v>666</v>
      </c>
      <c r="BB292" s="463">
        <v>0</v>
      </c>
      <c r="BC292" s="316" t="s">
        <v>669</v>
      </c>
      <c r="BD292" s="316" t="s">
        <v>670</v>
      </c>
      <c r="BE292" s="463">
        <v>0.01</v>
      </c>
      <c r="BF292" s="728">
        <f t="shared" si="390"/>
        <v>1</v>
      </c>
      <c r="BG292" s="463"/>
      <c r="BH292" s="463">
        <v>0.99</v>
      </c>
      <c r="BI292" s="316" t="s">
        <v>514</v>
      </c>
      <c r="BJ292" s="316" t="s">
        <v>666</v>
      </c>
      <c r="BK292" s="463">
        <v>0</v>
      </c>
      <c r="BL292" s="316" t="s">
        <v>669</v>
      </c>
      <c r="BM292" s="316" t="s">
        <v>670</v>
      </c>
      <c r="BN292" s="463">
        <v>0.01</v>
      </c>
      <c r="BO292" s="728">
        <f t="shared" si="391"/>
        <v>1</v>
      </c>
      <c r="BP292" s="463">
        <v>0.49</v>
      </c>
      <c r="BQ292" s="316" t="s">
        <v>514</v>
      </c>
      <c r="BR292" s="316" t="s">
        <v>666</v>
      </c>
      <c r="BS292" s="463">
        <v>0</v>
      </c>
      <c r="BT292" s="316" t="s">
        <v>669</v>
      </c>
      <c r="BU292" s="316" t="s">
        <v>670</v>
      </c>
      <c r="BV292" s="463">
        <v>0.01</v>
      </c>
      <c r="BW292" s="463">
        <f t="shared" si="392"/>
        <v>0.5</v>
      </c>
      <c r="BX292" s="444" t="s">
        <v>874</v>
      </c>
      <c r="BY292" s="444" t="s">
        <v>874</v>
      </c>
      <c r="BZ292" s="444"/>
      <c r="CA292" s="436" t="s">
        <v>874</v>
      </c>
      <c r="CB292" s="723">
        <v>0.66600000000000004</v>
      </c>
      <c r="CC292" s="668" t="s">
        <v>950</v>
      </c>
      <c r="CD292" s="316" t="s">
        <v>514</v>
      </c>
      <c r="CE292" s="316" t="s">
        <v>666</v>
      </c>
      <c r="CF292" s="718">
        <v>0</v>
      </c>
      <c r="CG292" s="316" t="s">
        <v>669</v>
      </c>
      <c r="CH292" s="316" t="s">
        <v>670</v>
      </c>
      <c r="CI292" s="718">
        <v>0.01</v>
      </c>
    </row>
    <row r="293" spans="1:87" ht="15.75" customHeight="1" x14ac:dyDescent="0.2">
      <c r="A293" s="747" t="s">
        <v>467</v>
      </c>
      <c r="B293" s="469" t="s">
        <v>466</v>
      </c>
      <c r="C293" s="718">
        <v>0.4</v>
      </c>
      <c r="D293" s="469" t="s">
        <v>655</v>
      </c>
      <c r="E293" s="469" t="s">
        <v>656</v>
      </c>
      <c r="F293" s="718">
        <v>0.1</v>
      </c>
      <c r="G293" s="469" t="s">
        <v>514</v>
      </c>
      <c r="H293" s="469" t="s">
        <v>552</v>
      </c>
      <c r="I293" s="718">
        <v>0</v>
      </c>
      <c r="J293" s="748">
        <f t="shared" si="314"/>
        <v>0.5</v>
      </c>
      <c r="K293" s="718">
        <v>0.4</v>
      </c>
      <c r="L293" s="316" t="s">
        <v>655</v>
      </c>
      <c r="M293" s="316" t="s">
        <v>656</v>
      </c>
      <c r="N293" s="718">
        <v>0.1</v>
      </c>
      <c r="O293" s="316" t="s">
        <v>514</v>
      </c>
      <c r="P293" s="316" t="s">
        <v>552</v>
      </c>
      <c r="Q293" s="718">
        <v>0</v>
      </c>
      <c r="R293" s="728">
        <f t="shared" si="325"/>
        <v>0.5</v>
      </c>
      <c r="S293" s="718">
        <v>0.4</v>
      </c>
      <c r="T293" s="316" t="s">
        <v>655</v>
      </c>
      <c r="U293" s="316" t="s">
        <v>656</v>
      </c>
      <c r="V293" s="718">
        <v>0.1</v>
      </c>
      <c r="W293" s="316" t="s">
        <v>514</v>
      </c>
      <c r="X293" s="316" t="s">
        <v>552</v>
      </c>
      <c r="Y293" s="718">
        <v>0</v>
      </c>
      <c r="Z293" s="728">
        <f t="shared" si="319"/>
        <v>0.5</v>
      </c>
      <c r="AA293" s="718">
        <v>0.4</v>
      </c>
      <c r="AB293" s="316" t="s">
        <v>655</v>
      </c>
      <c r="AC293" s="316" t="s">
        <v>656</v>
      </c>
      <c r="AD293" s="718">
        <v>0.1</v>
      </c>
      <c r="AE293" s="316" t="s">
        <v>514</v>
      </c>
      <c r="AF293" s="316" t="s">
        <v>552</v>
      </c>
      <c r="AG293" s="718">
        <v>0</v>
      </c>
      <c r="AH293" s="728">
        <f t="shared" si="387"/>
        <v>0.5</v>
      </c>
      <c r="AI293" s="718">
        <v>0.4</v>
      </c>
      <c r="AJ293" s="316" t="s">
        <v>655</v>
      </c>
      <c r="AK293" s="316" t="s">
        <v>656</v>
      </c>
      <c r="AL293" s="718">
        <v>0.1</v>
      </c>
      <c r="AM293" s="316" t="s">
        <v>514</v>
      </c>
      <c r="AN293" s="316" t="s">
        <v>552</v>
      </c>
      <c r="AO293" s="718">
        <v>0</v>
      </c>
      <c r="AP293" s="728">
        <f t="shared" si="388"/>
        <v>0.5</v>
      </c>
      <c r="AQ293" s="718">
        <v>0.4</v>
      </c>
      <c r="AR293" s="316" t="s">
        <v>655</v>
      </c>
      <c r="AS293" s="316" t="s">
        <v>656</v>
      </c>
      <c r="AT293" s="718">
        <v>0.1</v>
      </c>
      <c r="AU293" s="316" t="s">
        <v>514</v>
      </c>
      <c r="AV293" s="316" t="s">
        <v>552</v>
      </c>
      <c r="AW293" s="718">
        <v>0</v>
      </c>
      <c r="AX293" s="463">
        <f t="shared" si="389"/>
        <v>0.5</v>
      </c>
      <c r="AY293" s="661">
        <v>0.3</v>
      </c>
      <c r="AZ293" s="316" t="s">
        <v>655</v>
      </c>
      <c r="BA293" s="316" t="s">
        <v>656</v>
      </c>
      <c r="BB293" s="463">
        <v>0.7</v>
      </c>
      <c r="BC293" s="316" t="s">
        <v>514</v>
      </c>
      <c r="BD293" s="316" t="s">
        <v>552</v>
      </c>
      <c r="BE293" s="463">
        <v>0</v>
      </c>
      <c r="BF293" s="728">
        <f t="shared" si="390"/>
        <v>1</v>
      </c>
      <c r="BG293" s="463"/>
      <c r="BH293" s="463">
        <v>0.4</v>
      </c>
      <c r="BI293" s="316" t="s">
        <v>655</v>
      </c>
      <c r="BJ293" s="316" t="s">
        <v>656</v>
      </c>
      <c r="BK293" s="463">
        <v>0.1</v>
      </c>
      <c r="BL293" s="316" t="s">
        <v>514</v>
      </c>
      <c r="BM293" s="316" t="s">
        <v>552</v>
      </c>
      <c r="BN293" s="463">
        <v>0</v>
      </c>
      <c r="BO293" s="728">
        <f t="shared" si="391"/>
        <v>0.5</v>
      </c>
      <c r="BP293" s="463">
        <v>0.4</v>
      </c>
      <c r="BQ293" s="316" t="s">
        <v>655</v>
      </c>
      <c r="BR293" s="316" t="s">
        <v>656</v>
      </c>
      <c r="BS293" s="463">
        <v>0.1</v>
      </c>
      <c r="BT293" s="316" t="s">
        <v>514</v>
      </c>
      <c r="BU293" s="316" t="s">
        <v>552</v>
      </c>
      <c r="BV293" s="463">
        <v>0</v>
      </c>
      <c r="BW293" s="463">
        <f t="shared" si="392"/>
        <v>0.5</v>
      </c>
      <c r="BX293" s="444"/>
      <c r="BY293" s="444"/>
      <c r="BZ293" s="444"/>
      <c r="CA293" s="434"/>
      <c r="CB293" s="723">
        <v>0.73799999999999999</v>
      </c>
      <c r="CC293" s="668" t="s">
        <v>950</v>
      </c>
      <c r="CD293" s="316" t="s">
        <v>655</v>
      </c>
      <c r="CE293" s="316" t="s">
        <v>656</v>
      </c>
      <c r="CF293" s="718">
        <v>0.6</v>
      </c>
      <c r="CG293" s="316" t="s">
        <v>514</v>
      </c>
      <c r="CH293" s="316" t="s">
        <v>552</v>
      </c>
      <c r="CI293" s="718">
        <v>0</v>
      </c>
    </row>
    <row r="294" spans="1:87" ht="15.75" customHeight="1" x14ac:dyDescent="0.2">
      <c r="A294" s="747" t="s">
        <v>469</v>
      </c>
      <c r="B294" s="469" t="s">
        <v>531</v>
      </c>
      <c r="C294" s="718">
        <v>0.49</v>
      </c>
      <c r="D294" s="469" t="s">
        <v>514</v>
      </c>
      <c r="E294" s="469" t="s">
        <v>515</v>
      </c>
      <c r="F294" s="718">
        <v>0</v>
      </c>
      <c r="G294" s="469" t="s">
        <v>525</v>
      </c>
      <c r="H294" s="469" t="s">
        <v>526</v>
      </c>
      <c r="I294" s="718">
        <v>0.01</v>
      </c>
      <c r="J294" s="748">
        <f t="shared" si="314"/>
        <v>0.5</v>
      </c>
      <c r="K294" s="718">
        <v>0.49</v>
      </c>
      <c r="L294" s="316" t="s">
        <v>514</v>
      </c>
      <c r="M294" s="316" t="s">
        <v>515</v>
      </c>
      <c r="N294" s="718">
        <v>0</v>
      </c>
      <c r="O294" s="316" t="s">
        <v>525</v>
      </c>
      <c r="P294" s="316" t="s">
        <v>526</v>
      </c>
      <c r="Q294" s="718">
        <v>0.01</v>
      </c>
      <c r="R294" s="728">
        <f t="shared" si="325"/>
        <v>0.5</v>
      </c>
      <c r="S294" s="718">
        <v>0.49</v>
      </c>
      <c r="T294" s="316" t="s">
        <v>514</v>
      </c>
      <c r="U294" s="316" t="s">
        <v>515</v>
      </c>
      <c r="V294" s="718">
        <v>0</v>
      </c>
      <c r="W294" s="316" t="s">
        <v>525</v>
      </c>
      <c r="X294" s="316" t="s">
        <v>526</v>
      </c>
      <c r="Y294" s="718">
        <v>0.01</v>
      </c>
      <c r="Z294" s="728">
        <f t="shared" si="319"/>
        <v>0.5</v>
      </c>
      <c r="AA294" s="718">
        <v>0.49</v>
      </c>
      <c r="AB294" s="316" t="s">
        <v>514</v>
      </c>
      <c r="AC294" s="316" t="s">
        <v>515</v>
      </c>
      <c r="AD294" s="718">
        <v>0</v>
      </c>
      <c r="AE294" s="316" t="s">
        <v>525</v>
      </c>
      <c r="AF294" s="316" t="s">
        <v>526</v>
      </c>
      <c r="AG294" s="718">
        <v>0.01</v>
      </c>
      <c r="AH294" s="728">
        <f t="shared" si="387"/>
        <v>0.5</v>
      </c>
      <c r="AI294" s="718">
        <v>0.49</v>
      </c>
      <c r="AJ294" s="316" t="s">
        <v>514</v>
      </c>
      <c r="AK294" s="316" t="s">
        <v>515</v>
      </c>
      <c r="AL294" s="718">
        <v>0</v>
      </c>
      <c r="AM294" s="316" t="s">
        <v>525</v>
      </c>
      <c r="AN294" s="316" t="s">
        <v>526</v>
      </c>
      <c r="AO294" s="718">
        <v>0.01</v>
      </c>
      <c r="AP294" s="728">
        <f t="shared" ref="AP294:AP297" si="393">+AI294+AL294+AO294</f>
        <v>0.5</v>
      </c>
      <c r="AQ294" s="718">
        <v>0.74</v>
      </c>
      <c r="AR294" s="316" t="s">
        <v>514</v>
      </c>
      <c r="AS294" s="316" t="s">
        <v>515</v>
      </c>
      <c r="AT294" s="718">
        <v>0</v>
      </c>
      <c r="AU294" s="316" t="s">
        <v>525</v>
      </c>
      <c r="AV294" s="316" t="s">
        <v>526</v>
      </c>
      <c r="AW294" s="718">
        <v>0.01</v>
      </c>
      <c r="AX294" s="463">
        <f t="shared" ref="AX294:AX297" si="394">+AQ294+AT294+AW294</f>
        <v>0.75</v>
      </c>
      <c r="AY294" s="661">
        <v>0.99</v>
      </c>
      <c r="AZ294" s="316" t="s">
        <v>514</v>
      </c>
      <c r="BA294" s="316" t="s">
        <v>515</v>
      </c>
      <c r="BB294" s="463">
        <v>0</v>
      </c>
      <c r="BC294" s="316" t="s">
        <v>525</v>
      </c>
      <c r="BD294" s="316" t="s">
        <v>526</v>
      </c>
      <c r="BE294" s="463">
        <v>0.01</v>
      </c>
      <c r="BF294" s="728">
        <f t="shared" ref="BF294:BF297" si="395">+AY294+BB294+BE294</f>
        <v>1</v>
      </c>
      <c r="BG294" s="463"/>
      <c r="BH294" s="463">
        <v>0.49</v>
      </c>
      <c r="BI294" s="316" t="s">
        <v>514</v>
      </c>
      <c r="BJ294" s="316" t="s">
        <v>515</v>
      </c>
      <c r="BK294" s="463">
        <v>0</v>
      </c>
      <c r="BL294" s="316" t="s">
        <v>525</v>
      </c>
      <c r="BM294" s="316" t="s">
        <v>526</v>
      </c>
      <c r="BN294" s="463">
        <v>0.01</v>
      </c>
      <c r="BO294" s="728">
        <f t="shared" ref="BO294:BO297" si="396">+BH294+BK294+BN294</f>
        <v>0.5</v>
      </c>
      <c r="BP294" s="463">
        <v>0.49</v>
      </c>
      <c r="BQ294" s="316" t="s">
        <v>514</v>
      </c>
      <c r="BR294" s="316" t="s">
        <v>515</v>
      </c>
      <c r="BS294" s="463">
        <v>0</v>
      </c>
      <c r="BT294" s="316" t="s">
        <v>525</v>
      </c>
      <c r="BU294" s="316" t="s">
        <v>526</v>
      </c>
      <c r="BV294" s="463">
        <v>0.01</v>
      </c>
      <c r="BW294" s="463">
        <f t="shared" ref="BW294:BW297" si="397">+BP294+BS294+BV294</f>
        <v>0.5</v>
      </c>
      <c r="BX294" s="444"/>
      <c r="BY294" s="444"/>
      <c r="BZ294" s="444"/>
      <c r="CA294" s="436" t="s">
        <v>874</v>
      </c>
      <c r="CB294" s="723">
        <v>0.70799999999999996</v>
      </c>
      <c r="CC294" s="668" t="s">
        <v>950</v>
      </c>
      <c r="CD294" s="316" t="s">
        <v>514</v>
      </c>
      <c r="CE294" s="316" t="s">
        <v>515</v>
      </c>
      <c r="CF294" s="718">
        <v>0</v>
      </c>
      <c r="CG294" s="316" t="s">
        <v>525</v>
      </c>
      <c r="CH294" s="316" t="s">
        <v>526</v>
      </c>
      <c r="CI294" s="718">
        <v>0.01</v>
      </c>
    </row>
    <row r="295" spans="1:87" ht="15" x14ac:dyDescent="0.2">
      <c r="A295" s="747" t="s">
        <v>471</v>
      </c>
      <c r="B295" s="469" t="s">
        <v>470</v>
      </c>
      <c r="C295" s="718">
        <v>0.99</v>
      </c>
      <c r="D295" s="469" t="s">
        <v>514</v>
      </c>
      <c r="E295" s="469" t="s">
        <v>666</v>
      </c>
      <c r="F295" s="718">
        <v>0</v>
      </c>
      <c r="G295" s="469" t="s">
        <v>675</v>
      </c>
      <c r="H295" s="469" t="s">
        <v>676</v>
      </c>
      <c r="I295" s="718">
        <v>0.01</v>
      </c>
      <c r="J295" s="748">
        <f t="shared" si="314"/>
        <v>1</v>
      </c>
      <c r="K295" s="718">
        <v>0.99</v>
      </c>
      <c r="L295" s="316" t="s">
        <v>514</v>
      </c>
      <c r="M295" s="316" t="s">
        <v>666</v>
      </c>
      <c r="N295" s="718">
        <v>0</v>
      </c>
      <c r="O295" s="316" t="s">
        <v>675</v>
      </c>
      <c r="P295" s="316" t="s">
        <v>676</v>
      </c>
      <c r="Q295" s="718">
        <v>0.01</v>
      </c>
      <c r="R295" s="728">
        <f t="shared" si="325"/>
        <v>1</v>
      </c>
      <c r="S295" s="718">
        <v>0.99</v>
      </c>
      <c r="T295" s="316" t="s">
        <v>514</v>
      </c>
      <c r="U295" s="316" t="s">
        <v>666</v>
      </c>
      <c r="V295" s="718">
        <v>0</v>
      </c>
      <c r="W295" s="316" t="s">
        <v>675</v>
      </c>
      <c r="X295" s="316" t="s">
        <v>676</v>
      </c>
      <c r="Y295" s="718">
        <v>0.01</v>
      </c>
      <c r="Z295" s="728">
        <f t="shared" si="319"/>
        <v>1</v>
      </c>
      <c r="AA295" s="718">
        <v>0.99</v>
      </c>
      <c r="AB295" s="316" t="s">
        <v>514</v>
      </c>
      <c r="AC295" s="316" t="s">
        <v>666</v>
      </c>
      <c r="AD295" s="718">
        <v>0</v>
      </c>
      <c r="AE295" s="316" t="s">
        <v>675</v>
      </c>
      <c r="AF295" s="316" t="s">
        <v>676</v>
      </c>
      <c r="AG295" s="718">
        <v>0.01</v>
      </c>
      <c r="AH295" s="728">
        <f t="shared" si="387"/>
        <v>1</v>
      </c>
      <c r="AI295" s="718">
        <v>0.99</v>
      </c>
      <c r="AJ295" s="316" t="s">
        <v>514</v>
      </c>
      <c r="AK295" s="316" t="s">
        <v>666</v>
      </c>
      <c r="AL295" s="718">
        <v>0</v>
      </c>
      <c r="AM295" s="316" t="s">
        <v>675</v>
      </c>
      <c r="AN295" s="316" t="s">
        <v>676</v>
      </c>
      <c r="AO295" s="718">
        <v>0.01</v>
      </c>
      <c r="AP295" s="728">
        <f t="shared" si="393"/>
        <v>1</v>
      </c>
      <c r="AQ295" s="718">
        <v>0.99</v>
      </c>
      <c r="AR295" s="316" t="s">
        <v>514</v>
      </c>
      <c r="AS295" s="316" t="s">
        <v>666</v>
      </c>
      <c r="AT295" s="718">
        <v>0</v>
      </c>
      <c r="AU295" s="316" t="s">
        <v>675</v>
      </c>
      <c r="AV295" s="316" t="s">
        <v>676</v>
      </c>
      <c r="AW295" s="718">
        <v>0.01</v>
      </c>
      <c r="AX295" s="463">
        <f t="shared" si="394"/>
        <v>1</v>
      </c>
      <c r="AY295" s="661">
        <v>0.99</v>
      </c>
      <c r="AZ295" s="316" t="s">
        <v>514</v>
      </c>
      <c r="BA295" s="316" t="s">
        <v>666</v>
      </c>
      <c r="BB295" s="463">
        <v>0</v>
      </c>
      <c r="BC295" s="316" t="s">
        <v>675</v>
      </c>
      <c r="BD295" s="316" t="s">
        <v>676</v>
      </c>
      <c r="BE295" s="463">
        <v>0.01</v>
      </c>
      <c r="BF295" s="728">
        <f t="shared" si="395"/>
        <v>1</v>
      </c>
      <c r="BG295" s="463"/>
      <c r="BH295" s="463">
        <v>0.99</v>
      </c>
      <c r="BI295" s="316" t="s">
        <v>514</v>
      </c>
      <c r="BJ295" s="316" t="s">
        <v>666</v>
      </c>
      <c r="BK295" s="463">
        <v>0</v>
      </c>
      <c r="BL295" s="316" t="s">
        <v>675</v>
      </c>
      <c r="BM295" s="316" t="s">
        <v>676</v>
      </c>
      <c r="BN295" s="463">
        <v>0.01</v>
      </c>
      <c r="BO295" s="728">
        <f t="shared" si="396"/>
        <v>1</v>
      </c>
      <c r="BP295" s="463">
        <v>0.49</v>
      </c>
      <c r="BQ295" s="316" t="s">
        <v>514</v>
      </c>
      <c r="BR295" s="316" t="s">
        <v>666</v>
      </c>
      <c r="BS295" s="463">
        <v>0</v>
      </c>
      <c r="BT295" s="316" t="s">
        <v>675</v>
      </c>
      <c r="BU295" s="316" t="s">
        <v>676</v>
      </c>
      <c r="BV295" s="463">
        <v>0.01</v>
      </c>
      <c r="BW295" s="463">
        <f t="shared" si="397"/>
        <v>0.5</v>
      </c>
      <c r="BX295" s="444" t="s">
        <v>874</v>
      </c>
      <c r="BY295" s="444"/>
      <c r="BZ295" s="444"/>
      <c r="CA295" s="436" t="s">
        <v>874</v>
      </c>
      <c r="CB295" s="723">
        <v>0.67800000000000005</v>
      </c>
      <c r="CC295" s="668" t="s">
        <v>950</v>
      </c>
      <c r="CD295" s="316" t="s">
        <v>514</v>
      </c>
      <c r="CE295" s="316" t="s">
        <v>666</v>
      </c>
      <c r="CF295" s="718">
        <v>0</v>
      </c>
      <c r="CG295" s="316" t="s">
        <v>675</v>
      </c>
      <c r="CH295" s="316" t="s">
        <v>676</v>
      </c>
      <c r="CI295" s="718">
        <v>0.01</v>
      </c>
    </row>
    <row r="296" spans="1:87" ht="15.75" customHeight="1" x14ac:dyDescent="0.2">
      <c r="A296" s="747" t="s">
        <v>473</v>
      </c>
      <c r="B296" s="469" t="s">
        <v>472</v>
      </c>
      <c r="C296" s="718">
        <v>0.4</v>
      </c>
      <c r="D296" s="469" t="s">
        <v>594</v>
      </c>
      <c r="E296" s="469" t="s">
        <v>595</v>
      </c>
      <c r="F296" s="718">
        <v>0.09</v>
      </c>
      <c r="G296" s="469" t="s">
        <v>592</v>
      </c>
      <c r="H296" s="469" t="s">
        <v>593</v>
      </c>
      <c r="I296" s="718">
        <v>0.01</v>
      </c>
      <c r="J296" s="748">
        <f t="shared" si="314"/>
        <v>0.5</v>
      </c>
      <c r="K296" s="718">
        <v>0.4</v>
      </c>
      <c r="L296" s="316" t="s">
        <v>594</v>
      </c>
      <c r="M296" s="316" t="s">
        <v>595</v>
      </c>
      <c r="N296" s="718">
        <v>0.09</v>
      </c>
      <c r="O296" s="316" t="s">
        <v>592</v>
      </c>
      <c r="P296" s="316" t="s">
        <v>593</v>
      </c>
      <c r="Q296" s="718">
        <v>0.01</v>
      </c>
      <c r="R296" s="728">
        <f t="shared" si="325"/>
        <v>0.5</v>
      </c>
      <c r="S296" s="718">
        <v>0.4</v>
      </c>
      <c r="T296" s="316" t="s">
        <v>594</v>
      </c>
      <c r="U296" s="316" t="s">
        <v>595</v>
      </c>
      <c r="V296" s="718">
        <v>0.09</v>
      </c>
      <c r="W296" s="316" t="s">
        <v>592</v>
      </c>
      <c r="X296" s="316" t="s">
        <v>593</v>
      </c>
      <c r="Y296" s="718">
        <v>0.01</v>
      </c>
      <c r="Z296" s="728">
        <f t="shared" si="319"/>
        <v>0.5</v>
      </c>
      <c r="AA296" s="718">
        <v>0.4</v>
      </c>
      <c r="AB296" s="316" t="s">
        <v>594</v>
      </c>
      <c r="AC296" s="316" t="s">
        <v>595</v>
      </c>
      <c r="AD296" s="718">
        <v>0.09</v>
      </c>
      <c r="AE296" s="316" t="s">
        <v>592</v>
      </c>
      <c r="AF296" s="316" t="s">
        <v>593</v>
      </c>
      <c r="AG296" s="718">
        <v>0.01</v>
      </c>
      <c r="AH296" s="728">
        <f t="shared" ref="AH296:AH301" si="398">+AA296+AD296+AG296</f>
        <v>0.5</v>
      </c>
      <c r="AI296" s="718">
        <v>0.4</v>
      </c>
      <c r="AJ296" s="316" t="s">
        <v>594</v>
      </c>
      <c r="AK296" s="316" t="s">
        <v>595</v>
      </c>
      <c r="AL296" s="718">
        <v>0.09</v>
      </c>
      <c r="AM296" s="316" t="s">
        <v>592</v>
      </c>
      <c r="AN296" s="316" t="s">
        <v>593</v>
      </c>
      <c r="AO296" s="718">
        <v>0.01</v>
      </c>
      <c r="AP296" s="728">
        <f t="shared" si="393"/>
        <v>0.5</v>
      </c>
      <c r="AQ296" s="718">
        <v>0</v>
      </c>
      <c r="AR296" s="316" t="s">
        <v>594</v>
      </c>
      <c r="AS296" s="316" t="s">
        <v>595</v>
      </c>
      <c r="AT296" s="718">
        <v>0.74</v>
      </c>
      <c r="AU296" s="316" t="s">
        <v>592</v>
      </c>
      <c r="AV296" s="316" t="s">
        <v>593</v>
      </c>
      <c r="AW296" s="718">
        <v>0.01</v>
      </c>
      <c r="AX296" s="463">
        <f t="shared" si="394"/>
        <v>0.75</v>
      </c>
      <c r="AY296" s="661">
        <v>0.4</v>
      </c>
      <c r="AZ296" s="316" t="s">
        <v>594</v>
      </c>
      <c r="BA296" s="316" t="s">
        <v>595</v>
      </c>
      <c r="BB296" s="463">
        <v>0.09</v>
      </c>
      <c r="BC296" s="316" t="s">
        <v>592</v>
      </c>
      <c r="BD296" s="316" t="s">
        <v>593</v>
      </c>
      <c r="BE296" s="463">
        <v>0.01</v>
      </c>
      <c r="BF296" s="728">
        <f t="shared" si="395"/>
        <v>0.5</v>
      </c>
      <c r="BG296" s="463"/>
      <c r="BH296" s="463">
        <v>0.4</v>
      </c>
      <c r="BI296" s="316" t="s">
        <v>594</v>
      </c>
      <c r="BJ296" s="316" t="s">
        <v>595</v>
      </c>
      <c r="BK296" s="463">
        <v>0.09</v>
      </c>
      <c r="BL296" s="316" t="s">
        <v>592</v>
      </c>
      <c r="BM296" s="316" t="s">
        <v>593</v>
      </c>
      <c r="BN296" s="463">
        <v>0.01</v>
      </c>
      <c r="BO296" s="728">
        <f t="shared" si="396"/>
        <v>0.5</v>
      </c>
      <c r="BP296" s="463">
        <v>0.4</v>
      </c>
      <c r="BQ296" s="316" t="s">
        <v>594</v>
      </c>
      <c r="BR296" s="316" t="s">
        <v>595</v>
      </c>
      <c r="BS296" s="463">
        <v>0.09</v>
      </c>
      <c r="BT296" s="316" t="s">
        <v>592</v>
      </c>
      <c r="BU296" s="316" t="s">
        <v>593</v>
      </c>
      <c r="BV296" s="463">
        <v>0.01</v>
      </c>
      <c r="BW296" s="463">
        <f t="shared" si="397"/>
        <v>0.5</v>
      </c>
      <c r="BX296" s="444"/>
      <c r="BY296" s="444"/>
      <c r="BZ296" s="444"/>
      <c r="CA296" s="434"/>
      <c r="CB296" s="723">
        <v>0.70599999999999996</v>
      </c>
      <c r="CC296" s="668" t="s">
        <v>950</v>
      </c>
      <c r="CD296" s="316" t="s">
        <v>594</v>
      </c>
      <c r="CE296" s="316" t="s">
        <v>595</v>
      </c>
      <c r="CF296" s="718">
        <v>0.59</v>
      </c>
      <c r="CG296" s="316" t="s">
        <v>592</v>
      </c>
      <c r="CH296" s="316" t="s">
        <v>593</v>
      </c>
      <c r="CI296" s="718">
        <v>0.01</v>
      </c>
    </row>
    <row r="297" spans="1:87" ht="15.75" customHeight="1" x14ac:dyDescent="0.2">
      <c r="A297" s="747" t="s">
        <v>475</v>
      </c>
      <c r="B297" s="469" t="s">
        <v>474</v>
      </c>
      <c r="C297" s="718">
        <v>0.4</v>
      </c>
      <c r="D297" s="469" t="s">
        <v>661</v>
      </c>
      <c r="E297" s="469" t="s">
        <v>662</v>
      </c>
      <c r="F297" s="718">
        <v>0.1</v>
      </c>
      <c r="G297" s="469" t="s">
        <v>514</v>
      </c>
      <c r="H297" s="469" t="s">
        <v>552</v>
      </c>
      <c r="I297" s="718">
        <v>0</v>
      </c>
      <c r="J297" s="748">
        <f t="shared" si="314"/>
        <v>0.5</v>
      </c>
      <c r="K297" s="718">
        <v>0.4</v>
      </c>
      <c r="L297" s="316" t="s">
        <v>661</v>
      </c>
      <c r="M297" s="316" t="s">
        <v>662</v>
      </c>
      <c r="N297" s="718">
        <v>0.1</v>
      </c>
      <c r="O297" s="316" t="s">
        <v>514</v>
      </c>
      <c r="P297" s="316" t="s">
        <v>552</v>
      </c>
      <c r="Q297" s="718">
        <v>0</v>
      </c>
      <c r="R297" s="728">
        <f t="shared" si="325"/>
        <v>0.5</v>
      </c>
      <c r="S297" s="718">
        <v>0.4</v>
      </c>
      <c r="T297" s="316" t="s">
        <v>661</v>
      </c>
      <c r="U297" s="316" t="s">
        <v>662</v>
      </c>
      <c r="V297" s="718">
        <v>0.1</v>
      </c>
      <c r="W297" s="316" t="s">
        <v>514</v>
      </c>
      <c r="X297" s="316" t="s">
        <v>552</v>
      </c>
      <c r="Y297" s="718">
        <v>0</v>
      </c>
      <c r="Z297" s="728">
        <f t="shared" si="319"/>
        <v>0.5</v>
      </c>
      <c r="AA297" s="718">
        <v>0.4</v>
      </c>
      <c r="AB297" s="316" t="s">
        <v>661</v>
      </c>
      <c r="AC297" s="316" t="s">
        <v>662</v>
      </c>
      <c r="AD297" s="718">
        <v>0.1</v>
      </c>
      <c r="AE297" s="316" t="s">
        <v>514</v>
      </c>
      <c r="AF297" s="316" t="s">
        <v>552</v>
      </c>
      <c r="AG297" s="718">
        <v>0</v>
      </c>
      <c r="AH297" s="728">
        <f t="shared" si="398"/>
        <v>0.5</v>
      </c>
      <c r="AI297" s="718">
        <v>0.4</v>
      </c>
      <c r="AJ297" s="316" t="s">
        <v>661</v>
      </c>
      <c r="AK297" s="316" t="s">
        <v>662</v>
      </c>
      <c r="AL297" s="718">
        <v>0.1</v>
      </c>
      <c r="AM297" s="316" t="s">
        <v>514</v>
      </c>
      <c r="AN297" s="316" t="s">
        <v>552</v>
      </c>
      <c r="AO297" s="718">
        <v>0</v>
      </c>
      <c r="AP297" s="728">
        <f t="shared" si="393"/>
        <v>0.5</v>
      </c>
      <c r="AQ297" s="718">
        <v>0.2</v>
      </c>
      <c r="AR297" s="316" t="s">
        <v>661</v>
      </c>
      <c r="AS297" s="316" t="s">
        <v>662</v>
      </c>
      <c r="AT297" s="718">
        <v>0.55000000000000004</v>
      </c>
      <c r="AU297" s="316" t="s">
        <v>514</v>
      </c>
      <c r="AV297" s="316" t="s">
        <v>552</v>
      </c>
      <c r="AW297" s="718">
        <v>0</v>
      </c>
      <c r="AX297" s="463">
        <f t="shared" si="394"/>
        <v>0.75</v>
      </c>
      <c r="AY297" s="661">
        <v>0.4</v>
      </c>
      <c r="AZ297" s="316" t="s">
        <v>661</v>
      </c>
      <c r="BA297" s="316" t="s">
        <v>662</v>
      </c>
      <c r="BB297" s="463">
        <v>0.1</v>
      </c>
      <c r="BC297" s="316" t="s">
        <v>514</v>
      </c>
      <c r="BD297" s="316" t="s">
        <v>552</v>
      </c>
      <c r="BE297" s="463">
        <v>0</v>
      </c>
      <c r="BF297" s="728">
        <f t="shared" si="395"/>
        <v>0.5</v>
      </c>
      <c r="BG297" s="463"/>
      <c r="BH297" s="463">
        <v>0.4</v>
      </c>
      <c r="BI297" s="316" t="s">
        <v>661</v>
      </c>
      <c r="BJ297" s="316" t="s">
        <v>662</v>
      </c>
      <c r="BK297" s="463">
        <v>0.1</v>
      </c>
      <c r="BL297" s="316" t="s">
        <v>514</v>
      </c>
      <c r="BM297" s="316" t="s">
        <v>552</v>
      </c>
      <c r="BN297" s="463">
        <v>0</v>
      </c>
      <c r="BO297" s="728">
        <f t="shared" si="396"/>
        <v>0.5</v>
      </c>
      <c r="BP297" s="463">
        <v>0.4</v>
      </c>
      <c r="BQ297" s="316" t="s">
        <v>661</v>
      </c>
      <c r="BR297" s="316" t="s">
        <v>662</v>
      </c>
      <c r="BS297" s="463">
        <v>0.1</v>
      </c>
      <c r="BT297" s="316" t="s">
        <v>514</v>
      </c>
      <c r="BU297" s="316" t="s">
        <v>552</v>
      </c>
      <c r="BV297" s="463">
        <v>0</v>
      </c>
      <c r="BW297" s="463">
        <f t="shared" si="397"/>
        <v>0.5</v>
      </c>
      <c r="BX297" s="444"/>
      <c r="BY297" s="444"/>
      <c r="BZ297" s="444"/>
      <c r="CA297" s="434"/>
      <c r="CB297" s="723">
        <v>0.68899999999999995</v>
      </c>
      <c r="CC297" s="668" t="s">
        <v>950</v>
      </c>
      <c r="CD297" s="316" t="s">
        <v>661</v>
      </c>
      <c r="CE297" s="316" t="s">
        <v>662</v>
      </c>
      <c r="CF297" s="718">
        <v>0.6</v>
      </c>
      <c r="CG297" s="316" t="s">
        <v>514</v>
      </c>
      <c r="CH297" s="316" t="s">
        <v>552</v>
      </c>
      <c r="CI297" s="718">
        <v>0</v>
      </c>
    </row>
    <row r="298" spans="1:87" ht="15.75" customHeight="1" x14ac:dyDescent="0.2">
      <c r="A298" s="747" t="s">
        <v>477</v>
      </c>
      <c r="B298" s="469" t="s">
        <v>476</v>
      </c>
      <c r="C298" s="718">
        <v>0.4</v>
      </c>
      <c r="D298" s="469" t="s">
        <v>594</v>
      </c>
      <c r="E298" s="469" t="s">
        <v>595</v>
      </c>
      <c r="F298" s="718">
        <v>0.09</v>
      </c>
      <c r="G298" s="469" t="s">
        <v>592</v>
      </c>
      <c r="H298" s="469" t="s">
        <v>593</v>
      </c>
      <c r="I298" s="718">
        <v>0.01</v>
      </c>
      <c r="J298" s="748">
        <f t="shared" si="314"/>
        <v>0.5</v>
      </c>
      <c r="K298" s="718">
        <v>0.4</v>
      </c>
      <c r="L298" s="316" t="s">
        <v>594</v>
      </c>
      <c r="M298" s="316" t="s">
        <v>595</v>
      </c>
      <c r="N298" s="718">
        <v>0.09</v>
      </c>
      <c r="O298" s="316" t="s">
        <v>592</v>
      </c>
      <c r="P298" s="316" t="s">
        <v>593</v>
      </c>
      <c r="Q298" s="718">
        <v>0.01</v>
      </c>
      <c r="R298" s="728">
        <f t="shared" si="325"/>
        <v>0.5</v>
      </c>
      <c r="S298" s="718">
        <v>0.4</v>
      </c>
      <c r="T298" s="316" t="s">
        <v>594</v>
      </c>
      <c r="U298" s="316" t="s">
        <v>595</v>
      </c>
      <c r="V298" s="718">
        <v>0.09</v>
      </c>
      <c r="W298" s="316" t="s">
        <v>592</v>
      </c>
      <c r="X298" s="316" t="s">
        <v>593</v>
      </c>
      <c r="Y298" s="718">
        <v>0.01</v>
      </c>
      <c r="Z298" s="728">
        <f t="shared" si="319"/>
        <v>0.5</v>
      </c>
      <c r="AA298" s="718">
        <v>0.4</v>
      </c>
      <c r="AB298" s="316" t="s">
        <v>594</v>
      </c>
      <c r="AC298" s="316" t="s">
        <v>595</v>
      </c>
      <c r="AD298" s="718">
        <v>0.09</v>
      </c>
      <c r="AE298" s="316" t="s">
        <v>592</v>
      </c>
      <c r="AF298" s="316" t="s">
        <v>593</v>
      </c>
      <c r="AG298" s="718">
        <v>0.01</v>
      </c>
      <c r="AH298" s="728">
        <f t="shared" si="398"/>
        <v>0.5</v>
      </c>
      <c r="AI298" s="718">
        <v>0.4</v>
      </c>
      <c r="AJ298" s="316" t="s">
        <v>594</v>
      </c>
      <c r="AK298" s="316" t="s">
        <v>595</v>
      </c>
      <c r="AL298" s="718">
        <v>0.09</v>
      </c>
      <c r="AM298" s="316" t="s">
        <v>592</v>
      </c>
      <c r="AN298" s="316" t="s">
        <v>593</v>
      </c>
      <c r="AO298" s="718">
        <v>0.01</v>
      </c>
      <c r="AP298" s="728">
        <f t="shared" ref="AP298:AP301" si="399">+AI298+AL298+AO298</f>
        <v>0.5</v>
      </c>
      <c r="AQ298" s="718">
        <v>0</v>
      </c>
      <c r="AR298" s="316" t="s">
        <v>594</v>
      </c>
      <c r="AS298" s="316" t="s">
        <v>595</v>
      </c>
      <c r="AT298" s="718">
        <v>0.74</v>
      </c>
      <c r="AU298" s="316" t="s">
        <v>592</v>
      </c>
      <c r="AV298" s="316" t="s">
        <v>593</v>
      </c>
      <c r="AW298" s="718">
        <v>0.01</v>
      </c>
      <c r="AX298" s="463">
        <f t="shared" ref="AX298:AX301" si="400">+AQ298+AT298+AW298</f>
        <v>0.75</v>
      </c>
      <c r="AY298" s="661">
        <v>0.4</v>
      </c>
      <c r="AZ298" s="316" t="s">
        <v>594</v>
      </c>
      <c r="BA298" s="316" t="s">
        <v>595</v>
      </c>
      <c r="BB298" s="463">
        <v>0.09</v>
      </c>
      <c r="BC298" s="316" t="s">
        <v>592</v>
      </c>
      <c r="BD298" s="316" t="s">
        <v>593</v>
      </c>
      <c r="BE298" s="463">
        <v>0.01</v>
      </c>
      <c r="BF298" s="728">
        <f t="shared" ref="BF298:BF301" si="401">+AY298+BB298+BE298</f>
        <v>0.5</v>
      </c>
      <c r="BG298" s="463"/>
      <c r="BH298" s="463">
        <v>0.4</v>
      </c>
      <c r="BI298" s="316" t="s">
        <v>594</v>
      </c>
      <c r="BJ298" s="316" t="s">
        <v>595</v>
      </c>
      <c r="BK298" s="463">
        <v>0.09</v>
      </c>
      <c r="BL298" s="316" t="s">
        <v>592</v>
      </c>
      <c r="BM298" s="316" t="s">
        <v>593</v>
      </c>
      <c r="BN298" s="463">
        <v>0.01</v>
      </c>
      <c r="BO298" s="728">
        <f t="shared" ref="BO298:BO301" si="402">+BH298+BK298+BN298</f>
        <v>0.5</v>
      </c>
      <c r="BP298" s="463">
        <v>0.4</v>
      </c>
      <c r="BQ298" s="316" t="s">
        <v>594</v>
      </c>
      <c r="BR298" s="316" t="s">
        <v>595</v>
      </c>
      <c r="BS298" s="463">
        <v>0.09</v>
      </c>
      <c r="BT298" s="316" t="s">
        <v>592</v>
      </c>
      <c r="BU298" s="316" t="s">
        <v>593</v>
      </c>
      <c r="BV298" s="463">
        <v>0.01</v>
      </c>
      <c r="BW298" s="463">
        <f t="shared" ref="BW298:BW301" si="403">+BP298+BS298+BV298</f>
        <v>0.5</v>
      </c>
      <c r="BX298" s="444"/>
      <c r="BY298" s="444"/>
      <c r="BZ298" s="444"/>
      <c r="CA298" s="434"/>
      <c r="CB298" s="723">
        <v>0.66500000000000004</v>
      </c>
      <c r="CC298" s="668" t="s">
        <v>950</v>
      </c>
      <c r="CD298" s="316" t="s">
        <v>594</v>
      </c>
      <c r="CE298" s="316" t="s">
        <v>595</v>
      </c>
      <c r="CF298" s="718">
        <v>0.59</v>
      </c>
      <c r="CG298" s="316" t="s">
        <v>592</v>
      </c>
      <c r="CH298" s="316" t="s">
        <v>593</v>
      </c>
      <c r="CI298" s="718">
        <v>0.01</v>
      </c>
    </row>
    <row r="299" spans="1:87" ht="13.5" customHeight="1" x14ac:dyDescent="0.2">
      <c r="A299" s="747" t="s">
        <v>479</v>
      </c>
      <c r="B299" s="469" t="s">
        <v>478</v>
      </c>
      <c r="C299" s="718">
        <v>0.4</v>
      </c>
      <c r="D299" s="469" t="s">
        <v>615</v>
      </c>
      <c r="E299" s="469" t="s">
        <v>616</v>
      </c>
      <c r="F299" s="718">
        <v>0.09</v>
      </c>
      <c r="G299" s="469" t="s">
        <v>612</v>
      </c>
      <c r="H299" s="469" t="s">
        <v>613</v>
      </c>
      <c r="I299" s="718">
        <v>0.01</v>
      </c>
      <c r="J299" s="748">
        <f t="shared" si="314"/>
        <v>0.5</v>
      </c>
      <c r="K299" s="718">
        <v>0.4</v>
      </c>
      <c r="L299" s="316" t="s">
        <v>615</v>
      </c>
      <c r="M299" s="316" t="s">
        <v>616</v>
      </c>
      <c r="N299" s="718">
        <v>0.09</v>
      </c>
      <c r="O299" s="316" t="s">
        <v>612</v>
      </c>
      <c r="P299" s="316" t="s">
        <v>613</v>
      </c>
      <c r="Q299" s="718">
        <v>0.01</v>
      </c>
      <c r="R299" s="728">
        <f t="shared" si="325"/>
        <v>0.5</v>
      </c>
      <c r="S299" s="718">
        <v>0.4</v>
      </c>
      <c r="T299" s="316" t="s">
        <v>615</v>
      </c>
      <c r="U299" s="316" t="s">
        <v>616</v>
      </c>
      <c r="V299" s="718">
        <v>0.09</v>
      </c>
      <c r="W299" s="316" t="s">
        <v>612</v>
      </c>
      <c r="X299" s="316" t="s">
        <v>613</v>
      </c>
      <c r="Y299" s="718">
        <v>0.01</v>
      </c>
      <c r="Z299" s="728">
        <f t="shared" si="319"/>
        <v>0.5</v>
      </c>
      <c r="AA299" s="718">
        <v>0.4</v>
      </c>
      <c r="AB299" s="316" t="s">
        <v>615</v>
      </c>
      <c r="AC299" s="316" t="s">
        <v>616</v>
      </c>
      <c r="AD299" s="718">
        <v>0.09</v>
      </c>
      <c r="AE299" s="316" t="s">
        <v>612</v>
      </c>
      <c r="AF299" s="316" t="s">
        <v>613</v>
      </c>
      <c r="AG299" s="718">
        <v>0.01</v>
      </c>
      <c r="AH299" s="728">
        <f t="shared" si="398"/>
        <v>0.5</v>
      </c>
      <c r="AI299" s="718">
        <v>0.4</v>
      </c>
      <c r="AJ299" s="316" t="s">
        <v>615</v>
      </c>
      <c r="AK299" s="316" t="s">
        <v>616</v>
      </c>
      <c r="AL299" s="718">
        <v>0.09</v>
      </c>
      <c r="AM299" s="316" t="s">
        <v>612</v>
      </c>
      <c r="AN299" s="316" t="s">
        <v>613</v>
      </c>
      <c r="AO299" s="718">
        <v>0.01</v>
      </c>
      <c r="AP299" s="728">
        <f t="shared" si="399"/>
        <v>0.5</v>
      </c>
      <c r="AQ299" s="718">
        <v>0.56000000000000005</v>
      </c>
      <c r="AR299" s="316" t="s">
        <v>615</v>
      </c>
      <c r="AS299" s="316" t="s">
        <v>616</v>
      </c>
      <c r="AT299" s="718">
        <v>0.17499999999999999</v>
      </c>
      <c r="AU299" s="316" t="s">
        <v>612</v>
      </c>
      <c r="AV299" s="316" t="s">
        <v>613</v>
      </c>
      <c r="AW299" s="718">
        <v>1.4999999999999999E-2</v>
      </c>
      <c r="AX299" s="463">
        <f t="shared" si="400"/>
        <v>0.75000000000000011</v>
      </c>
      <c r="AY299" s="661">
        <v>0.4</v>
      </c>
      <c r="AZ299" s="316" t="s">
        <v>615</v>
      </c>
      <c r="BA299" s="316" t="s">
        <v>616</v>
      </c>
      <c r="BB299" s="463">
        <v>0.09</v>
      </c>
      <c r="BC299" s="316" t="s">
        <v>612</v>
      </c>
      <c r="BD299" s="316" t="s">
        <v>613</v>
      </c>
      <c r="BE299" s="463">
        <v>0.01</v>
      </c>
      <c r="BF299" s="728">
        <f t="shared" si="401"/>
        <v>0.5</v>
      </c>
      <c r="BG299" s="463"/>
      <c r="BH299" s="463">
        <v>0.4</v>
      </c>
      <c r="BI299" s="316" t="s">
        <v>615</v>
      </c>
      <c r="BJ299" s="316" t="s">
        <v>616</v>
      </c>
      <c r="BK299" s="463">
        <v>0.09</v>
      </c>
      <c r="BL299" s="316" t="s">
        <v>612</v>
      </c>
      <c r="BM299" s="316" t="s">
        <v>613</v>
      </c>
      <c r="BN299" s="463">
        <v>0.01</v>
      </c>
      <c r="BO299" s="728">
        <f t="shared" si="402"/>
        <v>0.5</v>
      </c>
      <c r="BP299" s="463">
        <v>0.4</v>
      </c>
      <c r="BQ299" s="316" t="s">
        <v>615</v>
      </c>
      <c r="BR299" s="316" t="s">
        <v>616</v>
      </c>
      <c r="BS299" s="463">
        <v>0.09</v>
      </c>
      <c r="BT299" s="316" t="s">
        <v>612</v>
      </c>
      <c r="BU299" s="316" t="s">
        <v>613</v>
      </c>
      <c r="BV299" s="463">
        <v>0.01</v>
      </c>
      <c r="BW299" s="463">
        <f t="shared" si="403"/>
        <v>0.5</v>
      </c>
      <c r="BX299" s="444" t="s">
        <v>874</v>
      </c>
      <c r="BY299" s="444"/>
      <c r="BZ299" s="444"/>
      <c r="CA299" s="434"/>
      <c r="CB299" s="723">
        <v>0.66</v>
      </c>
      <c r="CC299" s="668" t="s">
        <v>874</v>
      </c>
      <c r="CD299" s="316" t="s">
        <v>615</v>
      </c>
      <c r="CE299" s="316" t="s">
        <v>616</v>
      </c>
      <c r="CF299" s="718">
        <v>0.59</v>
      </c>
      <c r="CG299" s="316" t="s">
        <v>612</v>
      </c>
      <c r="CH299" s="316" t="s">
        <v>613</v>
      </c>
      <c r="CI299" s="718">
        <v>0.01</v>
      </c>
    </row>
    <row r="300" spans="1:87" ht="15.75" customHeight="1" x14ac:dyDescent="0.2">
      <c r="A300" s="747" t="s">
        <v>481</v>
      </c>
      <c r="B300" s="469" t="s">
        <v>480</v>
      </c>
      <c r="C300" s="718">
        <v>0.4</v>
      </c>
      <c r="D300" s="469" t="s">
        <v>594</v>
      </c>
      <c r="E300" s="469" t="s">
        <v>595</v>
      </c>
      <c r="F300" s="718">
        <v>0.09</v>
      </c>
      <c r="G300" s="469" t="s">
        <v>592</v>
      </c>
      <c r="H300" s="469" t="s">
        <v>593</v>
      </c>
      <c r="I300" s="718">
        <v>0.01</v>
      </c>
      <c r="J300" s="748">
        <f t="shared" ref="J300:J301" si="404">+C300+F300+I300</f>
        <v>0.5</v>
      </c>
      <c r="K300" s="718">
        <v>0.4</v>
      </c>
      <c r="L300" s="316" t="s">
        <v>594</v>
      </c>
      <c r="M300" s="316" t="s">
        <v>595</v>
      </c>
      <c r="N300" s="718">
        <v>0.09</v>
      </c>
      <c r="O300" s="316" t="s">
        <v>592</v>
      </c>
      <c r="P300" s="316" t="s">
        <v>593</v>
      </c>
      <c r="Q300" s="718">
        <v>0.01</v>
      </c>
      <c r="R300" s="728">
        <f t="shared" si="325"/>
        <v>0.5</v>
      </c>
      <c r="S300" s="718">
        <v>0.4</v>
      </c>
      <c r="T300" s="316" t="s">
        <v>594</v>
      </c>
      <c r="U300" s="316" t="s">
        <v>595</v>
      </c>
      <c r="V300" s="718">
        <v>0.09</v>
      </c>
      <c r="W300" s="316" t="s">
        <v>592</v>
      </c>
      <c r="X300" s="316" t="s">
        <v>593</v>
      </c>
      <c r="Y300" s="718">
        <v>0.01</v>
      </c>
      <c r="Z300" s="728">
        <f t="shared" si="319"/>
        <v>0.5</v>
      </c>
      <c r="AA300" s="718">
        <v>0.4</v>
      </c>
      <c r="AB300" s="316" t="s">
        <v>594</v>
      </c>
      <c r="AC300" s="316" t="s">
        <v>595</v>
      </c>
      <c r="AD300" s="718">
        <v>0.09</v>
      </c>
      <c r="AE300" s="316" t="s">
        <v>592</v>
      </c>
      <c r="AF300" s="316" t="s">
        <v>593</v>
      </c>
      <c r="AG300" s="718">
        <v>0.01</v>
      </c>
      <c r="AH300" s="728">
        <f t="shared" si="398"/>
        <v>0.5</v>
      </c>
      <c r="AI300" s="718">
        <v>0.4</v>
      </c>
      <c r="AJ300" s="316" t="s">
        <v>594</v>
      </c>
      <c r="AK300" s="316" t="s">
        <v>595</v>
      </c>
      <c r="AL300" s="718">
        <v>0.09</v>
      </c>
      <c r="AM300" s="316" t="s">
        <v>592</v>
      </c>
      <c r="AN300" s="316" t="s">
        <v>593</v>
      </c>
      <c r="AO300" s="718">
        <v>0.01</v>
      </c>
      <c r="AP300" s="728">
        <f t="shared" si="399"/>
        <v>0.5</v>
      </c>
      <c r="AQ300" s="718">
        <v>0</v>
      </c>
      <c r="AR300" s="316" t="s">
        <v>594</v>
      </c>
      <c r="AS300" s="316" t="s">
        <v>595</v>
      </c>
      <c r="AT300" s="718">
        <v>0.74</v>
      </c>
      <c r="AU300" s="316" t="s">
        <v>592</v>
      </c>
      <c r="AV300" s="316" t="s">
        <v>593</v>
      </c>
      <c r="AW300" s="718">
        <v>0.01</v>
      </c>
      <c r="AX300" s="463">
        <f t="shared" si="400"/>
        <v>0.75</v>
      </c>
      <c r="AY300" s="661">
        <v>0.4</v>
      </c>
      <c r="AZ300" s="316" t="s">
        <v>594</v>
      </c>
      <c r="BA300" s="316" t="s">
        <v>595</v>
      </c>
      <c r="BB300" s="463">
        <v>0.09</v>
      </c>
      <c r="BC300" s="316" t="s">
        <v>592</v>
      </c>
      <c r="BD300" s="316" t="s">
        <v>593</v>
      </c>
      <c r="BE300" s="463">
        <v>0.01</v>
      </c>
      <c r="BF300" s="728">
        <f t="shared" si="401"/>
        <v>0.5</v>
      </c>
      <c r="BG300" s="463"/>
      <c r="BH300" s="463">
        <v>0.4</v>
      </c>
      <c r="BI300" s="316" t="s">
        <v>594</v>
      </c>
      <c r="BJ300" s="316" t="s">
        <v>595</v>
      </c>
      <c r="BK300" s="463">
        <v>0.09</v>
      </c>
      <c r="BL300" s="316" t="s">
        <v>592</v>
      </c>
      <c r="BM300" s="316" t="s">
        <v>593</v>
      </c>
      <c r="BN300" s="463">
        <v>0.01</v>
      </c>
      <c r="BO300" s="728">
        <f t="shared" si="402"/>
        <v>0.5</v>
      </c>
      <c r="BP300" s="463">
        <v>0.4</v>
      </c>
      <c r="BQ300" s="316" t="s">
        <v>594</v>
      </c>
      <c r="BR300" s="316" t="s">
        <v>595</v>
      </c>
      <c r="BS300" s="463">
        <v>0.09</v>
      </c>
      <c r="BT300" s="316" t="s">
        <v>592</v>
      </c>
      <c r="BU300" s="316" t="s">
        <v>593</v>
      </c>
      <c r="BV300" s="463">
        <v>0.01</v>
      </c>
      <c r="BW300" s="463">
        <f t="shared" si="403"/>
        <v>0.5</v>
      </c>
      <c r="BX300" s="444"/>
      <c r="BY300" s="444"/>
      <c r="BZ300" s="444"/>
      <c r="CA300" s="434"/>
      <c r="CB300" s="723">
        <v>0.66800000000000004</v>
      </c>
      <c r="CC300" s="668" t="s">
        <v>950</v>
      </c>
      <c r="CD300" s="316" t="s">
        <v>594</v>
      </c>
      <c r="CE300" s="316" t="s">
        <v>595</v>
      </c>
      <c r="CF300" s="718">
        <v>0.59</v>
      </c>
      <c r="CG300" s="316" t="s">
        <v>592</v>
      </c>
      <c r="CH300" s="316" t="s">
        <v>593</v>
      </c>
      <c r="CI300" s="718">
        <v>0.01</v>
      </c>
    </row>
    <row r="301" spans="1:87" ht="15.75" customHeight="1" x14ac:dyDescent="0.2">
      <c r="A301" s="747" t="s">
        <v>483</v>
      </c>
      <c r="B301" s="469" t="s">
        <v>630</v>
      </c>
      <c r="C301" s="718">
        <v>0.49</v>
      </c>
      <c r="D301" s="469" t="s">
        <v>514</v>
      </c>
      <c r="E301" s="469" t="s">
        <v>515</v>
      </c>
      <c r="F301" s="718">
        <v>0</v>
      </c>
      <c r="G301" s="469" t="s">
        <v>631</v>
      </c>
      <c r="H301" s="469" t="s">
        <v>632</v>
      </c>
      <c r="I301" s="718">
        <v>0.01</v>
      </c>
      <c r="J301" s="748">
        <f t="shared" si="404"/>
        <v>0.5</v>
      </c>
      <c r="K301" s="718">
        <v>0.49</v>
      </c>
      <c r="L301" s="316" t="s">
        <v>514</v>
      </c>
      <c r="M301" s="316" t="s">
        <v>515</v>
      </c>
      <c r="N301" s="718">
        <v>0</v>
      </c>
      <c r="O301" s="316" t="s">
        <v>631</v>
      </c>
      <c r="P301" s="316" t="s">
        <v>632</v>
      </c>
      <c r="Q301" s="718">
        <v>0.01</v>
      </c>
      <c r="R301" s="728">
        <f t="shared" si="325"/>
        <v>0.5</v>
      </c>
      <c r="S301" s="718">
        <v>0.49</v>
      </c>
      <c r="T301" s="316" t="s">
        <v>514</v>
      </c>
      <c r="U301" s="316" t="s">
        <v>515</v>
      </c>
      <c r="V301" s="718">
        <v>0</v>
      </c>
      <c r="W301" s="316" t="s">
        <v>631</v>
      </c>
      <c r="X301" s="316" t="s">
        <v>632</v>
      </c>
      <c r="Y301" s="718">
        <v>0.01</v>
      </c>
      <c r="Z301" s="728">
        <f t="shared" si="319"/>
        <v>0.5</v>
      </c>
      <c r="AA301" s="718">
        <v>0.49</v>
      </c>
      <c r="AB301" s="316" t="s">
        <v>514</v>
      </c>
      <c r="AC301" s="316" t="s">
        <v>515</v>
      </c>
      <c r="AD301" s="718">
        <v>0</v>
      </c>
      <c r="AE301" s="316" t="s">
        <v>631</v>
      </c>
      <c r="AF301" s="316" t="s">
        <v>632</v>
      </c>
      <c r="AG301" s="718">
        <v>0.01</v>
      </c>
      <c r="AH301" s="728">
        <f t="shared" si="398"/>
        <v>0.5</v>
      </c>
      <c r="AI301" s="718">
        <v>0.49</v>
      </c>
      <c r="AJ301" s="316" t="s">
        <v>514</v>
      </c>
      <c r="AK301" s="316" t="s">
        <v>515</v>
      </c>
      <c r="AL301" s="718">
        <v>0</v>
      </c>
      <c r="AM301" s="316" t="s">
        <v>631</v>
      </c>
      <c r="AN301" s="316" t="s">
        <v>632</v>
      </c>
      <c r="AO301" s="718">
        <v>0.01</v>
      </c>
      <c r="AP301" s="728">
        <f t="shared" si="399"/>
        <v>0.5</v>
      </c>
      <c r="AQ301" s="718">
        <v>0.74</v>
      </c>
      <c r="AR301" s="316" t="s">
        <v>514</v>
      </c>
      <c r="AS301" s="316" t="s">
        <v>515</v>
      </c>
      <c r="AT301" s="718">
        <v>0</v>
      </c>
      <c r="AU301" s="316" t="s">
        <v>631</v>
      </c>
      <c r="AV301" s="316" t="s">
        <v>632</v>
      </c>
      <c r="AW301" s="718">
        <v>0.01</v>
      </c>
      <c r="AX301" s="463">
        <f t="shared" si="400"/>
        <v>0.75</v>
      </c>
      <c r="AY301" s="661">
        <v>0.99</v>
      </c>
      <c r="AZ301" s="316" t="s">
        <v>514</v>
      </c>
      <c r="BA301" s="316" t="s">
        <v>515</v>
      </c>
      <c r="BB301" s="463">
        <v>0</v>
      </c>
      <c r="BC301" s="316" t="s">
        <v>631</v>
      </c>
      <c r="BD301" s="316" t="s">
        <v>632</v>
      </c>
      <c r="BE301" s="463">
        <v>0.01</v>
      </c>
      <c r="BF301" s="728">
        <f t="shared" si="401"/>
        <v>1</v>
      </c>
      <c r="BG301" s="463"/>
      <c r="BH301" s="463">
        <v>0.49</v>
      </c>
      <c r="BI301" s="316" t="s">
        <v>514</v>
      </c>
      <c r="BJ301" s="316" t="s">
        <v>515</v>
      </c>
      <c r="BK301" s="463">
        <v>0</v>
      </c>
      <c r="BL301" s="316" t="s">
        <v>631</v>
      </c>
      <c r="BM301" s="316" t="s">
        <v>632</v>
      </c>
      <c r="BN301" s="463">
        <v>0.01</v>
      </c>
      <c r="BO301" s="728">
        <f t="shared" si="402"/>
        <v>0.5</v>
      </c>
      <c r="BP301" s="463">
        <v>0.49</v>
      </c>
      <c r="BQ301" s="316" t="s">
        <v>514</v>
      </c>
      <c r="BR301" s="316" t="s">
        <v>515</v>
      </c>
      <c r="BS301" s="463">
        <v>0</v>
      </c>
      <c r="BT301" s="316" t="s">
        <v>631</v>
      </c>
      <c r="BU301" s="316" t="s">
        <v>632</v>
      </c>
      <c r="BV301" s="463">
        <v>0.01</v>
      </c>
      <c r="BW301" s="463">
        <f t="shared" si="403"/>
        <v>0.5</v>
      </c>
      <c r="BX301" s="489" t="s">
        <v>874</v>
      </c>
      <c r="BY301" s="489"/>
      <c r="BZ301" s="489"/>
      <c r="CA301" s="436" t="s">
        <v>874</v>
      </c>
      <c r="CB301" s="723">
        <v>0.71699999999999997</v>
      </c>
      <c r="CC301" s="668" t="s">
        <v>950</v>
      </c>
      <c r="CD301" s="316" t="s">
        <v>514</v>
      </c>
      <c r="CE301" s="316" t="s">
        <v>515</v>
      </c>
      <c r="CF301" s="718">
        <v>0</v>
      </c>
      <c r="CG301" s="316" t="s">
        <v>631</v>
      </c>
      <c r="CH301" s="316" t="s">
        <v>632</v>
      </c>
      <c r="CI301" s="718">
        <v>0.01</v>
      </c>
    </row>
    <row r="302" spans="1:87" ht="16.5" customHeight="1" thickBot="1" x14ac:dyDescent="0.25">
      <c r="A302" s="1164" t="s">
        <v>485</v>
      </c>
      <c r="B302" s="466" t="s">
        <v>932</v>
      </c>
      <c r="C302" s="466"/>
      <c r="D302" s="466"/>
      <c r="E302" s="466"/>
      <c r="F302" s="466"/>
      <c r="G302" s="466"/>
      <c r="H302" s="466"/>
      <c r="I302" s="466"/>
      <c r="J302" s="466"/>
      <c r="K302" s="425"/>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25"/>
      <c r="AM302" s="425"/>
      <c r="AN302" s="425"/>
      <c r="AO302" s="425"/>
      <c r="AP302" s="425"/>
      <c r="AQ302" s="425"/>
      <c r="AR302" s="425"/>
      <c r="AS302" s="425"/>
      <c r="AT302" s="425"/>
      <c r="AU302" s="425"/>
      <c r="AV302" s="425"/>
      <c r="AW302" s="425"/>
      <c r="AX302" s="425"/>
      <c r="AY302" s="425"/>
      <c r="AZ302" s="425"/>
      <c r="BA302" s="425"/>
      <c r="BB302" s="425"/>
      <c r="BC302" s="425"/>
      <c r="BD302" s="425"/>
      <c r="BE302" s="425"/>
      <c r="BF302" s="425"/>
      <c r="BG302" s="425"/>
      <c r="BH302" s="465"/>
      <c r="BI302" s="425"/>
      <c r="BJ302" s="425"/>
      <c r="BK302" s="465"/>
      <c r="BL302" s="425"/>
      <c r="BM302" s="425"/>
      <c r="BN302" s="465"/>
      <c r="BO302" s="465"/>
      <c r="BP302" s="465"/>
      <c r="BQ302" s="465"/>
      <c r="BR302" s="465"/>
      <c r="BS302" s="465"/>
      <c r="BT302" s="465"/>
      <c r="BU302" s="465"/>
      <c r="BV302" s="465"/>
      <c r="BW302" s="466"/>
      <c r="BX302" s="448"/>
      <c r="BY302" s="448" t="s">
        <v>874</v>
      </c>
      <c r="BZ302" s="448"/>
      <c r="CA302" s="438"/>
      <c r="CB302" s="723">
        <v>0.75</v>
      </c>
      <c r="CC302" s="668"/>
    </row>
    <row r="303" spans="1:87" x14ac:dyDescent="0.2">
      <c r="BO303" s="468"/>
      <c r="BP303" s="468"/>
      <c r="BQ303" s="468"/>
      <c r="BR303" s="468"/>
      <c r="BS303" s="468"/>
      <c r="BT303" s="468"/>
      <c r="BU303" s="468"/>
      <c r="BV303" s="468"/>
      <c r="BX303" s="449"/>
      <c r="BY303" s="449"/>
      <c r="BZ303" s="449"/>
    </row>
    <row r="304" spans="1:87" x14ac:dyDescent="0.2">
      <c r="A304" s="457"/>
      <c r="B304" s="457"/>
      <c r="C304" s="457"/>
      <c r="D304" s="457"/>
      <c r="E304" s="457"/>
      <c r="F304" s="457"/>
      <c r="G304" s="457"/>
      <c r="H304" s="457"/>
      <c r="I304" s="457"/>
      <c r="J304" s="457"/>
      <c r="K304" s="457"/>
      <c r="L304" s="457"/>
      <c r="M304" s="457"/>
      <c r="N304" s="457"/>
      <c r="O304" s="457"/>
      <c r="P304" s="457"/>
      <c r="Q304" s="457"/>
      <c r="R304" s="457"/>
      <c r="S304" s="457"/>
      <c r="T304" s="457"/>
      <c r="U304" s="457"/>
      <c r="V304" s="457"/>
      <c r="W304" s="457"/>
      <c r="X304" s="457"/>
      <c r="Y304" s="457"/>
      <c r="Z304" s="457"/>
      <c r="AA304" s="457"/>
      <c r="AB304" s="457"/>
      <c r="AC304" s="457"/>
      <c r="AD304" s="457"/>
      <c r="AE304" s="457"/>
      <c r="AF304" s="457"/>
      <c r="AG304" s="457"/>
      <c r="AH304" s="457"/>
      <c r="AI304" s="457"/>
      <c r="AJ304" s="457"/>
      <c r="AK304" s="457"/>
      <c r="AL304" s="457"/>
      <c r="AM304" s="457"/>
      <c r="AN304" s="457"/>
      <c r="AO304" s="457"/>
      <c r="AP304" s="457"/>
      <c r="AQ304" s="457"/>
      <c r="AR304" s="457"/>
      <c r="AS304" s="457"/>
      <c r="AT304" s="457"/>
      <c r="AU304" s="457"/>
      <c r="AV304" s="457"/>
      <c r="AW304" s="457"/>
      <c r="AX304" s="457"/>
      <c r="AY304" s="457"/>
      <c r="AZ304" s="457"/>
      <c r="BA304" s="457"/>
      <c r="BB304" s="457"/>
      <c r="BC304" s="457"/>
      <c r="BD304" s="457"/>
      <c r="BE304" s="457"/>
      <c r="BF304" s="457"/>
      <c r="BG304" s="457"/>
      <c r="BH304" s="457"/>
      <c r="BI304" s="457"/>
      <c r="BJ304" s="457"/>
      <c r="BK304" s="457"/>
      <c r="BL304" s="457"/>
      <c r="BM304" s="457"/>
      <c r="BN304" s="457"/>
      <c r="BO304" s="468"/>
      <c r="BP304" s="468"/>
      <c r="BQ304" s="468"/>
      <c r="BR304" s="468"/>
      <c r="BS304" s="468"/>
      <c r="BT304" s="468"/>
      <c r="BU304" s="468"/>
      <c r="BV304" s="468"/>
      <c r="BX304" s="449"/>
      <c r="BY304" s="449"/>
      <c r="BZ304" s="449"/>
      <c r="CA304" s="457"/>
    </row>
    <row r="305" spans="67:78" s="457" customFormat="1" x14ac:dyDescent="0.2">
      <c r="BO305" s="468"/>
      <c r="BP305" s="468"/>
      <c r="BQ305" s="468"/>
      <c r="BR305" s="468"/>
      <c r="BS305" s="468"/>
      <c r="BT305" s="468"/>
      <c r="BU305" s="468"/>
      <c r="BV305" s="468"/>
      <c r="BW305" s="469"/>
      <c r="BX305" s="449"/>
      <c r="BY305" s="449"/>
      <c r="BZ305" s="449"/>
    </row>
    <row r="306" spans="67:78" s="457" customFormat="1" x14ac:dyDescent="0.2">
      <c r="BO306" s="468"/>
      <c r="BP306" s="468"/>
      <c r="BQ306" s="468"/>
      <c r="BR306" s="468"/>
      <c r="BS306" s="468"/>
      <c r="BT306" s="468"/>
      <c r="BU306" s="468"/>
      <c r="BV306" s="468"/>
      <c r="BW306" s="469"/>
      <c r="BX306" s="449"/>
      <c r="BY306" s="449"/>
      <c r="BZ306" s="449"/>
    </row>
    <row r="307" spans="67:78" s="457" customFormat="1" x14ac:dyDescent="0.2">
      <c r="BO307" s="468"/>
      <c r="BP307" s="468"/>
      <c r="BQ307" s="468"/>
      <c r="BR307" s="468"/>
      <c r="BS307" s="468"/>
      <c r="BT307" s="468"/>
      <c r="BU307" s="468"/>
      <c r="BV307" s="468"/>
      <c r="BW307" s="469"/>
      <c r="BX307" s="449"/>
      <c r="BY307" s="449"/>
      <c r="BZ307" s="449"/>
    </row>
    <row r="308" spans="67:78" s="457" customFormat="1" x14ac:dyDescent="0.2">
      <c r="BO308" s="468"/>
      <c r="BP308" s="468"/>
      <c r="BQ308" s="468"/>
      <c r="BR308" s="468"/>
      <c r="BS308" s="468"/>
      <c r="BT308" s="468"/>
      <c r="BU308" s="468"/>
      <c r="BV308" s="468"/>
      <c r="BW308" s="469"/>
      <c r="BX308" s="449"/>
      <c r="BY308" s="449"/>
      <c r="BZ308" s="449"/>
    </row>
    <row r="309" spans="67:78" s="457" customFormat="1" x14ac:dyDescent="0.2">
      <c r="BO309" s="468"/>
      <c r="BP309" s="468"/>
      <c r="BQ309" s="468"/>
      <c r="BR309" s="468"/>
      <c r="BS309" s="468"/>
      <c r="BT309" s="468"/>
      <c r="BU309" s="468"/>
      <c r="BV309" s="468"/>
      <c r="BW309" s="469"/>
      <c r="BX309" s="449"/>
      <c r="BY309" s="449"/>
      <c r="BZ309" s="449"/>
    </row>
    <row r="310" spans="67:78" s="457" customFormat="1" x14ac:dyDescent="0.2">
      <c r="BO310" s="468"/>
      <c r="BP310" s="468"/>
      <c r="BQ310" s="468"/>
      <c r="BR310" s="468"/>
      <c r="BS310" s="468"/>
      <c r="BT310" s="468"/>
      <c r="BU310" s="468"/>
      <c r="BV310" s="468"/>
      <c r="BW310" s="469"/>
      <c r="BX310" s="449"/>
      <c r="BY310" s="449"/>
      <c r="BZ310" s="449"/>
    </row>
    <row r="311" spans="67:78" s="457" customFormat="1" x14ac:dyDescent="0.2">
      <c r="BO311" s="468"/>
      <c r="BP311" s="468"/>
      <c r="BQ311" s="468"/>
      <c r="BR311" s="468"/>
      <c r="BS311" s="468"/>
      <c r="BT311" s="468"/>
      <c r="BU311" s="468"/>
      <c r="BV311" s="468"/>
      <c r="BW311" s="469"/>
      <c r="BX311" s="449"/>
      <c r="BY311" s="449"/>
      <c r="BZ311" s="449"/>
    </row>
    <row r="312" spans="67:78" s="457" customFormat="1" x14ac:dyDescent="0.2">
      <c r="BO312" s="468"/>
      <c r="BP312" s="468"/>
      <c r="BQ312" s="468"/>
      <c r="BR312" s="468"/>
      <c r="BS312" s="468"/>
      <c r="BT312" s="468"/>
      <c r="BU312" s="468"/>
      <c r="BV312" s="468"/>
      <c r="BW312" s="469"/>
      <c r="BX312" s="449"/>
      <c r="BY312" s="449"/>
      <c r="BZ312" s="449"/>
    </row>
    <row r="313" spans="67:78" s="457" customFormat="1" x14ac:dyDescent="0.2">
      <c r="BO313" s="468"/>
      <c r="BP313" s="468"/>
      <c r="BQ313" s="468"/>
      <c r="BR313" s="468"/>
      <c r="BS313" s="468"/>
      <c r="BT313" s="468"/>
      <c r="BU313" s="468"/>
      <c r="BV313" s="468"/>
      <c r="BW313" s="469"/>
      <c r="BX313" s="449"/>
      <c r="BY313" s="449"/>
      <c r="BZ313" s="449"/>
    </row>
    <row r="314" spans="67:78" s="457" customFormat="1" x14ac:dyDescent="0.2">
      <c r="BO314" s="468"/>
      <c r="BP314" s="468"/>
      <c r="BQ314" s="468"/>
      <c r="BR314" s="468"/>
      <c r="BS314" s="468"/>
      <c r="BT314" s="468"/>
      <c r="BU314" s="468"/>
      <c r="BV314" s="468"/>
      <c r="BW314" s="469"/>
      <c r="BX314" s="449"/>
      <c r="BY314" s="449"/>
      <c r="BZ314" s="449"/>
    </row>
    <row r="315" spans="67:78" s="457" customFormat="1" x14ac:dyDescent="0.2">
      <c r="BO315" s="468"/>
      <c r="BP315" s="468"/>
      <c r="BQ315" s="468"/>
      <c r="BR315" s="468"/>
      <c r="BS315" s="468"/>
      <c r="BT315" s="468"/>
      <c r="BU315" s="468"/>
      <c r="BV315" s="468"/>
      <c r="BW315" s="469"/>
      <c r="BX315" s="449"/>
      <c r="BY315" s="449"/>
      <c r="BZ315" s="449"/>
    </row>
    <row r="316" spans="67:78" s="457" customFormat="1" x14ac:dyDescent="0.2">
      <c r="BO316" s="468"/>
      <c r="BP316" s="468"/>
      <c r="BQ316" s="468"/>
      <c r="BR316" s="468"/>
      <c r="BS316" s="468"/>
      <c r="BT316" s="468"/>
      <c r="BU316" s="468"/>
      <c r="BV316" s="468"/>
      <c r="BW316" s="469"/>
      <c r="BX316" s="449"/>
      <c r="BY316" s="449"/>
      <c r="BZ316" s="449"/>
    </row>
    <row r="317" spans="67:78" s="457" customFormat="1" x14ac:dyDescent="0.2">
      <c r="BO317" s="468"/>
      <c r="BP317" s="468"/>
      <c r="BQ317" s="468"/>
      <c r="BR317" s="468"/>
      <c r="BS317" s="468"/>
      <c r="BT317" s="468"/>
      <c r="BU317" s="468"/>
      <c r="BV317" s="468"/>
      <c r="BW317" s="469"/>
      <c r="BX317" s="449"/>
      <c r="BY317" s="449"/>
      <c r="BZ317" s="449"/>
    </row>
    <row r="318" spans="67:78" s="457" customFormat="1" x14ac:dyDescent="0.2">
      <c r="BO318" s="468"/>
      <c r="BP318" s="468"/>
      <c r="BQ318" s="468"/>
      <c r="BR318" s="468"/>
      <c r="BS318" s="468"/>
      <c r="BT318" s="468"/>
      <c r="BU318" s="468"/>
      <c r="BV318" s="468"/>
      <c r="BW318" s="469"/>
      <c r="BX318" s="449"/>
      <c r="BY318" s="449"/>
      <c r="BZ318" s="449"/>
    </row>
    <row r="319" spans="67:78" s="457" customFormat="1" x14ac:dyDescent="0.2">
      <c r="BO319" s="468"/>
      <c r="BP319" s="468"/>
      <c r="BQ319" s="468"/>
      <c r="BR319" s="468"/>
      <c r="BS319" s="468"/>
      <c r="BT319" s="468"/>
      <c r="BU319" s="468"/>
      <c r="BV319" s="468"/>
      <c r="BW319" s="469"/>
      <c r="BX319" s="449"/>
      <c r="BY319" s="449"/>
      <c r="BZ319" s="449"/>
    </row>
    <row r="320" spans="67:78" s="457" customFormat="1" x14ac:dyDescent="0.2">
      <c r="BO320" s="468"/>
      <c r="BP320" s="468"/>
      <c r="BQ320" s="468"/>
      <c r="BR320" s="468"/>
      <c r="BS320" s="468"/>
      <c r="BT320" s="468"/>
      <c r="BU320" s="468"/>
      <c r="BV320" s="468"/>
      <c r="BW320" s="469"/>
      <c r="BX320" s="449"/>
      <c r="BY320" s="449"/>
      <c r="BZ320" s="449"/>
    </row>
    <row r="321" spans="67:78" s="457" customFormat="1" x14ac:dyDescent="0.2">
      <c r="BO321" s="468"/>
      <c r="BP321" s="468"/>
      <c r="BQ321" s="468"/>
      <c r="BR321" s="468"/>
      <c r="BS321" s="468"/>
      <c r="BT321" s="468"/>
      <c r="BU321" s="468"/>
      <c r="BV321" s="468"/>
      <c r="BW321" s="469"/>
      <c r="BX321" s="449"/>
      <c r="BY321" s="449"/>
      <c r="BZ321" s="449"/>
    </row>
    <row r="322" spans="67:78" s="457" customFormat="1" x14ac:dyDescent="0.2">
      <c r="BO322" s="468"/>
      <c r="BP322" s="468"/>
      <c r="BQ322" s="468"/>
      <c r="BR322" s="468"/>
      <c r="BS322" s="468"/>
      <c r="BT322" s="468"/>
      <c r="BU322" s="468"/>
      <c r="BV322" s="468"/>
      <c r="BW322" s="469"/>
      <c r="BX322" s="449"/>
      <c r="BY322" s="449"/>
      <c r="BZ322" s="449"/>
    </row>
    <row r="323" spans="67:78" s="457" customFormat="1" x14ac:dyDescent="0.2">
      <c r="BO323" s="468"/>
      <c r="BP323" s="468"/>
      <c r="BQ323" s="468"/>
      <c r="BR323" s="468"/>
      <c r="BS323" s="468"/>
      <c r="BT323" s="468"/>
      <c r="BU323" s="468"/>
      <c r="BV323" s="468"/>
      <c r="BW323" s="469"/>
      <c r="BX323" s="449"/>
      <c r="BY323" s="449"/>
      <c r="BZ323" s="449"/>
    </row>
    <row r="324" spans="67:78" s="457" customFormat="1" x14ac:dyDescent="0.2">
      <c r="BO324" s="468"/>
      <c r="BP324" s="468"/>
      <c r="BQ324" s="468"/>
      <c r="BR324" s="468"/>
      <c r="BS324" s="468"/>
      <c r="BT324" s="468"/>
      <c r="BU324" s="468"/>
      <c r="BV324" s="468"/>
      <c r="BW324" s="469"/>
      <c r="BX324" s="449"/>
      <c r="BY324" s="449"/>
      <c r="BZ324" s="449"/>
    </row>
    <row r="325" spans="67:78" s="457" customFormat="1" x14ac:dyDescent="0.2">
      <c r="BO325" s="468"/>
      <c r="BP325" s="468"/>
      <c r="BQ325" s="468"/>
      <c r="BR325" s="468"/>
      <c r="BS325" s="468"/>
      <c r="BT325" s="468"/>
      <c r="BU325" s="468"/>
      <c r="BV325" s="468"/>
      <c r="BW325" s="469"/>
      <c r="BX325" s="449"/>
      <c r="BY325" s="449"/>
      <c r="BZ325" s="449"/>
    </row>
    <row r="326" spans="67:78" s="457" customFormat="1" x14ac:dyDescent="0.2">
      <c r="BO326" s="468"/>
      <c r="BP326" s="468"/>
      <c r="BQ326" s="468"/>
      <c r="BR326" s="468"/>
      <c r="BS326" s="468"/>
      <c r="BT326" s="468"/>
      <c r="BU326" s="468"/>
      <c r="BV326" s="468"/>
      <c r="BW326" s="469"/>
      <c r="BX326" s="449"/>
      <c r="BY326" s="449"/>
      <c r="BZ326" s="449"/>
    </row>
    <row r="327" spans="67:78" s="457" customFormat="1" x14ac:dyDescent="0.2">
      <c r="BO327" s="468"/>
      <c r="BP327" s="468"/>
      <c r="BQ327" s="468"/>
      <c r="BR327" s="468"/>
      <c r="BS327" s="468"/>
      <c r="BT327" s="468"/>
      <c r="BU327" s="468"/>
      <c r="BV327" s="468"/>
      <c r="BW327" s="469"/>
      <c r="BX327" s="449"/>
      <c r="BY327" s="449"/>
      <c r="BZ327" s="449"/>
    </row>
    <row r="328" spans="67:78" s="457" customFormat="1" x14ac:dyDescent="0.2">
      <c r="BO328" s="468"/>
      <c r="BP328" s="468"/>
      <c r="BQ328" s="468"/>
      <c r="BR328" s="468"/>
      <c r="BS328" s="468"/>
      <c r="BT328" s="468"/>
      <c r="BU328" s="468"/>
      <c r="BV328" s="468"/>
      <c r="BW328" s="469"/>
      <c r="BX328" s="449"/>
      <c r="BY328" s="449"/>
      <c r="BZ328" s="449"/>
    </row>
    <row r="329" spans="67:78" s="457" customFormat="1" x14ac:dyDescent="0.2">
      <c r="BO329" s="468"/>
      <c r="BP329" s="468"/>
      <c r="BQ329" s="468"/>
      <c r="BR329" s="468"/>
      <c r="BS329" s="468"/>
      <c r="BT329" s="468"/>
      <c r="BU329" s="468"/>
      <c r="BV329" s="468"/>
      <c r="BW329" s="469"/>
      <c r="BX329" s="449"/>
      <c r="BY329" s="449"/>
      <c r="BZ329" s="449"/>
    </row>
    <row r="330" spans="67:78" s="457" customFormat="1" x14ac:dyDescent="0.2">
      <c r="BO330" s="468"/>
      <c r="BP330" s="468"/>
      <c r="BQ330" s="468"/>
      <c r="BR330" s="468"/>
      <c r="BS330" s="468"/>
      <c r="BT330" s="468"/>
      <c r="BU330" s="468"/>
      <c r="BV330" s="468"/>
      <c r="BW330" s="469"/>
      <c r="BX330" s="449"/>
      <c r="BY330" s="449"/>
      <c r="BZ330" s="449"/>
    </row>
    <row r="331" spans="67:78" s="457" customFormat="1" x14ac:dyDescent="0.2">
      <c r="BO331" s="468"/>
      <c r="BP331" s="468"/>
      <c r="BQ331" s="468"/>
      <c r="BR331" s="468"/>
      <c r="BS331" s="468"/>
      <c r="BT331" s="468"/>
      <c r="BU331" s="468"/>
      <c r="BV331" s="468"/>
      <c r="BW331" s="469"/>
      <c r="BX331" s="449"/>
      <c r="BY331" s="449"/>
      <c r="BZ331" s="449"/>
    </row>
    <row r="332" spans="67:78" s="457" customFormat="1" x14ac:dyDescent="0.2">
      <c r="BO332" s="468"/>
      <c r="BP332" s="468"/>
      <c r="BQ332" s="468"/>
      <c r="BR332" s="468"/>
      <c r="BS332" s="468"/>
      <c r="BT332" s="468"/>
      <c r="BU332" s="468"/>
      <c r="BV332" s="468"/>
      <c r="BW332" s="469"/>
      <c r="BX332" s="449"/>
      <c r="BY332" s="449"/>
      <c r="BZ332" s="449"/>
    </row>
    <row r="333" spans="67:78" s="457" customFormat="1" x14ac:dyDescent="0.2">
      <c r="BO333" s="468"/>
      <c r="BP333" s="468"/>
      <c r="BQ333" s="468"/>
      <c r="BR333" s="468"/>
      <c r="BS333" s="468"/>
      <c r="BT333" s="468"/>
      <c r="BU333" s="468"/>
      <c r="BV333" s="468"/>
      <c r="BW333" s="469"/>
      <c r="BX333" s="449"/>
      <c r="BY333" s="449"/>
      <c r="BZ333" s="449"/>
    </row>
    <row r="334" spans="67:78" s="457" customFormat="1" x14ac:dyDescent="0.2">
      <c r="BO334" s="468"/>
      <c r="BP334" s="468"/>
      <c r="BQ334" s="468"/>
      <c r="BR334" s="468"/>
      <c r="BS334" s="468"/>
      <c r="BT334" s="468"/>
      <c r="BU334" s="468"/>
      <c r="BV334" s="468"/>
      <c r="BW334" s="469"/>
      <c r="BX334" s="449"/>
      <c r="BY334" s="449"/>
      <c r="BZ334" s="449"/>
    </row>
    <row r="335" spans="67:78" s="457" customFormat="1" x14ac:dyDescent="0.2">
      <c r="BO335" s="468"/>
      <c r="BP335" s="468"/>
      <c r="BQ335" s="468"/>
      <c r="BR335" s="468"/>
      <c r="BS335" s="468"/>
      <c r="BT335" s="468"/>
      <c r="BU335" s="468"/>
      <c r="BV335" s="468"/>
      <c r="BW335" s="469"/>
      <c r="BX335" s="449"/>
      <c r="BY335" s="449"/>
      <c r="BZ335" s="449"/>
    </row>
    <row r="336" spans="67:78" s="457" customFormat="1" x14ac:dyDescent="0.2">
      <c r="BO336" s="468"/>
      <c r="BP336" s="468"/>
      <c r="BQ336" s="468"/>
      <c r="BR336" s="468"/>
      <c r="BS336" s="468"/>
      <c r="BT336" s="468"/>
      <c r="BU336" s="468"/>
      <c r="BV336" s="468"/>
      <c r="BW336" s="469"/>
      <c r="BX336" s="449"/>
      <c r="BY336" s="449"/>
      <c r="BZ336" s="449"/>
    </row>
    <row r="337" spans="67:78" s="457" customFormat="1" x14ac:dyDescent="0.2">
      <c r="BO337" s="468"/>
      <c r="BP337" s="468"/>
      <c r="BQ337" s="468"/>
      <c r="BR337" s="468"/>
      <c r="BS337" s="468"/>
      <c r="BT337" s="468"/>
      <c r="BU337" s="468"/>
      <c r="BV337" s="468"/>
      <c r="BW337" s="469"/>
      <c r="BX337" s="449"/>
      <c r="BY337" s="449"/>
      <c r="BZ337" s="449"/>
    </row>
    <row r="338" spans="67:78" s="457" customFormat="1" x14ac:dyDescent="0.2">
      <c r="BO338" s="468"/>
      <c r="BP338" s="468"/>
      <c r="BQ338" s="468"/>
      <c r="BR338" s="468"/>
      <c r="BS338" s="468"/>
      <c r="BT338" s="468"/>
      <c r="BU338" s="468"/>
      <c r="BV338" s="468"/>
      <c r="BW338" s="469"/>
      <c r="BX338" s="449"/>
      <c r="BY338" s="449"/>
      <c r="BZ338" s="449"/>
    </row>
    <row r="339" spans="67:78" s="457" customFormat="1" x14ac:dyDescent="0.2">
      <c r="BO339" s="468"/>
      <c r="BP339" s="468"/>
      <c r="BQ339" s="468"/>
      <c r="BR339" s="468"/>
      <c r="BS339" s="468"/>
      <c r="BT339" s="468"/>
      <c r="BU339" s="468"/>
      <c r="BV339" s="468"/>
      <c r="BW339" s="469"/>
      <c r="BX339" s="449"/>
      <c r="BY339" s="449"/>
      <c r="BZ339" s="449"/>
    </row>
    <row r="340" spans="67:78" s="457" customFormat="1" x14ac:dyDescent="0.2">
      <c r="BO340" s="468"/>
      <c r="BP340" s="468"/>
      <c r="BQ340" s="468"/>
      <c r="BR340" s="468"/>
      <c r="BS340" s="468"/>
      <c r="BT340" s="468"/>
      <c r="BU340" s="468"/>
      <c r="BV340" s="468"/>
      <c r="BW340" s="469"/>
      <c r="BX340" s="449"/>
      <c r="BY340" s="449"/>
      <c r="BZ340" s="449"/>
    </row>
    <row r="341" spans="67:78" s="457" customFormat="1" x14ac:dyDescent="0.2">
      <c r="BO341" s="468"/>
      <c r="BP341" s="468"/>
      <c r="BQ341" s="468"/>
      <c r="BR341" s="468"/>
      <c r="BS341" s="468"/>
      <c r="BT341" s="468"/>
      <c r="BU341" s="468"/>
      <c r="BV341" s="468"/>
      <c r="BW341" s="469"/>
      <c r="BX341" s="449"/>
      <c r="BY341" s="449"/>
      <c r="BZ341" s="449"/>
    </row>
    <row r="342" spans="67:78" s="457" customFormat="1" x14ac:dyDescent="0.2">
      <c r="BO342" s="468"/>
      <c r="BP342" s="468"/>
      <c r="BQ342" s="468"/>
      <c r="BR342" s="468"/>
      <c r="BS342" s="468"/>
      <c r="BT342" s="468"/>
      <c r="BU342" s="468"/>
      <c r="BV342" s="468"/>
      <c r="BW342" s="469"/>
      <c r="BX342" s="449"/>
      <c r="BY342" s="449"/>
      <c r="BZ342" s="449"/>
    </row>
    <row r="343" spans="67:78" s="457" customFormat="1" x14ac:dyDescent="0.2">
      <c r="BO343" s="468"/>
      <c r="BP343" s="468"/>
      <c r="BQ343" s="468"/>
      <c r="BR343" s="468"/>
      <c r="BS343" s="468"/>
      <c r="BT343" s="468"/>
      <c r="BU343" s="468"/>
      <c r="BV343" s="468"/>
      <c r="BW343" s="469"/>
      <c r="BX343" s="449"/>
      <c r="BY343" s="449"/>
      <c r="BZ343" s="449"/>
    </row>
    <row r="344" spans="67:78" s="457" customFormat="1" x14ac:dyDescent="0.2">
      <c r="BO344" s="468"/>
      <c r="BP344" s="468"/>
      <c r="BQ344" s="468"/>
      <c r="BR344" s="468"/>
      <c r="BS344" s="468"/>
      <c r="BT344" s="468"/>
      <c r="BU344" s="468"/>
      <c r="BV344" s="468"/>
      <c r="BW344" s="469"/>
      <c r="BX344" s="449"/>
      <c r="BY344" s="449"/>
      <c r="BZ344" s="449"/>
    </row>
    <row r="345" spans="67:78" s="457" customFormat="1" x14ac:dyDescent="0.2">
      <c r="BO345" s="468"/>
      <c r="BP345" s="468"/>
      <c r="BQ345" s="468"/>
      <c r="BR345" s="468"/>
      <c r="BS345" s="468"/>
      <c r="BT345" s="468"/>
      <c r="BU345" s="468"/>
      <c r="BV345" s="468"/>
      <c r="BW345" s="469"/>
      <c r="BX345" s="449"/>
      <c r="BY345" s="449"/>
      <c r="BZ345" s="449"/>
    </row>
    <row r="346" spans="67:78" s="457" customFormat="1" x14ac:dyDescent="0.2">
      <c r="BO346" s="468"/>
      <c r="BP346" s="468"/>
      <c r="BQ346" s="468"/>
      <c r="BR346" s="468"/>
      <c r="BS346" s="468"/>
      <c r="BT346" s="468"/>
      <c r="BU346" s="468"/>
      <c r="BV346" s="468"/>
      <c r="BW346" s="469"/>
      <c r="BX346" s="449"/>
      <c r="BY346" s="449"/>
      <c r="BZ346" s="449"/>
    </row>
    <row r="347" spans="67:78" s="457" customFormat="1" x14ac:dyDescent="0.2">
      <c r="BO347" s="468"/>
      <c r="BP347" s="468"/>
      <c r="BQ347" s="468"/>
      <c r="BR347" s="468"/>
      <c r="BS347" s="468"/>
      <c r="BT347" s="468"/>
      <c r="BU347" s="468"/>
      <c r="BV347" s="468"/>
      <c r="BW347" s="469"/>
      <c r="BX347" s="449"/>
      <c r="BY347" s="449"/>
      <c r="BZ347" s="449"/>
    </row>
    <row r="348" spans="67:78" s="457" customFormat="1" x14ac:dyDescent="0.2">
      <c r="BO348" s="468"/>
      <c r="BP348" s="468"/>
      <c r="BQ348" s="468"/>
      <c r="BR348" s="468"/>
      <c r="BS348" s="468"/>
      <c r="BT348" s="468"/>
      <c r="BU348" s="468"/>
      <c r="BV348" s="468"/>
      <c r="BW348" s="469"/>
      <c r="BX348" s="449"/>
      <c r="BY348" s="449"/>
      <c r="BZ348" s="449"/>
    </row>
    <row r="349" spans="67:78" s="457" customFormat="1" x14ac:dyDescent="0.2">
      <c r="BO349" s="468"/>
      <c r="BP349" s="468"/>
      <c r="BQ349" s="468"/>
      <c r="BR349" s="468"/>
      <c r="BS349" s="468"/>
      <c r="BT349" s="468"/>
      <c r="BU349" s="468"/>
      <c r="BV349" s="468"/>
      <c r="BW349" s="469"/>
      <c r="BX349" s="449"/>
      <c r="BY349" s="449"/>
      <c r="BZ349" s="449"/>
    </row>
    <row r="350" spans="67:78" s="457" customFormat="1" x14ac:dyDescent="0.2">
      <c r="BO350" s="468"/>
      <c r="BP350" s="468"/>
      <c r="BQ350" s="468"/>
      <c r="BR350" s="468"/>
      <c r="BS350" s="468"/>
      <c r="BT350" s="468"/>
      <c r="BU350" s="468"/>
      <c r="BV350" s="468"/>
      <c r="BW350" s="469"/>
      <c r="BX350" s="449"/>
      <c r="BY350" s="449"/>
      <c r="BZ350" s="449"/>
    </row>
    <row r="351" spans="67:78" s="457" customFormat="1" x14ac:dyDescent="0.2">
      <c r="BO351" s="468"/>
      <c r="BP351" s="468"/>
      <c r="BQ351" s="468"/>
      <c r="BR351" s="468"/>
      <c r="BS351" s="468"/>
      <c r="BT351" s="468"/>
      <c r="BU351" s="468"/>
      <c r="BV351" s="468"/>
      <c r="BW351" s="469"/>
      <c r="BX351" s="449"/>
      <c r="BY351" s="449"/>
      <c r="BZ351" s="449"/>
    </row>
    <row r="352" spans="67:78" s="457" customFormat="1" x14ac:dyDescent="0.2">
      <c r="BO352" s="468"/>
      <c r="BP352" s="468"/>
      <c r="BQ352" s="468"/>
      <c r="BR352" s="468"/>
      <c r="BS352" s="468"/>
      <c r="BT352" s="468"/>
      <c r="BU352" s="468"/>
      <c r="BV352" s="468"/>
      <c r="BW352" s="469"/>
      <c r="BX352" s="449"/>
      <c r="BY352" s="449"/>
      <c r="BZ352" s="449"/>
    </row>
    <row r="353" spans="67:78" s="457" customFormat="1" x14ac:dyDescent="0.2">
      <c r="BO353" s="468"/>
      <c r="BP353" s="468"/>
      <c r="BQ353" s="468"/>
      <c r="BR353" s="468"/>
      <c r="BS353" s="468"/>
      <c r="BT353" s="468"/>
      <c r="BU353" s="468"/>
      <c r="BV353" s="468"/>
      <c r="BW353" s="469"/>
      <c r="BX353" s="449"/>
      <c r="BY353" s="449"/>
      <c r="BZ353" s="449"/>
    </row>
    <row r="354" spans="67:78" s="457" customFormat="1" x14ac:dyDescent="0.2">
      <c r="BO354" s="468"/>
      <c r="BP354" s="468"/>
      <c r="BQ354" s="468"/>
      <c r="BR354" s="468"/>
      <c r="BS354" s="468"/>
      <c r="BT354" s="468"/>
      <c r="BU354" s="468"/>
      <c r="BV354" s="468"/>
      <c r="BW354" s="469"/>
      <c r="BX354" s="449"/>
      <c r="BY354" s="449"/>
      <c r="BZ354" s="449"/>
    </row>
    <row r="355" spans="67:78" s="457" customFormat="1" x14ac:dyDescent="0.2">
      <c r="BO355" s="468"/>
      <c r="BP355" s="468"/>
      <c r="BQ355" s="468"/>
      <c r="BR355" s="468"/>
      <c r="BS355" s="468"/>
      <c r="BT355" s="468"/>
      <c r="BU355" s="468"/>
      <c r="BV355" s="468"/>
      <c r="BW355" s="469"/>
      <c r="BX355" s="449"/>
      <c r="BY355" s="449"/>
      <c r="BZ355" s="449"/>
    </row>
    <row r="356" spans="67:78" s="457" customFormat="1" x14ac:dyDescent="0.2">
      <c r="BO356" s="468"/>
      <c r="BP356" s="468"/>
      <c r="BQ356" s="468"/>
      <c r="BR356" s="468"/>
      <c r="BS356" s="468"/>
      <c r="BT356" s="468"/>
      <c r="BU356" s="468"/>
      <c r="BV356" s="468"/>
      <c r="BW356" s="469"/>
      <c r="BX356" s="449"/>
      <c r="BY356" s="449"/>
      <c r="BZ356" s="449"/>
    </row>
    <row r="357" spans="67:78" s="457" customFormat="1" x14ac:dyDescent="0.2">
      <c r="BO357" s="468"/>
      <c r="BP357" s="468"/>
      <c r="BQ357" s="468"/>
      <c r="BR357" s="468"/>
      <c r="BS357" s="468"/>
      <c r="BT357" s="468"/>
      <c r="BU357" s="468"/>
      <c r="BV357" s="468"/>
      <c r="BW357" s="469"/>
      <c r="BX357" s="449"/>
      <c r="BY357" s="449"/>
      <c r="BZ357" s="449"/>
    </row>
    <row r="358" spans="67:78" s="457" customFormat="1" x14ac:dyDescent="0.2">
      <c r="BO358" s="468"/>
      <c r="BP358" s="468"/>
      <c r="BQ358" s="468"/>
      <c r="BR358" s="468"/>
      <c r="BS358" s="468"/>
      <c r="BT358" s="468"/>
      <c r="BU358" s="468"/>
      <c r="BV358" s="468"/>
      <c r="BW358" s="469"/>
      <c r="BX358" s="449"/>
      <c r="BY358" s="449"/>
      <c r="BZ358" s="449"/>
    </row>
    <row r="359" spans="67:78" s="457" customFormat="1" x14ac:dyDescent="0.2">
      <c r="BO359" s="468"/>
      <c r="BP359" s="468"/>
      <c r="BQ359" s="468"/>
      <c r="BR359" s="468"/>
      <c r="BS359" s="468"/>
      <c r="BT359" s="468"/>
      <c r="BU359" s="468"/>
      <c r="BV359" s="468"/>
      <c r="BW359" s="469"/>
      <c r="BX359" s="449"/>
      <c r="BY359" s="449"/>
      <c r="BZ359" s="449"/>
    </row>
    <row r="360" spans="67:78" s="457" customFormat="1" x14ac:dyDescent="0.2">
      <c r="BO360" s="468"/>
      <c r="BP360" s="468"/>
      <c r="BQ360" s="468"/>
      <c r="BR360" s="468"/>
      <c r="BS360" s="468"/>
      <c r="BT360" s="468"/>
      <c r="BU360" s="468"/>
      <c r="BV360" s="468"/>
      <c r="BW360" s="469"/>
      <c r="BX360" s="449"/>
      <c r="BY360" s="449"/>
      <c r="BZ360" s="449"/>
    </row>
    <row r="361" spans="67:78" s="457" customFormat="1" x14ac:dyDescent="0.2">
      <c r="BO361" s="468"/>
      <c r="BP361" s="468"/>
      <c r="BQ361" s="468"/>
      <c r="BR361" s="468"/>
      <c r="BS361" s="468"/>
      <c r="BT361" s="468"/>
      <c r="BU361" s="468"/>
      <c r="BV361" s="468"/>
      <c r="BW361" s="469"/>
      <c r="BX361" s="449"/>
      <c r="BY361" s="449"/>
      <c r="BZ361" s="449"/>
    </row>
    <row r="362" spans="67:78" s="457" customFormat="1" x14ac:dyDescent="0.2">
      <c r="BO362" s="468"/>
      <c r="BP362" s="468"/>
      <c r="BQ362" s="468"/>
      <c r="BR362" s="468"/>
      <c r="BS362" s="468"/>
      <c r="BT362" s="468"/>
      <c r="BU362" s="468"/>
      <c r="BV362" s="468"/>
      <c r="BW362" s="469"/>
      <c r="BX362" s="449"/>
      <c r="BY362" s="449"/>
      <c r="BZ362" s="449"/>
    </row>
    <row r="363" spans="67:78" s="457" customFormat="1" x14ac:dyDescent="0.2">
      <c r="BO363" s="468"/>
      <c r="BP363" s="468"/>
      <c r="BQ363" s="468"/>
      <c r="BR363" s="468"/>
      <c r="BS363" s="468"/>
      <c r="BT363" s="468"/>
      <c r="BU363" s="468"/>
      <c r="BV363" s="468"/>
      <c r="BW363" s="469"/>
      <c r="BX363" s="449"/>
      <c r="BY363" s="449"/>
      <c r="BZ363" s="449"/>
    </row>
    <row r="364" spans="67:78" s="457" customFormat="1" x14ac:dyDescent="0.2">
      <c r="BO364" s="468"/>
      <c r="BP364" s="468"/>
      <c r="BQ364" s="468"/>
      <c r="BR364" s="468"/>
      <c r="BS364" s="468"/>
      <c r="BT364" s="468"/>
      <c r="BU364" s="468"/>
      <c r="BV364" s="468"/>
      <c r="BW364" s="469"/>
      <c r="BX364" s="449"/>
      <c r="BY364" s="449"/>
      <c r="BZ364" s="449"/>
    </row>
    <row r="365" spans="67:78" s="457" customFormat="1" x14ac:dyDescent="0.2">
      <c r="BO365" s="468"/>
      <c r="BP365" s="468"/>
      <c r="BQ365" s="468"/>
      <c r="BR365" s="468"/>
      <c r="BS365" s="468"/>
      <c r="BT365" s="468"/>
      <c r="BU365" s="468"/>
      <c r="BV365" s="468"/>
      <c r="BW365" s="469"/>
      <c r="BX365" s="449"/>
      <c r="BY365" s="449"/>
      <c r="BZ365" s="449"/>
    </row>
    <row r="366" spans="67:78" s="457" customFormat="1" x14ac:dyDescent="0.2">
      <c r="BO366" s="468"/>
      <c r="BP366" s="468"/>
      <c r="BQ366" s="468"/>
      <c r="BR366" s="468"/>
      <c r="BS366" s="468"/>
      <c r="BT366" s="468"/>
      <c r="BU366" s="468"/>
      <c r="BV366" s="468"/>
      <c r="BW366" s="469"/>
      <c r="BX366" s="449"/>
      <c r="BY366" s="449"/>
      <c r="BZ366" s="449"/>
    </row>
    <row r="367" spans="67:78" s="457" customFormat="1" x14ac:dyDescent="0.2">
      <c r="BO367" s="468"/>
      <c r="BP367" s="468"/>
      <c r="BQ367" s="468"/>
      <c r="BR367" s="468"/>
      <c r="BS367" s="468"/>
      <c r="BT367" s="468"/>
      <c r="BU367" s="468"/>
      <c r="BV367" s="468"/>
      <c r="BW367" s="469"/>
      <c r="BX367" s="449"/>
      <c r="BY367" s="449"/>
      <c r="BZ367" s="449"/>
    </row>
    <row r="368" spans="67:78" s="457" customFormat="1" x14ac:dyDescent="0.2">
      <c r="BO368" s="468"/>
      <c r="BP368" s="468"/>
      <c r="BQ368" s="468"/>
      <c r="BR368" s="468"/>
      <c r="BS368" s="468"/>
      <c r="BT368" s="468"/>
      <c r="BU368" s="468"/>
      <c r="BV368" s="468"/>
      <c r="BW368" s="469"/>
      <c r="BX368" s="449"/>
      <c r="BY368" s="449"/>
      <c r="BZ368" s="449"/>
    </row>
    <row r="369" spans="67:78" s="457" customFormat="1" x14ac:dyDescent="0.2">
      <c r="BO369" s="468"/>
      <c r="BP369" s="468"/>
      <c r="BQ369" s="468"/>
      <c r="BR369" s="468"/>
      <c r="BS369" s="468"/>
      <c r="BT369" s="468"/>
      <c r="BU369" s="468"/>
      <c r="BV369" s="468"/>
      <c r="BW369" s="469"/>
      <c r="BX369" s="449"/>
      <c r="BY369" s="449"/>
      <c r="BZ369" s="449"/>
    </row>
    <row r="370" spans="67:78" s="457" customFormat="1" x14ac:dyDescent="0.2">
      <c r="BO370" s="468"/>
      <c r="BP370" s="468"/>
      <c r="BQ370" s="468"/>
      <c r="BR370" s="468"/>
      <c r="BS370" s="468"/>
      <c r="BT370" s="468"/>
      <c r="BU370" s="468"/>
      <c r="BV370" s="468"/>
      <c r="BW370" s="469"/>
      <c r="BX370" s="449"/>
      <c r="BY370" s="449"/>
      <c r="BZ370" s="449"/>
    </row>
    <row r="371" spans="67:78" s="457" customFormat="1" x14ac:dyDescent="0.2">
      <c r="BO371" s="468"/>
      <c r="BP371" s="468"/>
      <c r="BQ371" s="468"/>
      <c r="BR371" s="468"/>
      <c r="BS371" s="468"/>
      <c r="BT371" s="468"/>
      <c r="BU371" s="468"/>
      <c r="BV371" s="468"/>
      <c r="BW371" s="469"/>
      <c r="BX371" s="449"/>
      <c r="BY371" s="449"/>
      <c r="BZ371" s="449"/>
    </row>
    <row r="372" spans="67:78" s="457" customFormat="1" x14ac:dyDescent="0.2">
      <c r="BO372" s="468"/>
      <c r="BP372" s="468"/>
      <c r="BQ372" s="468"/>
      <c r="BR372" s="468"/>
      <c r="BS372" s="468"/>
      <c r="BT372" s="468"/>
      <c r="BU372" s="468"/>
      <c r="BV372" s="468"/>
      <c r="BW372" s="469"/>
      <c r="BX372" s="449"/>
      <c r="BY372" s="449"/>
      <c r="BZ372" s="449"/>
    </row>
    <row r="373" spans="67:78" s="457" customFormat="1" x14ac:dyDescent="0.2">
      <c r="BO373" s="468"/>
      <c r="BP373" s="468"/>
      <c r="BQ373" s="468"/>
      <c r="BR373" s="468"/>
      <c r="BS373" s="468"/>
      <c r="BT373" s="468"/>
      <c r="BU373" s="468"/>
      <c r="BV373" s="468"/>
      <c r="BW373" s="469"/>
      <c r="BX373" s="449"/>
      <c r="BY373" s="449"/>
      <c r="BZ373" s="449"/>
    </row>
    <row r="374" spans="67:78" s="457" customFormat="1" x14ac:dyDescent="0.2">
      <c r="BO374" s="468"/>
      <c r="BP374" s="468"/>
      <c r="BQ374" s="468"/>
      <c r="BR374" s="468"/>
      <c r="BS374" s="468"/>
      <c r="BT374" s="468"/>
      <c r="BU374" s="468"/>
      <c r="BV374" s="468"/>
      <c r="BW374" s="469"/>
      <c r="BX374" s="449"/>
      <c r="BY374" s="449"/>
      <c r="BZ374" s="449"/>
    </row>
    <row r="375" spans="67:78" s="457" customFormat="1" x14ac:dyDescent="0.2">
      <c r="BO375" s="468"/>
      <c r="BP375" s="468"/>
      <c r="BQ375" s="468"/>
      <c r="BR375" s="468"/>
      <c r="BS375" s="468"/>
      <c r="BT375" s="468"/>
      <c r="BU375" s="468"/>
      <c r="BV375" s="468"/>
      <c r="BW375" s="469"/>
      <c r="BX375" s="449"/>
      <c r="BY375" s="449"/>
      <c r="BZ375" s="449"/>
    </row>
    <row r="376" spans="67:78" s="457" customFormat="1" x14ac:dyDescent="0.2">
      <c r="BO376" s="468"/>
      <c r="BP376" s="468"/>
      <c r="BQ376" s="468"/>
      <c r="BR376" s="468"/>
      <c r="BS376" s="468"/>
      <c r="BT376" s="468"/>
      <c r="BU376" s="468"/>
      <c r="BV376" s="468"/>
      <c r="BW376" s="469"/>
      <c r="BX376" s="449"/>
      <c r="BY376" s="449"/>
      <c r="BZ376" s="449"/>
    </row>
    <row r="377" spans="67:78" s="457" customFormat="1" x14ac:dyDescent="0.2">
      <c r="BO377" s="468"/>
      <c r="BP377" s="468"/>
      <c r="BQ377" s="468"/>
      <c r="BR377" s="468"/>
      <c r="BS377" s="468"/>
      <c r="BT377" s="468"/>
      <c r="BU377" s="468"/>
      <c r="BV377" s="468"/>
      <c r="BW377" s="469"/>
      <c r="BX377" s="449"/>
      <c r="BY377" s="449"/>
      <c r="BZ377" s="449"/>
    </row>
    <row r="378" spans="67:78" s="457" customFormat="1" x14ac:dyDescent="0.2">
      <c r="BO378" s="468"/>
      <c r="BP378" s="468"/>
      <c r="BQ378" s="468"/>
      <c r="BR378" s="468"/>
      <c r="BS378" s="468"/>
      <c r="BT378" s="468"/>
      <c r="BU378" s="468"/>
      <c r="BV378" s="468"/>
      <c r="BW378" s="469"/>
      <c r="BX378" s="449"/>
      <c r="BY378" s="449"/>
      <c r="BZ378" s="449"/>
    </row>
    <row r="379" spans="67:78" s="457" customFormat="1" x14ac:dyDescent="0.2">
      <c r="BO379" s="468"/>
      <c r="BP379" s="468"/>
      <c r="BQ379" s="468"/>
      <c r="BR379" s="468"/>
      <c r="BS379" s="468"/>
      <c r="BT379" s="468"/>
      <c r="BU379" s="468"/>
      <c r="BV379" s="468"/>
      <c r="BW379" s="469"/>
      <c r="BX379" s="449"/>
      <c r="BY379" s="449"/>
      <c r="BZ379" s="449"/>
    </row>
    <row r="380" spans="67:78" s="457" customFormat="1" x14ac:dyDescent="0.2">
      <c r="BO380" s="468"/>
      <c r="BP380" s="468"/>
      <c r="BQ380" s="468"/>
      <c r="BR380" s="468"/>
      <c r="BS380" s="468"/>
      <c r="BT380" s="468"/>
      <c r="BU380" s="468"/>
      <c r="BV380" s="468"/>
      <c r="BW380" s="469"/>
      <c r="BX380" s="449"/>
      <c r="BY380" s="449"/>
      <c r="BZ380" s="449"/>
    </row>
    <row r="381" spans="67:78" s="457" customFormat="1" x14ac:dyDescent="0.2">
      <c r="BO381" s="468"/>
      <c r="BP381" s="468"/>
      <c r="BQ381" s="468"/>
      <c r="BR381" s="468"/>
      <c r="BS381" s="468"/>
      <c r="BT381" s="468"/>
      <c r="BU381" s="468"/>
      <c r="BV381" s="468"/>
      <c r="BW381" s="469"/>
      <c r="BX381" s="449"/>
      <c r="BY381" s="449"/>
      <c r="BZ381" s="449"/>
    </row>
    <row r="382" spans="67:78" s="457" customFormat="1" x14ac:dyDescent="0.2">
      <c r="BO382" s="468"/>
      <c r="BP382" s="468"/>
      <c r="BQ382" s="468"/>
      <c r="BR382" s="468"/>
      <c r="BS382" s="468"/>
      <c r="BT382" s="468"/>
      <c r="BU382" s="468"/>
      <c r="BV382" s="468"/>
      <c r="BW382" s="469"/>
      <c r="BX382" s="449"/>
      <c r="BY382" s="449"/>
      <c r="BZ382" s="449"/>
    </row>
    <row r="383" spans="67:78" s="457" customFormat="1" x14ac:dyDescent="0.2">
      <c r="BO383" s="468"/>
      <c r="BP383" s="468"/>
      <c r="BQ383" s="468"/>
      <c r="BR383" s="468"/>
      <c r="BS383" s="468"/>
      <c r="BT383" s="468"/>
      <c r="BU383" s="468"/>
      <c r="BV383" s="468"/>
      <c r="BW383" s="469"/>
      <c r="BX383" s="449"/>
      <c r="BY383" s="449"/>
      <c r="BZ383" s="449"/>
    </row>
    <row r="384" spans="67:78" s="457" customFormat="1" x14ac:dyDescent="0.2">
      <c r="BO384" s="468"/>
      <c r="BP384" s="468"/>
      <c r="BQ384" s="468"/>
      <c r="BR384" s="468"/>
      <c r="BS384" s="468"/>
      <c r="BT384" s="468"/>
      <c r="BU384" s="468"/>
      <c r="BV384" s="468"/>
      <c r="BW384" s="469"/>
      <c r="BX384" s="449"/>
      <c r="BY384" s="449"/>
      <c r="BZ384" s="449"/>
    </row>
    <row r="385" spans="67:78" s="457" customFormat="1" x14ac:dyDescent="0.2">
      <c r="BO385" s="468"/>
      <c r="BP385" s="468"/>
      <c r="BQ385" s="468"/>
      <c r="BR385" s="468"/>
      <c r="BS385" s="468"/>
      <c r="BT385" s="468"/>
      <c r="BU385" s="468"/>
      <c r="BV385" s="468"/>
      <c r="BW385" s="469"/>
      <c r="BX385" s="449"/>
      <c r="BY385" s="449"/>
      <c r="BZ385" s="449"/>
    </row>
    <row r="386" spans="67:78" s="457" customFormat="1" x14ac:dyDescent="0.2">
      <c r="BO386" s="468"/>
      <c r="BP386" s="468"/>
      <c r="BQ386" s="468"/>
      <c r="BR386" s="468"/>
      <c r="BS386" s="468"/>
      <c r="BT386" s="468"/>
      <c r="BU386" s="468"/>
      <c r="BV386" s="468"/>
      <c r="BW386" s="469"/>
      <c r="BX386" s="449"/>
      <c r="BY386" s="449"/>
      <c r="BZ386" s="449"/>
    </row>
    <row r="387" spans="67:78" s="457" customFormat="1" x14ac:dyDescent="0.2">
      <c r="BO387" s="468"/>
      <c r="BP387" s="468"/>
      <c r="BQ387" s="468"/>
      <c r="BR387" s="468"/>
      <c r="BS387" s="468"/>
      <c r="BT387" s="468"/>
      <c r="BU387" s="468"/>
      <c r="BV387" s="468"/>
      <c r="BW387" s="469"/>
      <c r="BX387" s="449"/>
      <c r="BY387" s="449"/>
      <c r="BZ387" s="449"/>
    </row>
    <row r="388" spans="67:78" s="457" customFormat="1" x14ac:dyDescent="0.2">
      <c r="BO388" s="468"/>
      <c r="BP388" s="468"/>
      <c r="BQ388" s="468"/>
      <c r="BR388" s="468"/>
      <c r="BS388" s="468"/>
      <c r="BT388" s="468"/>
      <c r="BU388" s="468"/>
      <c r="BV388" s="468"/>
      <c r="BW388" s="469"/>
      <c r="BX388" s="449"/>
      <c r="BY388" s="449"/>
      <c r="BZ388" s="449"/>
    </row>
    <row r="389" spans="67:78" s="457" customFormat="1" x14ac:dyDescent="0.2">
      <c r="BO389" s="468"/>
      <c r="BP389" s="468"/>
      <c r="BQ389" s="468"/>
      <c r="BR389" s="468"/>
      <c r="BS389" s="468"/>
      <c r="BT389" s="468"/>
      <c r="BU389" s="468"/>
      <c r="BV389" s="468"/>
      <c r="BW389" s="469"/>
      <c r="BX389" s="449"/>
      <c r="BY389" s="449"/>
      <c r="BZ389" s="449"/>
    </row>
    <row r="390" spans="67:78" s="457" customFormat="1" x14ac:dyDescent="0.2">
      <c r="BO390" s="468"/>
      <c r="BP390" s="468"/>
      <c r="BQ390" s="468"/>
      <c r="BR390" s="468"/>
      <c r="BS390" s="468"/>
      <c r="BT390" s="468"/>
      <c r="BU390" s="468"/>
      <c r="BV390" s="468"/>
      <c r="BW390" s="469"/>
      <c r="BX390" s="449"/>
      <c r="BY390" s="449"/>
      <c r="BZ390" s="449"/>
    </row>
    <row r="391" spans="67:78" s="457" customFormat="1" x14ac:dyDescent="0.2">
      <c r="BO391" s="468"/>
      <c r="BP391" s="468"/>
      <c r="BQ391" s="468"/>
      <c r="BR391" s="468"/>
      <c r="BS391" s="468"/>
      <c r="BT391" s="468"/>
      <c r="BU391" s="468"/>
      <c r="BV391" s="468"/>
      <c r="BW391" s="469"/>
      <c r="BX391" s="449"/>
      <c r="BY391" s="449"/>
      <c r="BZ391" s="449"/>
    </row>
    <row r="392" spans="67:78" s="457" customFormat="1" x14ac:dyDescent="0.2">
      <c r="BO392" s="468"/>
      <c r="BP392" s="468"/>
      <c r="BQ392" s="468"/>
      <c r="BR392" s="468"/>
      <c r="BS392" s="468"/>
      <c r="BT392" s="468"/>
      <c r="BU392" s="468"/>
      <c r="BV392" s="468"/>
      <c r="BW392" s="469"/>
      <c r="BX392" s="449"/>
      <c r="BY392" s="449"/>
      <c r="BZ392" s="449"/>
    </row>
    <row r="393" spans="67:78" s="457" customFormat="1" x14ac:dyDescent="0.2">
      <c r="BO393" s="468"/>
      <c r="BP393" s="468"/>
      <c r="BQ393" s="468"/>
      <c r="BR393" s="468"/>
      <c r="BS393" s="468"/>
      <c r="BT393" s="468"/>
      <c r="BU393" s="468"/>
      <c r="BV393" s="468"/>
      <c r="BW393" s="469"/>
      <c r="BX393" s="449"/>
      <c r="BY393" s="449"/>
      <c r="BZ393" s="449"/>
    </row>
    <row r="394" spans="67:78" s="457" customFormat="1" x14ac:dyDescent="0.2">
      <c r="BO394" s="468"/>
      <c r="BP394" s="468"/>
      <c r="BQ394" s="468"/>
      <c r="BR394" s="468"/>
      <c r="BS394" s="468"/>
      <c r="BT394" s="468"/>
      <c r="BU394" s="468"/>
      <c r="BV394" s="468"/>
      <c r="BW394" s="469"/>
      <c r="BX394" s="449"/>
      <c r="BY394" s="449"/>
      <c r="BZ394" s="449"/>
    </row>
    <row r="395" spans="67:78" s="457" customFormat="1" x14ac:dyDescent="0.2">
      <c r="BO395" s="468"/>
      <c r="BP395" s="468"/>
      <c r="BQ395" s="468"/>
      <c r="BR395" s="468"/>
      <c r="BS395" s="468"/>
      <c r="BT395" s="468"/>
      <c r="BU395" s="468"/>
      <c r="BV395" s="468"/>
      <c r="BW395" s="469"/>
      <c r="BX395" s="449"/>
      <c r="BY395" s="449"/>
      <c r="BZ395" s="449"/>
    </row>
    <row r="396" spans="67:78" s="457" customFormat="1" x14ac:dyDescent="0.2">
      <c r="BO396" s="468"/>
      <c r="BP396" s="468"/>
      <c r="BQ396" s="468"/>
      <c r="BR396" s="468"/>
      <c r="BS396" s="468"/>
      <c r="BT396" s="468"/>
      <c r="BU396" s="468"/>
      <c r="BV396" s="468"/>
      <c r="BW396" s="469"/>
      <c r="BX396" s="449"/>
      <c r="BY396" s="449"/>
      <c r="BZ396" s="449"/>
    </row>
    <row r="397" spans="67:78" s="457" customFormat="1" x14ac:dyDescent="0.2">
      <c r="BO397" s="468"/>
      <c r="BP397" s="468"/>
      <c r="BQ397" s="468"/>
      <c r="BR397" s="468"/>
      <c r="BS397" s="468"/>
      <c r="BT397" s="468"/>
      <c r="BU397" s="468"/>
      <c r="BV397" s="468"/>
      <c r="BW397" s="469"/>
      <c r="BX397" s="449"/>
      <c r="BY397" s="449"/>
      <c r="BZ397" s="449"/>
    </row>
    <row r="398" spans="67:78" s="457" customFormat="1" x14ac:dyDescent="0.2">
      <c r="BO398" s="468"/>
      <c r="BP398" s="468"/>
      <c r="BQ398" s="468"/>
      <c r="BR398" s="468"/>
      <c r="BS398" s="468"/>
      <c r="BT398" s="468"/>
      <c r="BU398" s="468"/>
      <c r="BV398" s="468"/>
      <c r="BW398" s="469"/>
      <c r="BX398" s="449"/>
      <c r="BY398" s="449"/>
      <c r="BZ398" s="449"/>
    </row>
    <row r="399" spans="67:78" s="457" customFormat="1" x14ac:dyDescent="0.2">
      <c r="BO399" s="468"/>
      <c r="BP399" s="468"/>
      <c r="BQ399" s="468"/>
      <c r="BR399" s="468"/>
      <c r="BS399" s="468"/>
      <c r="BT399" s="468"/>
      <c r="BU399" s="468"/>
      <c r="BV399" s="468"/>
      <c r="BW399" s="469"/>
      <c r="BX399" s="449"/>
      <c r="BY399" s="449"/>
      <c r="BZ399" s="449"/>
    </row>
    <row r="400" spans="67:78" s="457" customFormat="1" x14ac:dyDescent="0.2">
      <c r="BO400" s="468"/>
      <c r="BP400" s="468"/>
      <c r="BQ400" s="468"/>
      <c r="BR400" s="468"/>
      <c r="BS400" s="468"/>
      <c r="BT400" s="468"/>
      <c r="BU400" s="468"/>
      <c r="BV400" s="468"/>
      <c r="BW400" s="469"/>
      <c r="BX400" s="449"/>
      <c r="BY400" s="449"/>
      <c r="BZ400" s="449"/>
    </row>
    <row r="401" spans="67:78" s="457" customFormat="1" x14ac:dyDescent="0.2">
      <c r="BO401" s="468"/>
      <c r="BP401" s="468"/>
      <c r="BQ401" s="468"/>
      <c r="BR401" s="468"/>
      <c r="BS401" s="468"/>
      <c r="BT401" s="468"/>
      <c r="BU401" s="468"/>
      <c r="BV401" s="468"/>
      <c r="BW401" s="469"/>
      <c r="BX401" s="449"/>
      <c r="BY401" s="449"/>
      <c r="BZ401" s="449"/>
    </row>
    <row r="402" spans="67:78" s="457" customFormat="1" x14ac:dyDescent="0.2">
      <c r="BO402" s="468"/>
      <c r="BP402" s="468"/>
      <c r="BQ402" s="468"/>
      <c r="BR402" s="468"/>
      <c r="BS402" s="468"/>
      <c r="BT402" s="468"/>
      <c r="BU402" s="468"/>
      <c r="BV402" s="468"/>
      <c r="BW402" s="469"/>
      <c r="BX402" s="449"/>
      <c r="BY402" s="449"/>
      <c r="BZ402" s="449"/>
    </row>
    <row r="403" spans="67:78" s="457" customFormat="1" x14ac:dyDescent="0.2">
      <c r="BO403" s="468"/>
      <c r="BP403" s="468"/>
      <c r="BQ403" s="468"/>
      <c r="BR403" s="468"/>
      <c r="BS403" s="468"/>
      <c r="BT403" s="468"/>
      <c r="BU403" s="468"/>
      <c r="BV403" s="468"/>
      <c r="BW403" s="469"/>
      <c r="BX403" s="449"/>
      <c r="BY403" s="449"/>
      <c r="BZ403" s="449"/>
    </row>
    <row r="404" spans="67:78" s="457" customFormat="1" x14ac:dyDescent="0.2">
      <c r="BO404" s="468"/>
      <c r="BP404" s="468"/>
      <c r="BQ404" s="468"/>
      <c r="BR404" s="468"/>
      <c r="BS404" s="468"/>
      <c r="BT404" s="468"/>
      <c r="BU404" s="468"/>
      <c r="BV404" s="468"/>
      <c r="BW404" s="469"/>
      <c r="BX404" s="449"/>
      <c r="BY404" s="449"/>
      <c r="BZ404" s="449"/>
    </row>
    <row r="405" spans="67:78" s="457" customFormat="1" x14ac:dyDescent="0.2">
      <c r="BO405" s="468"/>
      <c r="BP405" s="468"/>
      <c r="BQ405" s="468"/>
      <c r="BR405" s="468"/>
      <c r="BS405" s="468"/>
      <c r="BT405" s="468"/>
      <c r="BU405" s="468"/>
      <c r="BV405" s="468"/>
      <c r="BW405" s="469"/>
      <c r="BX405" s="449"/>
      <c r="BY405" s="449"/>
      <c r="BZ405" s="449"/>
    </row>
    <row r="406" spans="67:78" s="457" customFormat="1" x14ac:dyDescent="0.2">
      <c r="BO406" s="468"/>
      <c r="BP406" s="468"/>
      <c r="BQ406" s="468"/>
      <c r="BR406" s="468"/>
      <c r="BS406" s="468"/>
      <c r="BT406" s="468"/>
      <c r="BU406" s="468"/>
      <c r="BV406" s="468"/>
      <c r="BW406" s="469"/>
      <c r="BX406" s="449"/>
      <c r="BY406" s="449"/>
      <c r="BZ406" s="449"/>
    </row>
    <row r="407" spans="67:78" s="457" customFormat="1" x14ac:dyDescent="0.2">
      <c r="BO407" s="468"/>
      <c r="BP407" s="468"/>
      <c r="BQ407" s="468"/>
      <c r="BR407" s="468"/>
      <c r="BS407" s="468"/>
      <c r="BT407" s="468"/>
      <c r="BU407" s="468"/>
      <c r="BV407" s="468"/>
      <c r="BW407" s="469"/>
      <c r="BX407" s="449"/>
      <c r="BY407" s="449"/>
      <c r="BZ407" s="449"/>
    </row>
    <row r="408" spans="67:78" s="457" customFormat="1" x14ac:dyDescent="0.2">
      <c r="BO408" s="468"/>
      <c r="BP408" s="468"/>
      <c r="BQ408" s="468"/>
      <c r="BR408" s="468"/>
      <c r="BS408" s="468"/>
      <c r="BT408" s="468"/>
      <c r="BU408" s="468"/>
      <c r="BV408" s="468"/>
      <c r="BW408" s="469"/>
      <c r="BX408" s="449"/>
      <c r="BY408" s="449"/>
      <c r="BZ408" s="449"/>
    </row>
    <row r="409" spans="67:78" s="457" customFormat="1" x14ac:dyDescent="0.2">
      <c r="BO409" s="468"/>
      <c r="BP409" s="468"/>
      <c r="BQ409" s="468"/>
      <c r="BR409" s="468"/>
      <c r="BS409" s="468"/>
      <c r="BT409" s="468"/>
      <c r="BU409" s="468"/>
      <c r="BV409" s="468"/>
      <c r="BW409" s="469"/>
      <c r="BX409" s="449"/>
      <c r="BY409" s="449"/>
      <c r="BZ409" s="449"/>
    </row>
    <row r="410" spans="67:78" s="457" customFormat="1" x14ac:dyDescent="0.2">
      <c r="BO410" s="468"/>
      <c r="BP410" s="468"/>
      <c r="BQ410" s="468"/>
      <c r="BR410" s="468"/>
      <c r="BS410" s="468"/>
      <c r="BT410" s="468"/>
      <c r="BU410" s="468"/>
      <c r="BV410" s="468"/>
      <c r="BW410" s="469"/>
      <c r="BX410" s="449"/>
      <c r="BY410" s="449"/>
      <c r="BZ410" s="449"/>
    </row>
    <row r="411" spans="67:78" s="457" customFormat="1" x14ac:dyDescent="0.2">
      <c r="BO411" s="468"/>
      <c r="BP411" s="468"/>
      <c r="BQ411" s="468"/>
      <c r="BR411" s="468"/>
      <c r="BS411" s="468"/>
      <c r="BT411" s="468"/>
      <c r="BU411" s="468"/>
      <c r="BV411" s="468"/>
      <c r="BW411" s="469"/>
      <c r="BX411" s="449"/>
      <c r="BY411" s="449"/>
      <c r="BZ411" s="449"/>
    </row>
    <row r="412" spans="67:78" s="457" customFormat="1" x14ac:dyDescent="0.2">
      <c r="BO412" s="468"/>
      <c r="BP412" s="468"/>
      <c r="BQ412" s="468"/>
      <c r="BR412" s="468"/>
      <c r="BS412" s="468"/>
      <c r="BT412" s="468"/>
      <c r="BU412" s="468"/>
      <c r="BV412" s="468"/>
      <c r="BW412" s="469"/>
      <c r="BX412" s="449"/>
      <c r="BY412" s="449"/>
      <c r="BZ412" s="449"/>
    </row>
    <row r="413" spans="67:78" s="457" customFormat="1" x14ac:dyDescent="0.2">
      <c r="BO413" s="468"/>
      <c r="BP413" s="468"/>
      <c r="BQ413" s="468"/>
      <c r="BR413" s="468"/>
      <c r="BS413" s="468"/>
      <c r="BT413" s="468"/>
      <c r="BU413" s="468"/>
      <c r="BV413" s="468"/>
      <c r="BW413" s="469"/>
      <c r="BX413" s="449"/>
      <c r="BY413" s="449"/>
      <c r="BZ413" s="449"/>
    </row>
    <row r="414" spans="67:78" s="457" customFormat="1" x14ac:dyDescent="0.2">
      <c r="BO414" s="468"/>
      <c r="BP414" s="468"/>
      <c r="BQ414" s="468"/>
      <c r="BR414" s="468"/>
      <c r="BS414" s="468"/>
      <c r="BT414" s="468"/>
      <c r="BU414" s="468"/>
      <c r="BV414" s="468"/>
      <c r="BW414" s="469"/>
      <c r="BX414" s="449"/>
      <c r="BY414" s="449"/>
      <c r="BZ414" s="449"/>
    </row>
    <row r="415" spans="67:78" s="457" customFormat="1" x14ac:dyDescent="0.2">
      <c r="BO415" s="468"/>
      <c r="BP415" s="468"/>
      <c r="BQ415" s="468"/>
      <c r="BR415" s="468"/>
      <c r="BS415" s="468"/>
      <c r="BT415" s="468"/>
      <c r="BU415" s="468"/>
      <c r="BV415" s="468"/>
      <c r="BW415" s="469"/>
      <c r="BX415" s="449"/>
      <c r="BY415" s="449"/>
      <c r="BZ415" s="449"/>
    </row>
    <row r="416" spans="67:78" s="457" customFormat="1" x14ac:dyDescent="0.2">
      <c r="BO416" s="468"/>
      <c r="BP416" s="468"/>
      <c r="BQ416" s="468"/>
      <c r="BR416" s="468"/>
      <c r="BS416" s="468"/>
      <c r="BT416" s="468"/>
      <c r="BU416" s="468"/>
      <c r="BV416" s="468"/>
      <c r="BW416" s="469"/>
      <c r="BX416" s="449"/>
      <c r="BY416" s="449"/>
      <c r="BZ416" s="449"/>
    </row>
    <row r="417" spans="67:78" s="457" customFormat="1" x14ac:dyDescent="0.2">
      <c r="BO417" s="468"/>
      <c r="BP417" s="468"/>
      <c r="BQ417" s="468"/>
      <c r="BR417" s="468"/>
      <c r="BS417" s="468"/>
      <c r="BT417" s="468"/>
      <c r="BU417" s="468"/>
      <c r="BV417" s="468"/>
      <c r="BW417" s="469"/>
      <c r="BX417" s="449"/>
      <c r="BY417" s="449"/>
      <c r="BZ417" s="449"/>
    </row>
    <row r="418" spans="67:78" s="457" customFormat="1" x14ac:dyDescent="0.2">
      <c r="BO418" s="468"/>
      <c r="BP418" s="468"/>
      <c r="BQ418" s="468"/>
      <c r="BR418" s="468"/>
      <c r="BS418" s="468"/>
      <c r="BT418" s="468"/>
      <c r="BU418" s="468"/>
      <c r="BV418" s="468"/>
      <c r="BW418" s="469"/>
      <c r="BX418" s="449"/>
      <c r="BY418" s="449"/>
      <c r="BZ418" s="449"/>
    </row>
    <row r="419" spans="67:78" s="457" customFormat="1" x14ac:dyDescent="0.2">
      <c r="BO419" s="468"/>
      <c r="BP419" s="468"/>
      <c r="BQ419" s="468"/>
      <c r="BR419" s="468"/>
      <c r="BS419" s="468"/>
      <c r="BT419" s="468"/>
      <c r="BU419" s="468"/>
      <c r="BV419" s="468"/>
      <c r="BW419" s="469"/>
      <c r="BX419" s="449"/>
      <c r="BY419" s="449"/>
      <c r="BZ419" s="449"/>
    </row>
    <row r="420" spans="67:78" s="457" customFormat="1" x14ac:dyDescent="0.2">
      <c r="BO420" s="468"/>
      <c r="BP420" s="468"/>
      <c r="BQ420" s="468"/>
      <c r="BR420" s="468"/>
      <c r="BS420" s="468"/>
      <c r="BT420" s="468"/>
      <c r="BU420" s="468"/>
      <c r="BV420" s="468"/>
      <c r="BW420" s="469"/>
      <c r="BX420" s="449"/>
      <c r="BY420" s="449"/>
      <c r="BZ420" s="449"/>
    </row>
    <row r="421" spans="67:78" s="457" customFormat="1" x14ac:dyDescent="0.2">
      <c r="BO421" s="468"/>
      <c r="BP421" s="468"/>
      <c r="BQ421" s="468"/>
      <c r="BR421" s="468"/>
      <c r="BS421" s="468"/>
      <c r="BT421" s="468"/>
      <c r="BU421" s="468"/>
      <c r="BV421" s="468"/>
      <c r="BW421" s="469"/>
      <c r="BX421" s="449"/>
      <c r="BY421" s="449"/>
      <c r="BZ421" s="449"/>
    </row>
    <row r="422" spans="67:78" s="457" customFormat="1" x14ac:dyDescent="0.2">
      <c r="BO422" s="468"/>
      <c r="BP422" s="468"/>
      <c r="BQ422" s="468"/>
      <c r="BR422" s="468"/>
      <c r="BS422" s="468"/>
      <c r="BT422" s="468"/>
      <c r="BU422" s="468"/>
      <c r="BV422" s="468"/>
      <c r="BW422" s="469"/>
      <c r="BX422" s="449"/>
      <c r="BY422" s="449"/>
      <c r="BZ422" s="449"/>
    </row>
    <row r="423" spans="67:78" s="457" customFormat="1" x14ac:dyDescent="0.2">
      <c r="BO423" s="468"/>
      <c r="BP423" s="468"/>
      <c r="BQ423" s="468"/>
      <c r="BR423" s="468"/>
      <c r="BS423" s="468"/>
      <c r="BT423" s="468"/>
      <c r="BU423" s="468"/>
      <c r="BV423" s="468"/>
      <c r="BW423" s="469"/>
      <c r="BX423" s="449"/>
      <c r="BY423" s="449"/>
      <c r="BZ423" s="449"/>
    </row>
    <row r="424" spans="67:78" s="457" customFormat="1" x14ac:dyDescent="0.2">
      <c r="BO424" s="468"/>
      <c r="BP424" s="468"/>
      <c r="BQ424" s="468"/>
      <c r="BR424" s="468"/>
      <c r="BS424" s="468"/>
      <c r="BT424" s="468"/>
      <c r="BU424" s="468"/>
      <c r="BV424" s="468"/>
      <c r="BW424" s="469"/>
      <c r="BX424" s="449"/>
      <c r="BY424" s="449"/>
      <c r="BZ424" s="449"/>
    </row>
    <row r="425" spans="67:78" s="457" customFormat="1" x14ac:dyDescent="0.2">
      <c r="BO425" s="468"/>
      <c r="BP425" s="468"/>
      <c r="BQ425" s="468"/>
      <c r="BR425" s="468"/>
      <c r="BS425" s="468"/>
      <c r="BT425" s="468"/>
      <c r="BU425" s="468"/>
      <c r="BV425" s="468"/>
      <c r="BW425" s="469"/>
      <c r="BX425" s="449"/>
      <c r="BY425" s="449"/>
      <c r="BZ425" s="449"/>
    </row>
    <row r="426" spans="67:78" s="457" customFormat="1" x14ac:dyDescent="0.2">
      <c r="BO426" s="468"/>
      <c r="BP426" s="468"/>
      <c r="BQ426" s="468"/>
      <c r="BR426" s="468"/>
      <c r="BS426" s="468"/>
      <c r="BT426" s="468"/>
      <c r="BU426" s="468"/>
      <c r="BV426" s="468"/>
      <c r="BW426" s="469"/>
      <c r="BX426" s="449"/>
      <c r="BY426" s="449"/>
      <c r="BZ426" s="449"/>
    </row>
    <row r="427" spans="67:78" s="457" customFormat="1" x14ac:dyDescent="0.2">
      <c r="BO427" s="468"/>
      <c r="BP427" s="468"/>
      <c r="BQ427" s="468"/>
      <c r="BR427" s="468"/>
      <c r="BS427" s="468"/>
      <c r="BT427" s="468"/>
      <c r="BU427" s="468"/>
      <c r="BV427" s="468"/>
      <c r="BW427" s="469"/>
      <c r="BX427" s="449"/>
      <c r="BY427" s="449"/>
      <c r="BZ427" s="449"/>
    </row>
    <row r="428" spans="67:78" s="457" customFormat="1" x14ac:dyDescent="0.2">
      <c r="BO428" s="468"/>
      <c r="BP428" s="468"/>
      <c r="BQ428" s="468"/>
      <c r="BR428" s="468"/>
      <c r="BS428" s="468"/>
      <c r="BT428" s="468"/>
      <c r="BU428" s="468"/>
      <c r="BV428" s="468"/>
      <c r="BW428" s="469"/>
      <c r="BX428" s="449"/>
      <c r="BY428" s="449"/>
      <c r="BZ428" s="449"/>
    </row>
    <row r="429" spans="67:78" s="457" customFormat="1" x14ac:dyDescent="0.2">
      <c r="BO429" s="468"/>
      <c r="BP429" s="468"/>
      <c r="BQ429" s="468"/>
      <c r="BR429" s="468"/>
      <c r="BS429" s="468"/>
      <c r="BT429" s="468"/>
      <c r="BU429" s="468"/>
      <c r="BV429" s="468"/>
      <c r="BW429" s="469"/>
      <c r="BX429" s="449"/>
      <c r="BY429" s="449"/>
      <c r="BZ429" s="449"/>
    </row>
    <row r="430" spans="67:78" s="457" customFormat="1" x14ac:dyDescent="0.2">
      <c r="BO430" s="468"/>
      <c r="BP430" s="468"/>
      <c r="BQ430" s="468"/>
      <c r="BR430" s="468"/>
      <c r="BS430" s="468"/>
      <c r="BT430" s="468"/>
      <c r="BU430" s="468"/>
      <c r="BV430" s="468"/>
      <c r="BW430" s="469"/>
      <c r="BX430" s="449"/>
      <c r="BY430" s="449"/>
      <c r="BZ430" s="449"/>
    </row>
    <row r="431" spans="67:78" s="457" customFormat="1" x14ac:dyDescent="0.2">
      <c r="BO431" s="468"/>
      <c r="BP431" s="468"/>
      <c r="BQ431" s="468"/>
      <c r="BR431" s="468"/>
      <c r="BS431" s="468"/>
      <c r="BT431" s="468"/>
      <c r="BU431" s="468"/>
      <c r="BV431" s="468"/>
      <c r="BW431" s="469"/>
      <c r="BX431" s="449"/>
      <c r="BY431" s="449"/>
      <c r="BZ431" s="449"/>
    </row>
    <row r="432" spans="67:78" s="457" customFormat="1" x14ac:dyDescent="0.2">
      <c r="BO432" s="468"/>
      <c r="BP432" s="468"/>
      <c r="BQ432" s="468"/>
      <c r="BR432" s="468"/>
      <c r="BS432" s="468"/>
      <c r="BT432" s="468"/>
      <c r="BU432" s="468"/>
      <c r="BV432" s="468"/>
      <c r="BW432" s="469"/>
      <c r="BX432" s="449"/>
      <c r="BY432" s="449"/>
      <c r="BZ432" s="449"/>
    </row>
    <row r="433" spans="67:78" s="457" customFormat="1" x14ac:dyDescent="0.2">
      <c r="BO433" s="468"/>
      <c r="BP433" s="468"/>
      <c r="BQ433" s="468"/>
      <c r="BR433" s="468"/>
      <c r="BS433" s="468"/>
      <c r="BT433" s="468"/>
      <c r="BU433" s="468"/>
      <c r="BV433" s="468"/>
      <c r="BW433" s="469"/>
      <c r="BX433" s="449"/>
      <c r="BY433" s="449"/>
      <c r="BZ433" s="449"/>
    </row>
    <row r="434" spans="67:78" s="457" customFormat="1" x14ac:dyDescent="0.2">
      <c r="BO434" s="468"/>
      <c r="BP434" s="468"/>
      <c r="BQ434" s="468"/>
      <c r="BR434" s="468"/>
      <c r="BS434" s="468"/>
      <c r="BT434" s="468"/>
      <c r="BU434" s="468"/>
      <c r="BV434" s="468"/>
      <c r="BW434" s="469"/>
      <c r="BX434" s="449"/>
      <c r="BY434" s="449"/>
      <c r="BZ434" s="449"/>
    </row>
    <row r="435" spans="67:78" s="457" customFormat="1" x14ac:dyDescent="0.2">
      <c r="BO435" s="468"/>
      <c r="BP435" s="468"/>
      <c r="BQ435" s="468"/>
      <c r="BR435" s="468"/>
      <c r="BS435" s="468"/>
      <c r="BT435" s="468"/>
      <c r="BU435" s="468"/>
      <c r="BV435" s="468"/>
      <c r="BW435" s="469"/>
      <c r="BX435" s="449"/>
      <c r="BY435" s="449"/>
      <c r="BZ435" s="449"/>
    </row>
    <row r="436" spans="67:78" s="457" customFormat="1" x14ac:dyDescent="0.2">
      <c r="BO436" s="468"/>
      <c r="BP436" s="468"/>
      <c r="BQ436" s="468"/>
      <c r="BR436" s="468"/>
      <c r="BS436" s="468"/>
      <c r="BT436" s="468"/>
      <c r="BU436" s="468"/>
      <c r="BV436" s="468"/>
      <c r="BW436" s="469"/>
      <c r="BX436" s="449"/>
      <c r="BY436" s="449"/>
      <c r="BZ436" s="449"/>
    </row>
    <row r="437" spans="67:78" s="457" customFormat="1" x14ac:dyDescent="0.2">
      <c r="BO437" s="468"/>
      <c r="BP437" s="468"/>
      <c r="BQ437" s="468"/>
      <c r="BR437" s="468"/>
      <c r="BS437" s="468"/>
      <c r="BT437" s="468"/>
      <c r="BU437" s="468"/>
      <c r="BV437" s="468"/>
      <c r="BW437" s="469"/>
      <c r="BX437" s="449"/>
      <c r="BY437" s="449"/>
      <c r="BZ437" s="449"/>
    </row>
    <row r="438" spans="67:78" s="457" customFormat="1" x14ac:dyDescent="0.2">
      <c r="BO438" s="468"/>
      <c r="BP438" s="468"/>
      <c r="BQ438" s="468"/>
      <c r="BR438" s="468"/>
      <c r="BS438" s="468"/>
      <c r="BT438" s="468"/>
      <c r="BU438" s="468"/>
      <c r="BV438" s="468"/>
      <c r="BW438" s="469"/>
      <c r="BX438" s="449"/>
      <c r="BY438" s="449"/>
      <c r="BZ438" s="449"/>
    </row>
    <row r="439" spans="67:78" s="457" customFormat="1" x14ac:dyDescent="0.2">
      <c r="BO439" s="468"/>
      <c r="BP439" s="468"/>
      <c r="BQ439" s="468"/>
      <c r="BR439" s="468"/>
      <c r="BS439" s="468"/>
      <c r="BT439" s="468"/>
      <c r="BU439" s="468"/>
      <c r="BV439" s="468"/>
      <c r="BW439" s="469"/>
      <c r="BX439" s="449"/>
      <c r="BY439" s="449"/>
      <c r="BZ439" s="449"/>
    </row>
    <row r="440" spans="67:78" s="457" customFormat="1" x14ac:dyDescent="0.2">
      <c r="BO440" s="468"/>
      <c r="BP440" s="468"/>
      <c r="BQ440" s="468"/>
      <c r="BR440" s="468"/>
      <c r="BS440" s="468"/>
      <c r="BT440" s="468"/>
      <c r="BU440" s="468"/>
      <c r="BV440" s="468"/>
      <c r="BW440" s="469"/>
      <c r="BX440" s="449"/>
      <c r="BY440" s="449"/>
      <c r="BZ440" s="449"/>
    </row>
    <row r="441" spans="67:78" s="457" customFormat="1" x14ac:dyDescent="0.2">
      <c r="BO441" s="468"/>
      <c r="BP441" s="468"/>
      <c r="BQ441" s="468"/>
      <c r="BR441" s="468"/>
      <c r="BS441" s="468"/>
      <c r="BT441" s="468"/>
      <c r="BU441" s="468"/>
      <c r="BV441" s="468"/>
      <c r="BW441" s="469"/>
      <c r="BX441" s="449"/>
      <c r="BY441" s="449"/>
      <c r="BZ441" s="449"/>
    </row>
    <row r="442" spans="67:78" s="457" customFormat="1" x14ac:dyDescent="0.2">
      <c r="BO442" s="468"/>
      <c r="BP442" s="468"/>
      <c r="BQ442" s="468"/>
      <c r="BR442" s="468"/>
      <c r="BS442" s="468"/>
      <c r="BT442" s="468"/>
      <c r="BU442" s="468"/>
      <c r="BV442" s="468"/>
      <c r="BW442" s="469"/>
      <c r="BX442" s="449"/>
      <c r="BY442" s="449"/>
      <c r="BZ442" s="449"/>
    </row>
    <row r="443" spans="67:78" s="457" customFormat="1" x14ac:dyDescent="0.2">
      <c r="BO443" s="468"/>
      <c r="BP443" s="468"/>
      <c r="BQ443" s="468"/>
      <c r="BR443" s="468"/>
      <c r="BS443" s="468"/>
      <c r="BT443" s="468"/>
      <c r="BU443" s="468"/>
      <c r="BV443" s="468"/>
      <c r="BW443" s="469"/>
      <c r="BX443" s="449"/>
      <c r="BY443" s="449"/>
      <c r="BZ443" s="449"/>
    </row>
    <row r="444" spans="67:78" s="457" customFormat="1" x14ac:dyDescent="0.2">
      <c r="BO444" s="468"/>
      <c r="BP444" s="468"/>
      <c r="BQ444" s="468"/>
      <c r="BR444" s="468"/>
      <c r="BS444" s="468"/>
      <c r="BT444" s="468"/>
      <c r="BU444" s="468"/>
      <c r="BV444" s="468"/>
      <c r="BW444" s="469"/>
      <c r="BX444" s="449"/>
      <c r="BY444" s="449"/>
      <c r="BZ444" s="449"/>
    </row>
    <row r="445" spans="67:78" s="457" customFormat="1" x14ac:dyDescent="0.2">
      <c r="BO445" s="468"/>
      <c r="BP445" s="468"/>
      <c r="BQ445" s="468"/>
      <c r="BR445" s="468"/>
      <c r="BS445" s="468"/>
      <c r="BT445" s="468"/>
      <c r="BU445" s="468"/>
      <c r="BV445" s="468"/>
      <c r="BW445" s="469"/>
      <c r="BX445" s="449"/>
      <c r="BY445" s="449"/>
      <c r="BZ445" s="449"/>
    </row>
    <row r="446" spans="67:78" s="457" customFormat="1" x14ac:dyDescent="0.2">
      <c r="BO446" s="468"/>
      <c r="BP446" s="468"/>
      <c r="BQ446" s="468"/>
      <c r="BR446" s="468"/>
      <c r="BS446" s="468"/>
      <c r="BT446" s="468"/>
      <c r="BU446" s="468"/>
      <c r="BV446" s="468"/>
      <c r="BW446" s="469"/>
      <c r="BX446" s="449"/>
      <c r="BY446" s="449"/>
      <c r="BZ446" s="449"/>
    </row>
    <row r="447" spans="67:78" s="457" customFormat="1" x14ac:dyDescent="0.2">
      <c r="BO447" s="468"/>
      <c r="BP447" s="468"/>
      <c r="BQ447" s="468"/>
      <c r="BR447" s="468"/>
      <c r="BS447" s="468"/>
      <c r="BT447" s="468"/>
      <c r="BU447" s="468"/>
      <c r="BV447" s="468"/>
      <c r="BW447" s="469"/>
      <c r="BX447" s="449"/>
      <c r="BY447" s="449"/>
      <c r="BZ447" s="449"/>
    </row>
    <row r="448" spans="67:78" s="457" customFormat="1" x14ac:dyDescent="0.2">
      <c r="BO448" s="468"/>
      <c r="BP448" s="468"/>
      <c r="BQ448" s="468"/>
      <c r="BR448" s="468"/>
      <c r="BS448" s="468"/>
      <c r="BT448" s="468"/>
      <c r="BU448" s="468"/>
      <c r="BV448" s="468"/>
      <c r="BW448" s="469"/>
      <c r="BX448" s="449"/>
      <c r="BY448" s="449"/>
      <c r="BZ448" s="449"/>
    </row>
    <row r="449" spans="67:78" s="457" customFormat="1" x14ac:dyDescent="0.2">
      <c r="BO449" s="468"/>
      <c r="BP449" s="468"/>
      <c r="BQ449" s="468"/>
      <c r="BR449" s="468"/>
      <c r="BS449" s="468"/>
      <c r="BT449" s="468"/>
      <c r="BU449" s="468"/>
      <c r="BV449" s="468"/>
      <c r="BW449" s="469"/>
      <c r="BX449" s="449"/>
      <c r="BY449" s="449"/>
      <c r="BZ449" s="449"/>
    </row>
    <row r="450" spans="67:78" s="457" customFormat="1" x14ac:dyDescent="0.2">
      <c r="BO450" s="468"/>
      <c r="BP450" s="468"/>
      <c r="BQ450" s="468"/>
      <c r="BR450" s="468"/>
      <c r="BS450" s="468"/>
      <c r="BT450" s="468"/>
      <c r="BU450" s="468"/>
      <c r="BV450" s="468"/>
      <c r="BW450" s="469"/>
      <c r="BX450" s="449"/>
      <c r="BY450" s="449"/>
      <c r="BZ450" s="449"/>
    </row>
    <row r="451" spans="67:78" s="457" customFormat="1" x14ac:dyDescent="0.2">
      <c r="BO451" s="468"/>
      <c r="BP451" s="468"/>
      <c r="BQ451" s="468"/>
      <c r="BR451" s="468"/>
      <c r="BS451" s="468"/>
      <c r="BT451" s="468"/>
      <c r="BU451" s="468"/>
      <c r="BV451" s="468"/>
      <c r="BW451" s="469"/>
      <c r="BX451" s="449"/>
      <c r="BY451" s="449"/>
      <c r="BZ451" s="449"/>
    </row>
    <row r="452" spans="67:78" s="457" customFormat="1" x14ac:dyDescent="0.2">
      <c r="BO452" s="468"/>
      <c r="BP452" s="468"/>
      <c r="BQ452" s="468"/>
      <c r="BR452" s="468"/>
      <c r="BS452" s="468"/>
      <c r="BT452" s="468"/>
      <c r="BU452" s="468"/>
      <c r="BV452" s="468"/>
      <c r="BW452" s="469"/>
      <c r="BX452" s="449"/>
      <c r="BY452" s="449"/>
      <c r="BZ452" s="449"/>
    </row>
    <row r="453" spans="67:78" s="457" customFormat="1" x14ac:dyDescent="0.2">
      <c r="BO453" s="468"/>
      <c r="BP453" s="468"/>
      <c r="BQ453" s="468"/>
      <c r="BR453" s="468"/>
      <c r="BS453" s="468"/>
      <c r="BT453" s="468"/>
      <c r="BU453" s="468"/>
      <c r="BV453" s="468"/>
      <c r="BW453" s="469"/>
      <c r="BX453" s="449"/>
      <c r="BY453" s="449"/>
      <c r="BZ453" s="449"/>
    </row>
    <row r="454" spans="67:78" s="457" customFormat="1" x14ac:dyDescent="0.2">
      <c r="BO454" s="468"/>
      <c r="BP454" s="468"/>
      <c r="BQ454" s="468"/>
      <c r="BR454" s="468"/>
      <c r="BS454" s="468"/>
      <c r="BT454" s="468"/>
      <c r="BU454" s="468"/>
      <c r="BV454" s="468"/>
      <c r="BW454" s="469"/>
      <c r="BX454" s="449"/>
      <c r="BY454" s="449"/>
      <c r="BZ454" s="449"/>
    </row>
    <row r="455" spans="67:78" s="457" customFormat="1" x14ac:dyDescent="0.2">
      <c r="BO455" s="468"/>
      <c r="BP455" s="468"/>
      <c r="BQ455" s="468"/>
      <c r="BR455" s="468"/>
      <c r="BS455" s="468"/>
      <c r="BT455" s="468"/>
      <c r="BU455" s="468"/>
      <c r="BV455" s="468"/>
      <c r="BW455" s="469"/>
      <c r="BX455" s="449"/>
      <c r="BY455" s="449"/>
      <c r="BZ455" s="449"/>
    </row>
    <row r="456" spans="67:78" s="457" customFormat="1" x14ac:dyDescent="0.2">
      <c r="BO456" s="468"/>
      <c r="BP456" s="468"/>
      <c r="BQ456" s="468"/>
      <c r="BR456" s="468"/>
      <c r="BS456" s="468"/>
      <c r="BT456" s="468"/>
      <c r="BU456" s="468"/>
      <c r="BV456" s="468"/>
      <c r="BW456" s="469"/>
      <c r="BX456" s="449"/>
      <c r="BY456" s="449"/>
      <c r="BZ456" s="449"/>
    </row>
    <row r="457" spans="67:78" s="457" customFormat="1" x14ac:dyDescent="0.2">
      <c r="BO457" s="468"/>
      <c r="BP457" s="468"/>
      <c r="BQ457" s="468"/>
      <c r="BR457" s="468"/>
      <c r="BS457" s="468"/>
      <c r="BT457" s="468"/>
      <c r="BU457" s="468"/>
      <c r="BV457" s="468"/>
      <c r="BW457" s="469"/>
      <c r="BX457" s="449"/>
      <c r="BY457" s="449"/>
      <c r="BZ457" s="449"/>
    </row>
    <row r="458" spans="67:78" s="457" customFormat="1" x14ac:dyDescent="0.2">
      <c r="BO458" s="468"/>
      <c r="BP458" s="468"/>
      <c r="BQ458" s="468"/>
      <c r="BR458" s="468"/>
      <c r="BS458" s="468"/>
      <c r="BT458" s="468"/>
      <c r="BU458" s="468"/>
      <c r="BV458" s="468"/>
      <c r="BW458" s="469"/>
      <c r="BX458" s="449"/>
      <c r="BY458" s="449"/>
      <c r="BZ458" s="449"/>
    </row>
    <row r="459" spans="67:78" s="457" customFormat="1" x14ac:dyDescent="0.2">
      <c r="BO459" s="468"/>
      <c r="BP459" s="468"/>
      <c r="BQ459" s="468"/>
      <c r="BR459" s="468"/>
      <c r="BS459" s="468"/>
      <c r="BT459" s="468"/>
      <c r="BU459" s="468"/>
      <c r="BV459" s="468"/>
      <c r="BW459" s="469"/>
      <c r="BX459" s="449"/>
      <c r="BY459" s="449"/>
      <c r="BZ459" s="449"/>
    </row>
    <row r="460" spans="67:78" s="457" customFormat="1" x14ac:dyDescent="0.2">
      <c r="BO460" s="468"/>
      <c r="BP460" s="468"/>
      <c r="BQ460" s="468"/>
      <c r="BR460" s="468"/>
      <c r="BS460" s="468"/>
      <c r="BT460" s="468"/>
      <c r="BU460" s="468"/>
      <c r="BV460" s="468"/>
      <c r="BW460" s="469"/>
      <c r="BX460" s="449"/>
      <c r="BY460" s="449"/>
      <c r="BZ460" s="449"/>
    </row>
    <row r="461" spans="67:78" s="457" customFormat="1" x14ac:dyDescent="0.2">
      <c r="BO461" s="468"/>
      <c r="BP461" s="468"/>
      <c r="BQ461" s="468"/>
      <c r="BR461" s="468"/>
      <c r="BS461" s="468"/>
      <c r="BT461" s="468"/>
      <c r="BU461" s="468"/>
      <c r="BV461" s="468"/>
      <c r="BW461" s="469"/>
      <c r="BX461" s="449"/>
      <c r="BY461" s="449"/>
      <c r="BZ461" s="449"/>
    </row>
    <row r="462" spans="67:78" s="457" customFormat="1" x14ac:dyDescent="0.2">
      <c r="BO462" s="468"/>
      <c r="BP462" s="468"/>
      <c r="BQ462" s="468"/>
      <c r="BR462" s="468"/>
      <c r="BS462" s="468"/>
      <c r="BT462" s="468"/>
      <c r="BU462" s="468"/>
      <c r="BV462" s="468"/>
      <c r="BW462" s="469"/>
      <c r="BX462" s="449"/>
      <c r="BY462" s="449"/>
      <c r="BZ462" s="449"/>
    </row>
    <row r="463" spans="67:78" s="457" customFormat="1" x14ac:dyDescent="0.2">
      <c r="BO463" s="468"/>
      <c r="BP463" s="468"/>
      <c r="BQ463" s="468"/>
      <c r="BR463" s="468"/>
      <c r="BS463" s="468"/>
      <c r="BT463" s="468"/>
      <c r="BU463" s="468"/>
      <c r="BV463" s="468"/>
      <c r="BW463" s="469"/>
      <c r="BX463" s="449"/>
      <c r="BY463" s="449"/>
      <c r="BZ463" s="449"/>
    </row>
    <row r="464" spans="67:78" s="457" customFormat="1" x14ac:dyDescent="0.2">
      <c r="BO464" s="468"/>
      <c r="BP464" s="468"/>
      <c r="BQ464" s="468"/>
      <c r="BR464" s="468"/>
      <c r="BS464" s="468"/>
      <c r="BT464" s="468"/>
      <c r="BU464" s="468"/>
      <c r="BV464" s="468"/>
      <c r="BW464" s="469"/>
      <c r="BX464" s="449"/>
      <c r="BY464" s="449"/>
      <c r="BZ464" s="449"/>
    </row>
    <row r="465" spans="67:78" s="457" customFormat="1" x14ac:dyDescent="0.2">
      <c r="BO465" s="468"/>
      <c r="BP465" s="468"/>
      <c r="BQ465" s="468"/>
      <c r="BR465" s="468"/>
      <c r="BS465" s="468"/>
      <c r="BT465" s="468"/>
      <c r="BU465" s="468"/>
      <c r="BV465" s="468"/>
      <c r="BW465" s="469"/>
      <c r="BX465" s="449"/>
      <c r="BY465" s="449"/>
      <c r="BZ465" s="449"/>
    </row>
    <row r="466" spans="67:78" s="457" customFormat="1" x14ac:dyDescent="0.2">
      <c r="BO466" s="468"/>
      <c r="BP466" s="468"/>
      <c r="BQ466" s="468"/>
      <c r="BR466" s="468"/>
      <c r="BS466" s="468"/>
      <c r="BT466" s="468"/>
      <c r="BU466" s="468"/>
      <c r="BV466" s="468"/>
      <c r="BW466" s="469"/>
      <c r="BX466" s="449"/>
      <c r="BY466" s="449"/>
      <c r="BZ466" s="449"/>
    </row>
    <row r="467" spans="67:78" s="457" customFormat="1" x14ac:dyDescent="0.2">
      <c r="BO467" s="468"/>
      <c r="BP467" s="468"/>
      <c r="BQ467" s="468"/>
      <c r="BR467" s="468"/>
      <c r="BS467" s="468"/>
      <c r="BT467" s="468"/>
      <c r="BU467" s="468"/>
      <c r="BV467" s="468"/>
      <c r="BW467" s="469"/>
      <c r="BX467" s="449"/>
      <c r="BY467" s="449"/>
      <c r="BZ467" s="449"/>
    </row>
    <row r="468" spans="67:78" s="457" customFormat="1" x14ac:dyDescent="0.2">
      <c r="BO468" s="468"/>
      <c r="BP468" s="468"/>
      <c r="BQ468" s="468"/>
      <c r="BR468" s="468"/>
      <c r="BS468" s="468"/>
      <c r="BT468" s="468"/>
      <c r="BU468" s="468"/>
      <c r="BV468" s="468"/>
      <c r="BW468" s="469"/>
      <c r="BX468" s="449"/>
      <c r="BY468" s="449"/>
      <c r="BZ468" s="449"/>
    </row>
    <row r="469" spans="67:78" s="457" customFormat="1" x14ac:dyDescent="0.2">
      <c r="BO469" s="468"/>
      <c r="BP469" s="468"/>
      <c r="BQ469" s="468"/>
      <c r="BR469" s="468"/>
      <c r="BS469" s="468"/>
      <c r="BT469" s="468"/>
      <c r="BU469" s="468"/>
      <c r="BV469" s="468"/>
      <c r="BW469" s="469"/>
      <c r="BX469" s="449"/>
      <c r="BY469" s="449"/>
      <c r="BZ469" s="449"/>
    </row>
    <row r="470" spans="67:78" s="457" customFormat="1" x14ac:dyDescent="0.2">
      <c r="BO470" s="468"/>
      <c r="BP470" s="468"/>
      <c r="BQ470" s="468"/>
      <c r="BR470" s="468"/>
      <c r="BS470" s="468"/>
      <c r="BT470" s="468"/>
      <c r="BU470" s="468"/>
      <c r="BV470" s="468"/>
      <c r="BW470" s="469"/>
      <c r="BX470" s="449"/>
      <c r="BY470" s="449"/>
      <c r="BZ470" s="449"/>
    </row>
    <row r="471" spans="67:78" s="457" customFormat="1" x14ac:dyDescent="0.2">
      <c r="BO471" s="468"/>
      <c r="BP471" s="468"/>
      <c r="BQ471" s="468"/>
      <c r="BR471" s="468"/>
      <c r="BS471" s="468"/>
      <c r="BT471" s="468"/>
      <c r="BU471" s="468"/>
      <c r="BV471" s="468"/>
      <c r="BW471" s="469"/>
      <c r="BX471" s="449"/>
      <c r="BY471" s="449"/>
      <c r="BZ471" s="449"/>
    </row>
    <row r="472" spans="67:78" s="457" customFormat="1" x14ac:dyDescent="0.2">
      <c r="BO472" s="468"/>
      <c r="BP472" s="468"/>
      <c r="BQ472" s="468"/>
      <c r="BR472" s="468"/>
      <c r="BS472" s="468"/>
      <c r="BT472" s="468"/>
      <c r="BU472" s="468"/>
      <c r="BV472" s="468"/>
      <c r="BW472" s="469"/>
      <c r="BX472" s="449"/>
      <c r="BY472" s="449"/>
      <c r="BZ472" s="449"/>
    </row>
    <row r="473" spans="67:78" s="457" customFormat="1" x14ac:dyDescent="0.2">
      <c r="BO473" s="468"/>
      <c r="BP473" s="468"/>
      <c r="BQ473" s="468"/>
      <c r="BR473" s="468"/>
      <c r="BS473" s="468"/>
      <c r="BT473" s="468"/>
      <c r="BU473" s="468"/>
      <c r="BV473" s="468"/>
      <c r="BW473" s="469"/>
      <c r="BX473" s="449"/>
      <c r="BY473" s="449"/>
      <c r="BZ473" s="449"/>
    </row>
    <row r="474" spans="67:78" s="457" customFormat="1" x14ac:dyDescent="0.2">
      <c r="BO474" s="468"/>
      <c r="BP474" s="468"/>
      <c r="BQ474" s="468"/>
      <c r="BR474" s="468"/>
      <c r="BS474" s="468"/>
      <c r="BT474" s="468"/>
      <c r="BU474" s="468"/>
      <c r="BV474" s="468"/>
      <c r="BW474" s="469"/>
      <c r="BX474" s="449"/>
      <c r="BY474" s="449"/>
      <c r="BZ474" s="449"/>
    </row>
    <row r="475" spans="67:78" s="457" customFormat="1" x14ac:dyDescent="0.2">
      <c r="BO475" s="468"/>
      <c r="BP475" s="468"/>
      <c r="BQ475" s="468"/>
      <c r="BR475" s="468"/>
      <c r="BS475" s="468"/>
      <c r="BT475" s="468"/>
      <c r="BU475" s="468"/>
      <c r="BV475" s="468"/>
      <c r="BW475" s="469"/>
      <c r="BX475" s="449"/>
      <c r="BY475" s="449"/>
      <c r="BZ475" s="449"/>
    </row>
    <row r="476" spans="67:78" s="457" customFormat="1" x14ac:dyDescent="0.2">
      <c r="BO476" s="468"/>
      <c r="BP476" s="468"/>
      <c r="BQ476" s="468"/>
      <c r="BR476" s="468"/>
      <c r="BS476" s="468"/>
      <c r="BT476" s="468"/>
      <c r="BU476" s="468"/>
      <c r="BV476" s="468"/>
      <c r="BW476" s="469"/>
      <c r="BX476" s="449"/>
      <c r="BY476" s="449"/>
      <c r="BZ476" s="449"/>
    </row>
    <row r="477" spans="67:78" s="457" customFormat="1" x14ac:dyDescent="0.2">
      <c r="BO477" s="468"/>
      <c r="BP477" s="468"/>
      <c r="BQ477" s="468"/>
      <c r="BR477" s="468"/>
      <c r="BS477" s="468"/>
      <c r="BT477" s="468"/>
      <c r="BU477" s="468"/>
      <c r="BV477" s="468"/>
      <c r="BW477" s="469"/>
      <c r="BX477" s="449"/>
      <c r="BY477" s="449"/>
      <c r="BZ477" s="449"/>
    </row>
    <row r="478" spans="67:78" s="457" customFormat="1" x14ac:dyDescent="0.2">
      <c r="BO478" s="468"/>
      <c r="BP478" s="468"/>
      <c r="BQ478" s="468"/>
      <c r="BR478" s="468"/>
      <c r="BS478" s="468"/>
      <c r="BT478" s="468"/>
      <c r="BU478" s="468"/>
      <c r="BV478" s="468"/>
      <c r="BW478" s="469"/>
      <c r="BX478" s="449"/>
      <c r="BY478" s="449"/>
      <c r="BZ478" s="449"/>
    </row>
    <row r="479" spans="67:78" s="457" customFormat="1" x14ac:dyDescent="0.2">
      <c r="BO479" s="468"/>
      <c r="BP479" s="468"/>
      <c r="BQ479" s="468"/>
      <c r="BR479" s="468"/>
      <c r="BS479" s="468"/>
      <c r="BT479" s="468"/>
      <c r="BU479" s="468"/>
      <c r="BV479" s="468"/>
      <c r="BW479" s="469"/>
      <c r="BX479" s="449"/>
      <c r="BY479" s="449"/>
      <c r="BZ479" s="449"/>
    </row>
    <row r="480" spans="67:78" s="457" customFormat="1" x14ac:dyDescent="0.2">
      <c r="BO480" s="468"/>
      <c r="BP480" s="468"/>
      <c r="BQ480" s="468"/>
      <c r="BR480" s="468"/>
      <c r="BS480" s="468"/>
      <c r="BT480" s="468"/>
      <c r="BU480" s="468"/>
      <c r="BV480" s="468"/>
      <c r="BW480" s="469"/>
      <c r="BX480" s="449"/>
      <c r="BY480" s="449"/>
      <c r="BZ480" s="449"/>
    </row>
    <row r="481" spans="67:78" s="457" customFormat="1" x14ac:dyDescent="0.2">
      <c r="BO481" s="468"/>
      <c r="BP481" s="468"/>
      <c r="BQ481" s="468"/>
      <c r="BR481" s="468"/>
      <c r="BS481" s="468"/>
      <c r="BT481" s="468"/>
      <c r="BU481" s="468"/>
      <c r="BV481" s="468"/>
      <c r="BW481" s="469"/>
      <c r="BX481" s="449"/>
      <c r="BY481" s="449"/>
      <c r="BZ481" s="449"/>
    </row>
    <row r="482" spans="67:78" s="457" customFormat="1" x14ac:dyDescent="0.2">
      <c r="BO482" s="468"/>
      <c r="BP482" s="468"/>
      <c r="BQ482" s="468"/>
      <c r="BR482" s="468"/>
      <c r="BS482" s="468"/>
      <c r="BT482" s="468"/>
      <c r="BU482" s="468"/>
      <c r="BV482" s="468"/>
      <c r="BW482" s="469"/>
      <c r="BX482" s="449"/>
      <c r="BY482" s="449"/>
      <c r="BZ482" s="449"/>
    </row>
    <row r="483" spans="67:78" s="457" customFormat="1" x14ac:dyDescent="0.2">
      <c r="BO483" s="468"/>
      <c r="BP483" s="468"/>
      <c r="BQ483" s="468"/>
      <c r="BR483" s="468"/>
      <c r="BS483" s="468"/>
      <c r="BT483" s="468"/>
      <c r="BU483" s="468"/>
      <c r="BV483" s="468"/>
      <c r="BW483" s="469"/>
      <c r="BX483" s="449"/>
      <c r="BY483" s="449"/>
      <c r="BZ483" s="449"/>
    </row>
    <row r="484" spans="67:78" s="457" customFormat="1" x14ac:dyDescent="0.2">
      <c r="BO484" s="468"/>
      <c r="BP484" s="468"/>
      <c r="BQ484" s="468"/>
      <c r="BR484" s="468"/>
      <c r="BS484" s="468"/>
      <c r="BT484" s="468"/>
      <c r="BU484" s="468"/>
      <c r="BV484" s="468"/>
      <c r="BW484" s="469"/>
      <c r="BX484" s="449"/>
      <c r="BY484" s="449"/>
      <c r="BZ484" s="449"/>
    </row>
    <row r="485" spans="67:78" s="457" customFormat="1" x14ac:dyDescent="0.2">
      <c r="BO485" s="468"/>
      <c r="BP485" s="468"/>
      <c r="BQ485" s="468"/>
      <c r="BR485" s="468"/>
      <c r="BS485" s="468"/>
      <c r="BT485" s="468"/>
      <c r="BU485" s="468"/>
      <c r="BV485" s="468"/>
      <c r="BW485" s="469"/>
      <c r="BX485" s="449"/>
      <c r="BY485" s="449"/>
      <c r="BZ485" s="449"/>
    </row>
    <row r="486" spans="67:78" s="457" customFormat="1" x14ac:dyDescent="0.2">
      <c r="BO486" s="468"/>
      <c r="BP486" s="468"/>
      <c r="BQ486" s="468"/>
      <c r="BR486" s="468"/>
      <c r="BS486" s="468"/>
      <c r="BT486" s="468"/>
      <c r="BU486" s="468"/>
      <c r="BV486" s="468"/>
      <c r="BW486" s="469"/>
      <c r="BX486" s="449"/>
      <c r="BY486" s="449"/>
      <c r="BZ486" s="449"/>
    </row>
    <row r="487" spans="67:78" s="457" customFormat="1" x14ac:dyDescent="0.2">
      <c r="BO487" s="468"/>
      <c r="BP487" s="468"/>
      <c r="BQ487" s="468"/>
      <c r="BR487" s="468"/>
      <c r="BS487" s="468"/>
      <c r="BT487" s="468"/>
      <c r="BU487" s="468"/>
      <c r="BV487" s="468"/>
      <c r="BW487" s="469"/>
      <c r="BX487" s="449"/>
      <c r="BY487" s="449"/>
      <c r="BZ487" s="449"/>
    </row>
    <row r="488" spans="67:78" s="457" customFormat="1" x14ac:dyDescent="0.2">
      <c r="BO488" s="468"/>
      <c r="BP488" s="468"/>
      <c r="BQ488" s="468"/>
      <c r="BR488" s="468"/>
      <c r="BS488" s="468"/>
      <c r="BT488" s="468"/>
      <c r="BU488" s="468"/>
      <c r="BV488" s="468"/>
      <c r="BW488" s="469"/>
      <c r="BX488" s="449"/>
      <c r="BY488" s="449"/>
      <c r="BZ488" s="449"/>
    </row>
    <row r="489" spans="67:78" s="457" customFormat="1" x14ac:dyDescent="0.2">
      <c r="BO489" s="468"/>
      <c r="BP489" s="468"/>
      <c r="BQ489" s="468"/>
      <c r="BR489" s="468"/>
      <c r="BS489" s="468"/>
      <c r="BT489" s="468"/>
      <c r="BU489" s="468"/>
      <c r="BV489" s="468"/>
      <c r="BW489" s="469"/>
      <c r="BX489" s="449"/>
      <c r="BY489" s="449"/>
      <c r="BZ489" s="449"/>
    </row>
    <row r="490" spans="67:78" s="457" customFormat="1" x14ac:dyDescent="0.2">
      <c r="BO490" s="468"/>
      <c r="BP490" s="468"/>
      <c r="BQ490" s="468"/>
      <c r="BR490" s="468"/>
      <c r="BS490" s="468"/>
      <c r="BT490" s="468"/>
      <c r="BU490" s="468"/>
      <c r="BV490" s="468"/>
      <c r="BW490" s="469"/>
      <c r="BX490" s="449"/>
      <c r="BY490" s="449"/>
      <c r="BZ490" s="449"/>
    </row>
    <row r="491" spans="67:78" s="457" customFormat="1" x14ac:dyDescent="0.2">
      <c r="BO491" s="468"/>
      <c r="BP491" s="468"/>
      <c r="BQ491" s="468"/>
      <c r="BR491" s="468"/>
      <c r="BS491" s="468"/>
      <c r="BT491" s="468"/>
      <c r="BU491" s="468"/>
      <c r="BV491" s="468"/>
      <c r="BW491" s="469"/>
      <c r="BX491" s="449"/>
      <c r="BY491" s="449"/>
      <c r="BZ491" s="449"/>
    </row>
    <row r="492" spans="67:78" s="457" customFormat="1" x14ac:dyDescent="0.2">
      <c r="BO492" s="468"/>
      <c r="BP492" s="468"/>
      <c r="BQ492" s="468"/>
      <c r="BR492" s="468"/>
      <c r="BS492" s="468"/>
      <c r="BT492" s="468"/>
      <c r="BU492" s="468"/>
      <c r="BV492" s="468"/>
      <c r="BW492" s="469"/>
      <c r="BX492" s="449"/>
      <c r="BY492" s="449"/>
      <c r="BZ492" s="449"/>
    </row>
    <row r="493" spans="67:78" s="457" customFormat="1" x14ac:dyDescent="0.2">
      <c r="BO493" s="468"/>
      <c r="BP493" s="468"/>
      <c r="BQ493" s="468"/>
      <c r="BR493" s="468"/>
      <c r="BS493" s="468"/>
      <c r="BT493" s="468"/>
      <c r="BU493" s="468"/>
      <c r="BV493" s="468"/>
      <c r="BW493" s="469"/>
      <c r="BX493" s="449"/>
      <c r="BY493" s="449"/>
      <c r="BZ493" s="449"/>
    </row>
    <row r="494" spans="67:78" s="457" customFormat="1" x14ac:dyDescent="0.2">
      <c r="BO494" s="468"/>
      <c r="BP494" s="468"/>
      <c r="BQ494" s="468"/>
      <c r="BR494" s="468"/>
      <c r="BS494" s="468"/>
      <c r="BT494" s="468"/>
      <c r="BU494" s="468"/>
      <c r="BV494" s="468"/>
      <c r="BW494" s="469"/>
      <c r="BX494" s="449"/>
      <c r="BY494" s="449"/>
      <c r="BZ494" s="449"/>
    </row>
    <row r="495" spans="67:78" s="457" customFormat="1" x14ac:dyDescent="0.2">
      <c r="BO495" s="468"/>
      <c r="BP495" s="468"/>
      <c r="BQ495" s="468"/>
      <c r="BR495" s="468"/>
      <c r="BS495" s="468"/>
      <c r="BT495" s="468"/>
      <c r="BU495" s="468"/>
      <c r="BV495" s="468"/>
      <c r="BW495" s="469"/>
      <c r="BX495" s="449"/>
      <c r="BY495" s="449"/>
      <c r="BZ495" s="449"/>
    </row>
    <row r="496" spans="67:78" s="457" customFormat="1" x14ac:dyDescent="0.2">
      <c r="BO496" s="468"/>
      <c r="BP496" s="468"/>
      <c r="BQ496" s="468"/>
      <c r="BR496" s="468"/>
      <c r="BS496" s="468"/>
      <c r="BT496" s="468"/>
      <c r="BU496" s="468"/>
      <c r="BV496" s="468"/>
      <c r="BW496" s="469"/>
      <c r="BX496" s="449"/>
      <c r="BY496" s="449"/>
      <c r="BZ496" s="449"/>
    </row>
    <row r="497" spans="67:78" s="457" customFormat="1" x14ac:dyDescent="0.2">
      <c r="BO497" s="468"/>
      <c r="BP497" s="468"/>
      <c r="BQ497" s="468"/>
      <c r="BR497" s="468"/>
      <c r="BS497" s="468"/>
      <c r="BT497" s="468"/>
      <c r="BU497" s="468"/>
      <c r="BV497" s="468"/>
      <c r="BW497" s="469"/>
      <c r="BX497" s="449"/>
      <c r="BY497" s="449"/>
      <c r="BZ497" s="449"/>
    </row>
    <row r="498" spans="67:78" s="457" customFormat="1" x14ac:dyDescent="0.2">
      <c r="BO498" s="468"/>
      <c r="BP498" s="468"/>
      <c r="BQ498" s="468"/>
      <c r="BR498" s="468"/>
      <c r="BS498" s="468"/>
      <c r="BT498" s="468"/>
      <c r="BU498" s="468"/>
      <c r="BV498" s="468"/>
      <c r="BW498" s="469"/>
      <c r="BX498" s="449"/>
      <c r="BY498" s="449"/>
      <c r="BZ498" s="449"/>
    </row>
    <row r="499" spans="67:78" s="457" customFormat="1" x14ac:dyDescent="0.2">
      <c r="BO499" s="468"/>
      <c r="BP499" s="468"/>
      <c r="BQ499" s="468"/>
      <c r="BR499" s="468"/>
      <c r="BS499" s="468"/>
      <c r="BT499" s="468"/>
      <c r="BU499" s="468"/>
      <c r="BV499" s="468"/>
      <c r="BW499" s="469"/>
      <c r="BX499" s="449"/>
      <c r="BY499" s="449"/>
      <c r="BZ499" s="449"/>
    </row>
    <row r="500" spans="67:78" s="457" customFormat="1" x14ac:dyDescent="0.2">
      <c r="BO500" s="468"/>
      <c r="BP500" s="468"/>
      <c r="BQ500" s="468"/>
      <c r="BR500" s="468"/>
      <c r="BS500" s="468"/>
      <c r="BT500" s="468"/>
      <c r="BU500" s="468"/>
      <c r="BV500" s="468"/>
      <c r="BW500" s="469"/>
      <c r="BX500" s="449"/>
      <c r="BY500" s="449"/>
      <c r="BZ500" s="449"/>
    </row>
    <row r="501" spans="67:78" s="457" customFormat="1" x14ac:dyDescent="0.2">
      <c r="BO501" s="468"/>
      <c r="BP501" s="468"/>
      <c r="BQ501" s="468"/>
      <c r="BR501" s="468"/>
      <c r="BS501" s="468"/>
      <c r="BT501" s="468"/>
      <c r="BU501" s="468"/>
      <c r="BV501" s="468"/>
      <c r="BW501" s="469"/>
      <c r="BX501" s="449"/>
      <c r="BY501" s="449"/>
      <c r="BZ501" s="449"/>
    </row>
    <row r="502" spans="67:78" s="457" customFormat="1" x14ac:dyDescent="0.2">
      <c r="BO502" s="468"/>
      <c r="BP502" s="468"/>
      <c r="BQ502" s="468"/>
      <c r="BR502" s="468"/>
      <c r="BS502" s="468"/>
      <c r="BT502" s="468"/>
      <c r="BU502" s="468"/>
      <c r="BV502" s="468"/>
      <c r="BW502" s="469"/>
      <c r="BX502" s="449"/>
      <c r="BY502" s="449"/>
      <c r="BZ502" s="449"/>
    </row>
    <row r="503" spans="67:78" s="457" customFormat="1" x14ac:dyDescent="0.2">
      <c r="BO503" s="468"/>
      <c r="BP503" s="468"/>
      <c r="BQ503" s="468"/>
      <c r="BR503" s="468"/>
      <c r="BS503" s="468"/>
      <c r="BT503" s="468"/>
      <c r="BU503" s="468"/>
      <c r="BV503" s="468"/>
      <c r="BW503" s="469"/>
      <c r="BX503" s="449"/>
      <c r="BY503" s="449"/>
      <c r="BZ503" s="449"/>
    </row>
    <row r="504" spans="67:78" s="457" customFormat="1" x14ac:dyDescent="0.2">
      <c r="BO504" s="468"/>
      <c r="BP504" s="468"/>
      <c r="BQ504" s="468"/>
      <c r="BR504" s="468"/>
      <c r="BS504" s="468"/>
      <c r="BT504" s="468"/>
      <c r="BU504" s="468"/>
      <c r="BV504" s="468"/>
      <c r="BW504" s="469"/>
      <c r="BX504" s="449"/>
      <c r="BY504" s="449"/>
      <c r="BZ504" s="449"/>
    </row>
    <row r="505" spans="67:78" s="457" customFormat="1" x14ac:dyDescent="0.2">
      <c r="BO505" s="468"/>
      <c r="BP505" s="468"/>
      <c r="BQ505" s="468"/>
      <c r="BR505" s="468"/>
      <c r="BS505" s="468"/>
      <c r="BT505" s="468"/>
      <c r="BU505" s="468"/>
      <c r="BV505" s="468"/>
      <c r="BW505" s="469"/>
      <c r="BX505" s="449"/>
      <c r="BY505" s="449"/>
      <c r="BZ505" s="449"/>
    </row>
    <row r="506" spans="67:78" s="457" customFormat="1" x14ac:dyDescent="0.2">
      <c r="BO506" s="468"/>
      <c r="BP506" s="468"/>
      <c r="BQ506" s="468"/>
      <c r="BR506" s="468"/>
      <c r="BS506" s="468"/>
      <c r="BT506" s="468"/>
      <c r="BU506" s="468"/>
      <c r="BV506" s="468"/>
      <c r="BW506" s="469"/>
      <c r="BX506" s="449"/>
      <c r="BY506" s="449"/>
      <c r="BZ506" s="449"/>
    </row>
    <row r="507" spans="67:78" s="457" customFormat="1" x14ac:dyDescent="0.2">
      <c r="BO507" s="468"/>
      <c r="BP507" s="468"/>
      <c r="BQ507" s="468"/>
      <c r="BR507" s="468"/>
      <c r="BS507" s="468"/>
      <c r="BT507" s="468"/>
      <c r="BU507" s="468"/>
      <c r="BV507" s="468"/>
      <c r="BW507" s="469"/>
      <c r="BX507" s="449"/>
      <c r="BY507" s="449"/>
      <c r="BZ507" s="449"/>
    </row>
    <row r="508" spans="67:78" s="457" customFormat="1" x14ac:dyDescent="0.2">
      <c r="BO508" s="468"/>
      <c r="BP508" s="468"/>
      <c r="BQ508" s="468"/>
      <c r="BR508" s="468"/>
      <c r="BS508" s="468"/>
      <c r="BT508" s="468"/>
      <c r="BU508" s="468"/>
      <c r="BV508" s="468"/>
      <c r="BW508" s="469"/>
      <c r="BX508" s="449"/>
      <c r="BY508" s="449"/>
      <c r="BZ508" s="449"/>
    </row>
    <row r="509" spans="67:78" s="457" customFormat="1" x14ac:dyDescent="0.2">
      <c r="BO509" s="468"/>
      <c r="BP509" s="468"/>
      <c r="BQ509" s="468"/>
      <c r="BR509" s="468"/>
      <c r="BS509" s="468"/>
      <c r="BT509" s="468"/>
      <c r="BU509" s="468"/>
      <c r="BV509" s="468"/>
      <c r="BW509" s="469"/>
      <c r="BX509" s="449"/>
      <c r="BY509" s="449"/>
      <c r="BZ509" s="449"/>
    </row>
    <row r="510" spans="67:78" s="457" customFormat="1" x14ac:dyDescent="0.2">
      <c r="BO510" s="468"/>
      <c r="BP510" s="468"/>
      <c r="BQ510" s="468"/>
      <c r="BR510" s="468"/>
      <c r="BS510" s="468"/>
      <c r="BT510" s="468"/>
      <c r="BU510" s="468"/>
      <c r="BV510" s="468"/>
      <c r="BW510" s="469"/>
      <c r="BX510" s="449"/>
      <c r="BY510" s="449"/>
      <c r="BZ510" s="449"/>
    </row>
    <row r="511" spans="67:78" s="457" customFormat="1" x14ac:dyDescent="0.2">
      <c r="BO511" s="468"/>
      <c r="BP511" s="468"/>
      <c r="BQ511" s="468"/>
      <c r="BR511" s="468"/>
      <c r="BS511" s="468"/>
      <c r="BT511" s="468"/>
      <c r="BU511" s="468"/>
      <c r="BV511" s="468"/>
      <c r="BW511" s="469"/>
      <c r="BX511" s="449"/>
      <c r="BY511" s="449"/>
      <c r="BZ511" s="449"/>
    </row>
    <row r="512" spans="67:78" s="457" customFormat="1" x14ac:dyDescent="0.2">
      <c r="BO512" s="468"/>
      <c r="BP512" s="468"/>
      <c r="BQ512" s="468"/>
      <c r="BR512" s="468"/>
      <c r="BS512" s="468"/>
      <c r="BT512" s="468"/>
      <c r="BU512" s="468"/>
      <c r="BV512" s="468"/>
      <c r="BW512" s="469"/>
      <c r="BX512" s="449"/>
      <c r="BY512" s="449"/>
      <c r="BZ512" s="449"/>
    </row>
    <row r="513" spans="67:78" s="457" customFormat="1" x14ac:dyDescent="0.2">
      <c r="BO513" s="468"/>
      <c r="BP513" s="468"/>
      <c r="BQ513" s="468"/>
      <c r="BR513" s="468"/>
      <c r="BS513" s="468"/>
      <c r="BT513" s="468"/>
      <c r="BU513" s="468"/>
      <c r="BV513" s="468"/>
      <c r="BW513" s="469"/>
      <c r="BX513" s="449"/>
      <c r="BY513" s="449"/>
      <c r="BZ513" s="449"/>
    </row>
    <row r="514" spans="67:78" s="457" customFormat="1" x14ac:dyDescent="0.2">
      <c r="BO514" s="468"/>
      <c r="BP514" s="468"/>
      <c r="BQ514" s="468"/>
      <c r="BR514" s="468"/>
      <c r="BS514" s="468"/>
      <c r="BT514" s="468"/>
      <c r="BU514" s="468"/>
      <c r="BV514" s="468"/>
      <c r="BW514" s="469"/>
      <c r="BX514" s="449"/>
      <c r="BY514" s="449"/>
      <c r="BZ514" s="449"/>
    </row>
    <row r="515" spans="67:78" s="457" customFormat="1" x14ac:dyDescent="0.2">
      <c r="BO515" s="468"/>
      <c r="BP515" s="468"/>
      <c r="BQ515" s="468"/>
      <c r="BR515" s="468"/>
      <c r="BS515" s="468"/>
      <c r="BT515" s="468"/>
      <c r="BU515" s="468"/>
      <c r="BV515" s="468"/>
      <c r="BW515" s="469"/>
      <c r="BX515" s="449"/>
      <c r="BY515" s="449"/>
      <c r="BZ515" s="449"/>
    </row>
    <row r="516" spans="67:78" s="457" customFormat="1" x14ac:dyDescent="0.2">
      <c r="BO516" s="468"/>
      <c r="BP516" s="468"/>
      <c r="BQ516" s="468"/>
      <c r="BR516" s="468"/>
      <c r="BS516" s="468"/>
      <c r="BT516" s="468"/>
      <c r="BU516" s="468"/>
      <c r="BV516" s="468"/>
      <c r="BW516" s="469"/>
      <c r="BX516" s="449"/>
      <c r="BY516" s="449"/>
      <c r="BZ516" s="449"/>
    </row>
    <row r="517" spans="67:78" s="457" customFormat="1" x14ac:dyDescent="0.2">
      <c r="BO517" s="468"/>
      <c r="BP517" s="468"/>
      <c r="BQ517" s="468"/>
      <c r="BR517" s="468"/>
      <c r="BS517" s="468"/>
      <c r="BT517" s="468"/>
      <c r="BU517" s="468"/>
      <c r="BV517" s="468"/>
      <c r="BW517" s="469"/>
      <c r="BX517" s="449"/>
      <c r="BY517" s="449"/>
      <c r="BZ517" s="449"/>
    </row>
    <row r="518" spans="67:78" s="457" customFormat="1" x14ac:dyDescent="0.2">
      <c r="BO518" s="468"/>
      <c r="BP518" s="468"/>
      <c r="BQ518" s="468"/>
      <c r="BR518" s="468"/>
      <c r="BS518" s="468"/>
      <c r="BT518" s="468"/>
      <c r="BU518" s="468"/>
      <c r="BV518" s="468"/>
      <c r="BW518" s="469"/>
      <c r="BX518" s="449"/>
      <c r="BY518" s="449"/>
      <c r="BZ518" s="449"/>
    </row>
    <row r="519" spans="67:78" s="457" customFormat="1" x14ac:dyDescent="0.2">
      <c r="BO519" s="468"/>
      <c r="BP519" s="468"/>
      <c r="BQ519" s="468"/>
      <c r="BR519" s="468"/>
      <c r="BS519" s="468"/>
      <c r="BT519" s="468"/>
      <c r="BU519" s="468"/>
      <c r="BV519" s="468"/>
      <c r="BW519" s="469"/>
      <c r="BX519" s="449"/>
      <c r="BY519" s="449"/>
      <c r="BZ519" s="449"/>
    </row>
    <row r="520" spans="67:78" s="457" customFormat="1" x14ac:dyDescent="0.2">
      <c r="BO520" s="468"/>
      <c r="BP520" s="468"/>
      <c r="BQ520" s="468"/>
      <c r="BR520" s="468"/>
      <c r="BS520" s="468"/>
      <c r="BT520" s="468"/>
      <c r="BU520" s="468"/>
      <c r="BV520" s="468"/>
      <c r="BW520" s="469"/>
      <c r="BX520" s="449"/>
      <c r="BY520" s="449"/>
      <c r="BZ520" s="449"/>
    </row>
    <row r="521" spans="67:78" s="457" customFormat="1" x14ac:dyDescent="0.2">
      <c r="BO521" s="468"/>
      <c r="BP521" s="468"/>
      <c r="BQ521" s="468"/>
      <c r="BR521" s="468"/>
      <c r="BS521" s="468"/>
      <c r="BT521" s="468"/>
      <c r="BU521" s="468"/>
      <c r="BV521" s="468"/>
      <c r="BW521" s="469"/>
      <c r="BX521" s="449"/>
      <c r="BY521" s="449"/>
      <c r="BZ521" s="449"/>
    </row>
    <row r="522" spans="67:78" s="457" customFormat="1" x14ac:dyDescent="0.2">
      <c r="BO522" s="468"/>
      <c r="BP522" s="468"/>
      <c r="BQ522" s="468"/>
      <c r="BR522" s="468"/>
      <c r="BS522" s="468"/>
      <c r="BT522" s="468"/>
      <c r="BU522" s="468"/>
      <c r="BV522" s="468"/>
      <c r="BW522" s="469"/>
      <c r="BX522" s="449"/>
      <c r="BY522" s="449"/>
      <c r="BZ522" s="449"/>
    </row>
    <row r="523" spans="67:78" s="457" customFormat="1" x14ac:dyDescent="0.2">
      <c r="BO523" s="468"/>
      <c r="BP523" s="468"/>
      <c r="BQ523" s="468"/>
      <c r="BR523" s="468"/>
      <c r="BS523" s="468"/>
      <c r="BT523" s="468"/>
      <c r="BU523" s="468"/>
      <c r="BV523" s="468"/>
      <c r="BW523" s="469"/>
      <c r="BX523" s="449"/>
      <c r="BY523" s="449"/>
      <c r="BZ523" s="449"/>
    </row>
    <row r="524" spans="67:78" s="457" customFormat="1" x14ac:dyDescent="0.2">
      <c r="BO524" s="468"/>
      <c r="BP524" s="468"/>
      <c r="BQ524" s="468"/>
      <c r="BR524" s="468"/>
      <c r="BS524" s="468"/>
      <c r="BT524" s="468"/>
      <c r="BU524" s="468"/>
      <c r="BV524" s="468"/>
      <c r="BW524" s="469"/>
      <c r="BX524" s="449"/>
      <c r="BY524" s="449"/>
      <c r="BZ524" s="449"/>
    </row>
    <row r="525" spans="67:78" s="457" customFormat="1" x14ac:dyDescent="0.2">
      <c r="BO525" s="468"/>
      <c r="BP525" s="468"/>
      <c r="BQ525" s="468"/>
      <c r="BR525" s="468"/>
      <c r="BS525" s="468"/>
      <c r="BT525" s="468"/>
      <c r="BU525" s="468"/>
      <c r="BV525" s="468"/>
      <c r="BW525" s="469"/>
      <c r="BX525" s="449"/>
      <c r="BY525" s="449"/>
      <c r="BZ525" s="449"/>
    </row>
    <row r="526" spans="67:78" s="457" customFormat="1" x14ac:dyDescent="0.2">
      <c r="BO526" s="468"/>
      <c r="BP526" s="468"/>
      <c r="BQ526" s="468"/>
      <c r="BR526" s="468"/>
      <c r="BS526" s="468"/>
      <c r="BT526" s="468"/>
      <c r="BU526" s="468"/>
      <c r="BV526" s="468"/>
      <c r="BW526" s="469"/>
      <c r="BX526" s="449"/>
      <c r="BY526" s="449"/>
      <c r="BZ526" s="449"/>
    </row>
    <row r="527" spans="67:78" s="457" customFormat="1" x14ac:dyDescent="0.2">
      <c r="BO527" s="468"/>
      <c r="BP527" s="468"/>
      <c r="BQ527" s="468"/>
      <c r="BR527" s="468"/>
      <c r="BS527" s="468"/>
      <c r="BT527" s="468"/>
      <c r="BU527" s="468"/>
      <c r="BV527" s="468"/>
      <c r="BW527" s="469"/>
      <c r="BX527" s="449"/>
      <c r="BY527" s="449"/>
      <c r="BZ527" s="449"/>
    </row>
    <row r="528" spans="67:78" s="457" customFormat="1" x14ac:dyDescent="0.2">
      <c r="BO528" s="468"/>
      <c r="BP528" s="468"/>
      <c r="BQ528" s="468"/>
      <c r="BR528" s="468"/>
      <c r="BS528" s="468"/>
      <c r="BT528" s="468"/>
      <c r="BU528" s="468"/>
      <c r="BV528" s="468"/>
      <c r="BW528" s="469"/>
      <c r="BX528" s="449"/>
      <c r="BY528" s="449"/>
      <c r="BZ528" s="449"/>
    </row>
    <row r="529" spans="67:78" s="457" customFormat="1" x14ac:dyDescent="0.2">
      <c r="BO529" s="468"/>
      <c r="BP529" s="468"/>
      <c r="BQ529" s="468"/>
      <c r="BR529" s="468"/>
      <c r="BS529" s="468"/>
      <c r="BT529" s="468"/>
      <c r="BU529" s="468"/>
      <c r="BV529" s="468"/>
      <c r="BW529" s="469"/>
      <c r="BX529" s="449"/>
      <c r="BY529" s="449"/>
      <c r="BZ529" s="449"/>
    </row>
    <row r="530" spans="67:78" s="457" customFormat="1" x14ac:dyDescent="0.2">
      <c r="BO530" s="468"/>
      <c r="BP530" s="468"/>
      <c r="BQ530" s="468"/>
      <c r="BR530" s="468"/>
      <c r="BS530" s="468"/>
      <c r="BT530" s="468"/>
      <c r="BU530" s="468"/>
      <c r="BV530" s="468"/>
      <c r="BW530" s="469"/>
      <c r="BX530" s="449"/>
      <c r="BY530" s="449"/>
      <c r="BZ530" s="449"/>
    </row>
    <row r="531" spans="67:78" s="457" customFormat="1" x14ac:dyDescent="0.2">
      <c r="BO531" s="468"/>
      <c r="BP531" s="468"/>
      <c r="BQ531" s="468"/>
      <c r="BR531" s="468"/>
      <c r="BS531" s="468"/>
      <c r="BT531" s="468"/>
      <c r="BU531" s="468"/>
      <c r="BV531" s="468"/>
      <c r="BW531" s="469"/>
      <c r="BX531" s="449"/>
      <c r="BY531" s="449"/>
      <c r="BZ531" s="449"/>
    </row>
    <row r="532" spans="67:78" s="457" customFormat="1" x14ac:dyDescent="0.2">
      <c r="BO532" s="468"/>
      <c r="BP532" s="468"/>
      <c r="BQ532" s="468"/>
      <c r="BR532" s="468"/>
      <c r="BS532" s="468"/>
      <c r="BT532" s="468"/>
      <c r="BU532" s="468"/>
      <c r="BV532" s="468"/>
      <c r="BW532" s="469"/>
      <c r="BX532" s="449"/>
      <c r="BY532" s="449"/>
      <c r="BZ532" s="449"/>
    </row>
    <row r="533" spans="67:78" s="457" customFormat="1" x14ac:dyDescent="0.2">
      <c r="BO533" s="468"/>
      <c r="BP533" s="468"/>
      <c r="BQ533" s="468"/>
      <c r="BR533" s="468"/>
      <c r="BS533" s="468"/>
      <c r="BT533" s="468"/>
      <c r="BU533" s="468"/>
      <c r="BV533" s="468"/>
      <c r="BW533" s="469"/>
      <c r="BX533" s="449"/>
      <c r="BY533" s="449"/>
      <c r="BZ533" s="449"/>
    </row>
    <row r="534" spans="67:78" s="457" customFormat="1" x14ac:dyDescent="0.2">
      <c r="BO534" s="468"/>
      <c r="BP534" s="468"/>
      <c r="BQ534" s="468"/>
      <c r="BR534" s="468"/>
      <c r="BS534" s="468"/>
      <c r="BT534" s="468"/>
      <c r="BU534" s="468"/>
      <c r="BV534" s="468"/>
      <c r="BW534" s="469"/>
      <c r="BX534" s="449"/>
      <c r="BY534" s="449"/>
      <c r="BZ534" s="449"/>
    </row>
    <row r="535" spans="67:78" s="457" customFormat="1" x14ac:dyDescent="0.2">
      <c r="BO535" s="468"/>
      <c r="BP535" s="468"/>
      <c r="BQ535" s="468"/>
      <c r="BR535" s="468"/>
      <c r="BS535" s="468"/>
      <c r="BT535" s="468"/>
      <c r="BU535" s="468"/>
      <c r="BV535" s="468"/>
      <c r="BW535" s="469"/>
      <c r="BX535" s="449"/>
      <c r="BY535" s="449"/>
      <c r="BZ535" s="449"/>
    </row>
    <row r="536" spans="67:78" s="457" customFormat="1" x14ac:dyDescent="0.2">
      <c r="BO536" s="468"/>
      <c r="BP536" s="468"/>
      <c r="BQ536" s="468"/>
      <c r="BR536" s="468"/>
      <c r="BS536" s="468"/>
      <c r="BT536" s="468"/>
      <c r="BU536" s="468"/>
      <c r="BV536" s="468"/>
      <c r="BW536" s="469"/>
      <c r="BX536" s="449"/>
      <c r="BY536" s="449"/>
      <c r="BZ536" s="449"/>
    </row>
    <row r="537" spans="67:78" s="457" customFormat="1" x14ac:dyDescent="0.2">
      <c r="BO537" s="468"/>
      <c r="BP537" s="468"/>
      <c r="BQ537" s="468"/>
      <c r="BR537" s="468"/>
      <c r="BS537" s="468"/>
      <c r="BT537" s="468"/>
      <c r="BU537" s="468"/>
      <c r="BV537" s="468"/>
      <c r="BW537" s="469"/>
      <c r="BX537" s="449"/>
      <c r="BY537" s="449"/>
      <c r="BZ537" s="449"/>
    </row>
    <row r="538" spans="67:78" s="457" customFormat="1" x14ac:dyDescent="0.2">
      <c r="BO538" s="468"/>
      <c r="BP538" s="468"/>
      <c r="BQ538" s="468"/>
      <c r="BR538" s="468"/>
      <c r="BS538" s="468"/>
      <c r="BT538" s="468"/>
      <c r="BU538" s="468"/>
      <c r="BV538" s="468"/>
      <c r="BW538" s="469"/>
      <c r="BX538" s="449"/>
      <c r="BY538" s="449"/>
      <c r="BZ538" s="449"/>
    </row>
    <row r="539" spans="67:78" s="457" customFormat="1" x14ac:dyDescent="0.2">
      <c r="BO539" s="468"/>
      <c r="BP539" s="468"/>
      <c r="BQ539" s="468"/>
      <c r="BR539" s="468"/>
      <c r="BS539" s="468"/>
      <c r="BT539" s="468"/>
      <c r="BU539" s="468"/>
      <c r="BV539" s="468"/>
      <c r="BW539" s="469"/>
      <c r="BX539" s="449"/>
      <c r="BY539" s="449"/>
      <c r="BZ539" s="449"/>
    </row>
    <row r="540" spans="67:78" s="457" customFormat="1" x14ac:dyDescent="0.2">
      <c r="BO540" s="468"/>
      <c r="BP540" s="468"/>
      <c r="BQ540" s="468"/>
      <c r="BR540" s="468"/>
      <c r="BS540" s="468"/>
      <c r="BT540" s="468"/>
      <c r="BU540" s="468"/>
      <c r="BV540" s="468"/>
      <c r="BW540" s="469"/>
      <c r="BX540" s="449"/>
      <c r="BY540" s="449"/>
      <c r="BZ540" s="449"/>
    </row>
    <row r="541" spans="67:78" s="457" customFormat="1" x14ac:dyDescent="0.2">
      <c r="BO541" s="468"/>
      <c r="BP541" s="468"/>
      <c r="BQ541" s="468"/>
      <c r="BR541" s="468"/>
      <c r="BS541" s="468"/>
      <c r="BT541" s="468"/>
      <c r="BU541" s="468"/>
      <c r="BV541" s="468"/>
      <c r="BW541" s="469"/>
      <c r="BX541" s="449"/>
      <c r="BY541" s="449"/>
      <c r="BZ541" s="449"/>
    </row>
    <row r="542" spans="67:78" s="457" customFormat="1" x14ac:dyDescent="0.2">
      <c r="BO542" s="468"/>
      <c r="BP542" s="468"/>
      <c r="BQ542" s="468"/>
      <c r="BR542" s="468"/>
      <c r="BS542" s="468"/>
      <c r="BT542" s="468"/>
      <c r="BU542" s="468"/>
      <c r="BV542" s="468"/>
      <c r="BW542" s="469"/>
      <c r="BX542" s="449"/>
      <c r="BY542" s="449"/>
      <c r="BZ542" s="449"/>
    </row>
    <row r="543" spans="67:78" s="457" customFormat="1" x14ac:dyDescent="0.2">
      <c r="BO543" s="468"/>
      <c r="BP543" s="468"/>
      <c r="BQ543" s="468"/>
      <c r="BR543" s="468"/>
      <c r="BS543" s="468"/>
      <c r="BT543" s="468"/>
      <c r="BU543" s="468"/>
      <c r="BV543" s="468"/>
      <c r="BW543" s="469"/>
      <c r="BX543" s="449"/>
      <c r="BY543" s="449"/>
      <c r="BZ543" s="449"/>
    </row>
    <row r="544" spans="67:78" s="457" customFormat="1" x14ac:dyDescent="0.2">
      <c r="BO544" s="468"/>
      <c r="BP544" s="468"/>
      <c r="BQ544" s="468"/>
      <c r="BR544" s="468"/>
      <c r="BS544" s="468"/>
      <c r="BT544" s="468"/>
      <c r="BU544" s="468"/>
      <c r="BV544" s="468"/>
      <c r="BW544" s="469"/>
      <c r="BX544" s="449"/>
      <c r="BY544" s="449"/>
      <c r="BZ544" s="449"/>
    </row>
    <row r="545" spans="67:78" s="457" customFormat="1" x14ac:dyDescent="0.2">
      <c r="BO545" s="468"/>
      <c r="BP545" s="468"/>
      <c r="BQ545" s="468"/>
      <c r="BR545" s="468"/>
      <c r="BS545" s="468"/>
      <c r="BT545" s="468"/>
      <c r="BU545" s="468"/>
      <c r="BV545" s="468"/>
      <c r="BW545" s="469"/>
      <c r="BX545" s="449"/>
      <c r="BY545" s="449"/>
      <c r="BZ545" s="449"/>
    </row>
    <row r="546" spans="67:78" s="457" customFormat="1" x14ac:dyDescent="0.2">
      <c r="BO546" s="468"/>
      <c r="BP546" s="468"/>
      <c r="BQ546" s="468"/>
      <c r="BR546" s="468"/>
      <c r="BS546" s="468"/>
      <c r="BT546" s="468"/>
      <c r="BU546" s="468"/>
      <c r="BV546" s="468"/>
      <c r="BW546" s="469"/>
      <c r="BX546" s="449"/>
      <c r="BY546" s="449"/>
      <c r="BZ546" s="449"/>
    </row>
    <row r="547" spans="67:78" s="457" customFormat="1" x14ac:dyDescent="0.2">
      <c r="BO547" s="468"/>
      <c r="BP547" s="468"/>
      <c r="BQ547" s="468"/>
      <c r="BR547" s="468"/>
      <c r="BS547" s="468"/>
      <c r="BT547" s="468"/>
      <c r="BU547" s="468"/>
      <c r="BV547" s="468"/>
      <c r="BW547" s="469"/>
      <c r="BX547" s="449"/>
      <c r="BY547" s="449"/>
      <c r="BZ547" s="449"/>
    </row>
    <row r="548" spans="67:78" s="457" customFormat="1" x14ac:dyDescent="0.2">
      <c r="BO548" s="468"/>
      <c r="BP548" s="468"/>
      <c r="BQ548" s="468"/>
      <c r="BR548" s="468"/>
      <c r="BS548" s="468"/>
      <c r="BT548" s="468"/>
      <c r="BU548" s="468"/>
      <c r="BV548" s="468"/>
      <c r="BW548" s="469"/>
      <c r="BX548" s="449"/>
      <c r="BY548" s="449"/>
      <c r="BZ548" s="449"/>
    </row>
    <row r="549" spans="67:78" s="457" customFormat="1" x14ac:dyDescent="0.2">
      <c r="BO549" s="468"/>
      <c r="BP549" s="468"/>
      <c r="BQ549" s="468"/>
      <c r="BR549" s="468"/>
      <c r="BS549" s="468"/>
      <c r="BT549" s="468"/>
      <c r="BU549" s="468"/>
      <c r="BV549" s="468"/>
      <c r="BW549" s="469"/>
      <c r="BX549" s="449"/>
      <c r="BY549" s="449"/>
      <c r="BZ549" s="449"/>
    </row>
    <row r="550" spans="67:78" s="457" customFormat="1" x14ac:dyDescent="0.2">
      <c r="BO550" s="468"/>
      <c r="BP550" s="468"/>
      <c r="BQ550" s="468"/>
      <c r="BR550" s="468"/>
      <c r="BS550" s="468"/>
      <c r="BT550" s="468"/>
      <c r="BU550" s="468"/>
      <c r="BV550" s="468"/>
      <c r="BW550" s="469"/>
      <c r="BX550" s="449"/>
      <c r="BY550" s="449"/>
      <c r="BZ550" s="449"/>
    </row>
    <row r="551" spans="67:78" s="457" customFormat="1" x14ac:dyDescent="0.2">
      <c r="BO551" s="468"/>
      <c r="BP551" s="468"/>
      <c r="BQ551" s="468"/>
      <c r="BR551" s="468"/>
      <c r="BS551" s="468"/>
      <c r="BT551" s="468"/>
      <c r="BU551" s="468"/>
      <c r="BV551" s="468"/>
      <c r="BW551" s="469"/>
      <c r="BX551" s="449"/>
      <c r="BY551" s="449"/>
      <c r="BZ551" s="449"/>
    </row>
    <row r="552" spans="67:78" s="457" customFormat="1" x14ac:dyDescent="0.2">
      <c r="BO552" s="468"/>
      <c r="BP552" s="468"/>
      <c r="BQ552" s="468"/>
      <c r="BR552" s="468"/>
      <c r="BS552" s="468"/>
      <c r="BT552" s="468"/>
      <c r="BU552" s="468"/>
      <c r="BV552" s="468"/>
      <c r="BW552" s="469"/>
      <c r="BX552" s="449"/>
      <c r="BY552" s="449"/>
      <c r="BZ552" s="449"/>
    </row>
    <row r="553" spans="67:78" s="457" customFormat="1" x14ac:dyDescent="0.2">
      <c r="BO553" s="468"/>
      <c r="BP553" s="468"/>
      <c r="BQ553" s="468"/>
      <c r="BR553" s="468"/>
      <c r="BS553" s="468"/>
      <c r="BT553" s="468"/>
      <c r="BU553" s="468"/>
      <c r="BV553" s="468"/>
      <c r="BW553" s="469"/>
      <c r="BX553" s="449"/>
      <c r="BY553" s="449"/>
      <c r="BZ553" s="449"/>
    </row>
    <row r="554" spans="67:78" s="457" customFormat="1" x14ac:dyDescent="0.2">
      <c r="BO554" s="468"/>
      <c r="BP554" s="468"/>
      <c r="BQ554" s="468"/>
      <c r="BR554" s="468"/>
      <c r="BS554" s="468"/>
      <c r="BT554" s="468"/>
      <c r="BU554" s="468"/>
      <c r="BV554" s="468"/>
      <c r="BW554" s="469"/>
      <c r="BX554" s="449"/>
      <c r="BY554" s="449"/>
      <c r="BZ554" s="449"/>
    </row>
    <row r="555" spans="67:78" s="457" customFormat="1" x14ac:dyDescent="0.2">
      <c r="BO555" s="468"/>
      <c r="BP555" s="468"/>
      <c r="BQ555" s="468"/>
      <c r="BR555" s="468"/>
      <c r="BS555" s="468"/>
      <c r="BT555" s="468"/>
      <c r="BU555" s="468"/>
      <c r="BV555" s="468"/>
      <c r="BW555" s="469"/>
      <c r="BX555" s="449"/>
      <c r="BY555" s="449"/>
      <c r="BZ555" s="449"/>
    </row>
    <row r="556" spans="67:78" s="457" customFormat="1" x14ac:dyDescent="0.2">
      <c r="BO556" s="468"/>
      <c r="BP556" s="468"/>
      <c r="BQ556" s="468"/>
      <c r="BR556" s="468"/>
      <c r="BS556" s="468"/>
      <c r="BT556" s="468"/>
      <c r="BU556" s="468"/>
      <c r="BV556" s="468"/>
      <c r="BW556" s="469"/>
      <c r="BX556" s="449"/>
      <c r="BY556" s="449"/>
      <c r="BZ556" s="449"/>
    </row>
    <row r="557" spans="67:78" s="457" customFormat="1" x14ac:dyDescent="0.2">
      <c r="BO557" s="468"/>
      <c r="BP557" s="468"/>
      <c r="BQ557" s="468"/>
      <c r="BR557" s="468"/>
      <c r="BS557" s="468"/>
      <c r="BT557" s="468"/>
      <c r="BU557" s="468"/>
      <c r="BV557" s="468"/>
      <c r="BW557" s="469"/>
      <c r="BX557" s="449"/>
      <c r="BY557" s="449"/>
      <c r="BZ557" s="449"/>
    </row>
    <row r="558" spans="67:78" s="457" customFormat="1" x14ac:dyDescent="0.2">
      <c r="BO558" s="468"/>
      <c r="BP558" s="468"/>
      <c r="BQ558" s="468"/>
      <c r="BR558" s="468"/>
      <c r="BS558" s="468"/>
      <c r="BT558" s="468"/>
      <c r="BU558" s="468"/>
      <c r="BV558" s="468"/>
      <c r="BW558" s="469"/>
      <c r="BX558" s="449"/>
      <c r="BY558" s="449"/>
      <c r="BZ558" s="449"/>
    </row>
    <row r="559" spans="67:78" s="457" customFormat="1" x14ac:dyDescent="0.2">
      <c r="BO559" s="468"/>
      <c r="BP559" s="468"/>
      <c r="BQ559" s="468"/>
      <c r="BR559" s="468"/>
      <c r="BS559" s="468"/>
      <c r="BT559" s="468"/>
      <c r="BU559" s="468"/>
      <c r="BV559" s="468"/>
      <c r="BW559" s="469"/>
      <c r="BX559" s="449"/>
      <c r="BY559" s="449"/>
      <c r="BZ559" s="449"/>
    </row>
    <row r="560" spans="67:78" s="457" customFormat="1" x14ac:dyDescent="0.2">
      <c r="BO560" s="468"/>
      <c r="BP560" s="468"/>
      <c r="BQ560" s="468"/>
      <c r="BR560" s="468"/>
      <c r="BS560" s="468"/>
      <c r="BT560" s="468"/>
      <c r="BU560" s="468"/>
      <c r="BV560" s="468"/>
      <c r="BW560" s="469"/>
      <c r="BX560" s="449"/>
      <c r="BY560" s="449"/>
      <c r="BZ560" s="449"/>
    </row>
    <row r="561" spans="67:78" s="457" customFormat="1" x14ac:dyDescent="0.2">
      <c r="BO561" s="468"/>
      <c r="BP561" s="468"/>
      <c r="BQ561" s="468"/>
      <c r="BR561" s="468"/>
      <c r="BS561" s="468"/>
      <c r="BT561" s="468"/>
      <c r="BU561" s="468"/>
      <c r="BV561" s="468"/>
      <c r="BW561" s="469"/>
      <c r="BX561" s="449"/>
      <c r="BY561" s="449"/>
      <c r="BZ561" s="449"/>
    </row>
    <row r="562" spans="67:78" s="457" customFormat="1" x14ac:dyDescent="0.2">
      <c r="BO562" s="468"/>
      <c r="BP562" s="468"/>
      <c r="BQ562" s="468"/>
      <c r="BR562" s="468"/>
      <c r="BS562" s="468"/>
      <c r="BT562" s="468"/>
      <c r="BU562" s="468"/>
      <c r="BV562" s="468"/>
      <c r="BW562" s="469"/>
      <c r="BX562" s="449"/>
      <c r="BY562" s="449"/>
      <c r="BZ562" s="449"/>
    </row>
    <row r="563" spans="67:78" s="457" customFormat="1" x14ac:dyDescent="0.2">
      <c r="BO563" s="468"/>
      <c r="BP563" s="468"/>
      <c r="BQ563" s="468"/>
      <c r="BR563" s="468"/>
      <c r="BS563" s="468"/>
      <c r="BT563" s="468"/>
      <c r="BU563" s="468"/>
      <c r="BV563" s="468"/>
      <c r="BW563" s="469"/>
      <c r="BX563" s="449"/>
      <c r="BY563" s="449"/>
      <c r="BZ563" s="449"/>
    </row>
    <row r="564" spans="67:78" s="457" customFormat="1" x14ac:dyDescent="0.2">
      <c r="BO564" s="468"/>
      <c r="BP564" s="468"/>
      <c r="BQ564" s="468"/>
      <c r="BR564" s="468"/>
      <c r="BS564" s="468"/>
      <c r="BT564" s="468"/>
      <c r="BU564" s="468"/>
      <c r="BV564" s="468"/>
      <c r="BW564" s="469"/>
      <c r="BX564" s="449"/>
      <c r="BY564" s="449"/>
      <c r="BZ564" s="449"/>
    </row>
    <row r="565" spans="67:78" s="457" customFormat="1" x14ac:dyDescent="0.2">
      <c r="BO565" s="468"/>
      <c r="BP565" s="468"/>
      <c r="BQ565" s="468"/>
      <c r="BR565" s="468"/>
      <c r="BS565" s="468"/>
      <c r="BT565" s="468"/>
      <c r="BU565" s="468"/>
      <c r="BV565" s="468"/>
      <c r="BW565" s="469"/>
      <c r="BX565" s="449"/>
      <c r="BY565" s="449"/>
      <c r="BZ565" s="449"/>
    </row>
    <row r="566" spans="67:78" s="457" customFormat="1" x14ac:dyDescent="0.2">
      <c r="BO566" s="468"/>
      <c r="BP566" s="468"/>
      <c r="BQ566" s="468"/>
      <c r="BR566" s="468"/>
      <c r="BS566" s="468"/>
      <c r="BT566" s="468"/>
      <c r="BU566" s="468"/>
      <c r="BV566" s="468"/>
      <c r="BW566" s="469"/>
      <c r="BX566" s="449"/>
      <c r="BY566" s="449"/>
      <c r="BZ566" s="449"/>
    </row>
    <row r="567" spans="67:78" s="457" customFormat="1" x14ac:dyDescent="0.2">
      <c r="BO567" s="468"/>
      <c r="BP567" s="468"/>
      <c r="BQ567" s="468"/>
      <c r="BR567" s="468"/>
      <c r="BS567" s="468"/>
      <c r="BT567" s="468"/>
      <c r="BU567" s="468"/>
      <c r="BV567" s="468"/>
      <c r="BW567" s="469"/>
      <c r="BX567" s="449"/>
      <c r="BY567" s="449"/>
      <c r="BZ567" s="449"/>
    </row>
    <row r="568" spans="67:78" s="457" customFormat="1" x14ac:dyDescent="0.2">
      <c r="BO568" s="468"/>
      <c r="BP568" s="468"/>
      <c r="BQ568" s="468"/>
      <c r="BR568" s="468"/>
      <c r="BS568" s="468"/>
      <c r="BT568" s="468"/>
      <c r="BU568" s="468"/>
      <c r="BV568" s="468"/>
      <c r="BW568" s="469"/>
      <c r="BX568" s="449"/>
      <c r="BY568" s="449"/>
      <c r="BZ568" s="449"/>
    </row>
    <row r="569" spans="67:78" s="457" customFormat="1" x14ac:dyDescent="0.2">
      <c r="BO569" s="468"/>
      <c r="BP569" s="468"/>
      <c r="BQ569" s="468"/>
      <c r="BR569" s="468"/>
      <c r="BS569" s="468"/>
      <c r="BT569" s="468"/>
      <c r="BU569" s="468"/>
      <c r="BV569" s="468"/>
      <c r="BW569" s="469"/>
      <c r="BX569" s="449"/>
      <c r="BY569" s="449"/>
      <c r="BZ569" s="449"/>
    </row>
    <row r="570" spans="67:78" s="457" customFormat="1" x14ac:dyDescent="0.2">
      <c r="BO570" s="468"/>
      <c r="BP570" s="468"/>
      <c r="BQ570" s="468"/>
      <c r="BR570" s="468"/>
      <c r="BS570" s="468"/>
      <c r="BT570" s="468"/>
      <c r="BU570" s="468"/>
      <c r="BV570" s="468"/>
      <c r="BW570" s="469"/>
      <c r="BX570" s="449"/>
      <c r="BY570" s="449"/>
      <c r="BZ570" s="449"/>
    </row>
    <row r="571" spans="67:78" s="457" customFormat="1" x14ac:dyDescent="0.2">
      <c r="BO571" s="468"/>
      <c r="BP571" s="468"/>
      <c r="BQ571" s="468"/>
      <c r="BR571" s="468"/>
      <c r="BS571" s="468"/>
      <c r="BT571" s="468"/>
      <c r="BU571" s="468"/>
      <c r="BV571" s="468"/>
      <c r="BW571" s="469"/>
      <c r="BX571" s="449"/>
      <c r="BY571" s="449"/>
      <c r="BZ571" s="449"/>
    </row>
    <row r="572" spans="67:78" s="457" customFormat="1" x14ac:dyDescent="0.2">
      <c r="BO572" s="468"/>
      <c r="BP572" s="468"/>
      <c r="BQ572" s="468"/>
      <c r="BR572" s="468"/>
      <c r="BS572" s="468"/>
      <c r="BT572" s="468"/>
      <c r="BU572" s="468"/>
      <c r="BV572" s="468"/>
      <c r="BW572" s="469"/>
      <c r="BX572" s="449"/>
      <c r="BY572" s="449"/>
      <c r="BZ572" s="449"/>
    </row>
    <row r="573" spans="67:78" s="457" customFormat="1" x14ac:dyDescent="0.2">
      <c r="BO573" s="468"/>
      <c r="BP573" s="468"/>
      <c r="BQ573" s="468"/>
      <c r="BR573" s="468"/>
      <c r="BS573" s="468"/>
      <c r="BT573" s="468"/>
      <c r="BU573" s="468"/>
      <c r="BV573" s="468"/>
      <c r="BW573" s="469"/>
      <c r="BX573" s="449"/>
      <c r="BY573" s="449"/>
      <c r="BZ573" s="449"/>
    </row>
    <row r="574" spans="67:78" s="457" customFormat="1" x14ac:dyDescent="0.2">
      <c r="BO574" s="468"/>
      <c r="BP574" s="468"/>
      <c r="BQ574" s="468"/>
      <c r="BR574" s="468"/>
      <c r="BS574" s="468"/>
      <c r="BT574" s="468"/>
      <c r="BU574" s="468"/>
      <c r="BV574" s="468"/>
      <c r="BW574" s="469"/>
      <c r="BX574" s="449"/>
      <c r="BY574" s="449"/>
      <c r="BZ574" s="449"/>
    </row>
    <row r="575" spans="67:78" s="457" customFormat="1" x14ac:dyDescent="0.2">
      <c r="BO575" s="468"/>
      <c r="BP575" s="468"/>
      <c r="BQ575" s="468"/>
      <c r="BR575" s="468"/>
      <c r="BS575" s="468"/>
      <c r="BT575" s="468"/>
      <c r="BU575" s="468"/>
      <c r="BV575" s="468"/>
      <c r="BW575" s="469"/>
      <c r="BX575" s="449"/>
      <c r="BY575" s="449"/>
      <c r="BZ575" s="449"/>
    </row>
    <row r="576" spans="67:78" s="457" customFormat="1" x14ac:dyDescent="0.2">
      <c r="BO576" s="468"/>
      <c r="BP576" s="468"/>
      <c r="BQ576" s="468"/>
      <c r="BR576" s="468"/>
      <c r="BS576" s="468"/>
      <c r="BT576" s="468"/>
      <c r="BU576" s="468"/>
      <c r="BV576" s="468"/>
      <c r="BW576" s="469"/>
      <c r="BX576" s="449"/>
      <c r="BY576" s="449"/>
      <c r="BZ576" s="449"/>
    </row>
    <row r="577" spans="67:78" s="457" customFormat="1" x14ac:dyDescent="0.2">
      <c r="BO577" s="468"/>
      <c r="BP577" s="468"/>
      <c r="BQ577" s="468"/>
      <c r="BR577" s="468"/>
      <c r="BS577" s="468"/>
      <c r="BT577" s="468"/>
      <c r="BU577" s="468"/>
      <c r="BV577" s="468"/>
      <c r="BW577" s="469"/>
      <c r="BX577" s="449"/>
      <c r="BY577" s="449"/>
      <c r="BZ577" s="449"/>
    </row>
    <row r="578" spans="67:78" s="457" customFormat="1" x14ac:dyDescent="0.2">
      <c r="BO578" s="468"/>
      <c r="BP578" s="468"/>
      <c r="BQ578" s="468"/>
      <c r="BR578" s="468"/>
      <c r="BS578" s="468"/>
      <c r="BT578" s="468"/>
      <c r="BU578" s="468"/>
      <c r="BV578" s="468"/>
      <c r="BW578" s="469"/>
      <c r="BX578" s="449"/>
      <c r="BY578" s="449"/>
      <c r="BZ578" s="449"/>
    </row>
    <row r="579" spans="67:78" s="457" customFormat="1" x14ac:dyDescent="0.2">
      <c r="BO579" s="468"/>
      <c r="BP579" s="468"/>
      <c r="BQ579" s="468"/>
      <c r="BR579" s="468"/>
      <c r="BS579" s="468"/>
      <c r="BT579" s="468"/>
      <c r="BU579" s="468"/>
      <c r="BV579" s="468"/>
      <c r="BW579" s="469"/>
      <c r="BX579" s="449"/>
      <c r="BY579" s="449"/>
      <c r="BZ579" s="449"/>
    </row>
    <row r="580" spans="67:78" s="457" customFormat="1" x14ac:dyDescent="0.2">
      <c r="BO580" s="468"/>
      <c r="BP580" s="468"/>
      <c r="BQ580" s="468"/>
      <c r="BR580" s="468"/>
      <c r="BS580" s="468"/>
      <c r="BT580" s="468"/>
      <c r="BU580" s="468"/>
      <c r="BV580" s="468"/>
      <c r="BW580" s="469"/>
      <c r="BX580" s="449"/>
      <c r="BY580" s="449"/>
      <c r="BZ580" s="449"/>
    </row>
    <row r="581" spans="67:78" s="457" customFormat="1" x14ac:dyDescent="0.2">
      <c r="BO581" s="468"/>
      <c r="BP581" s="468"/>
      <c r="BQ581" s="468"/>
      <c r="BR581" s="468"/>
      <c r="BS581" s="468"/>
      <c r="BT581" s="468"/>
      <c r="BU581" s="468"/>
      <c r="BV581" s="468"/>
      <c r="BW581" s="469"/>
      <c r="BX581" s="449"/>
      <c r="BY581" s="449"/>
      <c r="BZ581" s="449"/>
    </row>
    <row r="582" spans="67:78" s="457" customFormat="1" x14ac:dyDescent="0.2">
      <c r="BO582" s="468"/>
      <c r="BP582" s="468"/>
      <c r="BQ582" s="468"/>
      <c r="BR582" s="468"/>
      <c r="BS582" s="468"/>
      <c r="BT582" s="468"/>
      <c r="BU582" s="468"/>
      <c r="BV582" s="468"/>
      <c r="BW582" s="469"/>
      <c r="BX582" s="449"/>
      <c r="BY582" s="449"/>
      <c r="BZ582" s="449"/>
    </row>
    <row r="583" spans="67:78" s="457" customFormat="1" x14ac:dyDescent="0.2">
      <c r="BO583" s="468"/>
      <c r="BP583" s="468"/>
      <c r="BQ583" s="468"/>
      <c r="BR583" s="468"/>
      <c r="BS583" s="468"/>
      <c r="BT583" s="468"/>
      <c r="BU583" s="468"/>
      <c r="BV583" s="468"/>
      <c r="BW583" s="469"/>
      <c r="BX583" s="449"/>
      <c r="BY583" s="449"/>
      <c r="BZ583" s="449"/>
    </row>
    <row r="584" spans="67:78" s="457" customFormat="1" x14ac:dyDescent="0.2">
      <c r="BO584" s="468"/>
      <c r="BP584" s="468"/>
      <c r="BQ584" s="468"/>
      <c r="BR584" s="468"/>
      <c r="BS584" s="468"/>
      <c r="BT584" s="468"/>
      <c r="BU584" s="468"/>
      <c r="BV584" s="468"/>
      <c r="BW584" s="469"/>
      <c r="BX584" s="449"/>
      <c r="BY584" s="449"/>
      <c r="BZ584" s="449"/>
    </row>
    <row r="585" spans="67:78" s="457" customFormat="1" x14ac:dyDescent="0.2">
      <c r="BO585" s="468"/>
      <c r="BP585" s="468"/>
      <c r="BQ585" s="468"/>
      <c r="BR585" s="468"/>
      <c r="BS585" s="468"/>
      <c r="BT585" s="468"/>
      <c r="BU585" s="468"/>
      <c r="BV585" s="468"/>
      <c r="BW585" s="469"/>
      <c r="BX585" s="449"/>
      <c r="BY585" s="449"/>
      <c r="BZ585" s="449"/>
    </row>
    <row r="586" spans="67:78" s="457" customFormat="1" x14ac:dyDescent="0.2">
      <c r="BO586" s="468"/>
      <c r="BP586" s="468"/>
      <c r="BQ586" s="468"/>
      <c r="BR586" s="468"/>
      <c r="BS586" s="468"/>
      <c r="BT586" s="468"/>
      <c r="BU586" s="468"/>
      <c r="BV586" s="468"/>
      <c r="BW586" s="469"/>
      <c r="BX586" s="449"/>
      <c r="BY586" s="449"/>
      <c r="BZ586" s="449"/>
    </row>
    <row r="587" spans="67:78" s="457" customFormat="1" x14ac:dyDescent="0.2">
      <c r="BO587" s="468"/>
      <c r="BP587" s="468"/>
      <c r="BQ587" s="468"/>
      <c r="BR587" s="468"/>
      <c r="BS587" s="468"/>
      <c r="BT587" s="468"/>
      <c r="BU587" s="468"/>
      <c r="BV587" s="468"/>
      <c r="BW587" s="469"/>
      <c r="BX587" s="449"/>
      <c r="BY587" s="449"/>
      <c r="BZ587" s="449"/>
    </row>
    <row r="588" spans="67:78" s="457" customFormat="1" x14ac:dyDescent="0.2">
      <c r="BO588" s="468"/>
      <c r="BP588" s="468"/>
      <c r="BQ588" s="468"/>
      <c r="BR588" s="468"/>
      <c r="BS588" s="468"/>
      <c r="BT588" s="468"/>
      <c r="BU588" s="468"/>
      <c r="BV588" s="468"/>
      <c r="BW588" s="469"/>
      <c r="BX588" s="449"/>
      <c r="BY588" s="449"/>
      <c r="BZ588" s="449"/>
    </row>
    <row r="589" spans="67:78" s="457" customFormat="1" x14ac:dyDescent="0.2">
      <c r="BO589" s="468"/>
      <c r="BP589" s="468"/>
      <c r="BQ589" s="468"/>
      <c r="BR589" s="468"/>
      <c r="BS589" s="468"/>
      <c r="BT589" s="468"/>
      <c r="BU589" s="468"/>
      <c r="BV589" s="468"/>
      <c r="BW589" s="469"/>
      <c r="BX589" s="449"/>
      <c r="BY589" s="449"/>
      <c r="BZ589" s="449"/>
    </row>
    <row r="590" spans="67:78" s="457" customFormat="1" x14ac:dyDescent="0.2">
      <c r="BO590" s="468"/>
      <c r="BP590" s="468"/>
      <c r="BQ590" s="468"/>
      <c r="BR590" s="468"/>
      <c r="BS590" s="468"/>
      <c r="BT590" s="468"/>
      <c r="BU590" s="468"/>
      <c r="BV590" s="468"/>
      <c r="BW590" s="469"/>
      <c r="BX590" s="449"/>
      <c r="BY590" s="449"/>
      <c r="BZ590" s="449"/>
    </row>
    <row r="591" spans="67:78" s="457" customFormat="1" x14ac:dyDescent="0.2">
      <c r="BO591" s="468"/>
      <c r="BP591" s="468"/>
      <c r="BQ591" s="468"/>
      <c r="BR591" s="468"/>
      <c r="BS591" s="468"/>
      <c r="BT591" s="468"/>
      <c r="BU591" s="468"/>
      <c r="BV591" s="468"/>
      <c r="BW591" s="469"/>
      <c r="BX591" s="449"/>
      <c r="BY591" s="449"/>
      <c r="BZ591" s="449"/>
    </row>
    <row r="592" spans="67:78" s="457" customFormat="1" x14ac:dyDescent="0.2">
      <c r="BO592" s="468"/>
      <c r="BP592" s="468"/>
      <c r="BQ592" s="468"/>
      <c r="BR592" s="468"/>
      <c r="BS592" s="468"/>
      <c r="BT592" s="468"/>
      <c r="BU592" s="468"/>
      <c r="BV592" s="468"/>
      <c r="BW592" s="469"/>
      <c r="BX592" s="449"/>
      <c r="BY592" s="449"/>
      <c r="BZ592" s="449"/>
    </row>
    <row r="593" spans="67:78" s="457" customFormat="1" x14ac:dyDescent="0.2">
      <c r="BO593" s="468"/>
      <c r="BP593" s="468"/>
      <c r="BQ593" s="468"/>
      <c r="BR593" s="468"/>
      <c r="BS593" s="468"/>
      <c r="BT593" s="468"/>
      <c r="BU593" s="468"/>
      <c r="BV593" s="468"/>
      <c r="BW593" s="469"/>
      <c r="BX593" s="449"/>
      <c r="BY593" s="449"/>
      <c r="BZ593" s="449"/>
    </row>
    <row r="594" spans="67:78" s="457" customFormat="1" x14ac:dyDescent="0.2">
      <c r="BO594" s="468"/>
      <c r="BP594" s="468"/>
      <c r="BQ594" s="468"/>
      <c r="BR594" s="468"/>
      <c r="BS594" s="468"/>
      <c r="BT594" s="468"/>
      <c r="BU594" s="468"/>
      <c r="BV594" s="468"/>
      <c r="BW594" s="469"/>
      <c r="BX594" s="449"/>
      <c r="BY594" s="449"/>
      <c r="BZ594" s="449"/>
    </row>
    <row r="595" spans="67:78" s="457" customFormat="1" x14ac:dyDescent="0.2">
      <c r="BO595" s="468"/>
      <c r="BP595" s="468"/>
      <c r="BQ595" s="468"/>
      <c r="BR595" s="468"/>
      <c r="BS595" s="468"/>
      <c r="BT595" s="468"/>
      <c r="BU595" s="468"/>
      <c r="BV595" s="468"/>
      <c r="BW595" s="469"/>
      <c r="BX595" s="449"/>
      <c r="BY595" s="449"/>
      <c r="BZ595" s="449"/>
    </row>
    <row r="596" spans="67:78" s="457" customFormat="1" x14ac:dyDescent="0.2">
      <c r="BO596" s="468"/>
      <c r="BP596" s="468"/>
      <c r="BQ596" s="468"/>
      <c r="BR596" s="468"/>
      <c r="BS596" s="468"/>
      <c r="BT596" s="468"/>
      <c r="BU596" s="468"/>
      <c r="BV596" s="468"/>
      <c r="BW596" s="469"/>
      <c r="BX596" s="449"/>
      <c r="BY596" s="449"/>
      <c r="BZ596" s="449"/>
    </row>
    <row r="597" spans="67:78" s="457" customFormat="1" x14ac:dyDescent="0.2">
      <c r="BO597" s="468"/>
      <c r="BP597" s="468"/>
      <c r="BQ597" s="468"/>
      <c r="BR597" s="468"/>
      <c r="BS597" s="468"/>
      <c r="BT597" s="468"/>
      <c r="BU597" s="468"/>
      <c r="BV597" s="468"/>
      <c r="BW597" s="469"/>
      <c r="BX597" s="449"/>
      <c r="BY597" s="449"/>
      <c r="BZ597" s="449"/>
    </row>
    <row r="598" spans="67:78" s="457" customFormat="1" x14ac:dyDescent="0.2">
      <c r="BO598" s="468"/>
      <c r="BP598" s="468"/>
      <c r="BQ598" s="468"/>
      <c r="BR598" s="468"/>
      <c r="BS598" s="468"/>
      <c r="BT598" s="468"/>
      <c r="BU598" s="468"/>
      <c r="BV598" s="468"/>
      <c r="BW598" s="469"/>
      <c r="BX598" s="449"/>
      <c r="BY598" s="449"/>
      <c r="BZ598" s="449"/>
    </row>
    <row r="599" spans="67:78" s="457" customFormat="1" x14ac:dyDescent="0.2">
      <c r="BO599" s="468"/>
      <c r="BP599" s="468"/>
      <c r="BQ599" s="468"/>
      <c r="BR599" s="468"/>
      <c r="BS599" s="468"/>
      <c r="BT599" s="468"/>
      <c r="BU599" s="468"/>
      <c r="BV599" s="468"/>
      <c r="BW599" s="469"/>
      <c r="BX599" s="449"/>
      <c r="BY599" s="449"/>
      <c r="BZ599" s="449"/>
    </row>
    <row r="600" spans="67:78" s="457" customFormat="1" x14ac:dyDescent="0.2">
      <c r="BO600" s="468"/>
      <c r="BP600" s="468"/>
      <c r="BQ600" s="468"/>
      <c r="BR600" s="468"/>
      <c r="BS600" s="468"/>
      <c r="BT600" s="468"/>
      <c r="BU600" s="468"/>
      <c r="BV600" s="468"/>
      <c r="BW600" s="469"/>
      <c r="BX600" s="449"/>
      <c r="BY600" s="449"/>
      <c r="BZ600" s="449"/>
    </row>
    <row r="601" spans="67:78" s="457" customFormat="1" x14ac:dyDescent="0.2">
      <c r="BO601" s="468"/>
      <c r="BP601" s="468"/>
      <c r="BQ601" s="468"/>
      <c r="BR601" s="468"/>
      <c r="BS601" s="468"/>
      <c r="BT601" s="468"/>
      <c r="BU601" s="468"/>
      <c r="BV601" s="468"/>
      <c r="BW601" s="469"/>
      <c r="BX601" s="449"/>
      <c r="BY601" s="449"/>
      <c r="BZ601" s="449"/>
    </row>
    <row r="602" spans="67:78" s="457" customFormat="1" x14ac:dyDescent="0.2">
      <c r="BO602" s="468"/>
      <c r="BP602" s="468"/>
      <c r="BQ602" s="468"/>
      <c r="BR602" s="468"/>
      <c r="BS602" s="468"/>
      <c r="BT602" s="468"/>
      <c r="BU602" s="468"/>
      <c r="BV602" s="468"/>
      <c r="BW602" s="469"/>
      <c r="BX602" s="449"/>
      <c r="BY602" s="449"/>
      <c r="BZ602" s="449"/>
    </row>
    <row r="603" spans="67:78" s="457" customFormat="1" x14ac:dyDescent="0.2">
      <c r="BO603" s="468"/>
      <c r="BP603" s="468"/>
      <c r="BQ603" s="468"/>
      <c r="BR603" s="468"/>
      <c r="BS603" s="468"/>
      <c r="BT603" s="468"/>
      <c r="BU603" s="468"/>
      <c r="BV603" s="468"/>
      <c r="BW603" s="469"/>
      <c r="BX603" s="449"/>
      <c r="BY603" s="449"/>
      <c r="BZ603" s="449"/>
    </row>
    <row r="604" spans="67:78" s="457" customFormat="1" x14ac:dyDescent="0.2">
      <c r="BO604" s="468"/>
      <c r="BP604" s="468"/>
      <c r="BQ604" s="468"/>
      <c r="BR604" s="468"/>
      <c r="BS604" s="468"/>
      <c r="BT604" s="468"/>
      <c r="BU604" s="468"/>
      <c r="BV604" s="468"/>
      <c r="BW604" s="469"/>
      <c r="BX604" s="449"/>
      <c r="BY604" s="449"/>
      <c r="BZ604" s="449"/>
    </row>
    <row r="605" spans="67:78" s="457" customFormat="1" x14ac:dyDescent="0.2">
      <c r="BO605" s="468"/>
      <c r="BP605" s="468"/>
      <c r="BQ605" s="468"/>
      <c r="BR605" s="468"/>
      <c r="BS605" s="468"/>
      <c r="BT605" s="468"/>
      <c r="BU605" s="468"/>
      <c r="BV605" s="468"/>
      <c r="BW605" s="469"/>
      <c r="BX605" s="449"/>
      <c r="BY605" s="449"/>
      <c r="BZ605" s="449"/>
    </row>
    <row r="606" spans="67:78" s="457" customFormat="1" x14ac:dyDescent="0.2">
      <c r="BO606" s="468"/>
      <c r="BP606" s="468"/>
      <c r="BQ606" s="468"/>
      <c r="BR606" s="468"/>
      <c r="BS606" s="468"/>
      <c r="BT606" s="468"/>
      <c r="BU606" s="468"/>
      <c r="BV606" s="468"/>
      <c r="BW606" s="469"/>
      <c r="BX606" s="449"/>
      <c r="BY606" s="449"/>
      <c r="BZ606" s="449"/>
    </row>
    <row r="607" spans="67:78" s="457" customFormat="1" x14ac:dyDescent="0.2">
      <c r="BO607" s="468"/>
      <c r="BP607" s="468"/>
      <c r="BQ607" s="468"/>
      <c r="BR607" s="468"/>
      <c r="BS607" s="468"/>
      <c r="BT607" s="468"/>
      <c r="BU607" s="468"/>
      <c r="BV607" s="468"/>
      <c r="BW607" s="469"/>
      <c r="BX607" s="449"/>
      <c r="BY607" s="449"/>
      <c r="BZ607" s="449"/>
    </row>
    <row r="608" spans="67:78" s="457" customFormat="1" x14ac:dyDescent="0.2">
      <c r="BO608" s="468"/>
      <c r="BP608" s="468"/>
      <c r="BQ608" s="468"/>
      <c r="BR608" s="468"/>
      <c r="BS608" s="468"/>
      <c r="BT608" s="468"/>
      <c r="BU608" s="468"/>
      <c r="BV608" s="468"/>
      <c r="BW608" s="469"/>
      <c r="BX608" s="449"/>
      <c r="BY608" s="449"/>
      <c r="BZ608" s="449"/>
    </row>
    <row r="609" spans="67:78" s="457" customFormat="1" x14ac:dyDescent="0.2">
      <c r="BO609" s="468"/>
      <c r="BP609" s="468"/>
      <c r="BQ609" s="468"/>
      <c r="BR609" s="468"/>
      <c r="BS609" s="468"/>
      <c r="BT609" s="468"/>
      <c r="BU609" s="468"/>
      <c r="BV609" s="468"/>
      <c r="BW609" s="469"/>
      <c r="BX609" s="449"/>
      <c r="BY609" s="449"/>
      <c r="BZ609" s="449"/>
    </row>
    <row r="610" spans="67:78" s="457" customFormat="1" x14ac:dyDescent="0.2">
      <c r="BO610" s="468"/>
      <c r="BP610" s="468"/>
      <c r="BQ610" s="468"/>
      <c r="BR610" s="468"/>
      <c r="BS610" s="468"/>
      <c r="BT610" s="468"/>
      <c r="BU610" s="468"/>
      <c r="BV610" s="468"/>
      <c r="BW610" s="469"/>
      <c r="BX610" s="449"/>
      <c r="BY610" s="449"/>
      <c r="BZ610" s="449"/>
    </row>
    <row r="611" spans="67:78" s="457" customFormat="1" x14ac:dyDescent="0.2">
      <c r="BO611" s="468"/>
      <c r="BP611" s="468"/>
      <c r="BQ611" s="468"/>
      <c r="BR611" s="468"/>
      <c r="BS611" s="468"/>
      <c r="BT611" s="468"/>
      <c r="BU611" s="468"/>
      <c r="BV611" s="468"/>
      <c r="BW611" s="469"/>
      <c r="BX611" s="449"/>
      <c r="BY611" s="449"/>
      <c r="BZ611" s="449"/>
    </row>
    <row r="612" spans="67:78" s="457" customFormat="1" x14ac:dyDescent="0.2">
      <c r="BO612" s="468"/>
      <c r="BP612" s="468"/>
      <c r="BQ612" s="468"/>
      <c r="BR612" s="468"/>
      <c r="BS612" s="468"/>
      <c r="BT612" s="468"/>
      <c r="BU612" s="468"/>
      <c r="BV612" s="468"/>
      <c r="BW612" s="469"/>
      <c r="BX612" s="449"/>
      <c r="BY612" s="449"/>
      <c r="BZ612" s="449"/>
    </row>
    <row r="613" spans="67:78" s="457" customFormat="1" x14ac:dyDescent="0.2">
      <c r="BO613" s="468"/>
      <c r="BP613" s="468"/>
      <c r="BQ613" s="468"/>
      <c r="BR613" s="468"/>
      <c r="BS613" s="468"/>
      <c r="BT613" s="468"/>
      <c r="BU613" s="468"/>
      <c r="BV613" s="468"/>
      <c r="BW613" s="469"/>
      <c r="BX613" s="449"/>
      <c r="BY613" s="449"/>
      <c r="BZ613" s="449"/>
    </row>
    <row r="614" spans="67:78" s="457" customFormat="1" x14ac:dyDescent="0.2">
      <c r="BO614" s="468"/>
      <c r="BP614" s="468"/>
      <c r="BQ614" s="468"/>
      <c r="BR614" s="468"/>
      <c r="BS614" s="468"/>
      <c r="BT614" s="468"/>
      <c r="BU614" s="468"/>
      <c r="BV614" s="468"/>
      <c r="BW614" s="469"/>
      <c r="BX614" s="449"/>
      <c r="BY614" s="449"/>
      <c r="BZ614" s="449"/>
    </row>
    <row r="615" spans="67:78" s="457" customFormat="1" x14ac:dyDescent="0.2">
      <c r="BO615" s="468"/>
      <c r="BP615" s="468"/>
      <c r="BQ615" s="468"/>
      <c r="BR615" s="468"/>
      <c r="BS615" s="468"/>
      <c r="BT615" s="468"/>
      <c r="BU615" s="468"/>
      <c r="BV615" s="468"/>
      <c r="BW615" s="469"/>
      <c r="BX615" s="449"/>
      <c r="BY615" s="449"/>
      <c r="BZ615" s="449"/>
    </row>
    <row r="616" spans="67:78" s="457" customFormat="1" x14ac:dyDescent="0.2">
      <c r="BO616" s="468"/>
      <c r="BP616" s="468"/>
      <c r="BQ616" s="468"/>
      <c r="BR616" s="468"/>
      <c r="BS616" s="468"/>
      <c r="BT616" s="468"/>
      <c r="BU616" s="468"/>
      <c r="BV616" s="468"/>
      <c r="BW616" s="469"/>
      <c r="BX616" s="449"/>
      <c r="BY616" s="449"/>
      <c r="BZ616" s="449"/>
    </row>
    <row r="617" spans="67:78" s="457" customFormat="1" x14ac:dyDescent="0.2">
      <c r="BO617" s="468"/>
      <c r="BP617" s="468"/>
      <c r="BQ617" s="468"/>
      <c r="BR617" s="468"/>
      <c r="BS617" s="468"/>
      <c r="BT617" s="468"/>
      <c r="BU617" s="468"/>
      <c r="BV617" s="468"/>
      <c r="BW617" s="469"/>
      <c r="BX617" s="449"/>
      <c r="BY617" s="449"/>
      <c r="BZ617" s="449"/>
    </row>
    <row r="618" spans="67:78" s="457" customFormat="1" x14ac:dyDescent="0.2">
      <c r="BO618" s="468"/>
      <c r="BP618" s="468"/>
      <c r="BQ618" s="468"/>
      <c r="BR618" s="468"/>
      <c r="BS618" s="468"/>
      <c r="BT618" s="468"/>
      <c r="BU618" s="468"/>
      <c r="BV618" s="468"/>
      <c r="BW618" s="469"/>
      <c r="BX618" s="449"/>
      <c r="BY618" s="449"/>
      <c r="BZ618" s="449"/>
    </row>
    <row r="619" spans="67:78" s="457" customFormat="1" x14ac:dyDescent="0.2">
      <c r="BO619" s="468"/>
      <c r="BP619" s="468"/>
      <c r="BQ619" s="468"/>
      <c r="BR619" s="468"/>
      <c r="BS619" s="468"/>
      <c r="BT619" s="468"/>
      <c r="BU619" s="468"/>
      <c r="BV619" s="468"/>
      <c r="BW619" s="469"/>
      <c r="BX619" s="449"/>
      <c r="BY619" s="449"/>
      <c r="BZ619" s="449"/>
    </row>
    <row r="620" spans="67:78" s="457" customFormat="1" x14ac:dyDescent="0.2">
      <c r="BO620" s="468"/>
      <c r="BP620" s="468"/>
      <c r="BQ620" s="468"/>
      <c r="BR620" s="468"/>
      <c r="BS620" s="468"/>
      <c r="BT620" s="468"/>
      <c r="BU620" s="468"/>
      <c r="BV620" s="468"/>
      <c r="BW620" s="469"/>
      <c r="BX620" s="449"/>
      <c r="BY620" s="449"/>
      <c r="BZ620" s="449"/>
    </row>
    <row r="621" spans="67:78" s="457" customFormat="1" x14ac:dyDescent="0.2">
      <c r="BO621" s="468"/>
      <c r="BP621" s="468"/>
      <c r="BQ621" s="468"/>
      <c r="BR621" s="468"/>
      <c r="BS621" s="468"/>
      <c r="BT621" s="468"/>
      <c r="BU621" s="468"/>
      <c r="BV621" s="468"/>
      <c r="BW621" s="469"/>
      <c r="BX621" s="449"/>
      <c r="BY621" s="449"/>
      <c r="BZ621" s="449"/>
    </row>
    <row r="622" spans="67:78" s="457" customFormat="1" x14ac:dyDescent="0.2">
      <c r="BO622" s="468"/>
      <c r="BP622" s="468"/>
      <c r="BQ622" s="468"/>
      <c r="BR622" s="468"/>
      <c r="BS622" s="468"/>
      <c r="BT622" s="468"/>
      <c r="BU622" s="468"/>
      <c r="BV622" s="468"/>
      <c r="BW622" s="469"/>
      <c r="BX622" s="449"/>
      <c r="BY622" s="449"/>
      <c r="BZ622" s="449"/>
    </row>
    <row r="623" spans="67:78" s="457" customFormat="1" x14ac:dyDescent="0.2">
      <c r="BO623" s="468"/>
      <c r="BP623" s="468"/>
      <c r="BQ623" s="468"/>
      <c r="BR623" s="468"/>
      <c r="BS623" s="468"/>
      <c r="BT623" s="468"/>
      <c r="BU623" s="468"/>
      <c r="BV623" s="468"/>
      <c r="BW623" s="469"/>
      <c r="BX623" s="449"/>
      <c r="BY623" s="449"/>
      <c r="BZ623" s="449"/>
    </row>
    <row r="624" spans="67:78" s="457" customFormat="1" x14ac:dyDescent="0.2">
      <c r="BO624" s="468"/>
      <c r="BP624" s="468"/>
      <c r="BQ624" s="468"/>
      <c r="BR624" s="468"/>
      <c r="BS624" s="468"/>
      <c r="BT624" s="468"/>
      <c r="BU624" s="468"/>
      <c r="BV624" s="468"/>
      <c r="BW624" s="469"/>
      <c r="BX624" s="449"/>
      <c r="BY624" s="449"/>
      <c r="BZ624" s="449"/>
    </row>
    <row r="625" spans="67:78" s="457" customFormat="1" x14ac:dyDescent="0.2">
      <c r="BO625" s="468"/>
      <c r="BP625" s="468"/>
      <c r="BQ625" s="468"/>
      <c r="BR625" s="468"/>
      <c r="BS625" s="468"/>
      <c r="BT625" s="468"/>
      <c r="BU625" s="468"/>
      <c r="BV625" s="468"/>
      <c r="BW625" s="469"/>
      <c r="BX625" s="449"/>
      <c r="BY625" s="449"/>
      <c r="BZ625" s="449"/>
    </row>
    <row r="626" spans="67:78" s="457" customFormat="1" x14ac:dyDescent="0.2">
      <c r="BO626" s="468"/>
      <c r="BP626" s="468"/>
      <c r="BQ626" s="468"/>
      <c r="BR626" s="468"/>
      <c r="BS626" s="468"/>
      <c r="BT626" s="468"/>
      <c r="BU626" s="468"/>
      <c r="BV626" s="468"/>
      <c r="BW626" s="469"/>
      <c r="BX626" s="449"/>
      <c r="BY626" s="449"/>
      <c r="BZ626" s="449"/>
    </row>
    <row r="627" spans="67:78" s="457" customFormat="1" x14ac:dyDescent="0.2">
      <c r="BO627" s="468"/>
      <c r="BP627" s="468"/>
      <c r="BQ627" s="468"/>
      <c r="BR627" s="468"/>
      <c r="BS627" s="468"/>
      <c r="BT627" s="468"/>
      <c r="BU627" s="468"/>
      <c r="BV627" s="468"/>
      <c r="BW627" s="469"/>
      <c r="BX627" s="449"/>
      <c r="BY627" s="449"/>
      <c r="BZ627" s="449"/>
    </row>
    <row r="628" spans="67:78" s="457" customFormat="1" x14ac:dyDescent="0.2">
      <c r="BO628" s="468"/>
      <c r="BP628" s="468"/>
      <c r="BQ628" s="468"/>
      <c r="BR628" s="468"/>
      <c r="BS628" s="468"/>
      <c r="BT628" s="468"/>
      <c r="BU628" s="468"/>
      <c r="BV628" s="468"/>
      <c r="BW628" s="469"/>
      <c r="BX628" s="449"/>
      <c r="BY628" s="449"/>
      <c r="BZ628" s="449"/>
    </row>
    <row r="629" spans="67:78" s="457" customFormat="1" x14ac:dyDescent="0.2">
      <c r="BO629" s="468"/>
      <c r="BP629" s="468"/>
      <c r="BQ629" s="468"/>
      <c r="BR629" s="468"/>
      <c r="BS629" s="468"/>
      <c r="BT629" s="468"/>
      <c r="BU629" s="468"/>
      <c r="BV629" s="468"/>
      <c r="BW629" s="469"/>
      <c r="BX629" s="449"/>
      <c r="BY629" s="449"/>
      <c r="BZ629" s="449"/>
    </row>
    <row r="630" spans="67:78" s="457" customFormat="1" x14ac:dyDescent="0.2">
      <c r="BO630" s="468"/>
      <c r="BP630" s="468"/>
      <c r="BQ630" s="468"/>
      <c r="BR630" s="468"/>
      <c r="BS630" s="468"/>
      <c r="BT630" s="468"/>
      <c r="BU630" s="468"/>
      <c r="BV630" s="468"/>
      <c r="BW630" s="469"/>
      <c r="BX630" s="449"/>
      <c r="BY630" s="449"/>
      <c r="BZ630" s="449"/>
    </row>
    <row r="631" spans="67:78" s="457" customFormat="1" x14ac:dyDescent="0.2">
      <c r="BO631" s="468"/>
      <c r="BP631" s="468"/>
      <c r="BQ631" s="468"/>
      <c r="BR631" s="468"/>
      <c r="BS631" s="468"/>
      <c r="BT631" s="468"/>
      <c r="BU631" s="468"/>
      <c r="BV631" s="468"/>
      <c r="BW631" s="469"/>
      <c r="BX631" s="449"/>
      <c r="BY631" s="449"/>
      <c r="BZ631" s="449"/>
    </row>
    <row r="632" spans="67:78" s="457" customFormat="1" x14ac:dyDescent="0.2">
      <c r="BO632" s="468"/>
      <c r="BP632" s="468"/>
      <c r="BQ632" s="468"/>
      <c r="BR632" s="468"/>
      <c r="BS632" s="468"/>
      <c r="BT632" s="468"/>
      <c r="BU632" s="468"/>
      <c r="BV632" s="468"/>
      <c r="BW632" s="469"/>
      <c r="BX632" s="449"/>
      <c r="BY632" s="449"/>
      <c r="BZ632" s="449"/>
    </row>
    <row r="633" spans="67:78" s="457" customFormat="1" x14ac:dyDescent="0.2">
      <c r="BO633" s="468"/>
      <c r="BP633" s="468"/>
      <c r="BQ633" s="468"/>
      <c r="BR633" s="468"/>
      <c r="BS633" s="468"/>
      <c r="BT633" s="468"/>
      <c r="BU633" s="468"/>
      <c r="BV633" s="468"/>
      <c r="BW633" s="469"/>
      <c r="BX633" s="449"/>
      <c r="BY633" s="449"/>
      <c r="BZ633" s="449"/>
    </row>
    <row r="634" spans="67:78" s="457" customFormat="1" x14ac:dyDescent="0.2">
      <c r="BO634" s="468"/>
      <c r="BP634" s="468"/>
      <c r="BQ634" s="468"/>
      <c r="BR634" s="468"/>
      <c r="BS634" s="468"/>
      <c r="BT634" s="468"/>
      <c r="BU634" s="468"/>
      <c r="BV634" s="468"/>
      <c r="BW634" s="469"/>
      <c r="BX634" s="449"/>
      <c r="BY634" s="449"/>
      <c r="BZ634" s="449"/>
    </row>
    <row r="635" spans="67:78" s="457" customFormat="1" x14ac:dyDescent="0.2">
      <c r="BO635" s="468"/>
      <c r="BP635" s="468"/>
      <c r="BQ635" s="468"/>
      <c r="BR635" s="468"/>
      <c r="BS635" s="468"/>
      <c r="BT635" s="468"/>
      <c r="BU635" s="468"/>
      <c r="BV635" s="468"/>
      <c r="BW635" s="469"/>
      <c r="BX635" s="449"/>
      <c r="BY635" s="449"/>
      <c r="BZ635" s="449"/>
    </row>
    <row r="636" spans="67:78" s="457" customFormat="1" x14ac:dyDescent="0.2">
      <c r="BO636" s="468"/>
      <c r="BP636" s="468"/>
      <c r="BQ636" s="468"/>
      <c r="BR636" s="468"/>
      <c r="BS636" s="468"/>
      <c r="BT636" s="468"/>
      <c r="BU636" s="468"/>
      <c r="BV636" s="468"/>
      <c r="BW636" s="469"/>
      <c r="BX636" s="449"/>
      <c r="BY636" s="449"/>
      <c r="BZ636" s="449"/>
    </row>
    <row r="637" spans="67:78" s="457" customFormat="1" x14ac:dyDescent="0.2">
      <c r="BO637" s="468"/>
      <c r="BP637" s="468"/>
      <c r="BQ637" s="468"/>
      <c r="BR637" s="468"/>
      <c r="BS637" s="468"/>
      <c r="BT637" s="468"/>
      <c r="BU637" s="468"/>
      <c r="BV637" s="468"/>
      <c r="BW637" s="469"/>
      <c r="BX637" s="449"/>
      <c r="BY637" s="449"/>
      <c r="BZ637" s="449"/>
    </row>
    <row r="638" spans="67:78" s="457" customFormat="1" x14ac:dyDescent="0.2">
      <c r="BO638" s="468"/>
      <c r="BP638" s="468"/>
      <c r="BQ638" s="468"/>
      <c r="BR638" s="468"/>
      <c r="BS638" s="468"/>
      <c r="BT638" s="468"/>
      <c r="BU638" s="468"/>
      <c r="BV638" s="468"/>
      <c r="BW638" s="469"/>
      <c r="BX638" s="449"/>
      <c r="BY638" s="449"/>
      <c r="BZ638" s="449"/>
    </row>
    <row r="639" spans="67:78" s="457" customFormat="1" x14ac:dyDescent="0.2">
      <c r="BO639" s="468"/>
      <c r="BP639" s="468"/>
      <c r="BQ639" s="468"/>
      <c r="BR639" s="468"/>
      <c r="BS639" s="468"/>
      <c r="BT639" s="468"/>
      <c r="BU639" s="468"/>
      <c r="BV639" s="468"/>
      <c r="BW639" s="469"/>
      <c r="BX639" s="449"/>
      <c r="BY639" s="449"/>
      <c r="BZ639" s="449"/>
    </row>
    <row r="640" spans="67:78" s="457" customFormat="1" x14ac:dyDescent="0.2">
      <c r="BO640" s="468"/>
      <c r="BP640" s="468"/>
      <c r="BQ640" s="468"/>
      <c r="BR640" s="468"/>
      <c r="BS640" s="468"/>
      <c r="BT640" s="468"/>
      <c r="BU640" s="468"/>
      <c r="BV640" s="468"/>
      <c r="BW640" s="469"/>
      <c r="BX640" s="449"/>
      <c r="BY640" s="449"/>
      <c r="BZ640" s="449"/>
    </row>
    <row r="641" spans="67:78" s="457" customFormat="1" x14ac:dyDescent="0.2">
      <c r="BO641" s="468"/>
      <c r="BP641" s="468"/>
      <c r="BQ641" s="468"/>
      <c r="BR641" s="468"/>
      <c r="BS641" s="468"/>
      <c r="BT641" s="468"/>
      <c r="BU641" s="468"/>
      <c r="BV641" s="468"/>
      <c r="BW641" s="469"/>
      <c r="BX641" s="449"/>
      <c r="BY641" s="449"/>
      <c r="BZ641" s="449"/>
    </row>
    <row r="642" spans="67:78" s="457" customFormat="1" x14ac:dyDescent="0.2">
      <c r="BO642" s="468"/>
      <c r="BP642" s="468"/>
      <c r="BQ642" s="468"/>
      <c r="BR642" s="468"/>
      <c r="BS642" s="468"/>
      <c r="BT642" s="468"/>
      <c r="BU642" s="468"/>
      <c r="BV642" s="468"/>
      <c r="BW642" s="469"/>
      <c r="BX642" s="449"/>
      <c r="BY642" s="449"/>
      <c r="BZ642" s="449"/>
    </row>
    <row r="643" spans="67:78" s="457" customFormat="1" x14ac:dyDescent="0.2">
      <c r="BO643" s="468"/>
      <c r="BP643" s="468"/>
      <c r="BQ643" s="468"/>
      <c r="BR643" s="468"/>
      <c r="BS643" s="468"/>
      <c r="BT643" s="468"/>
      <c r="BU643" s="468"/>
      <c r="BV643" s="468"/>
      <c r="BW643" s="469"/>
      <c r="BX643" s="449"/>
      <c r="BY643" s="449"/>
      <c r="BZ643" s="449"/>
    </row>
    <row r="644" spans="67:78" s="457" customFormat="1" x14ac:dyDescent="0.2">
      <c r="BO644" s="468"/>
      <c r="BP644" s="468"/>
      <c r="BQ644" s="468"/>
      <c r="BR644" s="468"/>
      <c r="BS644" s="468"/>
      <c r="BT644" s="468"/>
      <c r="BU644" s="468"/>
      <c r="BV644" s="468"/>
      <c r="BW644" s="469"/>
      <c r="BX644" s="449"/>
      <c r="BY644" s="449"/>
      <c r="BZ644" s="449"/>
    </row>
    <row r="645" spans="67:78" s="457" customFormat="1" x14ac:dyDescent="0.2">
      <c r="BO645" s="468"/>
      <c r="BP645" s="468"/>
      <c r="BQ645" s="468"/>
      <c r="BR645" s="468"/>
      <c r="BS645" s="468"/>
      <c r="BT645" s="468"/>
      <c r="BU645" s="468"/>
      <c r="BV645" s="468"/>
      <c r="BW645" s="469"/>
      <c r="BX645" s="449"/>
      <c r="BY645" s="449"/>
      <c r="BZ645" s="449"/>
    </row>
    <row r="646" spans="67:78" s="457" customFormat="1" x14ac:dyDescent="0.2">
      <c r="BO646" s="468"/>
      <c r="BP646" s="468"/>
      <c r="BQ646" s="468"/>
      <c r="BR646" s="468"/>
      <c r="BS646" s="468"/>
      <c r="BT646" s="468"/>
      <c r="BU646" s="468"/>
      <c r="BV646" s="468"/>
      <c r="BW646" s="469"/>
      <c r="BX646" s="449"/>
      <c r="BY646" s="449"/>
      <c r="BZ646" s="449"/>
    </row>
    <row r="647" spans="67:78" s="457" customFormat="1" x14ac:dyDescent="0.2">
      <c r="BO647" s="468"/>
      <c r="BP647" s="468"/>
      <c r="BQ647" s="468"/>
      <c r="BR647" s="468"/>
      <c r="BS647" s="468"/>
      <c r="BT647" s="468"/>
      <c r="BU647" s="468"/>
      <c r="BV647" s="468"/>
      <c r="BW647" s="469"/>
      <c r="BX647" s="449"/>
      <c r="BY647" s="449"/>
      <c r="BZ647" s="449"/>
    </row>
    <row r="648" spans="67:78" s="457" customFormat="1" x14ac:dyDescent="0.2">
      <c r="BO648" s="468"/>
      <c r="BP648" s="468"/>
      <c r="BQ648" s="468"/>
      <c r="BR648" s="468"/>
      <c r="BS648" s="468"/>
      <c r="BT648" s="468"/>
      <c r="BU648" s="468"/>
      <c r="BV648" s="468"/>
      <c r="BW648" s="469"/>
      <c r="BX648" s="449"/>
      <c r="BY648" s="449"/>
      <c r="BZ648" s="449"/>
    </row>
    <row r="649" spans="67:78" s="457" customFormat="1" x14ac:dyDescent="0.2">
      <c r="BO649" s="468"/>
      <c r="BP649" s="468"/>
      <c r="BQ649" s="468"/>
      <c r="BR649" s="468"/>
      <c r="BS649" s="468"/>
      <c r="BT649" s="468"/>
      <c r="BU649" s="468"/>
      <c r="BV649" s="468"/>
      <c r="BW649" s="469"/>
      <c r="BX649" s="449"/>
      <c r="BY649" s="449"/>
      <c r="BZ649" s="449"/>
    </row>
    <row r="650" spans="67:78" s="457" customFormat="1" x14ac:dyDescent="0.2">
      <c r="BO650" s="468"/>
      <c r="BP650" s="468"/>
      <c r="BQ650" s="468"/>
      <c r="BR650" s="468"/>
      <c r="BS650" s="468"/>
      <c r="BT650" s="468"/>
      <c r="BU650" s="468"/>
      <c r="BV650" s="468"/>
      <c r="BW650" s="469"/>
      <c r="BX650" s="449"/>
      <c r="BY650" s="449"/>
      <c r="BZ650" s="449"/>
    </row>
    <row r="651" spans="67:78" s="457" customFormat="1" x14ac:dyDescent="0.2">
      <c r="BO651" s="468"/>
      <c r="BP651" s="468"/>
      <c r="BQ651" s="468"/>
      <c r="BR651" s="468"/>
      <c r="BS651" s="468"/>
      <c r="BT651" s="468"/>
      <c r="BU651" s="468"/>
      <c r="BV651" s="468"/>
      <c r="BW651" s="469"/>
      <c r="BX651" s="449"/>
      <c r="BY651" s="449"/>
      <c r="BZ651" s="449"/>
    </row>
    <row r="652" spans="67:78" s="457" customFormat="1" x14ac:dyDescent="0.2">
      <c r="BO652" s="468"/>
      <c r="BP652" s="468"/>
      <c r="BQ652" s="468"/>
      <c r="BR652" s="468"/>
      <c r="BS652" s="468"/>
      <c r="BT652" s="468"/>
      <c r="BU652" s="468"/>
      <c r="BV652" s="468"/>
      <c r="BW652" s="469"/>
      <c r="BX652" s="449"/>
      <c r="BY652" s="449"/>
      <c r="BZ652" s="449"/>
    </row>
    <row r="653" spans="67:78" s="457" customFormat="1" x14ac:dyDescent="0.2">
      <c r="BO653" s="468"/>
      <c r="BP653" s="468"/>
      <c r="BQ653" s="468"/>
      <c r="BR653" s="468"/>
      <c r="BS653" s="468"/>
      <c r="BT653" s="468"/>
      <c r="BU653" s="468"/>
      <c r="BV653" s="468"/>
      <c r="BW653" s="469"/>
      <c r="BX653" s="449"/>
      <c r="BY653" s="449"/>
      <c r="BZ653" s="449"/>
    </row>
    <row r="654" spans="67:78" s="457" customFormat="1" x14ac:dyDescent="0.2">
      <c r="BO654" s="468"/>
      <c r="BP654" s="468"/>
      <c r="BQ654" s="468"/>
      <c r="BR654" s="468"/>
      <c r="BS654" s="468"/>
      <c r="BT654" s="468"/>
      <c r="BU654" s="468"/>
      <c r="BV654" s="468"/>
      <c r="BW654" s="469"/>
      <c r="BX654" s="449"/>
      <c r="BY654" s="449"/>
      <c r="BZ654" s="449"/>
    </row>
    <row r="655" spans="67:78" s="457" customFormat="1" x14ac:dyDescent="0.2">
      <c r="BO655" s="468"/>
      <c r="BP655" s="468"/>
      <c r="BQ655" s="468"/>
      <c r="BR655" s="468"/>
      <c r="BS655" s="468"/>
      <c r="BT655" s="468"/>
      <c r="BU655" s="468"/>
      <c r="BV655" s="468"/>
      <c r="BW655" s="469"/>
      <c r="BX655" s="449"/>
      <c r="BY655" s="449"/>
      <c r="BZ655" s="449"/>
    </row>
    <row r="656" spans="67:78" s="457" customFormat="1" x14ac:dyDescent="0.2">
      <c r="BO656" s="468"/>
      <c r="BP656" s="468"/>
      <c r="BQ656" s="468"/>
      <c r="BR656" s="468"/>
      <c r="BS656" s="468"/>
      <c r="BT656" s="468"/>
      <c r="BU656" s="468"/>
      <c r="BV656" s="468"/>
      <c r="BW656" s="469"/>
      <c r="BX656" s="449"/>
      <c r="BY656" s="449"/>
      <c r="BZ656" s="449"/>
    </row>
    <row r="657" spans="67:78" s="457" customFormat="1" x14ac:dyDescent="0.2">
      <c r="BO657" s="468"/>
      <c r="BP657" s="468"/>
      <c r="BQ657" s="468"/>
      <c r="BR657" s="468"/>
      <c r="BS657" s="468"/>
      <c r="BT657" s="468"/>
      <c r="BU657" s="468"/>
      <c r="BV657" s="468"/>
      <c r="BW657" s="469"/>
      <c r="BX657" s="449"/>
      <c r="BY657" s="449"/>
      <c r="BZ657" s="449"/>
    </row>
    <row r="658" spans="67:78" s="457" customFormat="1" x14ac:dyDescent="0.2">
      <c r="BO658" s="468"/>
      <c r="BP658" s="468"/>
      <c r="BQ658" s="468"/>
      <c r="BR658" s="468"/>
      <c r="BS658" s="468"/>
      <c r="BT658" s="468"/>
      <c r="BU658" s="468"/>
      <c r="BV658" s="468"/>
      <c r="BW658" s="469"/>
      <c r="BX658" s="449"/>
      <c r="BY658" s="449"/>
      <c r="BZ658" s="449"/>
    </row>
    <row r="659" spans="67:78" s="457" customFormat="1" x14ac:dyDescent="0.2">
      <c r="BO659" s="468"/>
      <c r="BP659" s="468"/>
      <c r="BQ659" s="468"/>
      <c r="BR659" s="468"/>
      <c r="BS659" s="468"/>
      <c r="BT659" s="468"/>
      <c r="BU659" s="468"/>
      <c r="BV659" s="468"/>
      <c r="BW659" s="469"/>
      <c r="BX659" s="449"/>
      <c r="BY659" s="449"/>
      <c r="BZ659" s="449"/>
    </row>
    <row r="660" spans="67:78" s="457" customFormat="1" x14ac:dyDescent="0.2">
      <c r="BO660" s="468"/>
      <c r="BP660" s="468"/>
      <c r="BQ660" s="468"/>
      <c r="BR660" s="468"/>
      <c r="BS660" s="468"/>
      <c r="BT660" s="468"/>
      <c r="BU660" s="468"/>
      <c r="BV660" s="468"/>
      <c r="BW660" s="469"/>
      <c r="BX660" s="449"/>
      <c r="BY660" s="449"/>
      <c r="BZ660" s="449"/>
    </row>
    <row r="661" spans="67:78" s="457" customFormat="1" x14ac:dyDescent="0.2">
      <c r="BO661" s="468"/>
      <c r="BP661" s="468"/>
      <c r="BQ661" s="468"/>
      <c r="BR661" s="468"/>
      <c r="BS661" s="468"/>
      <c r="BT661" s="468"/>
      <c r="BU661" s="468"/>
      <c r="BV661" s="468"/>
      <c r="BW661" s="469"/>
      <c r="BX661" s="449"/>
      <c r="BY661" s="449"/>
      <c r="BZ661" s="449"/>
    </row>
    <row r="662" spans="67:78" s="457" customFormat="1" x14ac:dyDescent="0.2">
      <c r="BO662" s="468"/>
      <c r="BP662" s="468"/>
      <c r="BQ662" s="468"/>
      <c r="BR662" s="468"/>
      <c r="BS662" s="468"/>
      <c r="BT662" s="468"/>
      <c r="BU662" s="468"/>
      <c r="BV662" s="468"/>
      <c r="BW662" s="469"/>
      <c r="BX662" s="449"/>
      <c r="BY662" s="449"/>
      <c r="BZ662" s="449"/>
    </row>
    <row r="663" spans="67:78" s="457" customFormat="1" x14ac:dyDescent="0.2">
      <c r="BO663" s="468"/>
      <c r="BP663" s="468"/>
      <c r="BQ663" s="468"/>
      <c r="BR663" s="468"/>
      <c r="BS663" s="468"/>
      <c r="BT663" s="468"/>
      <c r="BU663" s="468"/>
      <c r="BV663" s="468"/>
      <c r="BW663" s="469"/>
      <c r="BX663" s="449"/>
      <c r="BY663" s="449"/>
      <c r="BZ663" s="449"/>
    </row>
    <row r="664" spans="67:78" s="457" customFormat="1" x14ac:dyDescent="0.2">
      <c r="BO664" s="468"/>
      <c r="BP664" s="468"/>
      <c r="BQ664" s="468"/>
      <c r="BR664" s="468"/>
      <c r="BS664" s="468"/>
      <c r="BT664" s="468"/>
      <c r="BU664" s="468"/>
      <c r="BV664" s="468"/>
      <c r="BW664" s="469"/>
      <c r="BX664" s="449"/>
      <c r="BY664" s="449"/>
      <c r="BZ664" s="449"/>
    </row>
    <row r="665" spans="67:78" s="457" customFormat="1" x14ac:dyDescent="0.2">
      <c r="BO665" s="468"/>
      <c r="BP665" s="468"/>
      <c r="BQ665" s="468"/>
      <c r="BR665" s="468"/>
      <c r="BS665" s="468"/>
      <c r="BT665" s="468"/>
      <c r="BU665" s="468"/>
      <c r="BV665" s="468"/>
      <c r="BW665" s="469"/>
      <c r="BX665" s="449"/>
      <c r="BY665" s="449"/>
      <c r="BZ665" s="449"/>
    </row>
    <row r="666" spans="67:78" s="457" customFormat="1" x14ac:dyDescent="0.2">
      <c r="BO666" s="468"/>
      <c r="BP666" s="468"/>
      <c r="BQ666" s="468"/>
      <c r="BR666" s="468"/>
      <c r="BS666" s="468"/>
      <c r="BT666" s="468"/>
      <c r="BU666" s="468"/>
      <c r="BV666" s="468"/>
      <c r="BW666" s="469"/>
      <c r="BX666" s="449"/>
      <c r="BY666" s="449"/>
      <c r="BZ666" s="449"/>
    </row>
    <row r="667" spans="67:78" s="457" customFormat="1" x14ac:dyDescent="0.2">
      <c r="BO667" s="468"/>
      <c r="BP667" s="468"/>
      <c r="BQ667" s="468"/>
      <c r="BR667" s="468"/>
      <c r="BS667" s="468"/>
      <c r="BT667" s="468"/>
      <c r="BU667" s="468"/>
      <c r="BV667" s="468"/>
      <c r="BW667" s="469"/>
      <c r="BX667" s="449"/>
      <c r="BY667" s="449"/>
      <c r="BZ667" s="449"/>
    </row>
    <row r="668" spans="67:78" s="457" customFormat="1" x14ac:dyDescent="0.2">
      <c r="BO668" s="468"/>
      <c r="BP668" s="468"/>
      <c r="BQ668" s="468"/>
      <c r="BR668" s="468"/>
      <c r="BS668" s="468"/>
      <c r="BT668" s="468"/>
      <c r="BU668" s="468"/>
      <c r="BV668" s="468"/>
      <c r="BW668" s="469"/>
      <c r="BX668" s="449"/>
      <c r="BY668" s="449"/>
      <c r="BZ668" s="449"/>
    </row>
    <row r="669" spans="67:78" s="457" customFormat="1" x14ac:dyDescent="0.2">
      <c r="BO669" s="468"/>
      <c r="BP669" s="468"/>
      <c r="BQ669" s="468"/>
      <c r="BR669" s="468"/>
      <c r="BS669" s="468"/>
      <c r="BT669" s="468"/>
      <c r="BU669" s="468"/>
      <c r="BV669" s="468"/>
      <c r="BW669" s="469"/>
      <c r="BX669" s="449"/>
      <c r="BY669" s="449"/>
      <c r="BZ669" s="449"/>
    </row>
    <row r="670" spans="67:78" s="457" customFormat="1" x14ac:dyDescent="0.2">
      <c r="BO670" s="468"/>
      <c r="BP670" s="468"/>
      <c r="BQ670" s="468"/>
      <c r="BR670" s="468"/>
      <c r="BS670" s="468"/>
      <c r="BT670" s="468"/>
      <c r="BU670" s="468"/>
      <c r="BV670" s="468"/>
      <c r="BW670" s="469"/>
      <c r="BX670" s="449"/>
      <c r="BY670" s="449"/>
      <c r="BZ670" s="449"/>
    </row>
    <row r="671" spans="67:78" s="457" customFormat="1" x14ac:dyDescent="0.2">
      <c r="BO671" s="468"/>
      <c r="BP671" s="468"/>
      <c r="BQ671" s="468"/>
      <c r="BR671" s="468"/>
      <c r="BS671" s="468"/>
      <c r="BT671" s="468"/>
      <c r="BU671" s="468"/>
      <c r="BV671" s="468"/>
      <c r="BW671" s="469"/>
      <c r="BX671" s="449"/>
      <c r="BY671" s="449"/>
      <c r="BZ671" s="449"/>
    </row>
    <row r="672" spans="67:78" s="457" customFormat="1" x14ac:dyDescent="0.2">
      <c r="BO672" s="468"/>
      <c r="BP672" s="468"/>
      <c r="BQ672" s="468"/>
      <c r="BR672" s="468"/>
      <c r="BS672" s="468"/>
      <c r="BT672" s="468"/>
      <c r="BU672" s="468"/>
      <c r="BV672" s="468"/>
      <c r="BW672" s="469"/>
      <c r="BX672" s="449"/>
      <c r="BY672" s="449"/>
      <c r="BZ672" s="449"/>
    </row>
    <row r="673" spans="67:78" s="457" customFormat="1" x14ac:dyDescent="0.2">
      <c r="BO673" s="468"/>
      <c r="BP673" s="468"/>
      <c r="BQ673" s="468"/>
      <c r="BR673" s="468"/>
      <c r="BS673" s="468"/>
      <c r="BT673" s="468"/>
      <c r="BU673" s="468"/>
      <c r="BV673" s="468"/>
      <c r="BW673" s="469"/>
      <c r="BX673" s="449"/>
      <c r="BY673" s="449"/>
      <c r="BZ673" s="449"/>
    </row>
    <row r="674" spans="67:78" s="457" customFormat="1" x14ac:dyDescent="0.2">
      <c r="BO674" s="468"/>
      <c r="BP674" s="468"/>
      <c r="BQ674" s="468"/>
      <c r="BR674" s="468"/>
      <c r="BS674" s="468"/>
      <c r="BT674" s="468"/>
      <c r="BU674" s="468"/>
      <c r="BV674" s="468"/>
      <c r="BW674" s="469"/>
      <c r="BX674" s="449"/>
      <c r="BY674" s="449"/>
      <c r="BZ674" s="449"/>
    </row>
    <row r="675" spans="67:78" s="457" customFormat="1" x14ac:dyDescent="0.2">
      <c r="BO675" s="468"/>
      <c r="BP675" s="468"/>
      <c r="BQ675" s="468"/>
      <c r="BR675" s="468"/>
      <c r="BS675" s="468"/>
      <c r="BT675" s="468"/>
      <c r="BU675" s="468"/>
      <c r="BV675" s="468"/>
      <c r="BW675" s="469"/>
      <c r="BX675" s="449"/>
      <c r="BY675" s="449"/>
      <c r="BZ675" s="449"/>
    </row>
    <row r="676" spans="67:78" s="457" customFormat="1" x14ac:dyDescent="0.2">
      <c r="BO676" s="468"/>
      <c r="BP676" s="468"/>
      <c r="BQ676" s="468"/>
      <c r="BR676" s="468"/>
      <c r="BS676" s="468"/>
      <c r="BT676" s="468"/>
      <c r="BU676" s="468"/>
      <c r="BV676" s="468"/>
      <c r="BW676" s="469"/>
      <c r="BX676" s="449"/>
      <c r="BY676" s="449"/>
      <c r="BZ676" s="449"/>
    </row>
    <row r="677" spans="67:78" s="457" customFormat="1" x14ac:dyDescent="0.2">
      <c r="BO677" s="468"/>
      <c r="BP677" s="468"/>
      <c r="BQ677" s="468"/>
      <c r="BR677" s="468"/>
      <c r="BS677" s="468"/>
      <c r="BT677" s="468"/>
      <c r="BU677" s="468"/>
      <c r="BV677" s="468"/>
      <c r="BW677" s="469"/>
      <c r="BX677" s="449"/>
      <c r="BY677" s="449"/>
      <c r="BZ677" s="449"/>
    </row>
    <row r="678" spans="67:78" s="457" customFormat="1" x14ac:dyDescent="0.2">
      <c r="BO678" s="468"/>
      <c r="BP678" s="468"/>
      <c r="BQ678" s="468"/>
      <c r="BR678" s="468"/>
      <c r="BS678" s="468"/>
      <c r="BT678" s="468"/>
      <c r="BU678" s="468"/>
      <c r="BV678" s="468"/>
      <c r="BW678" s="469"/>
      <c r="BX678" s="449"/>
      <c r="BY678" s="449"/>
      <c r="BZ678" s="449"/>
    </row>
    <row r="679" spans="67:78" s="457" customFormat="1" x14ac:dyDescent="0.2">
      <c r="BO679" s="468"/>
      <c r="BP679" s="468"/>
      <c r="BQ679" s="468"/>
      <c r="BR679" s="468"/>
      <c r="BS679" s="468"/>
      <c r="BT679" s="468"/>
      <c r="BU679" s="468"/>
      <c r="BV679" s="468"/>
      <c r="BW679" s="469"/>
      <c r="BX679" s="449"/>
      <c r="BY679" s="449"/>
      <c r="BZ679" s="449"/>
    </row>
    <row r="680" spans="67:78" s="457" customFormat="1" x14ac:dyDescent="0.2">
      <c r="BO680" s="468"/>
      <c r="BP680" s="468"/>
      <c r="BQ680" s="468"/>
      <c r="BR680" s="468"/>
      <c r="BS680" s="468"/>
      <c r="BT680" s="468"/>
      <c r="BU680" s="468"/>
      <c r="BV680" s="468"/>
      <c r="BW680" s="469"/>
      <c r="BX680" s="449"/>
      <c r="BY680" s="449"/>
      <c r="BZ680" s="449"/>
    </row>
    <row r="681" spans="67:78" s="457" customFormat="1" x14ac:dyDescent="0.2">
      <c r="BO681" s="468"/>
      <c r="BP681" s="468"/>
      <c r="BQ681" s="468"/>
      <c r="BR681" s="468"/>
      <c r="BS681" s="468"/>
      <c r="BT681" s="468"/>
      <c r="BU681" s="468"/>
      <c r="BV681" s="468"/>
      <c r="BW681" s="469"/>
      <c r="BX681" s="449"/>
      <c r="BY681" s="449"/>
      <c r="BZ681" s="449"/>
    </row>
    <row r="682" spans="67:78" s="457" customFormat="1" x14ac:dyDescent="0.2">
      <c r="BO682" s="468"/>
      <c r="BP682" s="468"/>
      <c r="BQ682" s="468"/>
      <c r="BR682" s="468"/>
      <c r="BS682" s="468"/>
      <c r="BT682" s="468"/>
      <c r="BU682" s="468"/>
      <c r="BV682" s="468"/>
      <c r="BW682" s="469"/>
      <c r="BX682" s="449"/>
      <c r="BY682" s="449"/>
      <c r="BZ682" s="449"/>
    </row>
    <row r="683" spans="67:78" s="457" customFormat="1" x14ac:dyDescent="0.2">
      <c r="BO683" s="468"/>
      <c r="BP683" s="468"/>
      <c r="BQ683" s="468"/>
      <c r="BR683" s="468"/>
      <c r="BS683" s="468"/>
      <c r="BT683" s="468"/>
      <c r="BU683" s="468"/>
      <c r="BV683" s="468"/>
      <c r="BW683" s="469"/>
      <c r="BX683" s="449"/>
      <c r="BY683" s="449"/>
      <c r="BZ683" s="449"/>
    </row>
    <row r="684" spans="67:78" s="457" customFormat="1" x14ac:dyDescent="0.2">
      <c r="BO684" s="468"/>
      <c r="BP684" s="468"/>
      <c r="BQ684" s="468"/>
      <c r="BR684" s="468"/>
      <c r="BS684" s="468"/>
      <c r="BT684" s="468"/>
      <c r="BU684" s="468"/>
      <c r="BV684" s="468"/>
      <c r="BW684" s="469"/>
      <c r="BX684" s="449"/>
      <c r="BY684" s="449"/>
      <c r="BZ684" s="449"/>
    </row>
    <row r="685" spans="67:78" s="457" customFormat="1" x14ac:dyDescent="0.2">
      <c r="BO685" s="468"/>
      <c r="BP685" s="468"/>
      <c r="BQ685" s="468"/>
      <c r="BR685" s="468"/>
      <c r="BS685" s="468"/>
      <c r="BT685" s="468"/>
      <c r="BU685" s="468"/>
      <c r="BV685" s="468"/>
      <c r="BW685" s="469"/>
      <c r="BX685" s="449"/>
      <c r="BY685" s="449"/>
      <c r="BZ685" s="449"/>
    </row>
    <row r="686" spans="67:78" s="457" customFormat="1" x14ac:dyDescent="0.2">
      <c r="BO686" s="468"/>
      <c r="BP686" s="468"/>
      <c r="BQ686" s="468"/>
      <c r="BR686" s="468"/>
      <c r="BS686" s="468"/>
      <c r="BT686" s="468"/>
      <c r="BU686" s="468"/>
      <c r="BV686" s="468"/>
      <c r="BW686" s="469"/>
      <c r="BX686" s="449"/>
      <c r="BY686" s="449"/>
      <c r="BZ686" s="449"/>
    </row>
    <row r="687" spans="67:78" s="457" customFormat="1" x14ac:dyDescent="0.2">
      <c r="BO687" s="468"/>
      <c r="BP687" s="468"/>
      <c r="BQ687" s="468"/>
      <c r="BR687" s="468"/>
      <c r="BS687" s="468"/>
      <c r="BT687" s="468"/>
      <c r="BU687" s="468"/>
      <c r="BV687" s="468"/>
      <c r="BW687" s="469"/>
      <c r="BX687" s="449"/>
      <c r="BY687" s="449"/>
      <c r="BZ687" s="449"/>
    </row>
    <row r="688" spans="67:78" s="457" customFormat="1" x14ac:dyDescent="0.2">
      <c r="BO688" s="468"/>
      <c r="BP688" s="468"/>
      <c r="BQ688" s="468"/>
      <c r="BR688" s="468"/>
      <c r="BS688" s="468"/>
      <c r="BT688" s="468"/>
      <c r="BU688" s="468"/>
      <c r="BV688" s="468"/>
      <c r="BW688" s="469"/>
      <c r="BX688" s="449"/>
      <c r="BY688" s="449"/>
      <c r="BZ688" s="449"/>
    </row>
    <row r="689" spans="67:78" s="457" customFormat="1" x14ac:dyDescent="0.2">
      <c r="BO689" s="468"/>
      <c r="BP689" s="468"/>
      <c r="BQ689" s="468"/>
      <c r="BR689" s="468"/>
      <c r="BS689" s="468"/>
      <c r="BT689" s="468"/>
      <c r="BU689" s="468"/>
      <c r="BV689" s="468"/>
      <c r="BW689" s="469"/>
      <c r="BX689" s="449"/>
      <c r="BY689" s="449"/>
      <c r="BZ689" s="449"/>
    </row>
    <row r="690" spans="67:78" s="457" customFormat="1" x14ac:dyDescent="0.2">
      <c r="BO690" s="468"/>
      <c r="BP690" s="468"/>
      <c r="BQ690" s="468"/>
      <c r="BR690" s="468"/>
      <c r="BS690" s="468"/>
      <c r="BT690" s="468"/>
      <c r="BU690" s="468"/>
      <c r="BV690" s="468"/>
      <c r="BW690" s="469"/>
      <c r="BX690" s="449"/>
      <c r="BY690" s="449"/>
      <c r="BZ690" s="449"/>
    </row>
    <row r="691" spans="67:78" s="457" customFormat="1" x14ac:dyDescent="0.2">
      <c r="BO691" s="468"/>
      <c r="BP691" s="468"/>
      <c r="BQ691" s="468"/>
      <c r="BR691" s="468"/>
      <c r="BS691" s="468"/>
      <c r="BT691" s="468"/>
      <c r="BU691" s="468"/>
      <c r="BV691" s="468"/>
      <c r="BW691" s="469"/>
      <c r="BX691" s="449"/>
      <c r="BY691" s="449"/>
      <c r="BZ691" s="449"/>
    </row>
    <row r="692" spans="67:78" s="457" customFormat="1" x14ac:dyDescent="0.2">
      <c r="BO692" s="468"/>
      <c r="BP692" s="468"/>
      <c r="BQ692" s="468"/>
      <c r="BR692" s="468"/>
      <c r="BS692" s="468"/>
      <c r="BT692" s="468"/>
      <c r="BU692" s="468"/>
      <c r="BV692" s="468"/>
      <c r="BW692" s="469"/>
      <c r="BX692" s="449"/>
      <c r="BY692" s="449"/>
      <c r="BZ692" s="449"/>
    </row>
    <row r="693" spans="67:78" s="457" customFormat="1" x14ac:dyDescent="0.2">
      <c r="BO693" s="468"/>
      <c r="BP693" s="468"/>
      <c r="BQ693" s="468"/>
      <c r="BR693" s="468"/>
      <c r="BS693" s="468"/>
      <c r="BT693" s="468"/>
      <c r="BU693" s="468"/>
      <c r="BV693" s="468"/>
      <c r="BW693" s="469"/>
      <c r="BX693" s="449"/>
      <c r="BY693" s="449"/>
      <c r="BZ693" s="449"/>
    </row>
    <row r="694" spans="67:78" s="457" customFormat="1" x14ac:dyDescent="0.2">
      <c r="BO694" s="468"/>
      <c r="BP694" s="468"/>
      <c r="BQ694" s="468"/>
      <c r="BR694" s="468"/>
      <c r="BS694" s="468"/>
      <c r="BT694" s="468"/>
      <c r="BU694" s="468"/>
      <c r="BV694" s="468"/>
      <c r="BW694" s="469"/>
      <c r="BX694" s="449"/>
      <c r="BY694" s="449"/>
      <c r="BZ694" s="449"/>
    </row>
    <row r="695" spans="67:78" s="457" customFormat="1" x14ac:dyDescent="0.2">
      <c r="BO695" s="468"/>
      <c r="BP695" s="468"/>
      <c r="BQ695" s="468"/>
      <c r="BR695" s="468"/>
      <c r="BS695" s="468"/>
      <c r="BT695" s="468"/>
      <c r="BU695" s="468"/>
      <c r="BV695" s="468"/>
      <c r="BW695" s="469"/>
      <c r="BX695" s="449"/>
      <c r="BY695" s="449"/>
      <c r="BZ695" s="449"/>
    </row>
    <row r="696" spans="67:78" s="457" customFormat="1" x14ac:dyDescent="0.2">
      <c r="BO696" s="468"/>
      <c r="BP696" s="468"/>
      <c r="BQ696" s="468"/>
      <c r="BR696" s="468"/>
      <c r="BS696" s="468"/>
      <c r="BT696" s="468"/>
      <c r="BU696" s="468"/>
      <c r="BV696" s="468"/>
      <c r="BW696" s="469"/>
      <c r="BX696" s="449"/>
      <c r="BY696" s="449"/>
      <c r="BZ696" s="449"/>
    </row>
    <row r="697" spans="67:78" s="457" customFormat="1" x14ac:dyDescent="0.2">
      <c r="BO697" s="468"/>
      <c r="BP697" s="468"/>
      <c r="BQ697" s="468"/>
      <c r="BR697" s="468"/>
      <c r="BS697" s="468"/>
      <c r="BT697" s="468"/>
      <c r="BU697" s="468"/>
      <c r="BV697" s="468"/>
      <c r="BW697" s="469"/>
      <c r="BX697" s="449"/>
      <c r="BY697" s="449"/>
      <c r="BZ697" s="449"/>
    </row>
    <row r="698" spans="67:78" s="457" customFormat="1" x14ac:dyDescent="0.2">
      <c r="BO698" s="468"/>
      <c r="BP698" s="468"/>
      <c r="BQ698" s="468"/>
      <c r="BR698" s="468"/>
      <c r="BS698" s="468"/>
      <c r="BT698" s="468"/>
      <c r="BU698" s="468"/>
      <c r="BV698" s="468"/>
      <c r="BW698" s="469"/>
      <c r="BX698" s="449"/>
      <c r="BY698" s="449"/>
      <c r="BZ698" s="449"/>
    </row>
    <row r="699" spans="67:78" s="457" customFormat="1" x14ac:dyDescent="0.2">
      <c r="BO699" s="468"/>
      <c r="BP699" s="468"/>
      <c r="BQ699" s="468"/>
      <c r="BR699" s="468"/>
      <c r="BS699" s="468"/>
      <c r="BT699" s="468"/>
      <c r="BU699" s="468"/>
      <c r="BV699" s="468"/>
      <c r="BW699" s="469"/>
      <c r="BX699" s="449"/>
      <c r="BY699" s="449"/>
      <c r="BZ699" s="449"/>
    </row>
    <row r="700" spans="67:78" s="457" customFormat="1" x14ac:dyDescent="0.2">
      <c r="BO700" s="468"/>
      <c r="BP700" s="468"/>
      <c r="BQ700" s="468"/>
      <c r="BR700" s="468"/>
      <c r="BS700" s="468"/>
      <c r="BT700" s="468"/>
      <c r="BU700" s="468"/>
      <c r="BV700" s="468"/>
      <c r="BW700" s="469"/>
      <c r="BX700" s="449"/>
      <c r="BY700" s="449"/>
      <c r="BZ700" s="449"/>
    </row>
    <row r="701" spans="67:78" s="457" customFormat="1" x14ac:dyDescent="0.2">
      <c r="BO701" s="468"/>
      <c r="BP701" s="468"/>
      <c r="BQ701" s="468"/>
      <c r="BR701" s="468"/>
      <c r="BS701" s="468"/>
      <c r="BT701" s="468"/>
      <c r="BU701" s="468"/>
      <c r="BV701" s="468"/>
      <c r="BW701" s="469"/>
      <c r="BX701" s="449"/>
      <c r="BY701" s="449"/>
      <c r="BZ701" s="449"/>
    </row>
    <row r="702" spans="67:78" s="457" customFormat="1" x14ac:dyDescent="0.2">
      <c r="BO702" s="468"/>
      <c r="BP702" s="468"/>
      <c r="BQ702" s="468"/>
      <c r="BR702" s="468"/>
      <c r="BS702" s="468"/>
      <c r="BT702" s="468"/>
      <c r="BU702" s="468"/>
      <c r="BV702" s="468"/>
      <c r="BW702" s="469"/>
      <c r="BX702" s="449"/>
      <c r="BY702" s="449"/>
      <c r="BZ702" s="449"/>
    </row>
    <row r="703" spans="67:78" s="457" customFormat="1" x14ac:dyDescent="0.2">
      <c r="BO703" s="468"/>
      <c r="BP703" s="468"/>
      <c r="BQ703" s="468"/>
      <c r="BR703" s="468"/>
      <c r="BS703" s="468"/>
      <c r="BT703" s="468"/>
      <c r="BU703" s="468"/>
      <c r="BV703" s="468"/>
      <c r="BW703" s="469"/>
      <c r="BX703" s="449"/>
      <c r="BY703" s="449"/>
      <c r="BZ703" s="449"/>
    </row>
    <row r="704" spans="67:78" s="457" customFormat="1" x14ac:dyDescent="0.2">
      <c r="BO704" s="468"/>
      <c r="BP704" s="468"/>
      <c r="BQ704" s="468"/>
      <c r="BR704" s="468"/>
      <c r="BS704" s="468"/>
      <c r="BT704" s="468"/>
      <c r="BU704" s="468"/>
      <c r="BV704" s="468"/>
      <c r="BW704" s="469"/>
      <c r="BX704" s="449"/>
      <c r="BY704" s="449"/>
      <c r="BZ704" s="449"/>
    </row>
    <row r="705" spans="67:78" s="457" customFormat="1" x14ac:dyDescent="0.2">
      <c r="BO705" s="468"/>
      <c r="BP705" s="468"/>
      <c r="BQ705" s="468"/>
      <c r="BR705" s="468"/>
      <c r="BS705" s="468"/>
      <c r="BT705" s="468"/>
      <c r="BU705" s="468"/>
      <c r="BV705" s="468"/>
      <c r="BW705" s="469"/>
      <c r="BX705" s="449"/>
      <c r="BY705" s="449"/>
      <c r="BZ705" s="449"/>
    </row>
    <row r="706" spans="67:78" s="457" customFormat="1" x14ac:dyDescent="0.2">
      <c r="BO706" s="468"/>
      <c r="BP706" s="468"/>
      <c r="BQ706" s="468"/>
      <c r="BR706" s="468"/>
      <c r="BS706" s="468"/>
      <c r="BT706" s="468"/>
      <c r="BU706" s="468"/>
      <c r="BV706" s="468"/>
      <c r="BW706" s="469"/>
      <c r="BX706" s="449"/>
      <c r="BY706" s="449"/>
      <c r="BZ706" s="449"/>
    </row>
    <row r="707" spans="67:78" s="457" customFormat="1" x14ac:dyDescent="0.2">
      <c r="BO707" s="468"/>
      <c r="BP707" s="468"/>
      <c r="BQ707" s="468"/>
      <c r="BR707" s="468"/>
      <c r="BS707" s="468"/>
      <c r="BT707" s="468"/>
      <c r="BU707" s="468"/>
      <c r="BV707" s="468"/>
      <c r="BW707" s="469"/>
      <c r="BX707" s="449"/>
      <c r="BY707" s="449"/>
      <c r="BZ707" s="449"/>
    </row>
    <row r="708" spans="67:78" s="457" customFormat="1" x14ac:dyDescent="0.2">
      <c r="BO708" s="468"/>
      <c r="BP708" s="468"/>
      <c r="BQ708" s="468"/>
      <c r="BR708" s="468"/>
      <c r="BS708" s="468"/>
      <c r="BT708" s="468"/>
      <c r="BU708" s="468"/>
      <c r="BV708" s="468"/>
      <c r="BW708" s="469"/>
      <c r="BX708" s="449"/>
      <c r="BY708" s="449"/>
      <c r="BZ708" s="449"/>
    </row>
    <row r="709" spans="67:78" s="457" customFormat="1" x14ac:dyDescent="0.2">
      <c r="BO709" s="468"/>
      <c r="BP709" s="468"/>
      <c r="BQ709" s="468"/>
      <c r="BR709" s="468"/>
      <c r="BS709" s="468"/>
      <c r="BT709" s="468"/>
      <c r="BU709" s="468"/>
      <c r="BV709" s="468"/>
      <c r="BW709" s="469"/>
      <c r="BX709" s="449"/>
      <c r="BY709" s="449"/>
      <c r="BZ709" s="449"/>
    </row>
    <row r="710" spans="67:78" s="457" customFormat="1" x14ac:dyDescent="0.2">
      <c r="BO710" s="468"/>
      <c r="BP710" s="468"/>
      <c r="BQ710" s="468"/>
      <c r="BR710" s="468"/>
      <c r="BS710" s="468"/>
      <c r="BT710" s="468"/>
      <c r="BU710" s="468"/>
      <c r="BV710" s="468"/>
      <c r="BW710" s="469"/>
      <c r="BX710" s="449"/>
      <c r="BY710" s="449"/>
      <c r="BZ710" s="449"/>
    </row>
    <row r="711" spans="67:78" s="457" customFormat="1" x14ac:dyDescent="0.2">
      <c r="BO711" s="468"/>
      <c r="BP711" s="468"/>
      <c r="BQ711" s="468"/>
      <c r="BR711" s="468"/>
      <c r="BS711" s="468"/>
      <c r="BT711" s="468"/>
      <c r="BU711" s="468"/>
      <c r="BV711" s="468"/>
      <c r="BW711" s="469"/>
      <c r="BX711" s="449"/>
      <c r="BY711" s="449"/>
      <c r="BZ711" s="449"/>
    </row>
    <row r="712" spans="67:78" s="457" customFormat="1" x14ac:dyDescent="0.2">
      <c r="BO712" s="468"/>
      <c r="BP712" s="468"/>
      <c r="BQ712" s="468"/>
      <c r="BR712" s="468"/>
      <c r="BS712" s="468"/>
      <c r="BT712" s="468"/>
      <c r="BU712" s="468"/>
      <c r="BV712" s="468"/>
      <c r="BW712" s="469"/>
      <c r="BX712" s="449"/>
      <c r="BY712" s="449"/>
      <c r="BZ712" s="449"/>
    </row>
    <row r="713" spans="67:78" s="457" customFormat="1" x14ac:dyDescent="0.2">
      <c r="BO713" s="468"/>
      <c r="BP713" s="468"/>
      <c r="BQ713" s="468"/>
      <c r="BR713" s="468"/>
      <c r="BS713" s="468"/>
      <c r="BT713" s="468"/>
      <c r="BU713" s="468"/>
      <c r="BV713" s="468"/>
      <c r="BW713" s="469"/>
      <c r="BX713" s="449"/>
      <c r="BY713" s="449"/>
      <c r="BZ713" s="449"/>
    </row>
    <row r="714" spans="67:78" s="457" customFormat="1" x14ac:dyDescent="0.2">
      <c r="BO714" s="468"/>
      <c r="BP714" s="468"/>
      <c r="BQ714" s="468"/>
      <c r="BR714" s="468"/>
      <c r="BS714" s="468"/>
      <c r="BT714" s="468"/>
      <c r="BU714" s="468"/>
      <c r="BV714" s="468"/>
      <c r="BW714" s="469"/>
      <c r="BX714" s="449"/>
      <c r="BY714" s="449"/>
      <c r="BZ714" s="449"/>
    </row>
    <row r="715" spans="67:78" s="457" customFormat="1" x14ac:dyDescent="0.2">
      <c r="BO715" s="468"/>
      <c r="BP715" s="468"/>
      <c r="BQ715" s="468"/>
      <c r="BR715" s="468"/>
      <c r="BS715" s="468"/>
      <c r="BT715" s="468"/>
      <c r="BU715" s="468"/>
      <c r="BV715" s="468"/>
      <c r="BW715" s="469"/>
      <c r="BX715" s="449"/>
      <c r="BY715" s="449"/>
      <c r="BZ715" s="449"/>
    </row>
    <row r="716" spans="67:78" s="457" customFormat="1" x14ac:dyDescent="0.2">
      <c r="BO716" s="468"/>
      <c r="BP716" s="468"/>
      <c r="BQ716" s="468"/>
      <c r="BR716" s="468"/>
      <c r="BS716" s="468"/>
      <c r="BT716" s="468"/>
      <c r="BU716" s="468"/>
      <c r="BV716" s="468"/>
      <c r="BW716" s="469"/>
      <c r="BX716" s="449"/>
      <c r="BY716" s="449"/>
      <c r="BZ716" s="449"/>
    </row>
    <row r="717" spans="67:78" s="457" customFormat="1" x14ac:dyDescent="0.2">
      <c r="BO717" s="468"/>
      <c r="BP717" s="468"/>
      <c r="BQ717" s="468"/>
      <c r="BR717" s="468"/>
      <c r="BS717" s="468"/>
      <c r="BT717" s="468"/>
      <c r="BU717" s="468"/>
      <c r="BV717" s="468"/>
      <c r="BW717" s="469"/>
      <c r="BX717" s="449"/>
      <c r="BY717" s="449"/>
      <c r="BZ717" s="449"/>
    </row>
    <row r="718" spans="67:78" s="457" customFormat="1" x14ac:dyDescent="0.2">
      <c r="BO718" s="468"/>
      <c r="BP718" s="468"/>
      <c r="BQ718" s="468"/>
      <c r="BR718" s="468"/>
      <c r="BS718" s="468"/>
      <c r="BT718" s="468"/>
      <c r="BU718" s="468"/>
      <c r="BV718" s="468"/>
      <c r="BW718" s="469"/>
      <c r="BX718" s="449"/>
      <c r="BY718" s="449"/>
      <c r="BZ718" s="449"/>
    </row>
    <row r="719" spans="67:78" s="457" customFormat="1" x14ac:dyDescent="0.2">
      <c r="BO719" s="468"/>
      <c r="BP719" s="468"/>
      <c r="BQ719" s="468"/>
      <c r="BR719" s="468"/>
      <c r="BS719" s="468"/>
      <c r="BT719" s="468"/>
      <c r="BU719" s="468"/>
      <c r="BV719" s="468"/>
      <c r="BW719" s="469"/>
      <c r="BX719" s="449"/>
      <c r="BY719" s="449"/>
      <c r="BZ719" s="449"/>
    </row>
    <row r="720" spans="67:78" s="457" customFormat="1" x14ac:dyDescent="0.2">
      <c r="BO720" s="468"/>
      <c r="BP720" s="468"/>
      <c r="BQ720" s="468"/>
      <c r="BR720" s="468"/>
      <c r="BS720" s="468"/>
      <c r="BT720" s="468"/>
      <c r="BU720" s="468"/>
      <c r="BV720" s="468"/>
      <c r="BW720" s="469"/>
      <c r="BX720" s="449"/>
      <c r="BY720" s="449"/>
      <c r="BZ720" s="449"/>
    </row>
    <row r="721" spans="67:78" s="457" customFormat="1" x14ac:dyDescent="0.2">
      <c r="BO721" s="468"/>
      <c r="BP721" s="468"/>
      <c r="BQ721" s="468"/>
      <c r="BR721" s="468"/>
      <c r="BS721" s="468"/>
      <c r="BT721" s="468"/>
      <c r="BU721" s="468"/>
      <c r="BV721" s="468"/>
      <c r="BW721" s="469"/>
      <c r="BX721" s="449"/>
      <c r="BY721" s="449"/>
      <c r="BZ721" s="449"/>
    </row>
    <row r="722" spans="67:78" s="457" customFormat="1" x14ac:dyDescent="0.2">
      <c r="BO722" s="468"/>
      <c r="BP722" s="468"/>
      <c r="BQ722" s="468"/>
      <c r="BR722" s="468"/>
      <c r="BS722" s="468"/>
      <c r="BT722" s="468"/>
      <c r="BU722" s="468"/>
      <c r="BV722" s="468"/>
      <c r="BW722" s="469"/>
      <c r="BX722" s="449"/>
      <c r="BY722" s="449"/>
      <c r="BZ722" s="449"/>
    </row>
    <row r="723" spans="67:78" s="457" customFormat="1" x14ac:dyDescent="0.2">
      <c r="BO723" s="468"/>
      <c r="BP723" s="468"/>
      <c r="BQ723" s="468"/>
      <c r="BR723" s="468"/>
      <c r="BS723" s="468"/>
      <c r="BT723" s="468"/>
      <c r="BU723" s="468"/>
      <c r="BV723" s="468"/>
      <c r="BW723" s="469"/>
      <c r="BX723" s="449"/>
      <c r="BY723" s="449"/>
      <c r="BZ723" s="449"/>
    </row>
    <row r="724" spans="67:78" s="457" customFormat="1" x14ac:dyDescent="0.2">
      <c r="BO724" s="468"/>
      <c r="BP724" s="468"/>
      <c r="BQ724" s="468"/>
      <c r="BR724" s="468"/>
      <c r="BS724" s="468"/>
      <c r="BT724" s="468"/>
      <c r="BU724" s="468"/>
      <c r="BV724" s="468"/>
      <c r="BW724" s="469"/>
      <c r="BX724" s="449"/>
      <c r="BY724" s="449"/>
      <c r="BZ724" s="449"/>
    </row>
    <row r="725" spans="67:78" s="457" customFormat="1" x14ac:dyDescent="0.2">
      <c r="BO725" s="468"/>
      <c r="BP725" s="468"/>
      <c r="BQ725" s="468"/>
      <c r="BR725" s="468"/>
      <c r="BS725" s="468"/>
      <c r="BT725" s="468"/>
      <c r="BU725" s="468"/>
      <c r="BV725" s="468"/>
      <c r="BW725" s="469"/>
      <c r="BX725" s="449"/>
      <c r="BY725" s="449"/>
      <c r="BZ725" s="449"/>
    </row>
    <row r="726" spans="67:78" s="457" customFormat="1" x14ac:dyDescent="0.2">
      <c r="BO726" s="468"/>
      <c r="BP726" s="468"/>
      <c r="BQ726" s="468"/>
      <c r="BR726" s="468"/>
      <c r="BS726" s="468"/>
      <c r="BT726" s="468"/>
      <c r="BU726" s="468"/>
      <c r="BV726" s="468"/>
      <c r="BW726" s="469"/>
      <c r="BX726" s="449"/>
      <c r="BY726" s="449"/>
      <c r="BZ726" s="449"/>
    </row>
    <row r="727" spans="67:78" s="457" customFormat="1" x14ac:dyDescent="0.2">
      <c r="BO727" s="468"/>
      <c r="BP727" s="468"/>
      <c r="BQ727" s="468"/>
      <c r="BR727" s="468"/>
      <c r="BS727" s="468"/>
      <c r="BT727" s="468"/>
      <c r="BU727" s="468"/>
      <c r="BV727" s="468"/>
      <c r="BW727" s="469"/>
      <c r="BX727" s="449"/>
      <c r="BY727" s="449"/>
      <c r="BZ727" s="449"/>
    </row>
    <row r="728" spans="67:78" s="457" customFormat="1" x14ac:dyDescent="0.2">
      <c r="BO728" s="468"/>
      <c r="BP728" s="468"/>
      <c r="BQ728" s="468"/>
      <c r="BR728" s="468"/>
      <c r="BS728" s="468"/>
      <c r="BT728" s="468"/>
      <c r="BU728" s="468"/>
      <c r="BV728" s="468"/>
      <c r="BW728" s="469"/>
      <c r="BX728" s="449"/>
      <c r="BY728" s="449"/>
      <c r="BZ728" s="449"/>
    </row>
    <row r="729" spans="67:78" s="457" customFormat="1" x14ac:dyDescent="0.2">
      <c r="BO729" s="468"/>
      <c r="BP729" s="468"/>
      <c r="BQ729" s="468"/>
      <c r="BR729" s="468"/>
      <c r="BS729" s="468"/>
      <c r="BT729" s="468"/>
      <c r="BU729" s="468"/>
      <c r="BV729" s="468"/>
      <c r="BW729" s="469"/>
      <c r="BX729" s="449"/>
      <c r="BY729" s="449"/>
      <c r="BZ729" s="449"/>
    </row>
    <row r="730" spans="67:78" s="457" customFormat="1" x14ac:dyDescent="0.2">
      <c r="BO730" s="468"/>
      <c r="BP730" s="468"/>
      <c r="BQ730" s="468"/>
      <c r="BR730" s="468"/>
      <c r="BS730" s="468"/>
      <c r="BT730" s="468"/>
      <c r="BU730" s="468"/>
      <c r="BV730" s="468"/>
      <c r="BW730" s="469"/>
      <c r="BX730" s="449"/>
      <c r="BY730" s="449"/>
      <c r="BZ730" s="449"/>
    </row>
    <row r="731" spans="67:78" s="457" customFormat="1" x14ac:dyDescent="0.2">
      <c r="BO731" s="468"/>
      <c r="BP731" s="468"/>
      <c r="BQ731" s="468"/>
      <c r="BR731" s="468"/>
      <c r="BS731" s="468"/>
      <c r="BT731" s="468"/>
      <c r="BU731" s="468"/>
      <c r="BV731" s="468"/>
      <c r="BW731" s="469"/>
      <c r="BX731" s="449"/>
      <c r="BY731" s="449"/>
      <c r="BZ731" s="449"/>
    </row>
    <row r="732" spans="67:78" s="457" customFormat="1" x14ac:dyDescent="0.2">
      <c r="BO732" s="468"/>
      <c r="BP732" s="468"/>
      <c r="BQ732" s="468"/>
      <c r="BR732" s="468"/>
      <c r="BS732" s="468"/>
      <c r="BT732" s="468"/>
      <c r="BU732" s="468"/>
      <c r="BV732" s="468"/>
      <c r="BW732" s="469"/>
      <c r="BX732" s="449"/>
      <c r="BY732" s="449"/>
      <c r="BZ732" s="449"/>
    </row>
    <row r="733" spans="67:78" s="457" customFormat="1" x14ac:dyDescent="0.2">
      <c r="BO733" s="468"/>
      <c r="BP733" s="468"/>
      <c r="BQ733" s="468"/>
      <c r="BR733" s="468"/>
      <c r="BS733" s="468"/>
      <c r="BT733" s="468"/>
      <c r="BU733" s="468"/>
      <c r="BV733" s="468"/>
      <c r="BW733" s="469"/>
      <c r="BX733" s="449"/>
      <c r="BY733" s="449"/>
      <c r="BZ733" s="449"/>
    </row>
    <row r="734" spans="67:78" s="457" customFormat="1" x14ac:dyDescent="0.2">
      <c r="BO734" s="468"/>
      <c r="BP734" s="468"/>
      <c r="BQ734" s="468"/>
      <c r="BR734" s="468"/>
      <c r="BS734" s="468"/>
      <c r="BT734" s="468"/>
      <c r="BU734" s="468"/>
      <c r="BV734" s="468"/>
      <c r="BW734" s="469"/>
      <c r="BX734" s="449"/>
      <c r="BY734" s="449"/>
      <c r="BZ734" s="449"/>
    </row>
    <row r="735" spans="67:78" s="457" customFormat="1" x14ac:dyDescent="0.2">
      <c r="BO735" s="468"/>
      <c r="BP735" s="468"/>
      <c r="BQ735" s="468"/>
      <c r="BR735" s="468"/>
      <c r="BS735" s="468"/>
      <c r="BT735" s="468"/>
      <c r="BU735" s="468"/>
      <c r="BV735" s="468"/>
      <c r="BW735" s="469"/>
      <c r="BX735" s="449"/>
      <c r="BY735" s="449"/>
      <c r="BZ735" s="449"/>
    </row>
    <row r="736" spans="67:78" s="457" customFormat="1" x14ac:dyDescent="0.2">
      <c r="BO736" s="468"/>
      <c r="BP736" s="468"/>
      <c r="BQ736" s="468"/>
      <c r="BR736" s="468"/>
      <c r="BS736" s="468"/>
      <c r="BT736" s="468"/>
      <c r="BU736" s="468"/>
      <c r="BV736" s="468"/>
      <c r="BW736" s="469"/>
      <c r="BX736" s="449"/>
      <c r="BY736" s="449"/>
      <c r="BZ736" s="449"/>
    </row>
    <row r="737" spans="67:78" s="457" customFormat="1" x14ac:dyDescent="0.2">
      <c r="BO737" s="468"/>
      <c r="BP737" s="468"/>
      <c r="BQ737" s="468"/>
      <c r="BR737" s="468"/>
      <c r="BS737" s="468"/>
      <c r="BT737" s="468"/>
      <c r="BU737" s="468"/>
      <c r="BV737" s="468"/>
      <c r="BW737" s="469"/>
      <c r="BX737" s="449"/>
      <c r="BY737" s="449"/>
      <c r="BZ737" s="449"/>
    </row>
    <row r="738" spans="67:78" s="457" customFormat="1" x14ac:dyDescent="0.2">
      <c r="BO738" s="468"/>
      <c r="BP738" s="468"/>
      <c r="BQ738" s="468"/>
      <c r="BR738" s="468"/>
      <c r="BS738" s="468"/>
      <c r="BT738" s="468"/>
      <c r="BU738" s="468"/>
      <c r="BV738" s="468"/>
      <c r="BW738" s="469"/>
      <c r="BX738" s="449"/>
      <c r="BY738" s="449"/>
      <c r="BZ738" s="449"/>
    </row>
    <row r="739" spans="67:78" s="457" customFormat="1" x14ac:dyDescent="0.2">
      <c r="BO739" s="468"/>
      <c r="BP739" s="468"/>
      <c r="BQ739" s="468"/>
      <c r="BR739" s="468"/>
      <c r="BS739" s="468"/>
      <c r="BT739" s="468"/>
      <c r="BU739" s="468"/>
      <c r="BV739" s="468"/>
      <c r="BW739" s="469"/>
      <c r="BX739" s="449"/>
      <c r="BY739" s="449"/>
      <c r="BZ739" s="449"/>
    </row>
    <row r="740" spans="67:78" s="457" customFormat="1" x14ac:dyDescent="0.2">
      <c r="BO740" s="468"/>
      <c r="BP740" s="468"/>
      <c r="BQ740" s="468"/>
      <c r="BR740" s="468"/>
      <c r="BS740" s="468"/>
      <c r="BT740" s="468"/>
      <c r="BU740" s="468"/>
      <c r="BV740" s="468"/>
      <c r="BW740" s="469"/>
      <c r="BX740" s="449"/>
      <c r="BY740" s="449"/>
      <c r="BZ740" s="449"/>
    </row>
    <row r="741" spans="67:78" s="457" customFormat="1" x14ac:dyDescent="0.2">
      <c r="BO741" s="468"/>
      <c r="BP741" s="468"/>
      <c r="BQ741" s="468"/>
      <c r="BR741" s="468"/>
      <c r="BS741" s="468"/>
      <c r="BT741" s="468"/>
      <c r="BU741" s="468"/>
      <c r="BV741" s="468"/>
      <c r="BW741" s="469"/>
      <c r="BX741" s="449"/>
      <c r="BY741" s="449"/>
      <c r="BZ741" s="449"/>
    </row>
    <row r="742" spans="67:78" s="457" customFormat="1" x14ac:dyDescent="0.2">
      <c r="BO742" s="468"/>
      <c r="BP742" s="468"/>
      <c r="BQ742" s="468"/>
      <c r="BR742" s="468"/>
      <c r="BS742" s="468"/>
      <c r="BT742" s="468"/>
      <c r="BU742" s="468"/>
      <c r="BV742" s="468"/>
      <c r="BW742" s="469"/>
      <c r="BX742" s="449"/>
      <c r="BY742" s="449"/>
      <c r="BZ742" s="449"/>
    </row>
    <row r="743" spans="67:78" s="457" customFormat="1" x14ac:dyDescent="0.2">
      <c r="BO743" s="468"/>
      <c r="BP743" s="468"/>
      <c r="BQ743" s="468"/>
      <c r="BR743" s="468"/>
      <c r="BS743" s="468"/>
      <c r="BT743" s="468"/>
      <c r="BU743" s="468"/>
      <c r="BV743" s="468"/>
      <c r="BW743" s="469"/>
      <c r="BX743" s="449"/>
      <c r="BY743" s="449"/>
      <c r="BZ743" s="449"/>
    </row>
    <row r="744" spans="67:78" s="457" customFormat="1" x14ac:dyDescent="0.2">
      <c r="BO744" s="468"/>
      <c r="BP744" s="468"/>
      <c r="BQ744" s="468"/>
      <c r="BR744" s="468"/>
      <c r="BS744" s="468"/>
      <c r="BT744" s="468"/>
      <c r="BU744" s="468"/>
      <c r="BV744" s="468"/>
      <c r="BW744" s="469"/>
      <c r="BX744" s="449"/>
      <c r="BY744" s="449"/>
      <c r="BZ744" s="449"/>
    </row>
    <row r="745" spans="67:78" s="457" customFormat="1" x14ac:dyDescent="0.2">
      <c r="BO745" s="468"/>
      <c r="BP745" s="468"/>
      <c r="BQ745" s="468"/>
      <c r="BR745" s="468"/>
      <c r="BS745" s="468"/>
      <c r="BT745" s="468"/>
      <c r="BU745" s="468"/>
      <c r="BV745" s="468"/>
      <c r="BW745" s="469"/>
      <c r="BX745" s="449"/>
      <c r="BY745" s="449"/>
      <c r="BZ745" s="449"/>
    </row>
    <row r="746" spans="67:78" s="457" customFormat="1" x14ac:dyDescent="0.2">
      <c r="BO746" s="468"/>
      <c r="BP746" s="468"/>
      <c r="BQ746" s="468"/>
      <c r="BR746" s="468"/>
      <c r="BS746" s="468"/>
      <c r="BT746" s="468"/>
      <c r="BU746" s="468"/>
      <c r="BV746" s="468"/>
      <c r="BW746" s="469"/>
      <c r="BX746" s="449"/>
      <c r="BY746" s="449"/>
      <c r="BZ746" s="449"/>
    </row>
    <row r="747" spans="67:78" s="457" customFormat="1" x14ac:dyDescent="0.2">
      <c r="BO747" s="468"/>
      <c r="BP747" s="468"/>
      <c r="BQ747" s="468"/>
      <c r="BR747" s="468"/>
      <c r="BS747" s="468"/>
      <c r="BT747" s="468"/>
      <c r="BU747" s="468"/>
      <c r="BV747" s="468"/>
      <c r="BW747" s="469"/>
      <c r="BX747" s="449"/>
      <c r="BY747" s="449"/>
      <c r="BZ747" s="449"/>
    </row>
    <row r="748" spans="67:78" s="457" customFormat="1" x14ac:dyDescent="0.2">
      <c r="BO748" s="468"/>
      <c r="BP748" s="468"/>
      <c r="BQ748" s="468"/>
      <c r="BR748" s="468"/>
      <c r="BS748" s="468"/>
      <c r="BT748" s="468"/>
      <c r="BU748" s="468"/>
      <c r="BV748" s="468"/>
      <c r="BW748" s="469"/>
      <c r="BX748" s="449"/>
      <c r="BY748" s="449"/>
      <c r="BZ748" s="449"/>
    </row>
    <row r="749" spans="67:78" s="457" customFormat="1" x14ac:dyDescent="0.2">
      <c r="BO749" s="468"/>
      <c r="BP749" s="468"/>
      <c r="BQ749" s="468"/>
      <c r="BR749" s="468"/>
      <c r="BS749" s="468"/>
      <c r="BT749" s="468"/>
      <c r="BU749" s="468"/>
      <c r="BV749" s="468"/>
      <c r="BW749" s="469"/>
      <c r="BX749" s="449"/>
      <c r="BY749" s="449"/>
      <c r="BZ749" s="449"/>
    </row>
    <row r="750" spans="67:78" s="457" customFormat="1" x14ac:dyDescent="0.2">
      <c r="BO750" s="468"/>
      <c r="BP750" s="468"/>
      <c r="BQ750" s="468"/>
      <c r="BR750" s="468"/>
      <c r="BS750" s="468"/>
      <c r="BT750" s="468"/>
      <c r="BU750" s="468"/>
      <c r="BV750" s="468"/>
      <c r="BW750" s="469"/>
      <c r="BX750" s="449"/>
      <c r="BY750" s="449"/>
      <c r="BZ750" s="449"/>
    </row>
    <row r="751" spans="67:78" s="457" customFormat="1" x14ac:dyDescent="0.2">
      <c r="BO751" s="468"/>
      <c r="BP751" s="468"/>
      <c r="BQ751" s="468"/>
      <c r="BR751" s="468"/>
      <c r="BS751" s="468"/>
      <c r="BT751" s="468"/>
      <c r="BU751" s="468"/>
      <c r="BV751" s="468"/>
      <c r="BW751" s="469"/>
      <c r="BX751" s="449"/>
      <c r="BY751" s="449"/>
      <c r="BZ751" s="449"/>
    </row>
    <row r="752" spans="67:78" s="457" customFormat="1" x14ac:dyDescent="0.2">
      <c r="BO752" s="468"/>
      <c r="BP752" s="468"/>
      <c r="BQ752" s="468"/>
      <c r="BR752" s="468"/>
      <c r="BS752" s="468"/>
      <c r="BT752" s="468"/>
      <c r="BU752" s="468"/>
      <c r="BV752" s="468"/>
      <c r="BW752" s="469"/>
      <c r="BX752" s="449"/>
      <c r="BY752" s="449"/>
      <c r="BZ752" s="449"/>
    </row>
    <row r="753" spans="67:78" s="457" customFormat="1" x14ac:dyDescent="0.2">
      <c r="BO753" s="468"/>
      <c r="BP753" s="468"/>
      <c r="BQ753" s="468"/>
      <c r="BR753" s="468"/>
      <c r="BS753" s="468"/>
      <c r="BT753" s="468"/>
      <c r="BU753" s="468"/>
      <c r="BV753" s="468"/>
      <c r="BW753" s="469"/>
      <c r="BX753" s="449"/>
      <c r="BY753" s="449"/>
      <c r="BZ753" s="449"/>
    </row>
    <row r="754" spans="67:78" s="457" customFormat="1" x14ac:dyDescent="0.2">
      <c r="BO754" s="468"/>
      <c r="BP754" s="468"/>
      <c r="BQ754" s="468"/>
      <c r="BR754" s="468"/>
      <c r="BS754" s="468"/>
      <c r="BT754" s="468"/>
      <c r="BU754" s="468"/>
      <c r="BV754" s="468"/>
      <c r="BW754" s="469"/>
      <c r="BX754" s="449"/>
      <c r="BY754" s="449"/>
      <c r="BZ754" s="449"/>
    </row>
    <row r="755" spans="67:78" s="457" customFormat="1" x14ac:dyDescent="0.2">
      <c r="BO755" s="468"/>
      <c r="BP755" s="468"/>
      <c r="BQ755" s="468"/>
      <c r="BR755" s="468"/>
      <c r="BS755" s="468"/>
      <c r="BT755" s="468"/>
      <c r="BU755" s="468"/>
      <c r="BV755" s="468"/>
      <c r="BW755" s="469"/>
      <c r="BX755" s="449"/>
      <c r="BY755" s="449"/>
      <c r="BZ755" s="449"/>
    </row>
    <row r="756" spans="67:78" s="457" customFormat="1" x14ac:dyDescent="0.2">
      <c r="BO756" s="468"/>
      <c r="BP756" s="468"/>
      <c r="BQ756" s="468"/>
      <c r="BR756" s="468"/>
      <c r="BS756" s="468"/>
      <c r="BT756" s="468"/>
      <c r="BU756" s="468"/>
      <c r="BV756" s="468"/>
      <c r="BW756" s="469"/>
      <c r="BX756" s="449"/>
      <c r="BY756" s="449"/>
      <c r="BZ756" s="449"/>
    </row>
    <row r="757" spans="67:78" s="457" customFormat="1" x14ac:dyDescent="0.2">
      <c r="BO757" s="468"/>
      <c r="BP757" s="468"/>
      <c r="BQ757" s="468"/>
      <c r="BR757" s="468"/>
      <c r="BS757" s="468"/>
      <c r="BT757" s="468"/>
      <c r="BU757" s="468"/>
      <c r="BV757" s="468"/>
      <c r="BW757" s="469"/>
      <c r="BX757" s="449"/>
      <c r="BY757" s="449"/>
      <c r="BZ757" s="449"/>
    </row>
    <row r="758" spans="67:78" s="457" customFormat="1" x14ac:dyDescent="0.2">
      <c r="BO758" s="468"/>
      <c r="BP758" s="468"/>
      <c r="BQ758" s="468"/>
      <c r="BR758" s="468"/>
      <c r="BS758" s="468"/>
      <c r="BT758" s="468"/>
      <c r="BU758" s="468"/>
      <c r="BV758" s="468"/>
      <c r="BW758" s="469"/>
      <c r="BX758" s="449"/>
      <c r="BY758" s="449"/>
      <c r="BZ758" s="449"/>
    </row>
    <row r="759" spans="67:78" s="457" customFormat="1" x14ac:dyDescent="0.2">
      <c r="BO759" s="468"/>
      <c r="BP759" s="468"/>
      <c r="BQ759" s="468"/>
      <c r="BR759" s="468"/>
      <c r="BS759" s="468"/>
      <c r="BT759" s="468"/>
      <c r="BU759" s="468"/>
      <c r="BV759" s="468"/>
      <c r="BW759" s="469"/>
      <c r="BX759" s="449"/>
      <c r="BY759" s="449"/>
      <c r="BZ759" s="449"/>
    </row>
    <row r="760" spans="67:78" s="457" customFormat="1" x14ac:dyDescent="0.2">
      <c r="BO760" s="468"/>
      <c r="BP760" s="468"/>
      <c r="BQ760" s="468"/>
      <c r="BR760" s="468"/>
      <c r="BS760" s="468"/>
      <c r="BT760" s="468"/>
      <c r="BU760" s="468"/>
      <c r="BV760" s="468"/>
      <c r="BW760" s="469"/>
      <c r="BX760" s="449"/>
      <c r="BY760" s="449"/>
      <c r="BZ760" s="449"/>
    </row>
    <row r="761" spans="67:78" s="457" customFormat="1" x14ac:dyDescent="0.2">
      <c r="BO761" s="468"/>
      <c r="BP761" s="468"/>
      <c r="BQ761" s="468"/>
      <c r="BR761" s="468"/>
      <c r="BS761" s="468"/>
      <c r="BT761" s="468"/>
      <c r="BU761" s="468"/>
      <c r="BV761" s="468"/>
      <c r="BW761" s="469"/>
      <c r="BX761" s="449"/>
      <c r="BY761" s="449"/>
      <c r="BZ761" s="449"/>
    </row>
    <row r="762" spans="67:78" s="457" customFormat="1" x14ac:dyDescent="0.2">
      <c r="BO762" s="468"/>
      <c r="BP762" s="468"/>
      <c r="BQ762" s="468"/>
      <c r="BR762" s="468"/>
      <c r="BS762" s="468"/>
      <c r="BT762" s="468"/>
      <c r="BU762" s="468"/>
      <c r="BV762" s="468"/>
      <c r="BW762" s="469"/>
      <c r="BX762" s="449"/>
      <c r="BY762" s="449"/>
      <c r="BZ762" s="449"/>
    </row>
    <row r="763" spans="67:78" s="457" customFormat="1" x14ac:dyDescent="0.2">
      <c r="BO763" s="468"/>
      <c r="BP763" s="468"/>
      <c r="BQ763" s="468"/>
      <c r="BR763" s="468"/>
      <c r="BS763" s="468"/>
      <c r="BT763" s="468"/>
      <c r="BU763" s="468"/>
      <c r="BV763" s="468"/>
      <c r="BW763" s="469"/>
      <c r="BX763" s="449"/>
      <c r="BY763" s="449"/>
      <c r="BZ763" s="449"/>
    </row>
    <row r="764" spans="67:78" s="457" customFormat="1" x14ac:dyDescent="0.2">
      <c r="BO764" s="468"/>
      <c r="BP764" s="468"/>
      <c r="BQ764" s="468"/>
      <c r="BR764" s="468"/>
      <c r="BS764" s="468"/>
      <c r="BT764" s="468"/>
      <c r="BU764" s="468"/>
      <c r="BV764" s="468"/>
      <c r="BW764" s="469"/>
      <c r="BX764" s="449"/>
      <c r="BY764" s="449"/>
      <c r="BZ764" s="449"/>
    </row>
    <row r="765" spans="67:78" s="457" customFormat="1" x14ac:dyDescent="0.2">
      <c r="BO765" s="468"/>
      <c r="BP765" s="468"/>
      <c r="BQ765" s="468"/>
      <c r="BR765" s="468"/>
      <c r="BS765" s="468"/>
      <c r="BT765" s="468"/>
      <c r="BU765" s="468"/>
      <c r="BV765" s="468"/>
      <c r="BW765" s="469"/>
      <c r="BX765" s="449"/>
      <c r="BY765" s="449"/>
      <c r="BZ765" s="449"/>
    </row>
    <row r="766" spans="67:78" s="457" customFormat="1" x14ac:dyDescent="0.2">
      <c r="BO766" s="468"/>
      <c r="BP766" s="468"/>
      <c r="BQ766" s="468"/>
      <c r="BR766" s="468"/>
      <c r="BS766" s="468"/>
      <c r="BT766" s="468"/>
      <c r="BU766" s="468"/>
      <c r="BV766" s="468"/>
      <c r="BW766" s="469"/>
      <c r="BX766" s="449"/>
      <c r="BY766" s="449"/>
      <c r="BZ766" s="449"/>
    </row>
    <row r="767" spans="67:78" s="457" customFormat="1" x14ac:dyDescent="0.2">
      <c r="BO767" s="468"/>
      <c r="BP767" s="468"/>
      <c r="BQ767" s="468"/>
      <c r="BR767" s="468"/>
      <c r="BS767" s="468"/>
      <c r="BT767" s="468"/>
      <c r="BU767" s="468"/>
      <c r="BV767" s="468"/>
      <c r="BW767" s="469"/>
      <c r="BX767" s="449"/>
      <c r="BY767" s="449"/>
      <c r="BZ767" s="449"/>
    </row>
    <row r="768" spans="67:78" s="457" customFormat="1" x14ac:dyDescent="0.2">
      <c r="BO768" s="468"/>
      <c r="BP768" s="468"/>
      <c r="BQ768" s="468"/>
      <c r="BR768" s="468"/>
      <c r="BS768" s="468"/>
      <c r="BT768" s="468"/>
      <c r="BU768" s="468"/>
      <c r="BV768" s="468"/>
      <c r="BW768" s="469"/>
      <c r="BX768" s="449"/>
      <c r="BY768" s="449"/>
      <c r="BZ768" s="449"/>
    </row>
    <row r="769" spans="67:78" s="457" customFormat="1" x14ac:dyDescent="0.2">
      <c r="BO769" s="468"/>
      <c r="BP769" s="468"/>
      <c r="BQ769" s="468"/>
      <c r="BR769" s="468"/>
      <c r="BS769" s="468"/>
      <c r="BT769" s="468"/>
      <c r="BU769" s="468"/>
      <c r="BV769" s="468"/>
      <c r="BW769" s="469"/>
      <c r="BX769" s="449"/>
      <c r="BY769" s="449"/>
      <c r="BZ769" s="449"/>
    </row>
    <row r="770" spans="67:78" s="457" customFormat="1" x14ac:dyDescent="0.2">
      <c r="BO770" s="468"/>
      <c r="BP770" s="468"/>
      <c r="BQ770" s="468"/>
      <c r="BR770" s="468"/>
      <c r="BS770" s="468"/>
      <c r="BT770" s="468"/>
      <c r="BU770" s="468"/>
      <c r="BV770" s="468"/>
      <c r="BW770" s="469"/>
      <c r="BX770" s="449"/>
      <c r="BY770" s="449"/>
      <c r="BZ770" s="449"/>
    </row>
    <row r="771" spans="67:78" s="457" customFormat="1" x14ac:dyDescent="0.2">
      <c r="BO771" s="468"/>
      <c r="BP771" s="468"/>
      <c r="BQ771" s="468"/>
      <c r="BR771" s="468"/>
      <c r="BS771" s="468"/>
      <c r="BT771" s="468"/>
      <c r="BU771" s="468"/>
      <c r="BV771" s="468"/>
      <c r="BW771" s="469"/>
      <c r="BX771" s="449"/>
      <c r="BY771" s="449"/>
      <c r="BZ771" s="449"/>
    </row>
    <row r="772" spans="67:78" s="457" customFormat="1" x14ac:dyDescent="0.2">
      <c r="BO772" s="468"/>
      <c r="BP772" s="468"/>
      <c r="BQ772" s="468"/>
      <c r="BR772" s="468"/>
      <c r="BS772" s="468"/>
      <c r="BT772" s="468"/>
      <c r="BU772" s="468"/>
      <c r="BV772" s="468"/>
      <c r="BW772" s="469"/>
      <c r="BX772" s="449"/>
      <c r="BY772" s="449"/>
      <c r="BZ772" s="449"/>
    </row>
    <row r="773" spans="67:78" s="457" customFormat="1" x14ac:dyDescent="0.2">
      <c r="BO773" s="468"/>
      <c r="BP773" s="468"/>
      <c r="BQ773" s="468"/>
      <c r="BR773" s="468"/>
      <c r="BS773" s="468"/>
      <c r="BT773" s="468"/>
      <c r="BU773" s="468"/>
      <c r="BV773" s="468"/>
      <c r="BW773" s="469"/>
      <c r="BX773" s="449"/>
      <c r="BY773" s="449"/>
      <c r="BZ773" s="449"/>
    </row>
    <row r="774" spans="67:78" s="457" customFormat="1" x14ac:dyDescent="0.2">
      <c r="BO774" s="468"/>
      <c r="BP774" s="468"/>
      <c r="BQ774" s="468"/>
      <c r="BR774" s="468"/>
      <c r="BS774" s="468"/>
      <c r="BT774" s="468"/>
      <c r="BU774" s="468"/>
      <c r="BV774" s="468"/>
      <c r="BW774" s="469"/>
      <c r="BX774" s="449"/>
      <c r="BY774" s="449"/>
      <c r="BZ774" s="449"/>
    </row>
    <row r="775" spans="67:78" s="457" customFormat="1" x14ac:dyDescent="0.2">
      <c r="BO775" s="468"/>
      <c r="BP775" s="468"/>
      <c r="BQ775" s="468"/>
      <c r="BR775" s="468"/>
      <c r="BS775" s="468"/>
      <c r="BT775" s="468"/>
      <c r="BU775" s="468"/>
      <c r="BV775" s="468"/>
      <c r="BW775" s="469"/>
      <c r="BX775" s="449"/>
      <c r="BY775" s="449"/>
      <c r="BZ775" s="449"/>
    </row>
    <row r="776" spans="67:78" s="457" customFormat="1" x14ac:dyDescent="0.2">
      <c r="BO776" s="468"/>
      <c r="BP776" s="468"/>
      <c r="BQ776" s="468"/>
      <c r="BR776" s="468"/>
      <c r="BS776" s="468"/>
      <c r="BT776" s="468"/>
      <c r="BU776" s="468"/>
      <c r="BV776" s="468"/>
      <c r="BW776" s="469"/>
      <c r="BX776" s="449"/>
      <c r="BY776" s="449"/>
      <c r="BZ776" s="449"/>
    </row>
    <row r="777" spans="67:78" s="457" customFormat="1" x14ac:dyDescent="0.2">
      <c r="BO777" s="468"/>
      <c r="BP777" s="468"/>
      <c r="BQ777" s="468"/>
      <c r="BR777" s="468"/>
      <c r="BS777" s="468"/>
      <c r="BT777" s="468"/>
      <c r="BU777" s="468"/>
      <c r="BV777" s="468"/>
      <c r="BW777" s="469"/>
      <c r="BX777" s="449"/>
      <c r="BY777" s="449"/>
      <c r="BZ777" s="449"/>
    </row>
    <row r="778" spans="67:78" s="457" customFormat="1" x14ac:dyDescent="0.2">
      <c r="BO778" s="468"/>
      <c r="BP778" s="468"/>
      <c r="BQ778" s="468"/>
      <c r="BR778" s="468"/>
      <c r="BS778" s="468"/>
      <c r="BT778" s="468"/>
      <c r="BU778" s="468"/>
      <c r="BV778" s="468"/>
      <c r="BW778" s="469"/>
      <c r="BX778" s="449"/>
      <c r="BY778" s="449"/>
      <c r="BZ778" s="449"/>
    </row>
    <row r="779" spans="67:78" s="457" customFormat="1" x14ac:dyDescent="0.2">
      <c r="BO779" s="468"/>
      <c r="BP779" s="468"/>
      <c r="BQ779" s="468"/>
      <c r="BR779" s="468"/>
      <c r="BS779" s="468"/>
      <c r="BT779" s="468"/>
      <c r="BU779" s="468"/>
      <c r="BV779" s="468"/>
      <c r="BW779" s="469"/>
      <c r="BX779" s="449"/>
      <c r="BY779" s="449"/>
      <c r="BZ779" s="449"/>
    </row>
    <row r="780" spans="67:78" s="457" customFormat="1" x14ac:dyDescent="0.2">
      <c r="BO780" s="468"/>
      <c r="BP780" s="468"/>
      <c r="BQ780" s="468"/>
      <c r="BR780" s="468"/>
      <c r="BS780" s="468"/>
      <c r="BT780" s="468"/>
      <c r="BU780" s="468"/>
      <c r="BV780" s="468"/>
      <c r="BW780" s="469"/>
      <c r="BX780" s="449"/>
      <c r="BY780" s="449"/>
      <c r="BZ780" s="449"/>
    </row>
    <row r="781" spans="67:78" s="457" customFormat="1" x14ac:dyDescent="0.2">
      <c r="BO781" s="468"/>
      <c r="BP781" s="468"/>
      <c r="BQ781" s="468"/>
      <c r="BR781" s="468"/>
      <c r="BS781" s="468"/>
      <c r="BT781" s="468"/>
      <c r="BU781" s="468"/>
      <c r="BV781" s="468"/>
      <c r="BW781" s="469"/>
      <c r="BX781" s="449"/>
      <c r="BY781" s="449"/>
      <c r="BZ781" s="449"/>
    </row>
    <row r="782" spans="67:78" s="457" customFormat="1" x14ac:dyDescent="0.2">
      <c r="BO782" s="468"/>
      <c r="BP782" s="468"/>
      <c r="BQ782" s="468"/>
      <c r="BR782" s="468"/>
      <c r="BS782" s="468"/>
      <c r="BT782" s="468"/>
      <c r="BU782" s="468"/>
      <c r="BV782" s="468"/>
      <c r="BW782" s="469"/>
      <c r="BX782" s="449"/>
      <c r="BY782" s="449"/>
      <c r="BZ782" s="449"/>
    </row>
    <row r="783" spans="67:78" s="457" customFormat="1" x14ac:dyDescent="0.2">
      <c r="BO783" s="468"/>
      <c r="BP783" s="468"/>
      <c r="BQ783" s="468"/>
      <c r="BR783" s="468"/>
      <c r="BS783" s="468"/>
      <c r="BT783" s="468"/>
      <c r="BU783" s="468"/>
      <c r="BV783" s="468"/>
      <c r="BW783" s="469"/>
      <c r="BX783" s="449"/>
      <c r="BY783" s="449"/>
      <c r="BZ783" s="449"/>
    </row>
    <row r="784" spans="67:78" s="457" customFormat="1" x14ac:dyDescent="0.2">
      <c r="BO784" s="468"/>
      <c r="BP784" s="468"/>
      <c r="BQ784" s="468"/>
      <c r="BR784" s="468"/>
      <c r="BS784" s="468"/>
      <c r="BT784" s="468"/>
      <c r="BU784" s="468"/>
      <c r="BV784" s="468"/>
      <c r="BW784" s="469"/>
      <c r="BX784" s="449"/>
      <c r="BY784" s="449"/>
      <c r="BZ784" s="449"/>
    </row>
    <row r="785" spans="67:78" s="457" customFormat="1" x14ac:dyDescent="0.2">
      <c r="BO785" s="468"/>
      <c r="BP785" s="468"/>
      <c r="BQ785" s="468"/>
      <c r="BR785" s="468"/>
      <c r="BS785" s="468"/>
      <c r="BT785" s="468"/>
      <c r="BU785" s="468"/>
      <c r="BV785" s="468"/>
      <c r="BW785" s="469"/>
      <c r="BX785" s="449"/>
      <c r="BY785" s="449"/>
      <c r="BZ785" s="449"/>
    </row>
    <row r="786" spans="67:78" s="457" customFormat="1" x14ac:dyDescent="0.2">
      <c r="BO786" s="468"/>
      <c r="BP786" s="468"/>
      <c r="BQ786" s="468"/>
      <c r="BR786" s="468"/>
      <c r="BS786" s="468"/>
      <c r="BT786" s="468"/>
      <c r="BU786" s="468"/>
      <c r="BV786" s="468"/>
      <c r="BW786" s="469"/>
      <c r="BX786" s="449"/>
      <c r="BY786" s="449"/>
      <c r="BZ786" s="449"/>
    </row>
    <row r="787" spans="67:78" s="457" customFormat="1" x14ac:dyDescent="0.2">
      <c r="BO787" s="468"/>
      <c r="BP787" s="468"/>
      <c r="BQ787" s="468"/>
      <c r="BR787" s="468"/>
      <c r="BS787" s="468"/>
      <c r="BT787" s="468"/>
      <c r="BU787" s="468"/>
      <c r="BV787" s="468"/>
      <c r="BW787" s="469"/>
      <c r="BX787" s="449"/>
      <c r="BY787" s="449"/>
      <c r="BZ787" s="449"/>
    </row>
    <row r="788" spans="67:78" s="457" customFormat="1" x14ac:dyDescent="0.2">
      <c r="BO788" s="468"/>
      <c r="BP788" s="468"/>
      <c r="BQ788" s="468"/>
      <c r="BR788" s="468"/>
      <c r="BS788" s="468"/>
      <c r="BT788" s="468"/>
      <c r="BU788" s="468"/>
      <c r="BV788" s="468"/>
      <c r="BW788" s="469"/>
      <c r="BX788" s="449"/>
      <c r="BY788" s="449"/>
      <c r="BZ788" s="449"/>
    </row>
    <row r="789" spans="67:78" s="457" customFormat="1" x14ac:dyDescent="0.2">
      <c r="BO789" s="468"/>
      <c r="BP789" s="468"/>
      <c r="BQ789" s="468"/>
      <c r="BR789" s="468"/>
      <c r="BS789" s="468"/>
      <c r="BT789" s="468"/>
      <c r="BU789" s="468"/>
      <c r="BV789" s="468"/>
      <c r="BW789" s="469"/>
      <c r="BX789" s="449"/>
      <c r="BY789" s="449"/>
      <c r="BZ789" s="449"/>
    </row>
    <row r="790" spans="67:78" s="457" customFormat="1" x14ac:dyDescent="0.2">
      <c r="BO790" s="468"/>
      <c r="BP790" s="468"/>
      <c r="BQ790" s="468"/>
      <c r="BR790" s="468"/>
      <c r="BS790" s="468"/>
      <c r="BT790" s="468"/>
      <c r="BU790" s="468"/>
      <c r="BV790" s="468"/>
      <c r="BW790" s="469"/>
      <c r="BX790" s="449"/>
      <c r="BY790" s="449"/>
      <c r="BZ790" s="449"/>
    </row>
    <row r="791" spans="67:78" s="457" customFormat="1" x14ac:dyDescent="0.2">
      <c r="BO791" s="468"/>
      <c r="BP791" s="468"/>
      <c r="BQ791" s="468"/>
      <c r="BR791" s="468"/>
      <c r="BS791" s="468"/>
      <c r="BT791" s="468"/>
      <c r="BU791" s="468"/>
      <c r="BV791" s="468"/>
      <c r="BW791" s="469"/>
      <c r="BX791" s="449"/>
      <c r="BY791" s="449"/>
      <c r="BZ791" s="449"/>
    </row>
    <row r="792" spans="67:78" s="457" customFormat="1" x14ac:dyDescent="0.2">
      <c r="BO792" s="468"/>
      <c r="BP792" s="468"/>
      <c r="BQ792" s="468"/>
      <c r="BR792" s="468"/>
      <c r="BS792" s="468"/>
      <c r="BT792" s="468"/>
      <c r="BU792" s="468"/>
      <c r="BV792" s="468"/>
      <c r="BW792" s="469"/>
      <c r="BX792" s="449"/>
      <c r="BY792" s="449"/>
      <c r="BZ792" s="449"/>
    </row>
    <row r="793" spans="67:78" s="457" customFormat="1" x14ac:dyDescent="0.2">
      <c r="BO793" s="468"/>
      <c r="BP793" s="468"/>
      <c r="BQ793" s="468"/>
      <c r="BR793" s="468"/>
      <c r="BS793" s="468"/>
      <c r="BT793" s="468"/>
      <c r="BU793" s="468"/>
      <c r="BV793" s="468"/>
      <c r="BW793" s="469"/>
      <c r="BX793" s="449"/>
      <c r="BY793" s="449"/>
      <c r="BZ793" s="449"/>
    </row>
    <row r="794" spans="67:78" s="457" customFormat="1" x14ac:dyDescent="0.2">
      <c r="BO794" s="468"/>
      <c r="BP794" s="468"/>
      <c r="BQ794" s="468"/>
      <c r="BR794" s="468"/>
      <c r="BS794" s="468"/>
      <c r="BT794" s="468"/>
      <c r="BU794" s="468"/>
      <c r="BV794" s="468"/>
      <c r="BW794" s="469"/>
      <c r="BX794" s="449"/>
      <c r="BY794" s="449"/>
      <c r="BZ794" s="449"/>
    </row>
    <row r="795" spans="67:78" s="457" customFormat="1" x14ac:dyDescent="0.2">
      <c r="BO795" s="468"/>
      <c r="BP795" s="468"/>
      <c r="BQ795" s="468"/>
      <c r="BR795" s="468"/>
      <c r="BS795" s="468"/>
      <c r="BT795" s="468"/>
      <c r="BU795" s="468"/>
      <c r="BV795" s="468"/>
      <c r="BW795" s="469"/>
      <c r="BX795" s="449"/>
      <c r="BY795" s="449"/>
      <c r="BZ795" s="449"/>
    </row>
    <row r="796" spans="67:78" s="457" customFormat="1" x14ac:dyDescent="0.2">
      <c r="BO796" s="468"/>
      <c r="BP796" s="468"/>
      <c r="BQ796" s="468"/>
      <c r="BR796" s="468"/>
      <c r="BS796" s="468"/>
      <c r="BT796" s="468"/>
      <c r="BU796" s="468"/>
      <c r="BV796" s="468"/>
      <c r="BW796" s="469"/>
      <c r="BX796" s="449"/>
      <c r="BY796" s="449"/>
      <c r="BZ796" s="449"/>
    </row>
    <row r="797" spans="67:78" s="457" customFormat="1" x14ac:dyDescent="0.2">
      <c r="BO797" s="468"/>
      <c r="BP797" s="468"/>
      <c r="BQ797" s="468"/>
      <c r="BR797" s="468"/>
      <c r="BS797" s="468"/>
      <c r="BT797" s="468"/>
      <c r="BU797" s="468"/>
      <c r="BV797" s="468"/>
      <c r="BW797" s="469"/>
      <c r="BX797" s="449"/>
      <c r="BY797" s="449"/>
      <c r="BZ797" s="449"/>
    </row>
    <row r="798" spans="67:78" s="457" customFormat="1" x14ac:dyDescent="0.2">
      <c r="BO798" s="468"/>
      <c r="BP798" s="468"/>
      <c r="BQ798" s="468"/>
      <c r="BR798" s="468"/>
      <c r="BS798" s="468"/>
      <c r="BT798" s="468"/>
      <c r="BU798" s="468"/>
      <c r="BV798" s="468"/>
      <c r="BW798" s="469"/>
      <c r="BX798" s="449"/>
      <c r="BY798" s="449"/>
      <c r="BZ798" s="449"/>
    </row>
    <row r="799" spans="67:78" s="457" customFormat="1" x14ac:dyDescent="0.2">
      <c r="BO799" s="468"/>
      <c r="BP799" s="468"/>
      <c r="BQ799" s="468"/>
      <c r="BR799" s="468"/>
      <c r="BS799" s="468"/>
      <c r="BT799" s="468"/>
      <c r="BU799" s="468"/>
      <c r="BV799" s="468"/>
      <c r="BW799" s="469"/>
      <c r="BX799" s="449"/>
      <c r="BY799" s="449"/>
      <c r="BZ799" s="449"/>
    </row>
    <row r="800" spans="67:78" s="457" customFormat="1" x14ac:dyDescent="0.2">
      <c r="BO800" s="468"/>
      <c r="BP800" s="468"/>
      <c r="BQ800" s="468"/>
      <c r="BR800" s="468"/>
      <c r="BS800" s="468"/>
      <c r="BT800" s="468"/>
      <c r="BU800" s="468"/>
      <c r="BV800" s="468"/>
      <c r="BW800" s="469"/>
      <c r="BX800" s="449"/>
      <c r="BY800" s="449"/>
      <c r="BZ800" s="449"/>
    </row>
    <row r="801" spans="67:78" s="457" customFormat="1" x14ac:dyDescent="0.2">
      <c r="BO801" s="468"/>
      <c r="BP801" s="468"/>
      <c r="BQ801" s="468"/>
      <c r="BR801" s="468"/>
      <c r="BS801" s="468"/>
      <c r="BT801" s="468"/>
      <c r="BU801" s="468"/>
      <c r="BV801" s="468"/>
      <c r="BW801" s="469"/>
      <c r="BX801" s="449"/>
      <c r="BY801" s="449"/>
      <c r="BZ801" s="449"/>
    </row>
    <row r="802" spans="67:78" s="457" customFormat="1" x14ac:dyDescent="0.2">
      <c r="BO802" s="468"/>
      <c r="BP802" s="468"/>
      <c r="BQ802" s="468"/>
      <c r="BR802" s="468"/>
      <c r="BS802" s="468"/>
      <c r="BT802" s="468"/>
      <c r="BU802" s="468"/>
      <c r="BV802" s="468"/>
      <c r="BW802" s="469"/>
      <c r="BX802" s="449"/>
      <c r="BY802" s="449"/>
      <c r="BZ802" s="449"/>
    </row>
    <row r="803" spans="67:78" s="457" customFormat="1" x14ac:dyDescent="0.2">
      <c r="BO803" s="468"/>
      <c r="BP803" s="468"/>
      <c r="BQ803" s="468"/>
      <c r="BR803" s="468"/>
      <c r="BS803" s="468"/>
      <c r="BT803" s="468"/>
      <c r="BU803" s="468"/>
      <c r="BV803" s="468"/>
      <c r="BW803" s="469"/>
      <c r="BX803" s="449"/>
      <c r="BY803" s="449"/>
      <c r="BZ803" s="449"/>
    </row>
    <row r="804" spans="67:78" s="457" customFormat="1" x14ac:dyDescent="0.2">
      <c r="BO804" s="468"/>
      <c r="BP804" s="468"/>
      <c r="BQ804" s="468"/>
      <c r="BR804" s="468"/>
      <c r="BS804" s="468"/>
      <c r="BT804" s="468"/>
      <c r="BU804" s="468"/>
      <c r="BV804" s="468"/>
      <c r="BW804" s="469"/>
      <c r="BX804" s="449"/>
      <c r="BY804" s="449"/>
      <c r="BZ804" s="449"/>
    </row>
    <row r="805" spans="67:78" s="457" customFormat="1" x14ac:dyDescent="0.2">
      <c r="BO805" s="468"/>
      <c r="BP805" s="468"/>
      <c r="BQ805" s="468"/>
      <c r="BR805" s="468"/>
      <c r="BS805" s="468"/>
      <c r="BT805" s="468"/>
      <c r="BU805" s="468"/>
      <c r="BV805" s="468"/>
      <c r="BW805" s="469"/>
      <c r="BX805" s="449"/>
      <c r="BY805" s="449"/>
      <c r="BZ805" s="449"/>
    </row>
    <row r="806" spans="67:78" s="457" customFormat="1" x14ac:dyDescent="0.2">
      <c r="BO806" s="468"/>
      <c r="BP806" s="468"/>
      <c r="BQ806" s="468"/>
      <c r="BR806" s="468"/>
      <c r="BS806" s="468"/>
      <c r="BT806" s="468"/>
      <c r="BU806" s="468"/>
      <c r="BV806" s="468"/>
      <c r="BW806" s="469"/>
      <c r="BX806" s="449"/>
      <c r="BY806" s="449"/>
      <c r="BZ806" s="449"/>
    </row>
    <row r="807" spans="67:78" s="457" customFormat="1" x14ac:dyDescent="0.2">
      <c r="BO807" s="468"/>
      <c r="BP807" s="468"/>
      <c r="BQ807" s="468"/>
      <c r="BR807" s="468"/>
      <c r="BS807" s="468"/>
      <c r="BT807" s="468"/>
      <c r="BU807" s="468"/>
      <c r="BV807" s="468"/>
      <c r="BW807" s="469"/>
      <c r="BX807" s="449"/>
      <c r="BY807" s="449"/>
      <c r="BZ807" s="449"/>
    </row>
    <row r="808" spans="67:78" s="457" customFormat="1" x14ac:dyDescent="0.2">
      <c r="BO808" s="468"/>
      <c r="BP808" s="468"/>
      <c r="BQ808" s="468"/>
      <c r="BR808" s="468"/>
      <c r="BS808" s="468"/>
      <c r="BT808" s="468"/>
      <c r="BU808" s="468"/>
      <c r="BV808" s="468"/>
      <c r="BW808" s="469"/>
      <c r="BX808" s="449"/>
      <c r="BY808" s="449"/>
      <c r="BZ808" s="449"/>
    </row>
    <row r="809" spans="67:78" s="457" customFormat="1" x14ac:dyDescent="0.2">
      <c r="BO809" s="468"/>
      <c r="BP809" s="468"/>
      <c r="BQ809" s="468"/>
      <c r="BR809" s="468"/>
      <c r="BS809" s="468"/>
      <c r="BT809" s="468"/>
      <c r="BU809" s="468"/>
      <c r="BV809" s="468"/>
      <c r="BW809" s="469"/>
      <c r="BX809" s="449"/>
      <c r="BY809" s="449"/>
      <c r="BZ809" s="449"/>
    </row>
    <row r="810" spans="67:78" s="457" customFormat="1" x14ac:dyDescent="0.2">
      <c r="BO810" s="468"/>
      <c r="BP810" s="468"/>
      <c r="BQ810" s="468"/>
      <c r="BR810" s="468"/>
      <c r="BS810" s="468"/>
      <c r="BT810" s="468"/>
      <c r="BU810" s="468"/>
      <c r="BV810" s="468"/>
      <c r="BW810" s="469"/>
      <c r="BX810" s="449"/>
      <c r="BY810" s="449"/>
      <c r="BZ810" s="449"/>
    </row>
    <row r="811" spans="67:78" s="457" customFormat="1" x14ac:dyDescent="0.2">
      <c r="BO811" s="468"/>
      <c r="BP811" s="468"/>
      <c r="BQ811" s="468"/>
      <c r="BR811" s="468"/>
      <c r="BS811" s="468"/>
      <c r="BT811" s="468"/>
      <c r="BU811" s="468"/>
      <c r="BV811" s="468"/>
      <c r="BW811" s="469"/>
      <c r="BX811" s="449"/>
      <c r="BY811" s="449"/>
      <c r="BZ811" s="449"/>
    </row>
    <row r="812" spans="67:78" s="457" customFormat="1" x14ac:dyDescent="0.2">
      <c r="BO812" s="468"/>
      <c r="BP812" s="468"/>
      <c r="BQ812" s="468"/>
      <c r="BR812" s="468"/>
      <c r="BS812" s="468"/>
      <c r="BT812" s="468"/>
      <c r="BU812" s="468"/>
      <c r="BV812" s="468"/>
      <c r="BW812" s="469"/>
      <c r="BX812" s="449"/>
      <c r="BY812" s="449"/>
      <c r="BZ812" s="449"/>
    </row>
    <row r="813" spans="67:78" s="457" customFormat="1" x14ac:dyDescent="0.2">
      <c r="BO813" s="468"/>
      <c r="BP813" s="468"/>
      <c r="BQ813" s="468"/>
      <c r="BR813" s="468"/>
      <c r="BS813" s="468"/>
      <c r="BT813" s="468"/>
      <c r="BU813" s="468"/>
      <c r="BV813" s="468"/>
      <c r="BW813" s="469"/>
      <c r="BX813" s="449"/>
      <c r="BY813" s="449"/>
      <c r="BZ813" s="449"/>
    </row>
    <row r="814" spans="67:78" s="457" customFormat="1" x14ac:dyDescent="0.2">
      <c r="BO814" s="468"/>
      <c r="BP814" s="468"/>
      <c r="BQ814" s="468"/>
      <c r="BR814" s="468"/>
      <c r="BS814" s="468"/>
      <c r="BT814" s="468"/>
      <c r="BU814" s="468"/>
      <c r="BV814" s="468"/>
      <c r="BW814" s="469"/>
      <c r="BX814" s="449"/>
      <c r="BY814" s="449"/>
      <c r="BZ814" s="449"/>
    </row>
    <row r="815" spans="67:78" s="457" customFormat="1" x14ac:dyDescent="0.2">
      <c r="BO815" s="468"/>
      <c r="BP815" s="468"/>
      <c r="BQ815" s="468"/>
      <c r="BR815" s="468"/>
      <c r="BS815" s="468"/>
      <c r="BT815" s="468"/>
      <c r="BU815" s="468"/>
      <c r="BV815" s="468"/>
      <c r="BW815" s="469"/>
      <c r="BX815" s="449"/>
      <c r="BY815" s="449"/>
      <c r="BZ815" s="449"/>
    </row>
    <row r="816" spans="67:78" s="457" customFormat="1" x14ac:dyDescent="0.2">
      <c r="BO816" s="468"/>
      <c r="BP816" s="468"/>
      <c r="BQ816" s="468"/>
      <c r="BR816" s="468"/>
      <c r="BS816" s="468"/>
      <c r="BT816" s="468"/>
      <c r="BU816" s="468"/>
      <c r="BV816" s="468"/>
      <c r="BW816" s="469"/>
      <c r="BX816" s="449"/>
      <c r="BY816" s="449"/>
      <c r="BZ816" s="449"/>
    </row>
    <row r="817" spans="67:78" s="457" customFormat="1" x14ac:dyDescent="0.2">
      <c r="BO817" s="468"/>
      <c r="BP817" s="468"/>
      <c r="BQ817" s="468"/>
      <c r="BR817" s="468"/>
      <c r="BS817" s="468"/>
      <c r="BT817" s="468"/>
      <c r="BU817" s="468"/>
      <c r="BV817" s="468"/>
      <c r="BW817" s="469"/>
      <c r="BX817" s="449"/>
      <c r="BY817" s="449"/>
      <c r="BZ817" s="449"/>
    </row>
    <row r="818" spans="67:78" s="457" customFormat="1" x14ac:dyDescent="0.2">
      <c r="BO818" s="468"/>
      <c r="BP818" s="468"/>
      <c r="BQ818" s="468"/>
      <c r="BR818" s="468"/>
      <c r="BS818" s="468"/>
      <c r="BT818" s="468"/>
      <c r="BU818" s="468"/>
      <c r="BV818" s="468"/>
      <c r="BW818" s="469"/>
      <c r="BX818" s="449"/>
      <c r="BY818" s="449"/>
      <c r="BZ818" s="449"/>
    </row>
    <row r="819" spans="67:78" s="457" customFormat="1" x14ac:dyDescent="0.2">
      <c r="BO819" s="468"/>
      <c r="BP819" s="468"/>
      <c r="BQ819" s="468"/>
      <c r="BR819" s="468"/>
      <c r="BS819" s="468"/>
      <c r="BT819" s="468"/>
      <c r="BU819" s="468"/>
      <c r="BV819" s="468"/>
      <c r="BW819" s="469"/>
      <c r="BX819" s="449"/>
      <c r="BY819" s="449"/>
      <c r="BZ819" s="449"/>
    </row>
    <row r="820" spans="67:78" s="457" customFormat="1" x14ac:dyDescent="0.2">
      <c r="BO820" s="468"/>
      <c r="BP820" s="468"/>
      <c r="BQ820" s="468"/>
      <c r="BR820" s="468"/>
      <c r="BS820" s="468"/>
      <c r="BT820" s="468"/>
      <c r="BU820" s="468"/>
      <c r="BV820" s="468"/>
      <c r="BW820" s="469"/>
      <c r="BX820" s="449"/>
      <c r="BY820" s="449"/>
      <c r="BZ820" s="449"/>
    </row>
    <row r="821" spans="67:78" s="457" customFormat="1" x14ac:dyDescent="0.2">
      <c r="BO821" s="468"/>
      <c r="BP821" s="468"/>
      <c r="BQ821" s="468"/>
      <c r="BR821" s="468"/>
      <c r="BS821" s="468"/>
      <c r="BT821" s="468"/>
      <c r="BU821" s="468"/>
      <c r="BV821" s="468"/>
      <c r="BW821" s="469"/>
      <c r="BX821" s="449"/>
      <c r="BY821" s="449"/>
      <c r="BZ821" s="449"/>
    </row>
    <row r="822" spans="67:78" s="457" customFormat="1" x14ac:dyDescent="0.2">
      <c r="BO822" s="468"/>
      <c r="BP822" s="468"/>
      <c r="BQ822" s="468"/>
      <c r="BR822" s="468"/>
      <c r="BS822" s="468"/>
      <c r="BT822" s="468"/>
      <c r="BU822" s="468"/>
      <c r="BV822" s="468"/>
      <c r="BW822" s="469"/>
      <c r="BX822" s="449"/>
      <c r="BY822" s="449"/>
      <c r="BZ822" s="449"/>
    </row>
    <row r="823" spans="67:78" s="457" customFormat="1" x14ac:dyDescent="0.2">
      <c r="BO823" s="468"/>
      <c r="BP823" s="468"/>
      <c r="BQ823" s="468"/>
      <c r="BR823" s="468"/>
      <c r="BS823" s="468"/>
      <c r="BT823" s="468"/>
      <c r="BU823" s="468"/>
      <c r="BV823" s="468"/>
      <c r="BW823" s="469"/>
      <c r="BX823" s="449"/>
      <c r="BY823" s="449"/>
      <c r="BZ823" s="449"/>
    </row>
    <row r="824" spans="67:78" s="457" customFormat="1" x14ac:dyDescent="0.2">
      <c r="BO824" s="468"/>
      <c r="BP824" s="468"/>
      <c r="BQ824" s="468"/>
      <c r="BR824" s="468"/>
      <c r="BS824" s="468"/>
      <c r="BT824" s="468"/>
      <c r="BU824" s="468"/>
      <c r="BV824" s="468"/>
      <c r="BW824" s="469"/>
      <c r="BX824" s="449"/>
      <c r="BY824" s="449"/>
      <c r="BZ824" s="449"/>
    </row>
    <row r="825" spans="67:78" s="457" customFormat="1" x14ac:dyDescent="0.2">
      <c r="BO825" s="468"/>
      <c r="BP825" s="468"/>
      <c r="BQ825" s="468"/>
      <c r="BR825" s="468"/>
      <c r="BS825" s="468"/>
      <c r="BT825" s="468"/>
      <c r="BU825" s="468"/>
      <c r="BV825" s="468"/>
      <c r="BW825" s="469"/>
      <c r="BX825" s="449"/>
      <c r="BY825" s="449"/>
      <c r="BZ825" s="449"/>
    </row>
    <row r="826" spans="67:78" s="457" customFormat="1" x14ac:dyDescent="0.2">
      <c r="BO826" s="468"/>
      <c r="BP826" s="468"/>
      <c r="BQ826" s="468"/>
      <c r="BR826" s="468"/>
      <c r="BS826" s="468"/>
      <c r="BT826" s="468"/>
      <c r="BU826" s="468"/>
      <c r="BV826" s="468"/>
      <c r="BW826" s="469"/>
      <c r="BX826" s="449"/>
      <c r="BY826" s="449"/>
      <c r="BZ826" s="449"/>
    </row>
    <row r="827" spans="67:78" s="457" customFormat="1" x14ac:dyDescent="0.2">
      <c r="BO827" s="468"/>
      <c r="BP827" s="468"/>
      <c r="BQ827" s="468"/>
      <c r="BR827" s="468"/>
      <c r="BS827" s="468"/>
      <c r="BT827" s="468"/>
      <c r="BU827" s="468"/>
      <c r="BV827" s="468"/>
      <c r="BW827" s="469"/>
      <c r="BX827" s="449"/>
      <c r="BY827" s="449"/>
      <c r="BZ827" s="449"/>
    </row>
    <row r="828" spans="67:78" s="457" customFormat="1" x14ac:dyDescent="0.2">
      <c r="BO828" s="468"/>
      <c r="BP828" s="468"/>
      <c r="BQ828" s="468"/>
      <c r="BR828" s="468"/>
      <c r="BS828" s="468"/>
      <c r="BT828" s="468"/>
      <c r="BU828" s="468"/>
      <c r="BV828" s="468"/>
      <c r="BW828" s="469"/>
      <c r="BX828" s="449"/>
      <c r="BY828" s="449"/>
      <c r="BZ828" s="449"/>
    </row>
    <row r="829" spans="67:78" s="457" customFormat="1" x14ac:dyDescent="0.2">
      <c r="BO829" s="468"/>
      <c r="BP829" s="468"/>
      <c r="BQ829" s="468"/>
      <c r="BR829" s="468"/>
      <c r="BS829" s="468"/>
      <c r="BT829" s="468"/>
      <c r="BU829" s="468"/>
      <c r="BV829" s="468"/>
      <c r="BW829" s="469"/>
      <c r="BX829" s="449"/>
      <c r="BY829" s="449"/>
      <c r="BZ829" s="449"/>
    </row>
    <row r="830" spans="67:78" s="457" customFormat="1" x14ac:dyDescent="0.2">
      <c r="BO830" s="468"/>
      <c r="BP830" s="468"/>
      <c r="BQ830" s="468"/>
      <c r="BR830" s="468"/>
      <c r="BS830" s="468"/>
      <c r="BT830" s="468"/>
      <c r="BU830" s="468"/>
      <c r="BV830" s="468"/>
      <c r="BW830" s="469"/>
      <c r="BX830" s="449"/>
      <c r="BY830" s="449"/>
      <c r="BZ830" s="449"/>
    </row>
    <row r="831" spans="67:78" s="457" customFormat="1" x14ac:dyDescent="0.2">
      <c r="BO831" s="468"/>
      <c r="BP831" s="468"/>
      <c r="BQ831" s="468"/>
      <c r="BR831" s="468"/>
      <c r="BS831" s="468"/>
      <c r="BT831" s="468"/>
      <c r="BU831" s="468"/>
      <c r="BV831" s="468"/>
      <c r="BW831" s="469"/>
      <c r="BX831" s="449"/>
      <c r="BY831" s="449"/>
      <c r="BZ831" s="449"/>
    </row>
    <row r="832" spans="67:78" s="457" customFormat="1" x14ac:dyDescent="0.2">
      <c r="BO832" s="468"/>
      <c r="BP832" s="468"/>
      <c r="BQ832" s="468"/>
      <c r="BR832" s="468"/>
      <c r="BS832" s="468"/>
      <c r="BT832" s="468"/>
      <c r="BU832" s="468"/>
      <c r="BV832" s="468"/>
      <c r="BW832" s="469"/>
      <c r="BX832" s="449"/>
      <c r="BY832" s="449"/>
      <c r="BZ832" s="449"/>
    </row>
    <row r="833" spans="67:78" s="457" customFormat="1" x14ac:dyDescent="0.2">
      <c r="BO833" s="468"/>
      <c r="BP833" s="468"/>
      <c r="BQ833" s="468"/>
      <c r="BR833" s="468"/>
      <c r="BS833" s="468"/>
      <c r="BT833" s="468"/>
      <c r="BU833" s="468"/>
      <c r="BV833" s="468"/>
      <c r="BW833" s="469"/>
      <c r="BX833" s="449"/>
      <c r="BY833" s="449"/>
      <c r="BZ833" s="449"/>
    </row>
    <row r="834" spans="67:78" s="457" customFormat="1" x14ac:dyDescent="0.2">
      <c r="BO834" s="468"/>
      <c r="BP834" s="468"/>
      <c r="BQ834" s="468"/>
      <c r="BR834" s="468"/>
      <c r="BS834" s="468"/>
      <c r="BT834" s="468"/>
      <c r="BU834" s="468"/>
      <c r="BV834" s="468"/>
      <c r="BW834" s="469"/>
      <c r="BX834" s="449"/>
      <c r="BY834" s="449"/>
      <c r="BZ834" s="449"/>
    </row>
    <row r="835" spans="67:78" s="457" customFormat="1" x14ac:dyDescent="0.2">
      <c r="BO835" s="468"/>
      <c r="BP835" s="468"/>
      <c r="BQ835" s="468"/>
      <c r="BR835" s="468"/>
      <c r="BS835" s="468"/>
      <c r="BT835" s="468"/>
      <c r="BU835" s="468"/>
      <c r="BV835" s="468"/>
      <c r="BW835" s="469"/>
      <c r="BX835" s="449"/>
      <c r="BY835" s="449"/>
      <c r="BZ835" s="449"/>
    </row>
    <row r="836" spans="67:78" s="457" customFormat="1" x14ac:dyDescent="0.2">
      <c r="BO836" s="468"/>
      <c r="BP836" s="468"/>
      <c r="BQ836" s="468"/>
      <c r="BR836" s="468"/>
      <c r="BS836" s="468"/>
      <c r="BT836" s="468"/>
      <c r="BU836" s="468"/>
      <c r="BV836" s="468"/>
      <c r="BW836" s="469"/>
      <c r="BX836" s="449"/>
      <c r="BY836" s="449"/>
      <c r="BZ836" s="449"/>
    </row>
    <row r="837" spans="67:78" s="457" customFormat="1" x14ac:dyDescent="0.2">
      <c r="BO837" s="468"/>
      <c r="BP837" s="468"/>
      <c r="BQ837" s="468"/>
      <c r="BR837" s="468"/>
      <c r="BS837" s="468"/>
      <c r="BT837" s="468"/>
      <c r="BU837" s="468"/>
      <c r="BV837" s="468"/>
      <c r="BW837" s="469"/>
      <c r="BX837" s="449"/>
      <c r="BY837" s="449"/>
      <c r="BZ837" s="449"/>
    </row>
    <row r="838" spans="67:78" s="457" customFormat="1" x14ac:dyDescent="0.2">
      <c r="BO838" s="468"/>
      <c r="BP838" s="468"/>
      <c r="BQ838" s="468"/>
      <c r="BR838" s="468"/>
      <c r="BS838" s="468"/>
      <c r="BT838" s="468"/>
      <c r="BU838" s="468"/>
      <c r="BV838" s="468"/>
      <c r="BW838" s="469"/>
      <c r="BX838" s="449"/>
      <c r="BY838" s="449"/>
      <c r="BZ838" s="449"/>
    </row>
    <row r="839" spans="67:78" s="457" customFormat="1" x14ac:dyDescent="0.2">
      <c r="BO839" s="468"/>
      <c r="BP839" s="468"/>
      <c r="BQ839" s="468"/>
      <c r="BR839" s="468"/>
      <c r="BS839" s="468"/>
      <c r="BT839" s="468"/>
      <c r="BU839" s="468"/>
      <c r="BV839" s="468"/>
      <c r="BW839" s="469"/>
      <c r="BX839" s="449"/>
      <c r="BY839" s="449"/>
      <c r="BZ839" s="449"/>
    </row>
    <row r="840" spans="67:78" s="457" customFormat="1" x14ac:dyDescent="0.2">
      <c r="BO840" s="468"/>
      <c r="BP840" s="468"/>
      <c r="BQ840" s="468"/>
      <c r="BR840" s="468"/>
      <c r="BS840" s="468"/>
      <c r="BT840" s="468"/>
      <c r="BU840" s="468"/>
      <c r="BV840" s="468"/>
      <c r="BW840" s="469"/>
      <c r="BX840" s="449"/>
      <c r="BY840" s="449"/>
      <c r="BZ840" s="449"/>
    </row>
    <row r="841" spans="67:78" s="457" customFormat="1" x14ac:dyDescent="0.2">
      <c r="BO841" s="468"/>
      <c r="BP841" s="468"/>
      <c r="BQ841" s="468"/>
      <c r="BR841" s="468"/>
      <c r="BS841" s="468"/>
      <c r="BT841" s="468"/>
      <c r="BU841" s="468"/>
      <c r="BV841" s="468"/>
      <c r="BW841" s="469"/>
      <c r="BX841" s="449"/>
      <c r="BY841" s="449"/>
      <c r="BZ841" s="449"/>
    </row>
    <row r="842" spans="67:78" s="457" customFormat="1" x14ac:dyDescent="0.2">
      <c r="BO842" s="468"/>
      <c r="BP842" s="468"/>
      <c r="BQ842" s="468"/>
      <c r="BR842" s="468"/>
      <c r="BS842" s="468"/>
      <c r="BT842" s="468"/>
      <c r="BU842" s="468"/>
      <c r="BV842" s="468"/>
      <c r="BW842" s="469"/>
      <c r="BX842" s="449"/>
      <c r="BY842" s="449"/>
      <c r="BZ842" s="449"/>
    </row>
    <row r="843" spans="67:78" s="457" customFormat="1" x14ac:dyDescent="0.2">
      <c r="BO843" s="468"/>
      <c r="BP843" s="468"/>
      <c r="BQ843" s="468"/>
      <c r="BR843" s="468"/>
      <c r="BS843" s="468"/>
      <c r="BT843" s="468"/>
      <c r="BU843" s="468"/>
      <c r="BV843" s="468"/>
      <c r="BW843" s="469"/>
      <c r="BX843" s="449"/>
      <c r="BY843" s="449"/>
      <c r="BZ843" s="449"/>
    </row>
    <row r="844" spans="67:78" s="457" customFormat="1" x14ac:dyDescent="0.2">
      <c r="BO844" s="468"/>
      <c r="BP844" s="468"/>
      <c r="BQ844" s="468"/>
      <c r="BR844" s="468"/>
      <c r="BS844" s="468"/>
      <c r="BT844" s="468"/>
      <c r="BU844" s="468"/>
      <c r="BV844" s="468"/>
      <c r="BW844" s="469"/>
      <c r="BX844" s="449"/>
      <c r="BY844" s="449"/>
      <c r="BZ844" s="449"/>
    </row>
    <row r="845" spans="67:78" s="457" customFormat="1" x14ac:dyDescent="0.2">
      <c r="BO845" s="468"/>
      <c r="BP845" s="468"/>
      <c r="BQ845" s="468"/>
      <c r="BR845" s="468"/>
      <c r="BS845" s="468"/>
      <c r="BT845" s="468"/>
      <c r="BU845" s="468"/>
      <c r="BV845" s="468"/>
      <c r="BW845" s="469"/>
      <c r="BX845" s="449"/>
      <c r="BY845" s="449"/>
      <c r="BZ845" s="449"/>
    </row>
    <row r="846" spans="67:78" s="457" customFormat="1" x14ac:dyDescent="0.2">
      <c r="BO846" s="468"/>
      <c r="BP846" s="468"/>
      <c r="BQ846" s="468"/>
      <c r="BR846" s="468"/>
      <c r="BS846" s="468"/>
      <c r="BT846" s="468"/>
      <c r="BU846" s="468"/>
      <c r="BV846" s="468"/>
      <c r="BW846" s="469"/>
      <c r="BX846" s="449"/>
      <c r="BY846" s="449"/>
      <c r="BZ846" s="449"/>
    </row>
    <row r="847" spans="67:78" s="457" customFormat="1" x14ac:dyDescent="0.2">
      <c r="BO847" s="468"/>
      <c r="BP847" s="468"/>
      <c r="BQ847" s="468"/>
      <c r="BR847" s="468"/>
      <c r="BS847" s="468"/>
      <c r="BT847" s="468"/>
      <c r="BU847" s="468"/>
      <c r="BV847" s="468"/>
      <c r="BW847" s="469"/>
      <c r="BX847" s="449"/>
      <c r="BY847" s="449"/>
      <c r="BZ847" s="449"/>
    </row>
    <row r="848" spans="67:78" s="457" customFormat="1" x14ac:dyDescent="0.2">
      <c r="BO848" s="468"/>
      <c r="BP848" s="468"/>
      <c r="BQ848" s="468"/>
      <c r="BR848" s="468"/>
      <c r="BS848" s="468"/>
      <c r="BT848" s="468"/>
      <c r="BU848" s="468"/>
      <c r="BV848" s="468"/>
      <c r="BW848" s="469"/>
      <c r="BX848" s="449"/>
      <c r="BY848" s="449"/>
      <c r="BZ848" s="449"/>
    </row>
    <row r="849" spans="67:78" s="457" customFormat="1" x14ac:dyDescent="0.2">
      <c r="BO849" s="468"/>
      <c r="BP849" s="468"/>
      <c r="BQ849" s="468"/>
      <c r="BR849" s="468"/>
      <c r="BS849" s="468"/>
      <c r="BT849" s="468"/>
      <c r="BU849" s="468"/>
      <c r="BV849" s="468"/>
      <c r="BW849" s="469"/>
      <c r="BX849" s="449"/>
      <c r="BY849" s="449"/>
      <c r="BZ849" s="449"/>
    </row>
    <row r="850" spans="67:78" s="457" customFormat="1" x14ac:dyDescent="0.2">
      <c r="BO850" s="468"/>
      <c r="BP850" s="468"/>
      <c r="BQ850" s="468"/>
      <c r="BR850" s="468"/>
      <c r="BS850" s="468"/>
      <c r="BT850" s="468"/>
      <c r="BU850" s="468"/>
      <c r="BV850" s="468"/>
      <c r="BW850" s="469"/>
      <c r="BX850" s="449"/>
      <c r="BY850" s="449"/>
      <c r="BZ850" s="449"/>
    </row>
    <row r="851" spans="67:78" s="457" customFormat="1" x14ac:dyDescent="0.2">
      <c r="BO851" s="468"/>
      <c r="BP851" s="468"/>
      <c r="BQ851" s="468"/>
      <c r="BR851" s="468"/>
      <c r="BS851" s="468"/>
      <c r="BT851" s="468"/>
      <c r="BU851" s="468"/>
      <c r="BV851" s="468"/>
      <c r="BW851" s="469"/>
      <c r="BX851" s="449"/>
      <c r="BY851" s="449"/>
      <c r="BZ851" s="449"/>
    </row>
    <row r="852" spans="67:78" s="457" customFormat="1" x14ac:dyDescent="0.2">
      <c r="BO852" s="468"/>
      <c r="BP852" s="468"/>
      <c r="BQ852" s="468"/>
      <c r="BR852" s="468"/>
      <c r="BS852" s="468"/>
      <c r="BT852" s="468"/>
      <c r="BU852" s="468"/>
      <c r="BV852" s="468"/>
      <c r="BW852" s="469"/>
      <c r="BX852" s="449"/>
      <c r="BY852" s="449"/>
      <c r="BZ852" s="449"/>
    </row>
    <row r="853" spans="67:78" s="457" customFormat="1" x14ac:dyDescent="0.2">
      <c r="BO853" s="468"/>
      <c r="BP853" s="468"/>
      <c r="BQ853" s="468"/>
      <c r="BR853" s="468"/>
      <c r="BS853" s="468"/>
      <c r="BT853" s="468"/>
      <c r="BU853" s="468"/>
      <c r="BV853" s="468"/>
      <c r="BW853" s="469"/>
      <c r="BX853" s="449"/>
      <c r="BY853" s="449"/>
      <c r="BZ853" s="449"/>
    </row>
    <row r="854" spans="67:78" s="457" customFormat="1" x14ac:dyDescent="0.2">
      <c r="BO854" s="468"/>
      <c r="BP854" s="468"/>
      <c r="BQ854" s="468"/>
      <c r="BR854" s="468"/>
      <c r="BS854" s="468"/>
      <c r="BT854" s="468"/>
      <c r="BU854" s="468"/>
      <c r="BV854" s="468"/>
      <c r="BW854" s="469"/>
      <c r="BX854" s="449"/>
      <c r="BY854" s="449"/>
      <c r="BZ854" s="449"/>
    </row>
    <row r="855" spans="67:78" s="457" customFormat="1" x14ac:dyDescent="0.2">
      <c r="BO855" s="468"/>
      <c r="BP855" s="468"/>
      <c r="BQ855" s="468"/>
      <c r="BR855" s="468"/>
      <c r="BS855" s="468"/>
      <c r="BT855" s="468"/>
      <c r="BU855" s="468"/>
      <c r="BV855" s="468"/>
      <c r="BW855" s="469"/>
      <c r="BX855" s="449"/>
      <c r="BY855" s="449"/>
      <c r="BZ855" s="449"/>
    </row>
    <row r="856" spans="67:78" s="457" customFormat="1" x14ac:dyDescent="0.2">
      <c r="BO856" s="468"/>
      <c r="BP856" s="468"/>
      <c r="BQ856" s="468"/>
      <c r="BR856" s="468"/>
      <c r="BS856" s="468"/>
      <c r="BT856" s="468"/>
      <c r="BU856" s="468"/>
      <c r="BV856" s="468"/>
      <c r="BW856" s="469"/>
      <c r="BX856" s="449"/>
      <c r="BY856" s="449"/>
      <c r="BZ856" s="449"/>
    </row>
    <row r="857" spans="67:78" s="457" customFormat="1" x14ac:dyDescent="0.2">
      <c r="BO857" s="468"/>
      <c r="BP857" s="468"/>
      <c r="BQ857" s="468"/>
      <c r="BR857" s="468"/>
      <c r="BS857" s="468"/>
      <c r="BT857" s="468"/>
      <c r="BU857" s="468"/>
      <c r="BV857" s="468"/>
      <c r="BW857" s="469"/>
      <c r="BX857" s="449"/>
      <c r="BY857" s="449"/>
      <c r="BZ857" s="449"/>
    </row>
    <row r="858" spans="67:78" s="457" customFormat="1" x14ac:dyDescent="0.2">
      <c r="BO858" s="468"/>
      <c r="BP858" s="468"/>
      <c r="BQ858" s="468"/>
      <c r="BR858" s="468"/>
      <c r="BS858" s="468"/>
      <c r="BT858" s="468"/>
      <c r="BU858" s="468"/>
      <c r="BV858" s="468"/>
      <c r="BW858" s="469"/>
      <c r="BX858" s="449"/>
      <c r="BY858" s="449"/>
      <c r="BZ858" s="449"/>
    </row>
    <row r="859" spans="67:78" s="457" customFormat="1" x14ac:dyDescent="0.2">
      <c r="BO859" s="468"/>
      <c r="BP859" s="468"/>
      <c r="BQ859" s="468"/>
      <c r="BR859" s="468"/>
      <c r="BS859" s="468"/>
      <c r="BT859" s="468"/>
      <c r="BU859" s="468"/>
      <c r="BV859" s="468"/>
      <c r="BW859" s="469"/>
      <c r="BX859" s="449"/>
      <c r="BY859" s="449"/>
      <c r="BZ859" s="449"/>
    </row>
    <row r="860" spans="67:78" s="457" customFormat="1" x14ac:dyDescent="0.2">
      <c r="BO860" s="468"/>
      <c r="BP860" s="468"/>
      <c r="BQ860" s="468"/>
      <c r="BR860" s="468"/>
      <c r="BS860" s="468"/>
      <c r="BT860" s="468"/>
      <c r="BU860" s="468"/>
      <c r="BV860" s="468"/>
      <c r="BW860" s="469"/>
      <c r="BX860" s="449"/>
      <c r="BY860" s="449"/>
      <c r="BZ860" s="449"/>
    </row>
    <row r="861" spans="67:78" s="457" customFormat="1" x14ac:dyDescent="0.2">
      <c r="BO861" s="468"/>
      <c r="BP861" s="468"/>
      <c r="BQ861" s="468"/>
      <c r="BR861" s="468"/>
      <c r="BS861" s="468"/>
      <c r="BT861" s="468"/>
      <c r="BU861" s="468"/>
      <c r="BV861" s="468"/>
      <c r="BW861" s="469"/>
      <c r="BX861" s="449"/>
      <c r="BY861" s="449"/>
      <c r="BZ861" s="449"/>
    </row>
    <row r="862" spans="67:78" s="457" customFormat="1" x14ac:dyDescent="0.2">
      <c r="BO862" s="468"/>
      <c r="BP862" s="468"/>
      <c r="BQ862" s="468"/>
      <c r="BR862" s="468"/>
      <c r="BS862" s="468"/>
      <c r="BT862" s="468"/>
      <c r="BU862" s="468"/>
      <c r="BV862" s="468"/>
      <c r="BW862" s="469"/>
      <c r="BX862" s="449"/>
      <c r="BY862" s="449"/>
      <c r="BZ862" s="449"/>
    </row>
    <row r="863" spans="67:78" s="457" customFormat="1" x14ac:dyDescent="0.2">
      <c r="BO863" s="468"/>
      <c r="BP863" s="468"/>
      <c r="BQ863" s="468"/>
      <c r="BR863" s="468"/>
      <c r="BS863" s="468"/>
      <c r="BT863" s="468"/>
      <c r="BU863" s="468"/>
      <c r="BV863" s="468"/>
      <c r="BW863" s="469"/>
      <c r="BX863" s="449"/>
      <c r="BY863" s="449"/>
      <c r="BZ863" s="449"/>
    </row>
    <row r="864" spans="67:78" s="457" customFormat="1" x14ac:dyDescent="0.2">
      <c r="BO864" s="468"/>
      <c r="BP864" s="468"/>
      <c r="BQ864" s="468"/>
      <c r="BR864" s="468"/>
      <c r="BS864" s="468"/>
      <c r="BT864" s="468"/>
      <c r="BU864" s="468"/>
      <c r="BV864" s="468"/>
      <c r="BW864" s="469"/>
      <c r="BX864" s="449"/>
      <c r="BY864" s="449"/>
      <c r="BZ864" s="449"/>
    </row>
    <row r="865" spans="67:78" s="457" customFormat="1" x14ac:dyDescent="0.2">
      <c r="BO865" s="468"/>
      <c r="BP865" s="468"/>
      <c r="BQ865" s="468"/>
      <c r="BR865" s="468"/>
      <c r="BS865" s="468"/>
      <c r="BT865" s="468"/>
      <c r="BU865" s="468"/>
      <c r="BV865" s="468"/>
      <c r="BW865" s="469"/>
      <c r="BX865" s="449"/>
      <c r="BY865" s="449"/>
      <c r="BZ865" s="449"/>
    </row>
    <row r="866" spans="67:78" s="457" customFormat="1" x14ac:dyDescent="0.2">
      <c r="BO866" s="468"/>
      <c r="BP866" s="468"/>
      <c r="BQ866" s="468"/>
      <c r="BR866" s="468"/>
      <c r="BS866" s="468"/>
      <c r="BT866" s="468"/>
      <c r="BU866" s="468"/>
      <c r="BV866" s="468"/>
      <c r="BW866" s="469"/>
      <c r="BX866" s="449"/>
      <c r="BY866" s="449"/>
      <c r="BZ866" s="449"/>
    </row>
    <row r="867" spans="67:78" s="457" customFormat="1" x14ac:dyDescent="0.2">
      <c r="BO867" s="468"/>
      <c r="BP867" s="468"/>
      <c r="BQ867" s="468"/>
      <c r="BR867" s="468"/>
      <c r="BS867" s="468"/>
      <c r="BT867" s="468"/>
      <c r="BU867" s="468"/>
      <c r="BV867" s="468"/>
      <c r="BW867" s="469"/>
      <c r="BX867" s="449"/>
      <c r="BY867" s="449"/>
      <c r="BZ867" s="449"/>
    </row>
    <row r="868" spans="67:78" s="457" customFormat="1" x14ac:dyDescent="0.2">
      <c r="BO868" s="468"/>
      <c r="BP868" s="468"/>
      <c r="BQ868" s="468"/>
      <c r="BR868" s="468"/>
      <c r="BS868" s="468"/>
      <c r="BT868" s="468"/>
      <c r="BU868" s="468"/>
      <c r="BV868" s="468"/>
      <c r="BW868" s="469"/>
      <c r="BX868" s="449"/>
      <c r="BY868" s="449"/>
      <c r="BZ868" s="449"/>
    </row>
    <row r="869" spans="67:78" s="457" customFormat="1" x14ac:dyDescent="0.2">
      <c r="BO869" s="468"/>
      <c r="BP869" s="468"/>
      <c r="BQ869" s="468"/>
      <c r="BR869" s="468"/>
      <c r="BS869" s="468"/>
      <c r="BT869" s="468"/>
      <c r="BU869" s="468"/>
      <c r="BV869" s="468"/>
      <c r="BW869" s="469"/>
      <c r="BX869" s="449"/>
      <c r="BY869" s="449"/>
      <c r="BZ869" s="449"/>
    </row>
    <row r="870" spans="67:78" s="457" customFormat="1" x14ac:dyDescent="0.2">
      <c r="BO870" s="468"/>
      <c r="BP870" s="468"/>
      <c r="BQ870" s="468"/>
      <c r="BR870" s="468"/>
      <c r="BS870" s="468"/>
      <c r="BT870" s="468"/>
      <c r="BU870" s="468"/>
      <c r="BV870" s="468"/>
      <c r="BW870" s="469"/>
      <c r="BX870" s="449"/>
      <c r="BY870" s="449"/>
      <c r="BZ870" s="449"/>
    </row>
    <row r="871" spans="67:78" s="457" customFormat="1" x14ac:dyDescent="0.2">
      <c r="BO871" s="468"/>
      <c r="BP871" s="468"/>
      <c r="BQ871" s="468"/>
      <c r="BR871" s="468"/>
      <c r="BS871" s="468"/>
      <c r="BT871" s="468"/>
      <c r="BU871" s="468"/>
      <c r="BV871" s="468"/>
      <c r="BW871" s="469"/>
      <c r="BX871" s="449"/>
      <c r="BY871" s="449"/>
      <c r="BZ871" s="449"/>
    </row>
    <row r="872" spans="67:78" s="457" customFormat="1" x14ac:dyDescent="0.2">
      <c r="BO872" s="468"/>
      <c r="BP872" s="468"/>
      <c r="BQ872" s="468"/>
      <c r="BR872" s="468"/>
      <c r="BS872" s="468"/>
      <c r="BT872" s="468"/>
      <c r="BU872" s="468"/>
      <c r="BV872" s="468"/>
      <c r="BW872" s="469"/>
      <c r="BX872" s="449"/>
      <c r="BY872" s="449"/>
      <c r="BZ872" s="449"/>
    </row>
    <row r="873" spans="67:78" s="457" customFormat="1" x14ac:dyDescent="0.2">
      <c r="BO873" s="468"/>
      <c r="BP873" s="468"/>
      <c r="BQ873" s="468"/>
      <c r="BR873" s="468"/>
      <c r="BS873" s="468"/>
      <c r="BT873" s="468"/>
      <c r="BU873" s="468"/>
      <c r="BV873" s="468"/>
      <c r="BW873" s="469"/>
      <c r="BX873" s="449"/>
      <c r="BY873" s="449"/>
      <c r="BZ873" s="449"/>
    </row>
    <row r="874" spans="67:78" s="457" customFormat="1" x14ac:dyDescent="0.2">
      <c r="BO874" s="468"/>
      <c r="BP874" s="468"/>
      <c r="BQ874" s="468"/>
      <c r="BR874" s="468"/>
      <c r="BS874" s="468"/>
      <c r="BT874" s="468"/>
      <c r="BU874" s="468"/>
      <c r="BV874" s="468"/>
      <c r="BW874" s="469"/>
      <c r="BX874" s="449"/>
      <c r="BY874" s="449"/>
      <c r="BZ874" s="449"/>
    </row>
    <row r="875" spans="67:78" s="457" customFormat="1" x14ac:dyDescent="0.2">
      <c r="BO875" s="468"/>
      <c r="BP875" s="468"/>
      <c r="BQ875" s="468"/>
      <c r="BR875" s="468"/>
      <c r="BS875" s="468"/>
      <c r="BT875" s="468"/>
      <c r="BU875" s="468"/>
      <c r="BV875" s="468"/>
      <c r="BW875" s="469"/>
      <c r="BX875" s="449"/>
      <c r="BY875" s="449"/>
      <c r="BZ875" s="449"/>
    </row>
    <row r="876" spans="67:78" s="457" customFormat="1" x14ac:dyDescent="0.2">
      <c r="BO876" s="468"/>
      <c r="BP876" s="468"/>
      <c r="BQ876" s="468"/>
      <c r="BR876" s="468"/>
      <c r="BS876" s="468"/>
      <c r="BT876" s="468"/>
      <c r="BU876" s="468"/>
      <c r="BV876" s="468"/>
      <c r="BW876" s="469"/>
      <c r="BX876" s="449"/>
      <c r="BY876" s="449"/>
      <c r="BZ876" s="449"/>
    </row>
    <row r="877" spans="67:78" s="457" customFormat="1" x14ac:dyDescent="0.2">
      <c r="BO877" s="468"/>
      <c r="BP877" s="468"/>
      <c r="BQ877" s="468"/>
      <c r="BR877" s="468"/>
      <c r="BS877" s="468"/>
      <c r="BT877" s="468"/>
      <c r="BU877" s="468"/>
      <c r="BV877" s="468"/>
      <c r="BW877" s="469"/>
      <c r="BX877" s="449"/>
      <c r="BY877" s="449"/>
      <c r="BZ877" s="449"/>
    </row>
    <row r="878" spans="67:78" s="457" customFormat="1" x14ac:dyDescent="0.2">
      <c r="BO878" s="468"/>
      <c r="BP878" s="468"/>
      <c r="BQ878" s="468"/>
      <c r="BR878" s="468"/>
      <c r="BS878" s="468"/>
      <c r="BT878" s="468"/>
      <c r="BU878" s="468"/>
      <c r="BV878" s="468"/>
      <c r="BW878" s="469"/>
      <c r="BX878" s="449"/>
      <c r="BY878" s="449"/>
      <c r="BZ878" s="449"/>
    </row>
    <row r="879" spans="67:78" s="457" customFormat="1" x14ac:dyDescent="0.2">
      <c r="BO879" s="468"/>
      <c r="BP879" s="468"/>
      <c r="BQ879" s="468"/>
      <c r="BR879" s="468"/>
      <c r="BS879" s="468"/>
      <c r="BT879" s="468"/>
      <c r="BU879" s="468"/>
      <c r="BV879" s="468"/>
      <c r="BW879" s="469"/>
      <c r="BX879" s="449"/>
      <c r="BY879" s="449"/>
      <c r="BZ879" s="449"/>
    </row>
    <row r="880" spans="67:78" s="457" customFormat="1" x14ac:dyDescent="0.2">
      <c r="BO880" s="468"/>
      <c r="BP880" s="468"/>
      <c r="BQ880" s="468"/>
      <c r="BR880" s="468"/>
      <c r="BS880" s="468"/>
      <c r="BT880" s="468"/>
      <c r="BU880" s="468"/>
      <c r="BV880" s="468"/>
      <c r="BW880" s="469"/>
      <c r="BX880" s="449"/>
      <c r="BY880" s="449"/>
      <c r="BZ880" s="449"/>
    </row>
    <row r="881" spans="67:78" s="457" customFormat="1" x14ac:dyDescent="0.2">
      <c r="BO881" s="468"/>
      <c r="BP881" s="468"/>
      <c r="BQ881" s="468"/>
      <c r="BR881" s="468"/>
      <c r="BS881" s="468"/>
      <c r="BT881" s="468"/>
      <c r="BU881" s="468"/>
      <c r="BV881" s="468"/>
      <c r="BW881" s="469"/>
      <c r="BX881" s="449"/>
      <c r="BY881" s="449"/>
      <c r="BZ881" s="449"/>
    </row>
    <row r="882" spans="67:78" s="457" customFormat="1" x14ac:dyDescent="0.2">
      <c r="BO882" s="468"/>
      <c r="BP882" s="468"/>
      <c r="BQ882" s="468"/>
      <c r="BR882" s="468"/>
      <c r="BS882" s="468"/>
      <c r="BT882" s="468"/>
      <c r="BU882" s="468"/>
      <c r="BV882" s="468"/>
      <c r="BW882" s="469"/>
      <c r="BX882" s="449"/>
      <c r="BY882" s="449"/>
      <c r="BZ882" s="449"/>
    </row>
    <row r="883" spans="67:78" s="457" customFormat="1" x14ac:dyDescent="0.2">
      <c r="BO883" s="468"/>
      <c r="BP883" s="468"/>
      <c r="BQ883" s="468"/>
      <c r="BR883" s="468"/>
      <c r="BS883" s="468"/>
      <c r="BT883" s="468"/>
      <c r="BU883" s="468"/>
      <c r="BV883" s="468"/>
      <c r="BW883" s="469"/>
      <c r="BX883" s="449"/>
      <c r="BY883" s="449"/>
      <c r="BZ883" s="449"/>
    </row>
    <row r="884" spans="67:78" s="457" customFormat="1" x14ac:dyDescent="0.2">
      <c r="BO884" s="468"/>
      <c r="BP884" s="468"/>
      <c r="BQ884" s="468"/>
      <c r="BR884" s="468"/>
      <c r="BS884" s="468"/>
      <c r="BT884" s="468"/>
      <c r="BU884" s="468"/>
      <c r="BV884" s="468"/>
      <c r="BW884" s="469"/>
      <c r="BX884" s="449"/>
      <c r="BY884" s="449"/>
      <c r="BZ884" s="449"/>
    </row>
    <row r="885" spans="67:78" s="457" customFormat="1" x14ac:dyDescent="0.2">
      <c r="BO885" s="468"/>
      <c r="BP885" s="468"/>
      <c r="BQ885" s="468"/>
      <c r="BR885" s="468"/>
      <c r="BS885" s="468"/>
      <c r="BT885" s="468"/>
      <c r="BU885" s="468"/>
      <c r="BV885" s="468"/>
      <c r="BW885" s="469"/>
      <c r="BX885" s="449"/>
      <c r="BY885" s="449"/>
      <c r="BZ885" s="449"/>
    </row>
    <row r="886" spans="67:78" s="457" customFormat="1" x14ac:dyDescent="0.2">
      <c r="BO886" s="468"/>
      <c r="BP886" s="468"/>
      <c r="BQ886" s="468"/>
      <c r="BR886" s="468"/>
      <c r="BS886" s="468"/>
      <c r="BT886" s="468"/>
      <c r="BU886" s="468"/>
      <c r="BV886" s="468"/>
      <c r="BW886" s="469"/>
      <c r="BX886" s="449"/>
      <c r="BY886" s="449"/>
      <c r="BZ886" s="449"/>
    </row>
    <row r="887" spans="67:78" s="457" customFormat="1" x14ac:dyDescent="0.2">
      <c r="BO887" s="468"/>
      <c r="BP887" s="468"/>
      <c r="BQ887" s="468"/>
      <c r="BR887" s="468"/>
      <c r="BS887" s="468"/>
      <c r="BT887" s="468"/>
      <c r="BU887" s="468"/>
      <c r="BV887" s="468"/>
      <c r="BW887" s="469"/>
      <c r="BX887" s="449"/>
      <c r="BY887" s="449"/>
      <c r="BZ887" s="449"/>
    </row>
    <row r="888" spans="67:78" s="457" customFormat="1" x14ac:dyDescent="0.2">
      <c r="BO888" s="468"/>
      <c r="BP888" s="468"/>
      <c r="BQ888" s="468"/>
      <c r="BR888" s="468"/>
      <c r="BS888" s="468"/>
      <c r="BT888" s="468"/>
      <c r="BU888" s="468"/>
      <c r="BV888" s="468"/>
      <c r="BW888" s="469"/>
      <c r="BX888" s="449"/>
      <c r="BY888" s="449"/>
      <c r="BZ888" s="449"/>
    </row>
    <row r="889" spans="67:78" s="457" customFormat="1" x14ac:dyDescent="0.2">
      <c r="BO889" s="468"/>
      <c r="BP889" s="468"/>
      <c r="BQ889" s="468"/>
      <c r="BR889" s="468"/>
      <c r="BS889" s="468"/>
      <c r="BT889" s="468"/>
      <c r="BU889" s="468"/>
      <c r="BV889" s="468"/>
      <c r="BW889" s="469"/>
      <c r="BX889" s="449"/>
      <c r="BY889" s="449"/>
      <c r="BZ889" s="449"/>
    </row>
    <row r="890" spans="67:78" s="457" customFormat="1" x14ac:dyDescent="0.2">
      <c r="BO890" s="468"/>
      <c r="BP890" s="468"/>
      <c r="BQ890" s="468"/>
      <c r="BR890" s="468"/>
      <c r="BS890" s="468"/>
      <c r="BT890" s="468"/>
      <c r="BU890" s="468"/>
      <c r="BV890" s="468"/>
      <c r="BW890" s="469"/>
      <c r="BX890" s="449"/>
      <c r="BY890" s="449"/>
      <c r="BZ890" s="449"/>
    </row>
    <row r="891" spans="67:78" s="457" customFormat="1" x14ac:dyDescent="0.2">
      <c r="BO891" s="468"/>
      <c r="BP891" s="468"/>
      <c r="BQ891" s="468"/>
      <c r="BR891" s="468"/>
      <c r="BS891" s="468"/>
      <c r="BT891" s="468"/>
      <c r="BU891" s="468"/>
      <c r="BV891" s="468"/>
      <c r="BW891" s="469"/>
      <c r="BX891" s="449"/>
      <c r="BY891" s="449"/>
      <c r="BZ891" s="449"/>
    </row>
    <row r="892" spans="67:78" s="457" customFormat="1" x14ac:dyDescent="0.2">
      <c r="BO892" s="468"/>
      <c r="BP892" s="468"/>
      <c r="BQ892" s="468"/>
      <c r="BR892" s="468"/>
      <c r="BS892" s="468"/>
      <c r="BT892" s="468"/>
      <c r="BU892" s="468"/>
      <c r="BV892" s="468"/>
      <c r="BW892" s="469"/>
      <c r="BX892" s="449"/>
      <c r="BY892" s="449"/>
      <c r="BZ892" s="449"/>
    </row>
    <row r="893" spans="67:78" s="457" customFormat="1" x14ac:dyDescent="0.2">
      <c r="BO893" s="468"/>
      <c r="BP893" s="468"/>
      <c r="BQ893" s="468"/>
      <c r="BR893" s="468"/>
      <c r="BS893" s="468"/>
      <c r="BT893" s="468"/>
      <c r="BU893" s="468"/>
      <c r="BV893" s="468"/>
      <c r="BW893" s="469"/>
      <c r="BX893" s="449"/>
      <c r="BY893" s="449"/>
      <c r="BZ893" s="449"/>
    </row>
    <row r="894" spans="67:78" s="457" customFormat="1" x14ac:dyDescent="0.2">
      <c r="BO894" s="468"/>
      <c r="BP894" s="468"/>
      <c r="BQ894" s="468"/>
      <c r="BR894" s="468"/>
      <c r="BS894" s="468"/>
      <c r="BT894" s="468"/>
      <c r="BU894" s="468"/>
      <c r="BV894" s="468"/>
      <c r="BW894" s="469"/>
      <c r="BX894" s="449"/>
      <c r="BY894" s="449"/>
      <c r="BZ894" s="449"/>
    </row>
    <row r="895" spans="67:78" s="457" customFormat="1" x14ac:dyDescent="0.2">
      <c r="BO895" s="468"/>
      <c r="BP895" s="468"/>
      <c r="BQ895" s="468"/>
      <c r="BR895" s="468"/>
      <c r="BS895" s="468"/>
      <c r="BT895" s="468"/>
      <c r="BU895" s="468"/>
      <c r="BV895" s="468"/>
      <c r="BW895" s="469"/>
      <c r="BX895" s="449"/>
      <c r="BY895" s="449"/>
      <c r="BZ895" s="449"/>
    </row>
    <row r="896" spans="67:78" s="457" customFormat="1" x14ac:dyDescent="0.2">
      <c r="BO896" s="468"/>
      <c r="BP896" s="468"/>
      <c r="BQ896" s="468"/>
      <c r="BR896" s="468"/>
      <c r="BS896" s="468"/>
      <c r="BT896" s="468"/>
      <c r="BU896" s="468"/>
      <c r="BV896" s="468"/>
      <c r="BW896" s="469"/>
      <c r="BX896" s="449"/>
      <c r="BY896" s="449"/>
      <c r="BZ896" s="449"/>
    </row>
    <row r="897" spans="67:78" s="457" customFormat="1" x14ac:dyDescent="0.2">
      <c r="BO897" s="468"/>
      <c r="BP897" s="468"/>
      <c r="BQ897" s="468"/>
      <c r="BR897" s="468"/>
      <c r="BS897" s="468"/>
      <c r="BT897" s="468"/>
      <c r="BU897" s="468"/>
      <c r="BV897" s="468"/>
      <c r="BW897" s="469"/>
      <c r="BX897" s="449"/>
      <c r="BY897" s="449"/>
      <c r="BZ897" s="449"/>
    </row>
    <row r="898" spans="67:78" s="457" customFormat="1" x14ac:dyDescent="0.2">
      <c r="BO898" s="468"/>
      <c r="BP898" s="468"/>
      <c r="BQ898" s="468"/>
      <c r="BR898" s="468"/>
      <c r="BS898" s="468"/>
      <c r="BT898" s="468"/>
      <c r="BU898" s="468"/>
      <c r="BV898" s="468"/>
      <c r="BW898" s="469"/>
      <c r="BX898" s="449"/>
      <c r="BY898" s="449"/>
      <c r="BZ898" s="449"/>
    </row>
    <row r="899" spans="67:78" s="457" customFormat="1" x14ac:dyDescent="0.2">
      <c r="BO899" s="468"/>
      <c r="BP899" s="468"/>
      <c r="BQ899" s="468"/>
      <c r="BR899" s="468"/>
      <c r="BS899" s="468"/>
      <c r="BT899" s="468"/>
      <c r="BU899" s="468"/>
      <c r="BV899" s="468"/>
      <c r="BW899" s="469"/>
      <c r="BX899" s="449"/>
      <c r="BY899" s="449"/>
      <c r="BZ899" s="449"/>
    </row>
    <row r="900" spans="67:78" s="457" customFormat="1" x14ac:dyDescent="0.2">
      <c r="BO900" s="468"/>
      <c r="BP900" s="468"/>
      <c r="BQ900" s="468"/>
      <c r="BR900" s="468"/>
      <c r="BS900" s="468"/>
      <c r="BT900" s="468"/>
      <c r="BU900" s="468"/>
      <c r="BV900" s="468"/>
      <c r="BW900" s="469"/>
      <c r="BX900" s="449"/>
      <c r="BY900" s="449"/>
      <c r="BZ900" s="449"/>
    </row>
    <row r="901" spans="67:78" s="457" customFormat="1" x14ac:dyDescent="0.2">
      <c r="BO901" s="468"/>
      <c r="BP901" s="468"/>
      <c r="BQ901" s="468"/>
      <c r="BR901" s="468"/>
      <c r="BS901" s="468"/>
      <c r="BT901" s="468"/>
      <c r="BU901" s="468"/>
      <c r="BV901" s="468"/>
      <c r="BW901" s="469"/>
      <c r="BX901" s="449"/>
      <c r="BY901" s="449"/>
      <c r="BZ901" s="449"/>
    </row>
    <row r="902" spans="67:78" s="457" customFormat="1" x14ac:dyDescent="0.2">
      <c r="BO902" s="468"/>
      <c r="BP902" s="468"/>
      <c r="BQ902" s="468"/>
      <c r="BR902" s="468"/>
      <c r="BS902" s="468"/>
      <c r="BT902" s="468"/>
      <c r="BU902" s="468"/>
      <c r="BV902" s="468"/>
      <c r="BW902" s="469"/>
      <c r="BX902" s="449"/>
      <c r="BY902" s="449"/>
      <c r="BZ902" s="449"/>
    </row>
    <row r="903" spans="67:78" s="457" customFormat="1" x14ac:dyDescent="0.2">
      <c r="BO903" s="468"/>
      <c r="BP903" s="468"/>
      <c r="BQ903" s="468"/>
      <c r="BR903" s="468"/>
      <c r="BS903" s="468"/>
      <c r="BT903" s="468"/>
      <c r="BU903" s="468"/>
      <c r="BV903" s="468"/>
      <c r="BW903" s="469"/>
      <c r="BX903" s="449"/>
      <c r="BY903" s="449"/>
      <c r="BZ903" s="449"/>
    </row>
    <row r="904" spans="67:78" s="457" customFormat="1" x14ac:dyDescent="0.2">
      <c r="BO904" s="468"/>
      <c r="BP904" s="468"/>
      <c r="BQ904" s="468"/>
      <c r="BR904" s="468"/>
      <c r="BS904" s="468"/>
      <c r="BT904" s="468"/>
      <c r="BU904" s="468"/>
      <c r="BV904" s="468"/>
      <c r="BW904" s="469"/>
      <c r="BX904" s="449"/>
      <c r="BY904" s="449"/>
      <c r="BZ904" s="449"/>
    </row>
    <row r="905" spans="67:78" s="457" customFormat="1" x14ac:dyDescent="0.2">
      <c r="BO905" s="468"/>
      <c r="BP905" s="468"/>
      <c r="BQ905" s="468"/>
      <c r="BR905" s="468"/>
      <c r="BS905" s="468"/>
      <c r="BT905" s="468"/>
      <c r="BU905" s="468"/>
      <c r="BV905" s="468"/>
      <c r="BW905" s="469"/>
      <c r="BX905" s="449"/>
      <c r="BY905" s="449"/>
      <c r="BZ905" s="449"/>
    </row>
    <row r="906" spans="67:78" s="457" customFormat="1" x14ac:dyDescent="0.2">
      <c r="BO906" s="468"/>
      <c r="BP906" s="468"/>
      <c r="BQ906" s="468"/>
      <c r="BR906" s="468"/>
      <c r="BS906" s="468"/>
      <c r="BT906" s="468"/>
      <c r="BU906" s="468"/>
      <c r="BV906" s="468"/>
      <c r="BW906" s="469"/>
      <c r="BX906" s="449"/>
      <c r="BY906" s="449"/>
      <c r="BZ906" s="449"/>
    </row>
    <row r="907" spans="67:78" s="457" customFormat="1" x14ac:dyDescent="0.2">
      <c r="BO907" s="468"/>
      <c r="BP907" s="468"/>
      <c r="BQ907" s="468"/>
      <c r="BR907" s="468"/>
      <c r="BS907" s="468"/>
      <c r="BT907" s="468"/>
      <c r="BU907" s="468"/>
      <c r="BV907" s="468"/>
      <c r="BW907" s="469"/>
      <c r="BX907" s="449"/>
      <c r="BY907" s="449"/>
      <c r="BZ907" s="449"/>
    </row>
    <row r="908" spans="67:78" s="457" customFormat="1" x14ac:dyDescent="0.2">
      <c r="BO908" s="468"/>
      <c r="BP908" s="468"/>
      <c r="BQ908" s="468"/>
      <c r="BR908" s="468"/>
      <c r="BS908" s="468"/>
      <c r="BT908" s="468"/>
      <c r="BU908" s="468"/>
      <c r="BV908" s="468"/>
      <c r="BW908" s="469"/>
      <c r="BX908" s="449"/>
      <c r="BY908" s="449"/>
      <c r="BZ908" s="449"/>
    </row>
    <row r="909" spans="67:78" s="457" customFormat="1" x14ac:dyDescent="0.2">
      <c r="BO909" s="468"/>
      <c r="BP909" s="468"/>
      <c r="BQ909" s="468"/>
      <c r="BR909" s="468"/>
      <c r="BS909" s="468"/>
      <c r="BT909" s="468"/>
      <c r="BU909" s="468"/>
      <c r="BV909" s="468"/>
      <c r="BW909" s="469"/>
      <c r="BX909" s="449"/>
      <c r="BY909" s="449"/>
      <c r="BZ909" s="449"/>
    </row>
    <row r="910" spans="67:78" s="457" customFormat="1" x14ac:dyDescent="0.2">
      <c r="BO910" s="468"/>
      <c r="BP910" s="468"/>
      <c r="BQ910" s="468"/>
      <c r="BR910" s="468"/>
      <c r="BS910" s="468"/>
      <c r="BT910" s="468"/>
      <c r="BU910" s="468"/>
      <c r="BV910" s="468"/>
      <c r="BW910" s="469"/>
      <c r="BX910" s="449"/>
      <c r="BY910" s="449"/>
      <c r="BZ910" s="449"/>
    </row>
    <row r="911" spans="67:78" s="457" customFormat="1" x14ac:dyDescent="0.2">
      <c r="BO911" s="468"/>
      <c r="BP911" s="468"/>
      <c r="BQ911" s="468"/>
      <c r="BR911" s="468"/>
      <c r="BS911" s="468"/>
      <c r="BT911" s="468"/>
      <c r="BU911" s="468"/>
      <c r="BV911" s="468"/>
      <c r="BW911" s="469"/>
      <c r="BX911" s="449"/>
      <c r="BY911" s="449"/>
      <c r="BZ911" s="449"/>
    </row>
    <row r="912" spans="67:78" s="457" customFormat="1" x14ac:dyDescent="0.2">
      <c r="BO912" s="468"/>
      <c r="BP912" s="468"/>
      <c r="BQ912" s="468"/>
      <c r="BR912" s="468"/>
      <c r="BS912" s="468"/>
      <c r="BT912" s="468"/>
      <c r="BU912" s="468"/>
      <c r="BV912" s="468"/>
      <c r="BW912" s="469"/>
      <c r="BX912" s="449"/>
      <c r="BY912" s="449"/>
      <c r="BZ912" s="449"/>
    </row>
    <row r="913" spans="67:78" s="457" customFormat="1" x14ac:dyDescent="0.2">
      <c r="BO913" s="468"/>
      <c r="BP913" s="468"/>
      <c r="BQ913" s="468"/>
      <c r="BR913" s="468"/>
      <c r="BS913" s="468"/>
      <c r="BT913" s="468"/>
      <c r="BU913" s="468"/>
      <c r="BV913" s="468"/>
      <c r="BW913" s="469"/>
      <c r="BX913" s="449"/>
      <c r="BY913" s="449"/>
      <c r="BZ913" s="449"/>
    </row>
    <row r="914" spans="67:78" s="457" customFormat="1" x14ac:dyDescent="0.2">
      <c r="BO914" s="468"/>
      <c r="BP914" s="468"/>
      <c r="BQ914" s="468"/>
      <c r="BR914" s="468"/>
      <c r="BS914" s="468"/>
      <c r="BT914" s="468"/>
      <c r="BU914" s="468"/>
      <c r="BV914" s="468"/>
      <c r="BW914" s="469"/>
      <c r="BX914" s="449"/>
      <c r="BY914" s="449"/>
      <c r="BZ914" s="449"/>
    </row>
    <row r="915" spans="67:78" s="457" customFormat="1" x14ac:dyDescent="0.2">
      <c r="BO915" s="468"/>
      <c r="BP915" s="468"/>
      <c r="BQ915" s="468"/>
      <c r="BR915" s="468"/>
      <c r="BS915" s="468"/>
      <c r="BT915" s="468"/>
      <c r="BU915" s="468"/>
      <c r="BV915" s="468"/>
      <c r="BW915" s="469"/>
      <c r="BX915" s="449"/>
      <c r="BY915" s="449"/>
      <c r="BZ915" s="449"/>
    </row>
    <row r="916" spans="67:78" s="457" customFormat="1" x14ac:dyDescent="0.2">
      <c r="BO916" s="468"/>
      <c r="BP916" s="468"/>
      <c r="BQ916" s="468"/>
      <c r="BR916" s="468"/>
      <c r="BS916" s="468"/>
      <c r="BT916" s="468"/>
      <c r="BU916" s="468"/>
      <c r="BV916" s="468"/>
      <c r="BW916" s="469"/>
      <c r="BX916" s="449"/>
      <c r="BY916" s="449"/>
      <c r="BZ916" s="449"/>
    </row>
    <row r="917" spans="67:78" s="457" customFormat="1" x14ac:dyDescent="0.2">
      <c r="BO917" s="468"/>
      <c r="BP917" s="468"/>
      <c r="BQ917" s="468"/>
      <c r="BR917" s="468"/>
      <c r="BS917" s="468"/>
      <c r="BT917" s="468"/>
      <c r="BU917" s="468"/>
      <c r="BV917" s="468"/>
      <c r="BW917" s="469"/>
      <c r="BX917" s="449"/>
      <c r="BY917" s="449"/>
      <c r="BZ917" s="449"/>
    </row>
    <row r="918" spans="67:78" s="457" customFormat="1" x14ac:dyDescent="0.2">
      <c r="BO918" s="468"/>
      <c r="BP918" s="468"/>
      <c r="BQ918" s="468"/>
      <c r="BR918" s="468"/>
      <c r="BS918" s="468"/>
      <c r="BT918" s="468"/>
      <c r="BU918" s="468"/>
      <c r="BV918" s="468"/>
      <c r="BW918" s="469"/>
      <c r="BX918" s="449"/>
      <c r="BY918" s="449"/>
      <c r="BZ918" s="449"/>
    </row>
    <row r="919" spans="67:78" s="457" customFormat="1" x14ac:dyDescent="0.2">
      <c r="BO919" s="468"/>
      <c r="BP919" s="468"/>
      <c r="BQ919" s="468"/>
      <c r="BR919" s="468"/>
      <c r="BS919" s="468"/>
      <c r="BT919" s="468"/>
      <c r="BU919" s="468"/>
      <c r="BV919" s="468"/>
      <c r="BW919" s="469"/>
      <c r="BX919" s="449"/>
      <c r="BY919" s="449"/>
      <c r="BZ919" s="449"/>
    </row>
    <row r="920" spans="67:78" s="457" customFormat="1" x14ac:dyDescent="0.2">
      <c r="BO920" s="468"/>
      <c r="BP920" s="468"/>
      <c r="BQ920" s="468"/>
      <c r="BR920" s="468"/>
      <c r="BS920" s="468"/>
      <c r="BT920" s="468"/>
      <c r="BU920" s="468"/>
      <c r="BV920" s="468"/>
      <c r="BW920" s="469"/>
      <c r="BX920" s="449"/>
      <c r="BY920" s="449"/>
      <c r="BZ920" s="449"/>
    </row>
    <row r="921" spans="67:78" s="457" customFormat="1" x14ac:dyDescent="0.2">
      <c r="BO921" s="468"/>
      <c r="BP921" s="468"/>
      <c r="BQ921" s="468"/>
      <c r="BR921" s="468"/>
      <c r="BS921" s="468"/>
      <c r="BT921" s="468"/>
      <c r="BU921" s="468"/>
      <c r="BV921" s="468"/>
      <c r="BW921" s="469"/>
      <c r="BX921" s="449"/>
      <c r="BY921" s="449"/>
      <c r="BZ921" s="449"/>
    </row>
    <row r="922" spans="67:78" s="457" customFormat="1" x14ac:dyDescent="0.2">
      <c r="BO922" s="468"/>
      <c r="BP922" s="468"/>
      <c r="BQ922" s="468"/>
      <c r="BR922" s="468"/>
      <c r="BS922" s="468"/>
      <c r="BT922" s="468"/>
      <c r="BU922" s="468"/>
      <c r="BV922" s="468"/>
      <c r="BW922" s="469"/>
      <c r="BX922" s="449"/>
      <c r="BY922" s="449"/>
      <c r="BZ922" s="449"/>
    </row>
    <row r="923" spans="67:78" s="457" customFormat="1" x14ac:dyDescent="0.2">
      <c r="BO923" s="468"/>
      <c r="BP923" s="468"/>
      <c r="BQ923" s="468"/>
      <c r="BR923" s="468"/>
      <c r="BS923" s="468"/>
      <c r="BT923" s="468"/>
      <c r="BU923" s="468"/>
      <c r="BV923" s="468"/>
      <c r="BW923" s="469"/>
      <c r="BX923" s="449"/>
      <c r="BY923" s="449"/>
      <c r="BZ923" s="449"/>
    </row>
    <row r="924" spans="67:78" s="457" customFormat="1" x14ac:dyDescent="0.2">
      <c r="BO924" s="468"/>
      <c r="BP924" s="468"/>
      <c r="BQ924" s="468"/>
      <c r="BR924" s="468"/>
      <c r="BS924" s="468"/>
      <c r="BT924" s="468"/>
      <c r="BU924" s="468"/>
      <c r="BV924" s="468"/>
      <c r="BW924" s="469"/>
      <c r="BX924" s="449"/>
      <c r="BY924" s="449"/>
      <c r="BZ924" s="449"/>
    </row>
    <row r="925" spans="67:78" s="457" customFormat="1" x14ac:dyDescent="0.2">
      <c r="BO925" s="468"/>
      <c r="BP925" s="468"/>
      <c r="BQ925" s="468"/>
      <c r="BR925" s="468"/>
      <c r="BS925" s="468"/>
      <c r="BT925" s="468"/>
      <c r="BU925" s="468"/>
      <c r="BV925" s="468"/>
      <c r="BW925" s="469"/>
      <c r="BX925" s="449"/>
      <c r="BY925" s="449"/>
      <c r="BZ925" s="449"/>
    </row>
    <row r="926" spans="67:78" s="457" customFormat="1" x14ac:dyDescent="0.2">
      <c r="BO926" s="468"/>
      <c r="BP926" s="468"/>
      <c r="BQ926" s="468"/>
      <c r="BR926" s="468"/>
      <c r="BS926" s="468"/>
      <c r="BT926" s="468"/>
      <c r="BU926" s="468"/>
      <c r="BV926" s="468"/>
      <c r="BW926" s="469"/>
      <c r="BX926" s="449"/>
      <c r="BY926" s="449"/>
      <c r="BZ926" s="449"/>
    </row>
    <row r="927" spans="67:78" s="457" customFormat="1" x14ac:dyDescent="0.2">
      <c r="BO927" s="468"/>
      <c r="BP927" s="468"/>
      <c r="BQ927" s="468"/>
      <c r="BR927" s="468"/>
      <c r="BS927" s="468"/>
      <c r="BT927" s="468"/>
      <c r="BU927" s="468"/>
      <c r="BV927" s="468"/>
      <c r="BW927" s="469"/>
      <c r="BX927" s="449"/>
      <c r="BY927" s="449"/>
      <c r="BZ927" s="449"/>
    </row>
    <row r="928" spans="67:78" s="457" customFormat="1" x14ac:dyDescent="0.2">
      <c r="BO928" s="468"/>
      <c r="BP928" s="468"/>
      <c r="BQ928" s="468"/>
      <c r="BR928" s="468"/>
      <c r="BS928" s="468"/>
      <c r="BT928" s="468"/>
      <c r="BU928" s="468"/>
      <c r="BV928" s="468"/>
      <c r="BW928" s="469"/>
      <c r="BX928" s="449"/>
      <c r="BY928" s="449"/>
      <c r="BZ928" s="449"/>
    </row>
    <row r="929" spans="67:78" s="457" customFormat="1" x14ac:dyDescent="0.2">
      <c r="BO929" s="468"/>
      <c r="BP929" s="468"/>
      <c r="BQ929" s="468"/>
      <c r="BR929" s="468"/>
      <c r="BS929" s="468"/>
      <c r="BT929" s="468"/>
      <c r="BU929" s="468"/>
      <c r="BV929" s="468"/>
      <c r="BW929" s="469"/>
      <c r="BX929" s="449"/>
      <c r="BY929" s="449"/>
      <c r="BZ929" s="449"/>
    </row>
    <row r="930" spans="67:78" s="457" customFormat="1" x14ac:dyDescent="0.2">
      <c r="BO930" s="468"/>
      <c r="BP930" s="468"/>
      <c r="BQ930" s="468"/>
      <c r="BR930" s="468"/>
      <c r="BS930" s="468"/>
      <c r="BT930" s="468"/>
      <c r="BU930" s="468"/>
      <c r="BV930" s="468"/>
      <c r="BW930" s="469"/>
      <c r="BX930" s="449"/>
      <c r="BY930" s="449"/>
      <c r="BZ930" s="449"/>
    </row>
    <row r="931" spans="67:78" s="457" customFormat="1" x14ac:dyDescent="0.2">
      <c r="BO931" s="468"/>
      <c r="BP931" s="468"/>
      <c r="BQ931" s="468"/>
      <c r="BR931" s="468"/>
      <c r="BS931" s="468"/>
      <c r="BT931" s="468"/>
      <c r="BU931" s="468"/>
      <c r="BV931" s="468"/>
      <c r="BW931" s="469"/>
      <c r="BX931" s="449"/>
      <c r="BY931" s="449"/>
      <c r="BZ931" s="449"/>
    </row>
    <row r="932" spans="67:78" s="457" customFormat="1" x14ac:dyDescent="0.2">
      <c r="BO932" s="468"/>
      <c r="BP932" s="468"/>
      <c r="BQ932" s="468"/>
      <c r="BR932" s="468"/>
      <c r="BS932" s="468"/>
      <c r="BT932" s="468"/>
      <c r="BU932" s="468"/>
      <c r="BV932" s="468"/>
      <c r="BW932" s="469"/>
      <c r="BX932" s="449"/>
      <c r="BY932" s="449"/>
      <c r="BZ932" s="449"/>
    </row>
    <row r="933" spans="67:78" s="457" customFormat="1" x14ac:dyDescent="0.2">
      <c r="BO933" s="468"/>
      <c r="BP933" s="468"/>
      <c r="BQ933" s="468"/>
      <c r="BR933" s="468"/>
      <c r="BS933" s="468"/>
      <c r="BT933" s="468"/>
      <c r="BU933" s="468"/>
      <c r="BV933" s="468"/>
      <c r="BW933" s="469"/>
      <c r="BX933" s="449"/>
      <c r="BY933" s="449"/>
      <c r="BZ933" s="449"/>
    </row>
    <row r="934" spans="67:78" s="457" customFormat="1" x14ac:dyDescent="0.2">
      <c r="BO934" s="468"/>
      <c r="BP934" s="468"/>
      <c r="BQ934" s="468"/>
      <c r="BR934" s="468"/>
      <c r="BS934" s="468"/>
      <c r="BT934" s="468"/>
      <c r="BU934" s="468"/>
      <c r="BV934" s="468"/>
      <c r="BW934" s="469"/>
      <c r="BX934" s="449"/>
      <c r="BY934" s="449"/>
      <c r="BZ934" s="449"/>
    </row>
    <row r="935" spans="67:78" s="457" customFormat="1" x14ac:dyDescent="0.2">
      <c r="BO935" s="468"/>
      <c r="BP935" s="468"/>
      <c r="BQ935" s="468"/>
      <c r="BR935" s="468"/>
      <c r="BS935" s="468"/>
      <c r="BT935" s="468"/>
      <c r="BU935" s="468"/>
      <c r="BV935" s="468"/>
      <c r="BW935" s="469"/>
      <c r="BX935" s="449"/>
      <c r="BY935" s="449"/>
      <c r="BZ935" s="449"/>
    </row>
    <row r="936" spans="67:78" s="457" customFormat="1" x14ac:dyDescent="0.2">
      <c r="BO936" s="468"/>
      <c r="BP936" s="468"/>
      <c r="BQ936" s="468"/>
      <c r="BR936" s="468"/>
      <c r="BS936" s="468"/>
      <c r="BT936" s="468"/>
      <c r="BU936" s="468"/>
      <c r="BV936" s="468"/>
      <c r="BW936" s="469"/>
      <c r="BX936" s="449"/>
      <c r="BY936" s="449"/>
      <c r="BZ936" s="449"/>
    </row>
    <row r="937" spans="67:78" s="457" customFormat="1" x14ac:dyDescent="0.2">
      <c r="BO937" s="468"/>
      <c r="BP937" s="468"/>
      <c r="BQ937" s="468"/>
      <c r="BR937" s="468"/>
      <c r="BS937" s="468"/>
      <c r="BT937" s="468"/>
      <c r="BU937" s="468"/>
      <c r="BV937" s="468"/>
      <c r="BW937" s="469"/>
      <c r="BX937" s="449"/>
      <c r="BY937" s="449"/>
      <c r="BZ937" s="449"/>
    </row>
    <row r="938" spans="67:78" s="457" customFormat="1" x14ac:dyDescent="0.2">
      <c r="BO938" s="468"/>
      <c r="BP938" s="468"/>
      <c r="BQ938" s="468"/>
      <c r="BR938" s="468"/>
      <c r="BS938" s="468"/>
      <c r="BT938" s="468"/>
      <c r="BU938" s="468"/>
      <c r="BV938" s="468"/>
      <c r="BW938" s="469"/>
      <c r="BX938" s="449"/>
      <c r="BY938" s="449"/>
      <c r="BZ938" s="449"/>
    </row>
    <row r="939" spans="67:78" s="457" customFormat="1" x14ac:dyDescent="0.2">
      <c r="BO939" s="468"/>
      <c r="BP939" s="468"/>
      <c r="BQ939" s="468"/>
      <c r="BR939" s="468"/>
      <c r="BS939" s="468"/>
      <c r="BT939" s="468"/>
      <c r="BU939" s="468"/>
      <c r="BV939" s="468"/>
      <c r="BW939" s="469"/>
      <c r="BX939" s="449"/>
      <c r="BY939" s="449"/>
      <c r="BZ939" s="449"/>
    </row>
    <row r="940" spans="67:78" s="457" customFormat="1" x14ac:dyDescent="0.2">
      <c r="BO940" s="468"/>
      <c r="BP940" s="468"/>
      <c r="BQ940" s="468"/>
      <c r="BR940" s="468"/>
      <c r="BS940" s="468"/>
      <c r="BT940" s="468"/>
      <c r="BU940" s="468"/>
      <c r="BV940" s="468"/>
      <c r="BW940" s="469"/>
      <c r="BX940" s="449"/>
      <c r="BY940" s="449"/>
      <c r="BZ940" s="449"/>
    </row>
    <row r="941" spans="67:78" s="457" customFormat="1" x14ac:dyDescent="0.2">
      <c r="BO941" s="468"/>
      <c r="BP941" s="468"/>
      <c r="BQ941" s="468"/>
      <c r="BR941" s="468"/>
      <c r="BS941" s="468"/>
      <c r="BT941" s="468"/>
      <c r="BU941" s="468"/>
      <c r="BV941" s="468"/>
      <c r="BW941" s="469"/>
      <c r="BX941" s="449"/>
      <c r="BY941" s="449"/>
      <c r="BZ941" s="449"/>
    </row>
    <row r="942" spans="67:78" s="457" customFormat="1" x14ac:dyDescent="0.2">
      <c r="BO942" s="468"/>
      <c r="BP942" s="468"/>
      <c r="BQ942" s="468"/>
      <c r="BR942" s="468"/>
      <c r="BS942" s="468"/>
      <c r="BT942" s="468"/>
      <c r="BU942" s="468"/>
      <c r="BV942" s="468"/>
      <c r="BW942" s="469"/>
      <c r="BX942" s="449"/>
      <c r="BY942" s="449"/>
      <c r="BZ942" s="449"/>
    </row>
    <row r="943" spans="67:78" s="457" customFormat="1" x14ac:dyDescent="0.2">
      <c r="BO943" s="468"/>
      <c r="BP943" s="468"/>
      <c r="BQ943" s="468"/>
      <c r="BR943" s="468"/>
      <c r="BS943" s="468"/>
      <c r="BT943" s="468"/>
      <c r="BU943" s="468"/>
      <c r="BV943" s="468"/>
      <c r="BW943" s="469"/>
      <c r="BX943" s="449"/>
      <c r="BY943" s="449"/>
      <c r="BZ943" s="449"/>
    </row>
    <row r="944" spans="67:78" s="457" customFormat="1" x14ac:dyDescent="0.2">
      <c r="BO944" s="468"/>
      <c r="BP944" s="468"/>
      <c r="BQ944" s="468"/>
      <c r="BR944" s="468"/>
      <c r="BS944" s="468"/>
      <c r="BT944" s="468"/>
      <c r="BU944" s="468"/>
      <c r="BV944" s="468"/>
      <c r="BW944" s="469"/>
      <c r="BX944" s="449"/>
      <c r="BY944" s="449"/>
      <c r="BZ944" s="449"/>
    </row>
    <row r="945" spans="67:78" s="457" customFormat="1" x14ac:dyDescent="0.2">
      <c r="BO945" s="468"/>
      <c r="BP945" s="468"/>
      <c r="BQ945" s="468"/>
      <c r="BR945" s="468"/>
      <c r="BS945" s="468"/>
      <c r="BT945" s="468"/>
      <c r="BU945" s="468"/>
      <c r="BV945" s="468"/>
      <c r="BW945" s="469"/>
      <c r="BX945" s="449"/>
      <c r="BY945" s="449"/>
      <c r="BZ945" s="449"/>
    </row>
    <row r="946" spans="67:78" s="457" customFormat="1" x14ac:dyDescent="0.2">
      <c r="BO946" s="468"/>
      <c r="BP946" s="468"/>
      <c r="BQ946" s="468"/>
      <c r="BR946" s="468"/>
      <c r="BS946" s="468"/>
      <c r="BT946" s="468"/>
      <c r="BU946" s="468"/>
      <c r="BV946" s="468"/>
      <c r="BW946" s="469"/>
      <c r="BX946" s="449"/>
      <c r="BY946" s="449"/>
      <c r="BZ946" s="449"/>
    </row>
    <row r="947" spans="67:78" s="457" customFormat="1" x14ac:dyDescent="0.2">
      <c r="BO947" s="468"/>
      <c r="BP947" s="468"/>
      <c r="BQ947" s="468"/>
      <c r="BR947" s="468"/>
      <c r="BS947" s="468"/>
      <c r="BT947" s="468"/>
      <c r="BU947" s="468"/>
      <c r="BV947" s="468"/>
      <c r="BW947" s="469"/>
      <c r="BX947" s="449"/>
      <c r="BY947" s="449"/>
      <c r="BZ947" s="449"/>
    </row>
    <row r="948" spans="67:78" s="457" customFormat="1" x14ac:dyDescent="0.2">
      <c r="BO948" s="468"/>
      <c r="BP948" s="468"/>
      <c r="BQ948" s="468"/>
      <c r="BR948" s="468"/>
      <c r="BS948" s="468"/>
      <c r="BT948" s="468"/>
      <c r="BU948" s="468"/>
      <c r="BV948" s="468"/>
      <c r="BW948" s="469"/>
      <c r="BX948" s="449"/>
      <c r="BY948" s="449"/>
      <c r="BZ948" s="449"/>
    </row>
    <row r="949" spans="67:78" s="457" customFormat="1" x14ac:dyDescent="0.2">
      <c r="BO949" s="468"/>
      <c r="BP949" s="468"/>
      <c r="BQ949" s="468"/>
      <c r="BR949" s="468"/>
      <c r="BS949" s="468"/>
      <c r="BT949" s="468"/>
      <c r="BU949" s="468"/>
      <c r="BV949" s="468"/>
      <c r="BW949" s="469"/>
      <c r="BX949" s="449"/>
      <c r="BY949" s="449"/>
      <c r="BZ949" s="449"/>
    </row>
    <row r="950" spans="67:78" s="457" customFormat="1" x14ac:dyDescent="0.2">
      <c r="BO950" s="468"/>
      <c r="BP950" s="468"/>
      <c r="BQ950" s="468"/>
      <c r="BR950" s="468"/>
      <c r="BS950" s="468"/>
      <c r="BT950" s="468"/>
      <c r="BU950" s="468"/>
      <c r="BV950" s="468"/>
      <c r="BW950" s="469"/>
      <c r="BX950" s="449"/>
      <c r="BY950" s="449"/>
      <c r="BZ950" s="449"/>
    </row>
    <row r="951" spans="67:78" s="457" customFormat="1" x14ac:dyDescent="0.2">
      <c r="BO951" s="468"/>
      <c r="BP951" s="468"/>
      <c r="BQ951" s="468"/>
      <c r="BR951" s="468"/>
      <c r="BS951" s="468"/>
      <c r="BT951" s="468"/>
      <c r="BU951" s="468"/>
      <c r="BV951" s="468"/>
      <c r="BW951" s="469"/>
      <c r="BX951" s="449"/>
      <c r="BY951" s="449"/>
      <c r="BZ951" s="449"/>
    </row>
    <row r="952" spans="67:78" s="457" customFormat="1" x14ac:dyDescent="0.2">
      <c r="BO952" s="468"/>
      <c r="BP952" s="468"/>
      <c r="BQ952" s="468"/>
      <c r="BR952" s="468"/>
      <c r="BS952" s="468"/>
      <c r="BT952" s="468"/>
      <c r="BU952" s="468"/>
      <c r="BV952" s="468"/>
      <c r="BW952" s="469"/>
      <c r="BX952" s="449"/>
      <c r="BY952" s="449"/>
      <c r="BZ952" s="449"/>
    </row>
    <row r="953" spans="67:78" s="457" customFormat="1" x14ac:dyDescent="0.2">
      <c r="BO953" s="468"/>
      <c r="BP953" s="468"/>
      <c r="BQ953" s="468"/>
      <c r="BR953" s="468"/>
      <c r="BS953" s="468"/>
      <c r="BT953" s="468"/>
      <c r="BU953" s="468"/>
      <c r="BV953" s="468"/>
      <c r="BW953" s="469"/>
      <c r="BX953" s="449"/>
      <c r="BY953" s="449"/>
      <c r="BZ953" s="449"/>
    </row>
    <row r="954" spans="67:78" s="457" customFormat="1" x14ac:dyDescent="0.2">
      <c r="BO954" s="468"/>
      <c r="BP954" s="468"/>
      <c r="BQ954" s="468"/>
      <c r="BR954" s="468"/>
      <c r="BS954" s="468"/>
      <c r="BT954" s="468"/>
      <c r="BU954" s="468"/>
      <c r="BV954" s="468"/>
      <c r="BW954" s="469"/>
      <c r="BX954" s="449"/>
      <c r="BY954" s="449"/>
      <c r="BZ954" s="449"/>
    </row>
    <row r="955" spans="67:78" s="457" customFormat="1" x14ac:dyDescent="0.2">
      <c r="BO955" s="468"/>
      <c r="BP955" s="468"/>
      <c r="BQ955" s="468"/>
      <c r="BR955" s="468"/>
      <c r="BS955" s="468"/>
      <c r="BT955" s="468"/>
      <c r="BU955" s="468"/>
      <c r="BV955" s="468"/>
      <c r="BW955" s="469"/>
      <c r="BX955" s="449"/>
      <c r="BY955" s="449"/>
      <c r="BZ955" s="449"/>
    </row>
    <row r="956" spans="67:78" s="457" customFormat="1" x14ac:dyDescent="0.2">
      <c r="BO956" s="468"/>
      <c r="BP956" s="468"/>
      <c r="BQ956" s="468"/>
      <c r="BR956" s="468"/>
      <c r="BS956" s="468"/>
      <c r="BT956" s="468"/>
      <c r="BU956" s="468"/>
      <c r="BV956" s="468"/>
      <c r="BW956" s="469"/>
      <c r="BX956" s="449"/>
      <c r="BY956" s="449"/>
      <c r="BZ956" s="449"/>
    </row>
    <row r="957" spans="67:78" s="457" customFormat="1" x14ac:dyDescent="0.2">
      <c r="BO957" s="468"/>
      <c r="BP957" s="468"/>
      <c r="BQ957" s="468"/>
      <c r="BR957" s="468"/>
      <c r="BS957" s="468"/>
      <c r="BT957" s="468"/>
      <c r="BU957" s="468"/>
      <c r="BV957" s="468"/>
      <c r="BW957" s="469"/>
      <c r="BX957" s="449"/>
      <c r="BY957" s="449"/>
      <c r="BZ957" s="449"/>
    </row>
    <row r="958" spans="67:78" s="457" customFormat="1" x14ac:dyDescent="0.2">
      <c r="BO958" s="468"/>
      <c r="BP958" s="468"/>
      <c r="BQ958" s="468"/>
      <c r="BR958" s="468"/>
      <c r="BS958" s="468"/>
      <c r="BT958" s="468"/>
      <c r="BU958" s="468"/>
      <c r="BV958" s="468"/>
      <c r="BW958" s="469"/>
      <c r="BX958" s="449"/>
      <c r="BY958" s="449"/>
      <c r="BZ958" s="449"/>
    </row>
    <row r="959" spans="67:78" s="457" customFormat="1" x14ac:dyDescent="0.2">
      <c r="BO959" s="468"/>
      <c r="BP959" s="468"/>
      <c r="BQ959" s="468"/>
      <c r="BR959" s="468"/>
      <c r="BS959" s="468"/>
      <c r="BT959" s="468"/>
      <c r="BU959" s="468"/>
      <c r="BV959" s="468"/>
      <c r="BW959" s="469"/>
      <c r="BX959" s="449"/>
      <c r="BY959" s="449"/>
      <c r="BZ959" s="449"/>
    </row>
    <row r="960" spans="67:78" s="457" customFormat="1" x14ac:dyDescent="0.2">
      <c r="BO960" s="468"/>
      <c r="BP960" s="468"/>
      <c r="BQ960" s="468"/>
      <c r="BR960" s="468"/>
      <c r="BS960" s="468"/>
      <c r="BT960" s="468"/>
      <c r="BU960" s="468"/>
      <c r="BV960" s="468"/>
      <c r="BW960" s="469"/>
      <c r="BX960" s="449"/>
      <c r="BY960" s="449"/>
      <c r="BZ960" s="449"/>
    </row>
    <row r="961" spans="67:78" s="457" customFormat="1" x14ac:dyDescent="0.2">
      <c r="BO961" s="468"/>
      <c r="BP961" s="468"/>
      <c r="BQ961" s="468"/>
      <c r="BR961" s="468"/>
      <c r="BS961" s="468"/>
      <c r="BT961" s="468"/>
      <c r="BU961" s="468"/>
      <c r="BV961" s="468"/>
      <c r="BW961" s="469"/>
      <c r="BX961" s="449"/>
      <c r="BY961" s="449"/>
      <c r="BZ961" s="449"/>
    </row>
    <row r="962" spans="67:78" s="457" customFormat="1" x14ac:dyDescent="0.2">
      <c r="BO962" s="468"/>
      <c r="BP962" s="468"/>
      <c r="BQ962" s="468"/>
      <c r="BR962" s="468"/>
      <c r="BS962" s="468"/>
      <c r="BT962" s="468"/>
      <c r="BU962" s="468"/>
      <c r="BV962" s="468"/>
      <c r="BW962" s="469"/>
      <c r="BX962" s="449"/>
      <c r="BY962" s="449"/>
      <c r="BZ962" s="449"/>
    </row>
    <row r="963" spans="67:78" s="457" customFormat="1" x14ac:dyDescent="0.2">
      <c r="BO963" s="468"/>
      <c r="BP963" s="468"/>
      <c r="BQ963" s="468"/>
      <c r="BR963" s="468"/>
      <c r="BS963" s="468"/>
      <c r="BT963" s="468"/>
      <c r="BU963" s="468"/>
      <c r="BV963" s="468"/>
      <c r="BW963" s="469"/>
      <c r="BX963" s="449"/>
      <c r="BY963" s="449"/>
      <c r="BZ963" s="449"/>
    </row>
    <row r="964" spans="67:78" s="457" customFormat="1" x14ac:dyDescent="0.2">
      <c r="BO964" s="468"/>
      <c r="BP964" s="468"/>
      <c r="BQ964" s="468"/>
      <c r="BR964" s="468"/>
      <c r="BS964" s="468"/>
      <c r="BT964" s="468"/>
      <c r="BU964" s="468"/>
      <c r="BV964" s="468"/>
      <c r="BW964" s="469"/>
      <c r="BX964" s="449"/>
      <c r="BY964" s="449"/>
      <c r="BZ964" s="449"/>
    </row>
    <row r="965" spans="67:78" s="457" customFormat="1" x14ac:dyDescent="0.2">
      <c r="BO965" s="468"/>
      <c r="BP965" s="468"/>
      <c r="BQ965" s="468"/>
      <c r="BR965" s="468"/>
      <c r="BS965" s="468"/>
      <c r="BT965" s="468"/>
      <c r="BU965" s="468"/>
      <c r="BV965" s="468"/>
      <c r="BW965" s="469"/>
      <c r="BX965" s="449"/>
      <c r="BY965" s="449"/>
      <c r="BZ965" s="449"/>
    </row>
    <row r="966" spans="67:78" s="457" customFormat="1" x14ac:dyDescent="0.2">
      <c r="BO966" s="468"/>
      <c r="BP966" s="468"/>
      <c r="BQ966" s="468"/>
      <c r="BR966" s="468"/>
      <c r="BS966" s="468"/>
      <c r="BT966" s="468"/>
      <c r="BU966" s="468"/>
      <c r="BV966" s="468"/>
      <c r="BW966" s="469"/>
      <c r="BX966" s="449"/>
      <c r="BY966" s="449"/>
      <c r="BZ966" s="449"/>
    </row>
    <row r="967" spans="67:78" s="457" customFormat="1" x14ac:dyDescent="0.2">
      <c r="BO967" s="468"/>
      <c r="BP967" s="468"/>
      <c r="BQ967" s="468"/>
      <c r="BR967" s="468"/>
      <c r="BS967" s="468"/>
      <c r="BT967" s="468"/>
      <c r="BU967" s="468"/>
      <c r="BV967" s="468"/>
      <c r="BW967" s="469"/>
      <c r="BX967" s="449"/>
      <c r="BY967" s="449"/>
      <c r="BZ967" s="449"/>
    </row>
    <row r="968" spans="67:78" s="457" customFormat="1" x14ac:dyDescent="0.2">
      <c r="BO968" s="468"/>
      <c r="BP968" s="468"/>
      <c r="BQ968" s="468"/>
      <c r="BR968" s="468"/>
      <c r="BS968" s="468"/>
      <c r="BT968" s="468"/>
      <c r="BU968" s="468"/>
      <c r="BV968" s="468"/>
      <c r="BW968" s="469"/>
      <c r="BX968" s="449"/>
      <c r="BY968" s="449"/>
      <c r="BZ968" s="449"/>
    </row>
    <row r="969" spans="67:78" s="457" customFormat="1" x14ac:dyDescent="0.2">
      <c r="BO969" s="468"/>
      <c r="BP969" s="468"/>
      <c r="BQ969" s="468"/>
      <c r="BR969" s="468"/>
      <c r="BS969" s="468"/>
      <c r="BT969" s="468"/>
      <c r="BU969" s="468"/>
      <c r="BV969" s="468"/>
      <c r="BW969" s="469"/>
      <c r="BX969" s="449"/>
      <c r="BY969" s="449"/>
      <c r="BZ969" s="449"/>
    </row>
    <row r="970" spans="67:78" s="457" customFormat="1" x14ac:dyDescent="0.2">
      <c r="BO970" s="468"/>
      <c r="BP970" s="468"/>
      <c r="BQ970" s="468"/>
      <c r="BR970" s="468"/>
      <c r="BS970" s="468"/>
      <c r="BT970" s="468"/>
      <c r="BU970" s="468"/>
      <c r="BV970" s="468"/>
      <c r="BW970" s="469"/>
      <c r="BX970" s="449"/>
      <c r="BY970" s="449"/>
      <c r="BZ970" s="449"/>
    </row>
    <row r="971" spans="67:78" s="457" customFormat="1" x14ac:dyDescent="0.2">
      <c r="BO971" s="468"/>
      <c r="BP971" s="468"/>
      <c r="BQ971" s="468"/>
      <c r="BR971" s="468"/>
      <c r="BS971" s="468"/>
      <c r="BT971" s="468"/>
      <c r="BU971" s="468"/>
      <c r="BV971" s="468"/>
      <c r="BW971" s="469"/>
      <c r="BX971" s="449"/>
      <c r="BY971" s="449"/>
      <c r="BZ971" s="449"/>
    </row>
    <row r="972" spans="67:78" s="457" customFormat="1" x14ac:dyDescent="0.2">
      <c r="BO972" s="468"/>
      <c r="BP972" s="468"/>
      <c r="BQ972" s="468"/>
      <c r="BR972" s="468"/>
      <c r="BS972" s="468"/>
      <c r="BT972" s="468"/>
      <c r="BU972" s="468"/>
      <c r="BV972" s="468"/>
      <c r="BW972" s="469"/>
      <c r="BX972" s="449"/>
      <c r="BY972" s="449"/>
      <c r="BZ972" s="449"/>
    </row>
    <row r="973" spans="67:78" s="457" customFormat="1" x14ac:dyDescent="0.2">
      <c r="BO973" s="468"/>
      <c r="BP973" s="468"/>
      <c r="BQ973" s="468"/>
      <c r="BR973" s="468"/>
      <c r="BS973" s="468"/>
      <c r="BT973" s="468"/>
      <c r="BU973" s="468"/>
      <c r="BV973" s="468"/>
      <c r="BW973" s="469"/>
      <c r="BX973" s="449"/>
      <c r="BY973" s="449"/>
      <c r="BZ973" s="449"/>
    </row>
    <row r="974" spans="67:78" s="457" customFormat="1" x14ac:dyDescent="0.2">
      <c r="BO974" s="468"/>
      <c r="BP974" s="468"/>
      <c r="BQ974" s="468"/>
      <c r="BR974" s="468"/>
      <c r="BS974" s="468"/>
      <c r="BT974" s="468"/>
      <c r="BU974" s="468"/>
      <c r="BV974" s="468"/>
      <c r="BW974" s="469"/>
      <c r="BX974" s="449"/>
      <c r="BY974" s="449"/>
      <c r="BZ974" s="449"/>
    </row>
    <row r="975" spans="67:78" s="457" customFormat="1" x14ac:dyDescent="0.2">
      <c r="BO975" s="468"/>
      <c r="BP975" s="468"/>
      <c r="BQ975" s="468"/>
      <c r="BR975" s="468"/>
      <c r="BS975" s="468"/>
      <c r="BT975" s="468"/>
      <c r="BU975" s="468"/>
      <c r="BV975" s="468"/>
      <c r="BW975" s="469"/>
      <c r="BX975" s="449"/>
      <c r="BY975" s="449"/>
      <c r="BZ975" s="449"/>
    </row>
    <row r="976" spans="67:78" s="457" customFormat="1" x14ac:dyDescent="0.2">
      <c r="BO976" s="468"/>
      <c r="BP976" s="468"/>
      <c r="BQ976" s="468"/>
      <c r="BR976" s="468"/>
      <c r="BS976" s="468"/>
      <c r="BT976" s="468"/>
      <c r="BU976" s="468"/>
      <c r="BV976" s="468"/>
      <c r="BW976" s="469"/>
      <c r="BX976" s="449"/>
      <c r="BY976" s="449"/>
      <c r="BZ976" s="449"/>
    </row>
    <row r="977" spans="67:78" s="457" customFormat="1" x14ac:dyDescent="0.2">
      <c r="BO977" s="468"/>
      <c r="BP977" s="468"/>
      <c r="BQ977" s="468"/>
      <c r="BR977" s="468"/>
      <c r="BS977" s="468"/>
      <c r="BT977" s="468"/>
      <c r="BU977" s="468"/>
      <c r="BV977" s="468"/>
      <c r="BW977" s="469"/>
      <c r="BX977" s="449"/>
      <c r="BY977" s="449"/>
      <c r="BZ977" s="449"/>
    </row>
    <row r="978" spans="67:78" s="457" customFormat="1" x14ac:dyDescent="0.2">
      <c r="BO978" s="468"/>
      <c r="BP978" s="468"/>
      <c r="BQ978" s="468"/>
      <c r="BR978" s="468"/>
      <c r="BS978" s="468"/>
      <c r="BT978" s="468"/>
      <c r="BU978" s="468"/>
      <c r="BV978" s="468"/>
      <c r="BW978" s="469"/>
      <c r="BX978" s="449"/>
      <c r="BY978" s="449"/>
      <c r="BZ978" s="449"/>
    </row>
    <row r="979" spans="67:78" s="457" customFormat="1" x14ac:dyDescent="0.2">
      <c r="BO979" s="468"/>
      <c r="BP979" s="468"/>
      <c r="BQ979" s="468"/>
      <c r="BR979" s="468"/>
      <c r="BS979" s="468"/>
      <c r="BT979" s="468"/>
      <c r="BU979" s="468"/>
      <c r="BV979" s="468"/>
      <c r="BW979" s="469"/>
      <c r="BX979" s="449"/>
      <c r="BY979" s="449"/>
      <c r="BZ979" s="449"/>
    </row>
    <row r="980" spans="67:78" s="457" customFormat="1" x14ac:dyDescent="0.2">
      <c r="BO980" s="468"/>
      <c r="BP980" s="468"/>
      <c r="BQ980" s="468"/>
      <c r="BR980" s="468"/>
      <c r="BS980" s="468"/>
      <c r="BT980" s="468"/>
      <c r="BU980" s="468"/>
      <c r="BV980" s="468"/>
      <c r="BW980" s="469"/>
      <c r="BX980" s="449"/>
      <c r="BY980" s="449"/>
      <c r="BZ980" s="449"/>
    </row>
    <row r="981" spans="67:78" s="457" customFormat="1" x14ac:dyDescent="0.2">
      <c r="BO981" s="468"/>
      <c r="BP981" s="468"/>
      <c r="BQ981" s="468"/>
      <c r="BR981" s="468"/>
      <c r="BS981" s="468"/>
      <c r="BT981" s="468"/>
      <c r="BU981" s="468"/>
      <c r="BV981" s="468"/>
      <c r="BW981" s="469"/>
      <c r="BX981" s="449"/>
      <c r="BY981" s="449"/>
      <c r="BZ981" s="449"/>
    </row>
    <row r="982" spans="67:78" s="457" customFormat="1" x14ac:dyDescent="0.2">
      <c r="BO982" s="468"/>
      <c r="BP982" s="468"/>
      <c r="BQ982" s="468"/>
      <c r="BR982" s="468"/>
      <c r="BS982" s="468"/>
      <c r="BT982" s="468"/>
      <c r="BU982" s="468"/>
      <c r="BV982" s="468"/>
      <c r="BW982" s="469"/>
      <c r="BX982" s="449"/>
      <c r="BY982" s="449"/>
      <c r="BZ982" s="449"/>
    </row>
    <row r="983" spans="67:78" s="457" customFormat="1" x14ac:dyDescent="0.2">
      <c r="BO983" s="468"/>
      <c r="BP983" s="468"/>
      <c r="BQ983" s="468"/>
      <c r="BR983" s="468"/>
      <c r="BS983" s="468"/>
      <c r="BT983" s="468"/>
      <c r="BU983" s="468"/>
      <c r="BV983" s="468"/>
      <c r="BW983" s="469"/>
      <c r="BX983" s="449"/>
      <c r="BY983" s="449"/>
      <c r="BZ983" s="449"/>
    </row>
    <row r="984" spans="67:78" s="457" customFormat="1" x14ac:dyDescent="0.2">
      <c r="BO984" s="468"/>
      <c r="BP984" s="468"/>
      <c r="BQ984" s="468"/>
      <c r="BR984" s="468"/>
      <c r="BS984" s="468"/>
      <c r="BT984" s="468"/>
      <c r="BU984" s="468"/>
      <c r="BV984" s="468"/>
      <c r="BW984" s="469"/>
      <c r="BX984" s="449"/>
      <c r="BY984" s="449"/>
      <c r="BZ984" s="449"/>
    </row>
    <row r="985" spans="67:78" s="457" customFormat="1" x14ac:dyDescent="0.2">
      <c r="BO985" s="468"/>
      <c r="BP985" s="468"/>
      <c r="BQ985" s="468"/>
      <c r="BR985" s="468"/>
      <c r="BS985" s="468"/>
      <c r="BT985" s="468"/>
      <c r="BU985" s="468"/>
      <c r="BV985" s="468"/>
      <c r="BW985" s="469"/>
      <c r="BX985" s="449"/>
      <c r="BY985" s="449"/>
      <c r="BZ985" s="449"/>
    </row>
    <row r="986" spans="67:78" s="457" customFormat="1" x14ac:dyDescent="0.2">
      <c r="BO986" s="468"/>
      <c r="BP986" s="468"/>
      <c r="BQ986" s="468"/>
      <c r="BR986" s="468"/>
      <c r="BS986" s="468"/>
      <c r="BT986" s="468"/>
      <c r="BU986" s="468"/>
      <c r="BV986" s="468"/>
      <c r="BW986" s="469"/>
      <c r="BX986" s="449"/>
      <c r="BY986" s="449"/>
      <c r="BZ986" s="449"/>
    </row>
    <row r="987" spans="67:78" s="457" customFormat="1" x14ac:dyDescent="0.2">
      <c r="BO987" s="468"/>
      <c r="BP987" s="468"/>
      <c r="BQ987" s="468"/>
      <c r="BR987" s="468"/>
      <c r="BS987" s="468"/>
      <c r="BT987" s="468"/>
      <c r="BU987" s="468"/>
      <c r="BV987" s="468"/>
      <c r="BW987" s="469"/>
      <c r="BX987" s="449"/>
      <c r="BY987" s="449"/>
      <c r="BZ987" s="449"/>
    </row>
    <row r="988" spans="67:78" s="457" customFormat="1" x14ac:dyDescent="0.2">
      <c r="BO988" s="468"/>
      <c r="BP988" s="468"/>
      <c r="BQ988" s="468"/>
      <c r="BR988" s="468"/>
      <c r="BS988" s="468"/>
      <c r="BT988" s="468"/>
      <c r="BU988" s="468"/>
      <c r="BV988" s="468"/>
      <c r="BW988" s="469"/>
      <c r="BX988" s="449"/>
      <c r="BY988" s="449"/>
      <c r="BZ988" s="449"/>
    </row>
    <row r="989" spans="67:78" s="457" customFormat="1" x14ac:dyDescent="0.2">
      <c r="BO989" s="468"/>
      <c r="BP989" s="468"/>
      <c r="BQ989" s="468"/>
      <c r="BR989" s="468"/>
      <c r="BS989" s="468"/>
      <c r="BT989" s="468"/>
      <c r="BU989" s="468"/>
      <c r="BV989" s="468"/>
      <c r="BW989" s="469"/>
      <c r="BX989" s="449"/>
      <c r="BY989" s="449"/>
      <c r="BZ989" s="449"/>
    </row>
    <row r="990" spans="67:78" s="457" customFormat="1" x14ac:dyDescent="0.2">
      <c r="BO990" s="468"/>
      <c r="BP990" s="468"/>
      <c r="BQ990" s="468"/>
      <c r="BR990" s="468"/>
      <c r="BS990" s="468"/>
      <c r="BT990" s="468"/>
      <c r="BU990" s="468"/>
      <c r="BV990" s="468"/>
      <c r="BW990" s="469"/>
      <c r="BX990" s="449"/>
      <c r="BY990" s="449"/>
      <c r="BZ990" s="449"/>
    </row>
    <row r="991" spans="67:78" s="457" customFormat="1" x14ac:dyDescent="0.2">
      <c r="BO991" s="468"/>
      <c r="BP991" s="468"/>
      <c r="BQ991" s="468"/>
      <c r="BR991" s="468"/>
      <c r="BS991" s="468"/>
      <c r="BT991" s="468"/>
      <c r="BU991" s="468"/>
      <c r="BV991" s="468"/>
      <c r="BW991" s="469"/>
      <c r="BX991" s="449"/>
      <c r="BY991" s="449"/>
      <c r="BZ991" s="449"/>
    </row>
    <row r="992" spans="67:78" s="457" customFormat="1" x14ac:dyDescent="0.2">
      <c r="BO992" s="468"/>
      <c r="BP992" s="468"/>
      <c r="BQ992" s="468"/>
      <c r="BR992" s="468"/>
      <c r="BS992" s="468"/>
      <c r="BT992" s="468"/>
      <c r="BU992" s="468"/>
      <c r="BV992" s="468"/>
      <c r="BW992" s="469"/>
      <c r="BX992" s="449"/>
      <c r="BY992" s="449"/>
      <c r="BZ992" s="449"/>
    </row>
    <row r="993" spans="67:78" s="457" customFormat="1" x14ac:dyDescent="0.2">
      <c r="BO993" s="468"/>
      <c r="BP993" s="468"/>
      <c r="BQ993" s="468"/>
      <c r="BR993" s="468"/>
      <c r="BS993" s="468"/>
      <c r="BT993" s="468"/>
      <c r="BU993" s="468"/>
      <c r="BV993" s="468"/>
      <c r="BW993" s="469"/>
      <c r="BX993" s="449"/>
      <c r="BY993" s="449"/>
      <c r="BZ993" s="449"/>
    </row>
    <row r="994" spans="67:78" s="457" customFormat="1" x14ac:dyDescent="0.2">
      <c r="BO994" s="468"/>
      <c r="BP994" s="468"/>
      <c r="BQ994" s="468"/>
      <c r="BR994" s="468"/>
      <c r="BS994" s="468"/>
      <c r="BT994" s="468"/>
      <c r="BU994" s="468"/>
      <c r="BV994" s="468"/>
      <c r="BW994" s="469"/>
      <c r="BX994" s="449"/>
      <c r="BY994" s="449"/>
      <c r="BZ994" s="449"/>
    </row>
    <row r="995" spans="67:78" s="457" customFormat="1" x14ac:dyDescent="0.2">
      <c r="BO995" s="468"/>
      <c r="BP995" s="468"/>
      <c r="BQ995" s="468"/>
      <c r="BR995" s="468"/>
      <c r="BS995" s="468"/>
      <c r="BT995" s="468"/>
      <c r="BU995" s="468"/>
      <c r="BV995" s="468"/>
      <c r="BW995" s="469"/>
      <c r="BX995" s="449"/>
      <c r="BY995" s="449"/>
      <c r="BZ995" s="449"/>
    </row>
    <row r="996" spans="67:78" s="457" customFormat="1" x14ac:dyDescent="0.2">
      <c r="BO996" s="468"/>
      <c r="BP996" s="468"/>
      <c r="BQ996" s="468"/>
      <c r="BR996" s="468"/>
      <c r="BS996" s="468"/>
      <c r="BT996" s="468"/>
      <c r="BU996" s="468"/>
      <c r="BV996" s="468"/>
      <c r="BW996" s="469"/>
      <c r="BX996" s="449"/>
      <c r="BY996" s="449"/>
      <c r="BZ996" s="449"/>
    </row>
    <row r="997" spans="67:78" s="457" customFormat="1" x14ac:dyDescent="0.2">
      <c r="BO997" s="468"/>
      <c r="BP997" s="468"/>
      <c r="BQ997" s="468"/>
      <c r="BR997" s="468"/>
      <c r="BS997" s="468"/>
      <c r="BT997" s="468"/>
      <c r="BU997" s="468"/>
      <c r="BV997" s="468"/>
      <c r="BW997" s="469"/>
      <c r="BX997" s="449"/>
      <c r="BY997" s="449"/>
      <c r="BZ997" s="449"/>
    </row>
    <row r="998" spans="67:78" s="457" customFormat="1" x14ac:dyDescent="0.2">
      <c r="BO998" s="468"/>
      <c r="BP998" s="468"/>
      <c r="BQ998" s="468"/>
      <c r="BR998" s="468"/>
      <c r="BS998" s="468"/>
      <c r="BT998" s="468"/>
      <c r="BU998" s="468"/>
      <c r="BV998" s="468"/>
      <c r="BW998" s="469"/>
      <c r="BX998" s="449"/>
      <c r="BY998" s="449"/>
      <c r="BZ998" s="449"/>
    </row>
    <row r="999" spans="67:78" s="457" customFormat="1" x14ac:dyDescent="0.2">
      <c r="BO999" s="468"/>
      <c r="BP999" s="468"/>
      <c r="BQ999" s="468"/>
      <c r="BR999" s="468"/>
      <c r="BS999" s="468"/>
      <c r="BT999" s="468"/>
      <c r="BU999" s="468"/>
      <c r="BV999" s="468"/>
      <c r="BW999" s="469"/>
      <c r="BX999" s="449"/>
      <c r="BY999" s="449"/>
      <c r="BZ999" s="449"/>
    </row>
    <row r="1000" spans="67:78" s="457" customFormat="1" x14ac:dyDescent="0.2">
      <c r="BO1000" s="468"/>
      <c r="BP1000" s="468"/>
      <c r="BQ1000" s="468"/>
      <c r="BR1000" s="468"/>
      <c r="BS1000" s="468"/>
      <c r="BT1000" s="468"/>
      <c r="BU1000" s="468"/>
      <c r="BV1000" s="468"/>
      <c r="BW1000" s="469"/>
      <c r="BX1000" s="449"/>
      <c r="BY1000" s="449"/>
      <c r="BZ1000" s="449"/>
    </row>
    <row r="1001" spans="67:78" s="457" customFormat="1" x14ac:dyDescent="0.2">
      <c r="BO1001" s="468"/>
      <c r="BP1001" s="468"/>
      <c r="BQ1001" s="468"/>
      <c r="BR1001" s="468"/>
      <c r="BS1001" s="468"/>
      <c r="BT1001" s="468"/>
      <c r="BU1001" s="468"/>
      <c r="BV1001" s="468"/>
      <c r="BW1001" s="469"/>
      <c r="BX1001" s="449"/>
      <c r="BY1001" s="449"/>
      <c r="BZ1001" s="449"/>
    </row>
    <row r="1002" spans="67:78" s="457" customFormat="1" x14ac:dyDescent="0.2">
      <c r="BO1002" s="468"/>
      <c r="BP1002" s="468"/>
      <c r="BQ1002" s="468"/>
      <c r="BR1002" s="468"/>
      <c r="BS1002" s="468"/>
      <c r="BT1002" s="468"/>
      <c r="BU1002" s="468"/>
      <c r="BV1002" s="468"/>
      <c r="BW1002" s="469"/>
      <c r="BX1002" s="449"/>
      <c r="BY1002" s="449"/>
      <c r="BZ1002" s="449"/>
    </row>
    <row r="1003" spans="67:78" s="457" customFormat="1" x14ac:dyDescent="0.2">
      <c r="BO1003" s="468"/>
      <c r="BP1003" s="468"/>
      <c r="BQ1003" s="468"/>
      <c r="BR1003" s="468"/>
      <c r="BS1003" s="468"/>
      <c r="BT1003" s="468"/>
      <c r="BU1003" s="468"/>
      <c r="BV1003" s="468"/>
      <c r="BW1003" s="469"/>
      <c r="BX1003" s="449"/>
      <c r="BY1003" s="449"/>
      <c r="BZ1003" s="449"/>
    </row>
    <row r="1004" spans="67:78" s="457" customFormat="1" x14ac:dyDescent="0.2">
      <c r="BO1004" s="468"/>
      <c r="BP1004" s="468"/>
      <c r="BQ1004" s="468"/>
      <c r="BR1004" s="468"/>
      <c r="BS1004" s="468"/>
      <c r="BT1004" s="468"/>
      <c r="BU1004" s="468"/>
      <c r="BV1004" s="468"/>
      <c r="BW1004" s="469"/>
      <c r="BX1004" s="449"/>
      <c r="BY1004" s="449"/>
      <c r="BZ1004" s="449"/>
    </row>
    <row r="1005" spans="67:78" s="457" customFormat="1" x14ac:dyDescent="0.2">
      <c r="BO1005" s="468"/>
      <c r="BP1005" s="468"/>
      <c r="BQ1005" s="468"/>
      <c r="BR1005" s="468"/>
      <c r="BS1005" s="468"/>
      <c r="BT1005" s="468"/>
      <c r="BU1005" s="468"/>
      <c r="BV1005" s="468"/>
      <c r="BW1005" s="469"/>
      <c r="BX1005" s="449"/>
      <c r="BY1005" s="449"/>
      <c r="BZ1005" s="449"/>
    </row>
    <row r="1006" spans="67:78" s="457" customFormat="1" x14ac:dyDescent="0.2">
      <c r="BO1006" s="468"/>
      <c r="BP1006" s="468"/>
      <c r="BQ1006" s="468"/>
      <c r="BR1006" s="468"/>
      <c r="BS1006" s="468"/>
      <c r="BT1006" s="468"/>
      <c r="BU1006" s="468"/>
      <c r="BV1006" s="468"/>
      <c r="BW1006" s="469"/>
      <c r="BX1006" s="449"/>
      <c r="BY1006" s="449"/>
      <c r="BZ1006" s="449"/>
    </row>
    <row r="1007" spans="67:78" s="457" customFormat="1" x14ac:dyDescent="0.2">
      <c r="BO1007" s="468"/>
      <c r="BP1007" s="468"/>
      <c r="BQ1007" s="468"/>
      <c r="BR1007" s="468"/>
      <c r="BS1007" s="468"/>
      <c r="BT1007" s="468"/>
      <c r="BU1007" s="468"/>
      <c r="BV1007" s="468"/>
      <c r="BW1007" s="469"/>
      <c r="BX1007" s="449"/>
      <c r="BY1007" s="449"/>
      <c r="BZ1007" s="449"/>
    </row>
    <row r="1008" spans="67:78" s="457" customFormat="1" x14ac:dyDescent="0.2">
      <c r="BO1008" s="468"/>
      <c r="BP1008" s="468"/>
      <c r="BQ1008" s="468"/>
      <c r="BR1008" s="468"/>
      <c r="BS1008" s="468"/>
      <c r="BT1008" s="468"/>
      <c r="BU1008" s="468"/>
      <c r="BV1008" s="468"/>
      <c r="BW1008" s="469"/>
      <c r="BX1008" s="449"/>
      <c r="BY1008" s="449"/>
      <c r="BZ1008" s="449"/>
    </row>
    <row r="1009" spans="67:78" s="457" customFormat="1" x14ac:dyDescent="0.2">
      <c r="BO1009" s="468"/>
      <c r="BP1009" s="468"/>
      <c r="BQ1009" s="468"/>
      <c r="BR1009" s="468"/>
      <c r="BS1009" s="468"/>
      <c r="BT1009" s="468"/>
      <c r="BU1009" s="468"/>
      <c r="BV1009" s="468"/>
      <c r="BW1009" s="469"/>
      <c r="BX1009" s="449"/>
      <c r="BY1009" s="449"/>
      <c r="BZ1009" s="449"/>
    </row>
    <row r="1010" spans="67:78" s="457" customFormat="1" x14ac:dyDescent="0.2">
      <c r="BO1010" s="468"/>
      <c r="BP1010" s="468"/>
      <c r="BQ1010" s="468"/>
      <c r="BR1010" s="468"/>
      <c r="BS1010" s="468"/>
      <c r="BT1010" s="468"/>
      <c r="BU1010" s="468"/>
      <c r="BV1010" s="468"/>
      <c r="BW1010" s="469"/>
      <c r="BX1010" s="449"/>
      <c r="BY1010" s="449"/>
      <c r="BZ1010" s="449"/>
    </row>
    <row r="1011" spans="67:78" s="457" customFormat="1" x14ac:dyDescent="0.2">
      <c r="BO1011" s="468"/>
      <c r="BP1011" s="468"/>
      <c r="BQ1011" s="468"/>
      <c r="BR1011" s="468"/>
      <c r="BS1011" s="468"/>
      <c r="BT1011" s="468"/>
      <c r="BU1011" s="468"/>
      <c r="BV1011" s="468"/>
      <c r="BW1011" s="469"/>
      <c r="BX1011" s="449"/>
      <c r="BY1011" s="449"/>
      <c r="BZ1011" s="449"/>
    </row>
    <row r="1012" spans="67:78" s="457" customFormat="1" x14ac:dyDescent="0.2">
      <c r="BO1012" s="468"/>
      <c r="BP1012" s="468"/>
      <c r="BQ1012" s="468"/>
      <c r="BR1012" s="468"/>
      <c r="BS1012" s="468"/>
      <c r="BT1012" s="468"/>
      <c r="BU1012" s="468"/>
      <c r="BV1012" s="468"/>
      <c r="BW1012" s="469"/>
      <c r="BX1012" s="449"/>
      <c r="BY1012" s="449"/>
      <c r="BZ1012" s="449"/>
    </row>
    <row r="1013" spans="67:78" s="457" customFormat="1" x14ac:dyDescent="0.2">
      <c r="BO1013" s="468"/>
      <c r="BP1013" s="468"/>
      <c r="BQ1013" s="468"/>
      <c r="BR1013" s="468"/>
      <c r="BS1013" s="468"/>
      <c r="BT1013" s="468"/>
      <c r="BU1013" s="468"/>
      <c r="BV1013" s="468"/>
      <c r="BW1013" s="469"/>
      <c r="BX1013" s="449"/>
      <c r="BY1013" s="449"/>
      <c r="BZ1013" s="449"/>
    </row>
    <row r="1014" spans="67:78" s="457" customFormat="1" x14ac:dyDescent="0.2">
      <c r="BO1014" s="468"/>
      <c r="BP1014" s="468"/>
      <c r="BQ1014" s="468"/>
      <c r="BR1014" s="468"/>
      <c r="BS1014" s="468"/>
      <c r="BT1014" s="468"/>
      <c r="BU1014" s="468"/>
      <c r="BV1014" s="468"/>
      <c r="BW1014" s="469"/>
      <c r="BX1014" s="449"/>
      <c r="BY1014" s="449"/>
      <c r="BZ1014" s="449"/>
    </row>
    <row r="1015" spans="67:78" s="457" customFormat="1" x14ac:dyDescent="0.2">
      <c r="BO1015" s="468"/>
      <c r="BP1015" s="468"/>
      <c r="BQ1015" s="468"/>
      <c r="BR1015" s="468"/>
      <c r="BS1015" s="468"/>
      <c r="BT1015" s="468"/>
      <c r="BU1015" s="468"/>
      <c r="BV1015" s="468"/>
      <c r="BW1015" s="469"/>
      <c r="BX1015" s="449"/>
      <c r="BY1015" s="449"/>
      <c r="BZ1015" s="449"/>
    </row>
    <row r="1016" spans="67:78" s="457" customFormat="1" x14ac:dyDescent="0.2">
      <c r="BO1016" s="468"/>
      <c r="BP1016" s="468"/>
      <c r="BQ1016" s="468"/>
      <c r="BR1016" s="468"/>
      <c r="BS1016" s="468"/>
      <c r="BT1016" s="468"/>
      <c r="BU1016" s="468"/>
      <c r="BV1016" s="468"/>
      <c r="BW1016" s="469"/>
      <c r="BX1016" s="449"/>
      <c r="BY1016" s="449"/>
      <c r="BZ1016" s="449"/>
    </row>
    <row r="1017" spans="67:78" s="457" customFormat="1" x14ac:dyDescent="0.2">
      <c r="BO1017" s="468"/>
      <c r="BP1017" s="468"/>
      <c r="BQ1017" s="468"/>
      <c r="BR1017" s="468"/>
      <c r="BS1017" s="468"/>
      <c r="BT1017" s="468"/>
      <c r="BU1017" s="468"/>
      <c r="BV1017" s="468"/>
      <c r="BW1017" s="469"/>
      <c r="BX1017" s="449"/>
      <c r="BY1017" s="449"/>
      <c r="BZ1017" s="449"/>
    </row>
    <row r="1018" spans="67:78" s="457" customFormat="1" x14ac:dyDescent="0.2">
      <c r="BO1018" s="468"/>
      <c r="BP1018" s="468"/>
      <c r="BQ1018" s="468"/>
      <c r="BR1018" s="468"/>
      <c r="BS1018" s="468"/>
      <c r="BT1018" s="468"/>
      <c r="BU1018" s="468"/>
      <c r="BV1018" s="468"/>
      <c r="BW1018" s="469"/>
      <c r="BX1018" s="449"/>
      <c r="BY1018" s="449"/>
      <c r="BZ1018" s="449"/>
    </row>
    <row r="1019" spans="67:78" s="457" customFormat="1" x14ac:dyDescent="0.2">
      <c r="BO1019" s="468"/>
      <c r="BP1019" s="468"/>
      <c r="BQ1019" s="468"/>
      <c r="BR1019" s="468"/>
      <c r="BS1019" s="468"/>
      <c r="BT1019" s="468"/>
      <c r="BU1019" s="468"/>
      <c r="BV1019" s="468"/>
      <c r="BW1019" s="469"/>
      <c r="BX1019" s="449"/>
      <c r="BY1019" s="449"/>
      <c r="BZ1019" s="449"/>
    </row>
    <row r="1020" spans="67:78" s="457" customFormat="1" x14ac:dyDescent="0.2">
      <c r="BO1020" s="468"/>
      <c r="BP1020" s="468"/>
      <c r="BQ1020" s="468"/>
      <c r="BR1020" s="468"/>
      <c r="BS1020" s="468"/>
      <c r="BT1020" s="468"/>
      <c r="BU1020" s="468"/>
      <c r="BV1020" s="468"/>
      <c r="BW1020" s="469"/>
      <c r="BX1020" s="449"/>
      <c r="BY1020" s="449"/>
      <c r="BZ1020" s="449"/>
    </row>
    <row r="1021" spans="67:78" s="457" customFormat="1" x14ac:dyDescent="0.2">
      <c r="BO1021" s="468"/>
      <c r="BP1021" s="468"/>
      <c r="BQ1021" s="468"/>
      <c r="BR1021" s="468"/>
      <c r="BS1021" s="468"/>
      <c r="BT1021" s="468"/>
      <c r="BU1021" s="468"/>
      <c r="BV1021" s="468"/>
      <c r="BW1021" s="469"/>
      <c r="BX1021" s="449"/>
      <c r="BY1021" s="449"/>
      <c r="BZ1021" s="449"/>
    </row>
    <row r="1022" spans="67:78" s="457" customFormat="1" x14ac:dyDescent="0.2">
      <c r="BO1022" s="468"/>
      <c r="BP1022" s="468"/>
      <c r="BQ1022" s="468"/>
      <c r="BR1022" s="468"/>
      <c r="BS1022" s="468"/>
      <c r="BT1022" s="468"/>
      <c r="BU1022" s="468"/>
      <c r="BV1022" s="468"/>
      <c r="BW1022" s="469"/>
      <c r="BX1022" s="449"/>
      <c r="BY1022" s="449"/>
      <c r="BZ1022" s="449"/>
    </row>
    <row r="1023" spans="67:78" s="457" customFormat="1" x14ac:dyDescent="0.2">
      <c r="BO1023" s="468"/>
      <c r="BP1023" s="468"/>
      <c r="BQ1023" s="468"/>
      <c r="BR1023" s="468"/>
      <c r="BS1023" s="468"/>
      <c r="BT1023" s="468"/>
      <c r="BU1023" s="468"/>
      <c r="BV1023" s="468"/>
      <c r="BW1023" s="469"/>
      <c r="BX1023" s="449"/>
      <c r="BY1023" s="449"/>
      <c r="BZ1023" s="449"/>
    </row>
    <row r="1024" spans="67:78" s="457" customFormat="1" x14ac:dyDescent="0.2">
      <c r="BO1024" s="468"/>
      <c r="BP1024" s="468"/>
      <c r="BQ1024" s="468"/>
      <c r="BR1024" s="468"/>
      <c r="BS1024" s="468"/>
      <c r="BT1024" s="468"/>
      <c r="BU1024" s="468"/>
      <c r="BV1024" s="468"/>
      <c r="BW1024" s="469"/>
      <c r="BX1024" s="449"/>
      <c r="BY1024" s="449"/>
      <c r="BZ1024" s="449"/>
    </row>
    <row r="1025" spans="67:78" s="457" customFormat="1" x14ac:dyDescent="0.2">
      <c r="BO1025" s="468"/>
      <c r="BP1025" s="468"/>
      <c r="BQ1025" s="468"/>
      <c r="BR1025" s="468"/>
      <c r="BS1025" s="468"/>
      <c r="BT1025" s="468"/>
      <c r="BU1025" s="468"/>
      <c r="BV1025" s="468"/>
      <c r="BW1025" s="469"/>
      <c r="BX1025" s="449"/>
      <c r="BY1025" s="449"/>
      <c r="BZ1025" s="449"/>
    </row>
    <row r="1026" spans="67:78" s="457" customFormat="1" x14ac:dyDescent="0.2">
      <c r="BO1026" s="468"/>
      <c r="BP1026" s="468"/>
      <c r="BQ1026" s="468"/>
      <c r="BR1026" s="468"/>
      <c r="BS1026" s="468"/>
      <c r="BT1026" s="468"/>
      <c r="BU1026" s="468"/>
      <c r="BV1026" s="468"/>
      <c r="BW1026" s="469"/>
      <c r="BX1026" s="449"/>
      <c r="BY1026" s="449"/>
      <c r="BZ1026" s="449"/>
    </row>
    <row r="1027" spans="67:78" s="457" customFormat="1" x14ac:dyDescent="0.2">
      <c r="BO1027" s="468"/>
      <c r="BP1027" s="468"/>
      <c r="BQ1027" s="468"/>
      <c r="BR1027" s="468"/>
      <c r="BS1027" s="468"/>
      <c r="BT1027" s="468"/>
      <c r="BU1027" s="468"/>
      <c r="BV1027" s="468"/>
      <c r="BW1027" s="469"/>
      <c r="BX1027" s="449"/>
      <c r="BY1027" s="449"/>
      <c r="BZ1027" s="449"/>
    </row>
    <row r="1028" spans="67:78" s="457" customFormat="1" x14ac:dyDescent="0.2">
      <c r="BO1028" s="468"/>
      <c r="BP1028" s="468"/>
      <c r="BQ1028" s="468"/>
      <c r="BR1028" s="468"/>
      <c r="BS1028" s="468"/>
      <c r="BT1028" s="468"/>
      <c r="BU1028" s="468"/>
      <c r="BV1028" s="468"/>
      <c r="BW1028" s="469"/>
      <c r="BX1028" s="449"/>
      <c r="BY1028" s="449"/>
      <c r="BZ1028" s="449"/>
    </row>
    <row r="1029" spans="67:78" s="457" customFormat="1" x14ac:dyDescent="0.2">
      <c r="BO1029" s="468"/>
      <c r="BP1029" s="468"/>
      <c r="BQ1029" s="468"/>
      <c r="BR1029" s="468"/>
      <c r="BS1029" s="468"/>
      <c r="BT1029" s="468"/>
      <c r="BU1029" s="468"/>
      <c r="BV1029" s="468"/>
      <c r="BW1029" s="469"/>
      <c r="BX1029" s="449"/>
      <c r="BY1029" s="449"/>
      <c r="BZ1029" s="449"/>
    </row>
    <row r="1030" spans="67:78" s="457" customFormat="1" x14ac:dyDescent="0.2">
      <c r="BO1030" s="468"/>
      <c r="BP1030" s="468"/>
      <c r="BQ1030" s="468"/>
      <c r="BR1030" s="468"/>
      <c r="BS1030" s="468"/>
      <c r="BT1030" s="468"/>
      <c r="BU1030" s="468"/>
      <c r="BV1030" s="468"/>
      <c r="BW1030" s="469"/>
      <c r="BX1030" s="449"/>
      <c r="BY1030" s="449"/>
      <c r="BZ1030" s="449"/>
    </row>
    <row r="1031" spans="67:78" s="457" customFormat="1" x14ac:dyDescent="0.2">
      <c r="BO1031" s="468"/>
      <c r="BP1031" s="468"/>
      <c r="BQ1031" s="468"/>
      <c r="BR1031" s="468"/>
      <c r="BS1031" s="468"/>
      <c r="BT1031" s="468"/>
      <c r="BU1031" s="468"/>
      <c r="BV1031" s="468"/>
      <c r="BW1031" s="469"/>
      <c r="BX1031" s="449"/>
      <c r="BY1031" s="449"/>
      <c r="BZ1031" s="449"/>
    </row>
    <row r="1032" spans="67:78" s="457" customFormat="1" x14ac:dyDescent="0.2">
      <c r="BO1032" s="468"/>
      <c r="BP1032" s="468"/>
      <c r="BQ1032" s="468"/>
      <c r="BR1032" s="468"/>
      <c r="BS1032" s="468"/>
      <c r="BT1032" s="468"/>
      <c r="BU1032" s="468"/>
      <c r="BV1032" s="468"/>
      <c r="BW1032" s="469"/>
      <c r="BX1032" s="449"/>
      <c r="BY1032" s="449"/>
      <c r="BZ1032" s="449"/>
    </row>
    <row r="1033" spans="67:78" s="457" customFormat="1" x14ac:dyDescent="0.2">
      <c r="BO1033" s="468"/>
      <c r="BP1033" s="468"/>
      <c r="BQ1033" s="468"/>
      <c r="BR1033" s="468"/>
      <c r="BS1033" s="468"/>
      <c r="BT1033" s="468"/>
      <c r="BU1033" s="468"/>
      <c r="BV1033" s="468"/>
      <c r="BW1033" s="469"/>
      <c r="BX1033" s="449"/>
      <c r="BY1033" s="449"/>
      <c r="BZ1033" s="449"/>
    </row>
    <row r="1034" spans="67:78" s="457" customFormat="1" x14ac:dyDescent="0.2">
      <c r="BO1034" s="468"/>
      <c r="BP1034" s="468"/>
      <c r="BQ1034" s="468"/>
      <c r="BR1034" s="468"/>
      <c r="BS1034" s="468"/>
      <c r="BT1034" s="468"/>
      <c r="BU1034" s="468"/>
      <c r="BV1034" s="468"/>
      <c r="BW1034" s="469"/>
      <c r="BX1034" s="449"/>
      <c r="BY1034" s="449"/>
      <c r="BZ1034" s="449"/>
    </row>
    <row r="1035" spans="67:78" s="457" customFormat="1" x14ac:dyDescent="0.2">
      <c r="BO1035" s="468"/>
      <c r="BP1035" s="468"/>
      <c r="BQ1035" s="468"/>
      <c r="BR1035" s="468"/>
      <c r="BS1035" s="468"/>
      <c r="BT1035" s="468"/>
      <c r="BU1035" s="468"/>
      <c r="BV1035" s="468"/>
      <c r="BW1035" s="469"/>
      <c r="BX1035" s="449"/>
      <c r="BY1035" s="449"/>
      <c r="BZ1035" s="449"/>
    </row>
    <row r="1036" spans="67:78" s="457" customFormat="1" x14ac:dyDescent="0.2">
      <c r="BO1036" s="468"/>
      <c r="BP1036" s="468"/>
      <c r="BQ1036" s="468"/>
      <c r="BR1036" s="468"/>
      <c r="BS1036" s="468"/>
      <c r="BT1036" s="468"/>
      <c r="BU1036" s="468"/>
      <c r="BV1036" s="468"/>
      <c r="BW1036" s="469"/>
      <c r="BX1036" s="449"/>
      <c r="BY1036" s="449"/>
      <c r="BZ1036" s="449"/>
    </row>
    <row r="1037" spans="67:78" s="457" customFormat="1" x14ac:dyDescent="0.2">
      <c r="BO1037" s="468"/>
      <c r="BP1037" s="468"/>
      <c r="BQ1037" s="468"/>
      <c r="BR1037" s="468"/>
      <c r="BS1037" s="468"/>
      <c r="BT1037" s="468"/>
      <c r="BU1037" s="468"/>
      <c r="BV1037" s="468"/>
      <c r="BW1037" s="469"/>
      <c r="BX1037" s="449"/>
      <c r="BY1037" s="449"/>
      <c r="BZ1037" s="449"/>
    </row>
    <row r="1038" spans="67:78" s="457" customFormat="1" x14ac:dyDescent="0.2">
      <c r="BO1038" s="468"/>
      <c r="BP1038" s="468"/>
      <c r="BQ1038" s="468"/>
      <c r="BR1038" s="468"/>
      <c r="BS1038" s="468"/>
      <c r="BT1038" s="468"/>
      <c r="BU1038" s="468"/>
      <c r="BV1038" s="468"/>
      <c r="BW1038" s="469"/>
      <c r="BX1038" s="449"/>
      <c r="BY1038" s="449"/>
      <c r="BZ1038" s="449"/>
    </row>
    <row r="1039" spans="67:78" s="457" customFormat="1" x14ac:dyDescent="0.2">
      <c r="BO1039" s="468"/>
      <c r="BP1039" s="468"/>
      <c r="BQ1039" s="468"/>
      <c r="BR1039" s="468"/>
      <c r="BS1039" s="468"/>
      <c r="BT1039" s="468"/>
      <c r="BU1039" s="468"/>
      <c r="BV1039" s="468"/>
      <c r="BW1039" s="469"/>
      <c r="BX1039" s="449"/>
      <c r="BY1039" s="449"/>
      <c r="BZ1039" s="449"/>
    </row>
    <row r="1040" spans="67:78" s="457" customFormat="1" x14ac:dyDescent="0.2">
      <c r="BO1040" s="468"/>
      <c r="BP1040" s="468"/>
      <c r="BQ1040" s="468"/>
      <c r="BR1040" s="468"/>
      <c r="BS1040" s="468"/>
      <c r="BT1040" s="468"/>
      <c r="BU1040" s="468"/>
      <c r="BV1040" s="468"/>
      <c r="BW1040" s="469"/>
      <c r="BX1040" s="449"/>
      <c r="BY1040" s="449"/>
      <c r="BZ1040" s="449"/>
    </row>
    <row r="1041" spans="67:78" s="457" customFormat="1" x14ac:dyDescent="0.2">
      <c r="BO1041" s="468"/>
      <c r="BP1041" s="468"/>
      <c r="BQ1041" s="468"/>
      <c r="BR1041" s="468"/>
      <c r="BS1041" s="468"/>
      <c r="BT1041" s="468"/>
      <c r="BU1041" s="468"/>
      <c r="BV1041" s="468"/>
      <c r="BW1041" s="469"/>
      <c r="BX1041" s="449"/>
      <c r="BY1041" s="449"/>
      <c r="BZ1041" s="449"/>
    </row>
    <row r="1042" spans="67:78" s="457" customFormat="1" x14ac:dyDescent="0.2">
      <c r="BO1042" s="468"/>
      <c r="BP1042" s="468"/>
      <c r="BQ1042" s="468"/>
      <c r="BR1042" s="468"/>
      <c r="BS1042" s="468"/>
      <c r="BT1042" s="468"/>
      <c r="BU1042" s="468"/>
      <c r="BV1042" s="468"/>
      <c r="BW1042" s="469"/>
      <c r="BX1042" s="449"/>
      <c r="BY1042" s="449"/>
      <c r="BZ1042" s="449"/>
    </row>
    <row r="1043" spans="67:78" s="457" customFormat="1" x14ac:dyDescent="0.2">
      <c r="BO1043" s="468"/>
      <c r="BP1043" s="468"/>
      <c r="BQ1043" s="468"/>
      <c r="BR1043" s="468"/>
      <c r="BS1043" s="468"/>
      <c r="BT1043" s="468"/>
      <c r="BU1043" s="468"/>
      <c r="BV1043" s="468"/>
      <c r="BW1043" s="469"/>
      <c r="BX1043" s="449"/>
      <c r="BY1043" s="449"/>
      <c r="BZ1043" s="449"/>
    </row>
    <row r="1044" spans="67:78" s="457" customFormat="1" x14ac:dyDescent="0.2">
      <c r="BO1044" s="468"/>
      <c r="BP1044" s="468"/>
      <c r="BQ1044" s="468"/>
      <c r="BR1044" s="468"/>
      <c r="BS1044" s="468"/>
      <c r="BT1044" s="468"/>
      <c r="BU1044" s="468"/>
      <c r="BV1044" s="468"/>
      <c r="BW1044" s="469"/>
      <c r="BX1044" s="449"/>
      <c r="BY1044" s="449"/>
      <c r="BZ1044" s="449"/>
    </row>
    <row r="1045" spans="67:78" s="457" customFormat="1" x14ac:dyDescent="0.2">
      <c r="BO1045" s="468"/>
      <c r="BP1045" s="468"/>
      <c r="BQ1045" s="468"/>
      <c r="BR1045" s="468"/>
      <c r="BS1045" s="468"/>
      <c r="BT1045" s="468"/>
      <c r="BU1045" s="468"/>
      <c r="BV1045" s="468"/>
      <c r="BW1045" s="469"/>
      <c r="BX1045" s="449"/>
      <c r="BY1045" s="449"/>
      <c r="BZ1045" s="449"/>
    </row>
    <row r="1046" spans="67:78" s="457" customFormat="1" x14ac:dyDescent="0.2">
      <c r="BO1046" s="468"/>
      <c r="BP1046" s="468"/>
      <c r="BQ1046" s="468"/>
      <c r="BR1046" s="468"/>
      <c r="BS1046" s="468"/>
      <c r="BT1046" s="468"/>
      <c r="BU1046" s="468"/>
      <c r="BV1046" s="468"/>
      <c r="BW1046" s="469"/>
      <c r="BX1046" s="449"/>
      <c r="BY1046" s="449"/>
      <c r="BZ1046" s="449"/>
    </row>
    <row r="1047" spans="67:78" s="457" customFormat="1" x14ac:dyDescent="0.2">
      <c r="BO1047" s="468"/>
      <c r="BP1047" s="468"/>
      <c r="BQ1047" s="468"/>
      <c r="BR1047" s="468"/>
      <c r="BS1047" s="468"/>
      <c r="BT1047" s="468"/>
      <c r="BU1047" s="468"/>
      <c r="BV1047" s="468"/>
      <c r="BW1047" s="469"/>
      <c r="BX1047" s="449"/>
      <c r="BY1047" s="449"/>
      <c r="BZ1047" s="449"/>
    </row>
    <row r="1048" spans="67:78" s="457" customFormat="1" x14ac:dyDescent="0.2">
      <c r="BO1048" s="468"/>
      <c r="BP1048" s="468"/>
      <c r="BQ1048" s="468"/>
      <c r="BR1048" s="468"/>
      <c r="BS1048" s="468"/>
      <c r="BT1048" s="468"/>
      <c r="BU1048" s="468"/>
      <c r="BV1048" s="468"/>
      <c r="BW1048" s="469"/>
      <c r="BX1048" s="449"/>
      <c r="BY1048" s="449"/>
      <c r="BZ1048" s="449"/>
    </row>
    <row r="1049" spans="67:78" s="457" customFormat="1" x14ac:dyDescent="0.2">
      <c r="BO1049" s="468"/>
      <c r="BP1049" s="468"/>
      <c r="BQ1049" s="468"/>
      <c r="BR1049" s="468"/>
      <c r="BS1049" s="468"/>
      <c r="BT1049" s="468"/>
      <c r="BU1049" s="468"/>
      <c r="BV1049" s="468"/>
      <c r="BW1049" s="469"/>
      <c r="BX1049" s="449"/>
      <c r="BY1049" s="449"/>
      <c r="BZ1049" s="449"/>
    </row>
    <row r="1050" spans="67:78" s="457" customFormat="1" x14ac:dyDescent="0.2">
      <c r="BO1050" s="468"/>
      <c r="BP1050" s="468"/>
      <c r="BQ1050" s="468"/>
      <c r="BR1050" s="468"/>
      <c r="BS1050" s="468"/>
      <c r="BT1050" s="468"/>
      <c r="BU1050" s="468"/>
      <c r="BV1050" s="468"/>
      <c r="BW1050" s="469"/>
      <c r="BX1050" s="449"/>
      <c r="BY1050" s="449"/>
      <c r="BZ1050" s="449"/>
    </row>
    <row r="1051" spans="67:78" s="457" customFormat="1" x14ac:dyDescent="0.2">
      <c r="BO1051" s="468"/>
      <c r="BP1051" s="468"/>
      <c r="BQ1051" s="468"/>
      <c r="BR1051" s="468"/>
      <c r="BS1051" s="468"/>
      <c r="BT1051" s="468"/>
      <c r="BU1051" s="468"/>
      <c r="BV1051" s="468"/>
      <c r="BW1051" s="469"/>
      <c r="BX1051" s="449"/>
      <c r="BY1051" s="449"/>
      <c r="BZ1051" s="449"/>
    </row>
    <row r="1052" spans="67:78" s="457" customFormat="1" x14ac:dyDescent="0.2">
      <c r="BO1052" s="468"/>
      <c r="BP1052" s="468"/>
      <c r="BQ1052" s="468"/>
      <c r="BR1052" s="468"/>
      <c r="BS1052" s="468"/>
      <c r="BT1052" s="468"/>
      <c r="BU1052" s="468"/>
      <c r="BV1052" s="468"/>
      <c r="BW1052" s="469"/>
      <c r="BX1052" s="449"/>
      <c r="BY1052" s="449"/>
      <c r="BZ1052" s="449"/>
    </row>
    <row r="1053" spans="67:78" s="457" customFormat="1" x14ac:dyDescent="0.2">
      <c r="BO1053" s="468"/>
      <c r="BP1053" s="468"/>
      <c r="BQ1053" s="468"/>
      <c r="BR1053" s="468"/>
      <c r="BS1053" s="468"/>
      <c r="BT1053" s="468"/>
      <c r="BU1053" s="468"/>
      <c r="BV1053" s="468"/>
      <c r="BW1053" s="469"/>
      <c r="BX1053" s="449"/>
      <c r="BY1053" s="449"/>
      <c r="BZ1053" s="449"/>
    </row>
    <row r="1054" spans="67:78" s="457" customFormat="1" x14ac:dyDescent="0.2">
      <c r="BO1054" s="468"/>
      <c r="BP1054" s="468"/>
      <c r="BQ1054" s="468"/>
      <c r="BR1054" s="468"/>
      <c r="BS1054" s="468"/>
      <c r="BT1054" s="468"/>
      <c r="BU1054" s="468"/>
      <c r="BV1054" s="468"/>
      <c r="BW1054" s="469"/>
      <c r="BX1054" s="449"/>
      <c r="BY1054" s="449"/>
      <c r="BZ1054" s="449"/>
    </row>
    <row r="1055" spans="67:78" s="457" customFormat="1" x14ac:dyDescent="0.2">
      <c r="BO1055" s="468"/>
      <c r="BP1055" s="468"/>
      <c r="BQ1055" s="468"/>
      <c r="BR1055" s="468"/>
      <c r="BS1055" s="468"/>
      <c r="BT1055" s="468"/>
      <c r="BU1055" s="468"/>
      <c r="BV1055" s="468"/>
      <c r="BW1055" s="469"/>
      <c r="BX1055" s="449"/>
      <c r="BY1055" s="449"/>
      <c r="BZ1055" s="449"/>
    </row>
    <row r="1056" spans="67:78" s="457" customFormat="1" x14ac:dyDescent="0.2">
      <c r="BO1056" s="468"/>
      <c r="BP1056" s="468"/>
      <c r="BQ1056" s="468"/>
      <c r="BR1056" s="468"/>
      <c r="BS1056" s="468"/>
      <c r="BT1056" s="468"/>
      <c r="BU1056" s="468"/>
      <c r="BV1056" s="468"/>
      <c r="BW1056" s="469"/>
      <c r="BX1056" s="449"/>
      <c r="BY1056" s="449"/>
      <c r="BZ1056" s="449"/>
    </row>
    <row r="1057" spans="67:78" s="457" customFormat="1" x14ac:dyDescent="0.2">
      <c r="BO1057" s="468"/>
      <c r="BP1057" s="468"/>
      <c r="BQ1057" s="468"/>
      <c r="BR1057" s="468"/>
      <c r="BS1057" s="468"/>
      <c r="BT1057" s="468"/>
      <c r="BU1057" s="468"/>
      <c r="BV1057" s="468"/>
      <c r="BW1057" s="469"/>
      <c r="BX1057" s="449"/>
      <c r="BY1057" s="449"/>
      <c r="BZ1057" s="449"/>
    </row>
    <row r="1058" spans="67:78" s="457" customFormat="1" x14ac:dyDescent="0.2">
      <c r="BO1058" s="468"/>
      <c r="BP1058" s="468"/>
      <c r="BQ1058" s="468"/>
      <c r="BR1058" s="468"/>
      <c r="BS1058" s="468"/>
      <c r="BT1058" s="468"/>
      <c r="BU1058" s="468"/>
      <c r="BV1058" s="468"/>
      <c r="BW1058" s="469"/>
      <c r="BX1058" s="449"/>
      <c r="BY1058" s="449"/>
      <c r="BZ1058" s="449"/>
    </row>
    <row r="1059" spans="67:78" s="457" customFormat="1" x14ac:dyDescent="0.2">
      <c r="BO1059" s="468"/>
      <c r="BP1059" s="468"/>
      <c r="BQ1059" s="468"/>
      <c r="BR1059" s="468"/>
      <c r="BS1059" s="468"/>
      <c r="BT1059" s="468"/>
      <c r="BU1059" s="468"/>
      <c r="BV1059" s="468"/>
      <c r="BW1059" s="469"/>
      <c r="BX1059" s="449"/>
      <c r="BY1059" s="449"/>
      <c r="BZ1059" s="449"/>
    </row>
    <row r="1060" spans="67:78" s="457" customFormat="1" x14ac:dyDescent="0.2">
      <c r="BO1060" s="468"/>
      <c r="BP1060" s="468"/>
      <c r="BQ1060" s="468"/>
      <c r="BR1060" s="468"/>
      <c r="BS1060" s="468"/>
      <c r="BT1060" s="468"/>
      <c r="BU1060" s="468"/>
      <c r="BV1060" s="468"/>
      <c r="BW1060" s="469"/>
      <c r="BX1060" s="449"/>
      <c r="BY1060" s="449"/>
      <c r="BZ1060" s="449"/>
    </row>
    <row r="1061" spans="67:78" s="457" customFormat="1" x14ac:dyDescent="0.2">
      <c r="BO1061" s="468"/>
      <c r="BP1061" s="468"/>
      <c r="BQ1061" s="468"/>
      <c r="BR1061" s="468"/>
      <c r="BS1061" s="468"/>
      <c r="BT1061" s="468"/>
      <c r="BU1061" s="468"/>
      <c r="BV1061" s="468"/>
      <c r="BW1061" s="469"/>
      <c r="BX1061" s="449"/>
      <c r="BY1061" s="449"/>
      <c r="BZ1061" s="449"/>
    </row>
    <row r="1062" spans="67:78" s="457" customFormat="1" x14ac:dyDescent="0.2">
      <c r="BO1062" s="468"/>
      <c r="BP1062" s="468"/>
      <c r="BQ1062" s="468"/>
      <c r="BR1062" s="468"/>
      <c r="BS1062" s="468"/>
      <c r="BT1062" s="468"/>
      <c r="BU1062" s="468"/>
      <c r="BV1062" s="468"/>
      <c r="BW1062" s="469"/>
      <c r="BX1062" s="449"/>
      <c r="BY1062" s="449"/>
      <c r="BZ1062" s="449"/>
    </row>
    <row r="1063" spans="67:78" s="457" customFormat="1" x14ac:dyDescent="0.2">
      <c r="BO1063" s="468"/>
      <c r="BP1063" s="468"/>
      <c r="BQ1063" s="468"/>
      <c r="BR1063" s="468"/>
      <c r="BS1063" s="468"/>
      <c r="BT1063" s="468"/>
      <c r="BU1063" s="468"/>
      <c r="BV1063" s="468"/>
      <c r="BW1063" s="469"/>
      <c r="BX1063" s="449"/>
      <c r="BY1063" s="449"/>
      <c r="BZ1063" s="449"/>
    </row>
    <row r="1064" spans="67:78" s="457" customFormat="1" x14ac:dyDescent="0.2">
      <c r="BO1064" s="468"/>
      <c r="BP1064" s="468"/>
      <c r="BQ1064" s="468"/>
      <c r="BR1064" s="468"/>
      <c r="BS1064" s="468"/>
      <c r="BT1064" s="468"/>
      <c r="BU1064" s="468"/>
      <c r="BV1064" s="468"/>
      <c r="BW1064" s="469"/>
      <c r="BX1064" s="449"/>
      <c r="BY1064" s="449"/>
      <c r="BZ1064" s="449"/>
    </row>
    <row r="1065" spans="67:78" s="457" customFormat="1" x14ac:dyDescent="0.2">
      <c r="BO1065" s="468"/>
      <c r="BP1065" s="468"/>
      <c r="BQ1065" s="468"/>
      <c r="BR1065" s="468"/>
      <c r="BS1065" s="468"/>
      <c r="BT1065" s="468"/>
      <c r="BU1065" s="468"/>
      <c r="BV1065" s="468"/>
      <c r="BW1065" s="469"/>
      <c r="BX1065" s="449"/>
      <c r="BY1065" s="449"/>
      <c r="BZ1065" s="449"/>
    </row>
    <row r="1066" spans="67:78" s="457" customFormat="1" x14ac:dyDescent="0.2">
      <c r="BO1066" s="468"/>
      <c r="BP1066" s="468"/>
      <c r="BQ1066" s="468"/>
      <c r="BR1066" s="468"/>
      <c r="BS1066" s="468"/>
      <c r="BT1066" s="468"/>
      <c r="BU1066" s="468"/>
      <c r="BV1066" s="468"/>
      <c r="BW1066" s="469"/>
      <c r="BX1066" s="449"/>
      <c r="BY1066" s="449"/>
      <c r="BZ1066" s="449"/>
    </row>
    <row r="1067" spans="67:78" s="457" customFormat="1" x14ac:dyDescent="0.2">
      <c r="BO1067" s="468"/>
      <c r="BP1067" s="468"/>
      <c r="BQ1067" s="468"/>
      <c r="BR1067" s="468"/>
      <c r="BS1067" s="468"/>
      <c r="BT1067" s="468"/>
      <c r="BU1067" s="468"/>
      <c r="BV1067" s="468"/>
      <c r="BW1067" s="469"/>
      <c r="BX1067" s="449"/>
      <c r="BY1067" s="449"/>
      <c r="BZ1067" s="449"/>
    </row>
    <row r="1068" spans="67:78" s="457" customFormat="1" x14ac:dyDescent="0.2">
      <c r="BO1068" s="468"/>
      <c r="BP1068" s="468"/>
      <c r="BQ1068" s="468"/>
      <c r="BR1068" s="468"/>
      <c r="BS1068" s="468"/>
      <c r="BT1068" s="468"/>
      <c r="BU1068" s="468"/>
      <c r="BV1068" s="468"/>
      <c r="BW1068" s="469"/>
      <c r="BX1068" s="449"/>
      <c r="BY1068" s="449"/>
      <c r="BZ1068" s="449"/>
    </row>
    <row r="1069" spans="67:78" s="457" customFormat="1" x14ac:dyDescent="0.2">
      <c r="BO1069" s="468"/>
      <c r="BP1069" s="468"/>
      <c r="BQ1069" s="468"/>
      <c r="BR1069" s="468"/>
      <c r="BS1069" s="468"/>
      <c r="BT1069" s="468"/>
      <c r="BU1069" s="468"/>
      <c r="BV1069" s="468"/>
      <c r="BW1069" s="469"/>
      <c r="BX1069" s="449"/>
      <c r="BY1069" s="449"/>
      <c r="BZ1069" s="449"/>
    </row>
    <row r="1070" spans="67:78" s="457" customFormat="1" x14ac:dyDescent="0.2">
      <c r="BO1070" s="468"/>
      <c r="BP1070" s="468"/>
      <c r="BQ1070" s="468"/>
      <c r="BR1070" s="468"/>
      <c r="BS1070" s="468"/>
      <c r="BT1070" s="468"/>
      <c r="BU1070" s="468"/>
      <c r="BV1070" s="468"/>
      <c r="BW1070" s="469"/>
      <c r="BX1070" s="449"/>
      <c r="BY1070" s="449"/>
      <c r="BZ1070" s="449"/>
    </row>
    <row r="1071" spans="67:78" s="457" customFormat="1" x14ac:dyDescent="0.2">
      <c r="BO1071" s="468"/>
      <c r="BP1071" s="468"/>
      <c r="BQ1071" s="468"/>
      <c r="BR1071" s="468"/>
      <c r="BS1071" s="468"/>
      <c r="BT1071" s="468"/>
      <c r="BU1071" s="468"/>
      <c r="BV1071" s="468"/>
      <c r="BW1071" s="469"/>
      <c r="BX1071" s="449"/>
      <c r="BY1071" s="449"/>
      <c r="BZ1071" s="449"/>
    </row>
    <row r="1072" spans="67:78" s="457" customFormat="1" x14ac:dyDescent="0.2">
      <c r="BO1072" s="468"/>
      <c r="BP1072" s="468"/>
      <c r="BQ1072" s="468"/>
      <c r="BR1072" s="468"/>
      <c r="BS1072" s="468"/>
      <c r="BT1072" s="468"/>
      <c r="BU1072" s="468"/>
      <c r="BV1072" s="468"/>
      <c r="BW1072" s="469"/>
      <c r="BX1072" s="449"/>
      <c r="BY1072" s="449"/>
      <c r="BZ1072" s="449"/>
    </row>
    <row r="1073" spans="67:78" s="457" customFormat="1" x14ac:dyDescent="0.2">
      <c r="BO1073" s="468"/>
      <c r="BP1073" s="468"/>
      <c r="BQ1073" s="468"/>
      <c r="BR1073" s="468"/>
      <c r="BS1073" s="468"/>
      <c r="BT1073" s="468"/>
      <c r="BU1073" s="468"/>
      <c r="BV1073" s="468"/>
      <c r="BW1073" s="469"/>
      <c r="BX1073" s="449"/>
      <c r="BY1073" s="449"/>
      <c r="BZ1073" s="449"/>
    </row>
    <row r="1074" spans="67:78" s="457" customFormat="1" x14ac:dyDescent="0.2">
      <c r="BO1074" s="468"/>
      <c r="BP1074" s="468"/>
      <c r="BQ1074" s="468"/>
      <c r="BR1074" s="468"/>
      <c r="BS1074" s="468"/>
      <c r="BT1074" s="468"/>
      <c r="BU1074" s="468"/>
      <c r="BV1074" s="468"/>
      <c r="BW1074" s="469"/>
      <c r="BX1074" s="449"/>
      <c r="BY1074" s="449"/>
      <c r="BZ1074" s="449"/>
    </row>
    <row r="1075" spans="67:78" s="457" customFormat="1" x14ac:dyDescent="0.2">
      <c r="BO1075" s="468"/>
      <c r="BP1075" s="468"/>
      <c r="BQ1075" s="468"/>
      <c r="BR1075" s="468"/>
      <c r="BS1075" s="468"/>
      <c r="BT1075" s="468"/>
      <c r="BU1075" s="468"/>
      <c r="BV1075" s="468"/>
      <c r="BW1075" s="469"/>
      <c r="BX1075" s="449"/>
      <c r="BY1075" s="449"/>
      <c r="BZ1075" s="449"/>
    </row>
    <row r="1076" spans="67:78" s="457" customFormat="1" x14ac:dyDescent="0.2">
      <c r="BO1076" s="468"/>
      <c r="BP1076" s="468"/>
      <c r="BQ1076" s="468"/>
      <c r="BR1076" s="468"/>
      <c r="BS1076" s="468"/>
      <c r="BT1076" s="468"/>
      <c r="BU1076" s="468"/>
      <c r="BV1076" s="468"/>
      <c r="BW1076" s="469"/>
      <c r="BX1076" s="449"/>
      <c r="BY1076" s="449"/>
      <c r="BZ1076" s="449"/>
    </row>
    <row r="1077" spans="67:78" s="457" customFormat="1" x14ac:dyDescent="0.2">
      <c r="BO1077" s="468"/>
      <c r="BP1077" s="468"/>
      <c r="BQ1077" s="468"/>
      <c r="BR1077" s="468"/>
      <c r="BS1077" s="468"/>
      <c r="BT1077" s="468"/>
      <c r="BU1077" s="468"/>
      <c r="BV1077" s="468"/>
      <c r="BW1077" s="469"/>
      <c r="BX1077" s="449"/>
      <c r="BY1077" s="449"/>
      <c r="BZ1077" s="449"/>
    </row>
    <row r="1078" spans="67:78" s="457" customFormat="1" x14ac:dyDescent="0.2">
      <c r="BO1078" s="468"/>
      <c r="BP1078" s="468"/>
      <c r="BQ1078" s="468"/>
      <c r="BR1078" s="468"/>
      <c r="BS1078" s="468"/>
      <c r="BT1078" s="468"/>
      <c r="BU1078" s="468"/>
      <c r="BV1078" s="468"/>
      <c r="BW1078" s="469"/>
      <c r="BX1078" s="449"/>
      <c r="BY1078" s="449"/>
      <c r="BZ1078" s="449"/>
    </row>
    <row r="1079" spans="67:78" s="457" customFormat="1" x14ac:dyDescent="0.2">
      <c r="BO1079" s="468"/>
      <c r="BP1079" s="468"/>
      <c r="BQ1079" s="468"/>
      <c r="BR1079" s="468"/>
      <c r="BS1079" s="468"/>
      <c r="BT1079" s="468"/>
      <c r="BU1079" s="468"/>
      <c r="BV1079" s="468"/>
      <c r="BW1079" s="469"/>
      <c r="BX1079" s="449"/>
      <c r="BY1079" s="449"/>
      <c r="BZ1079" s="449"/>
    </row>
    <row r="1080" spans="67:78" s="457" customFormat="1" x14ac:dyDescent="0.2">
      <c r="BO1080" s="468"/>
      <c r="BP1080" s="468"/>
      <c r="BQ1080" s="468"/>
      <c r="BR1080" s="468"/>
      <c r="BS1080" s="468"/>
      <c r="BT1080" s="468"/>
      <c r="BU1080" s="468"/>
      <c r="BV1080" s="468"/>
      <c r="BW1080" s="469"/>
      <c r="BX1080" s="449"/>
      <c r="BY1080" s="449"/>
      <c r="BZ1080" s="449"/>
    </row>
    <row r="1081" spans="67:78" s="457" customFormat="1" x14ac:dyDescent="0.2">
      <c r="BO1081" s="468"/>
      <c r="BP1081" s="468"/>
      <c r="BQ1081" s="468"/>
      <c r="BR1081" s="468"/>
      <c r="BS1081" s="468"/>
      <c r="BT1081" s="468"/>
      <c r="BU1081" s="468"/>
      <c r="BV1081" s="468"/>
      <c r="BW1081" s="469"/>
      <c r="BX1081" s="449"/>
      <c r="BY1081" s="449"/>
      <c r="BZ1081" s="449"/>
    </row>
    <row r="1082" spans="67:78" s="457" customFormat="1" x14ac:dyDescent="0.2">
      <c r="BO1082" s="468"/>
      <c r="BP1082" s="468"/>
      <c r="BQ1082" s="468"/>
      <c r="BR1082" s="468"/>
      <c r="BS1082" s="468"/>
      <c r="BT1082" s="468"/>
      <c r="BU1082" s="468"/>
      <c r="BV1082" s="468"/>
      <c r="BW1082" s="469"/>
      <c r="BX1082" s="449"/>
      <c r="BY1082" s="449"/>
      <c r="BZ1082" s="449"/>
    </row>
    <row r="1083" spans="67:78" s="457" customFormat="1" x14ac:dyDescent="0.2">
      <c r="BO1083" s="468"/>
      <c r="BP1083" s="468"/>
      <c r="BQ1083" s="468"/>
      <c r="BR1083" s="468"/>
      <c r="BS1083" s="468"/>
      <c r="BT1083" s="468"/>
      <c r="BU1083" s="468"/>
      <c r="BV1083" s="468"/>
      <c r="BW1083" s="469"/>
      <c r="BX1083" s="449"/>
      <c r="BY1083" s="449"/>
      <c r="BZ1083" s="449"/>
    </row>
    <row r="1084" spans="67:78" s="457" customFormat="1" x14ac:dyDescent="0.2">
      <c r="BO1084" s="468"/>
      <c r="BP1084" s="468"/>
      <c r="BQ1084" s="468"/>
      <c r="BR1084" s="468"/>
      <c r="BS1084" s="468"/>
      <c r="BT1084" s="468"/>
      <c r="BU1084" s="468"/>
      <c r="BV1084" s="468"/>
      <c r="BW1084" s="469"/>
      <c r="BX1084" s="449"/>
      <c r="BY1084" s="449"/>
      <c r="BZ1084" s="449"/>
    </row>
    <row r="1085" spans="67:78" s="457" customFormat="1" x14ac:dyDescent="0.2">
      <c r="BO1085" s="468"/>
      <c r="BP1085" s="468"/>
      <c r="BQ1085" s="468"/>
      <c r="BR1085" s="468"/>
      <c r="BS1085" s="468"/>
      <c r="BT1085" s="468"/>
      <c r="BU1085" s="468"/>
      <c r="BV1085" s="468"/>
      <c r="BW1085" s="469"/>
      <c r="BX1085" s="449"/>
      <c r="BY1085" s="449"/>
      <c r="BZ1085" s="449"/>
    </row>
    <row r="1086" spans="67:78" s="457" customFormat="1" x14ac:dyDescent="0.2">
      <c r="BO1086" s="468"/>
      <c r="BP1086" s="468"/>
      <c r="BQ1086" s="468"/>
      <c r="BR1086" s="468"/>
      <c r="BS1086" s="468"/>
      <c r="BT1086" s="468"/>
      <c r="BU1086" s="468"/>
      <c r="BV1086" s="468"/>
      <c r="BW1086" s="469"/>
      <c r="BX1086" s="449"/>
      <c r="BY1086" s="449"/>
      <c r="BZ1086" s="449"/>
    </row>
    <row r="1087" spans="67:78" s="457" customFormat="1" x14ac:dyDescent="0.2">
      <c r="BO1087" s="468"/>
      <c r="BP1087" s="468"/>
      <c r="BQ1087" s="468"/>
      <c r="BR1087" s="468"/>
      <c r="BS1087" s="468"/>
      <c r="BT1087" s="468"/>
      <c r="BU1087" s="468"/>
      <c r="BV1087" s="468"/>
      <c r="BW1087" s="469"/>
      <c r="BX1087" s="449"/>
      <c r="BY1087" s="449"/>
      <c r="BZ1087" s="449"/>
    </row>
    <row r="1088" spans="67:78" s="457" customFormat="1" x14ac:dyDescent="0.2">
      <c r="BO1088" s="468"/>
      <c r="BP1088" s="468"/>
      <c r="BQ1088" s="468"/>
      <c r="BR1088" s="468"/>
      <c r="BS1088" s="468"/>
      <c r="BT1088" s="468"/>
      <c r="BU1088" s="468"/>
      <c r="BV1088" s="468"/>
      <c r="BW1088" s="469"/>
      <c r="BX1088" s="449"/>
      <c r="BY1088" s="449"/>
      <c r="BZ1088" s="449"/>
    </row>
    <row r="1089" spans="67:78" s="457" customFormat="1" x14ac:dyDescent="0.2">
      <c r="BO1089" s="468"/>
      <c r="BP1089" s="468"/>
      <c r="BQ1089" s="468"/>
      <c r="BR1089" s="468"/>
      <c r="BS1089" s="468"/>
      <c r="BT1089" s="468"/>
      <c r="BU1089" s="468"/>
      <c r="BV1089" s="468"/>
      <c r="BW1089" s="469"/>
      <c r="BX1089" s="449"/>
      <c r="BY1089" s="449"/>
      <c r="BZ1089" s="449"/>
    </row>
    <row r="1090" spans="67:78" s="457" customFormat="1" x14ac:dyDescent="0.2">
      <c r="BO1090" s="468"/>
      <c r="BP1090" s="468"/>
      <c r="BQ1090" s="468"/>
      <c r="BR1090" s="468"/>
      <c r="BS1090" s="468"/>
      <c r="BT1090" s="468"/>
      <c r="BU1090" s="468"/>
      <c r="BV1090" s="468"/>
      <c r="BW1090" s="469"/>
      <c r="BX1090" s="449"/>
      <c r="BY1090" s="449"/>
      <c r="BZ1090" s="449"/>
    </row>
    <row r="1091" spans="67:78" s="457" customFormat="1" x14ac:dyDescent="0.2">
      <c r="BO1091" s="468"/>
      <c r="BP1091" s="468"/>
      <c r="BQ1091" s="468"/>
      <c r="BR1091" s="468"/>
      <c r="BS1091" s="468"/>
      <c r="BT1091" s="468"/>
      <c r="BU1091" s="468"/>
      <c r="BV1091" s="468"/>
      <c r="BW1091" s="469"/>
      <c r="BX1091" s="449"/>
      <c r="BY1091" s="449"/>
      <c r="BZ1091" s="449"/>
    </row>
    <row r="1092" spans="67:78" s="457" customFormat="1" x14ac:dyDescent="0.2">
      <c r="BO1092" s="468"/>
      <c r="BP1092" s="468"/>
      <c r="BQ1092" s="468"/>
      <c r="BR1092" s="468"/>
      <c r="BS1092" s="468"/>
      <c r="BT1092" s="468"/>
      <c r="BU1092" s="468"/>
      <c r="BV1092" s="468"/>
      <c r="BW1092" s="469"/>
      <c r="BX1092" s="449"/>
      <c r="BY1092" s="449"/>
      <c r="BZ1092" s="449"/>
    </row>
    <row r="1093" spans="67:78" s="457" customFormat="1" x14ac:dyDescent="0.2">
      <c r="BO1093" s="468"/>
      <c r="BP1093" s="468"/>
      <c r="BQ1093" s="468"/>
      <c r="BR1093" s="468"/>
      <c r="BS1093" s="468"/>
      <c r="BT1093" s="468"/>
      <c r="BU1093" s="468"/>
      <c r="BV1093" s="468"/>
      <c r="BW1093" s="469"/>
      <c r="BX1093" s="449"/>
      <c r="BY1093" s="449"/>
      <c r="BZ1093" s="449"/>
    </row>
    <row r="1094" spans="67:78" s="457" customFormat="1" x14ac:dyDescent="0.2">
      <c r="BO1094" s="468"/>
      <c r="BP1094" s="468"/>
      <c r="BQ1094" s="468"/>
      <c r="BR1094" s="468"/>
      <c r="BS1094" s="468"/>
      <c r="BT1094" s="468"/>
      <c r="BU1094" s="468"/>
      <c r="BV1094" s="468"/>
      <c r="BW1094" s="469"/>
      <c r="BX1094" s="449"/>
      <c r="BY1094" s="449"/>
      <c r="BZ1094" s="449"/>
    </row>
    <row r="1095" spans="67:78" s="457" customFormat="1" x14ac:dyDescent="0.2">
      <c r="BO1095" s="468"/>
      <c r="BP1095" s="468"/>
      <c r="BQ1095" s="468"/>
      <c r="BR1095" s="468"/>
      <c r="BS1095" s="468"/>
      <c r="BT1095" s="468"/>
      <c r="BU1095" s="468"/>
      <c r="BV1095" s="468"/>
      <c r="BW1095" s="469"/>
      <c r="BX1095" s="449"/>
      <c r="BY1095" s="449"/>
      <c r="BZ1095" s="449"/>
    </row>
    <row r="1096" spans="67:78" s="457" customFormat="1" x14ac:dyDescent="0.2">
      <c r="BO1096" s="468"/>
      <c r="BP1096" s="468"/>
      <c r="BQ1096" s="468"/>
      <c r="BR1096" s="468"/>
      <c r="BS1096" s="468"/>
      <c r="BT1096" s="468"/>
      <c r="BU1096" s="468"/>
      <c r="BV1096" s="468"/>
      <c r="BW1096" s="469"/>
      <c r="BX1096" s="449"/>
      <c r="BY1096" s="449"/>
      <c r="BZ1096" s="449"/>
    </row>
    <row r="1097" spans="67:78" s="457" customFormat="1" x14ac:dyDescent="0.2">
      <c r="BO1097" s="468"/>
      <c r="BP1097" s="468"/>
      <c r="BQ1097" s="468"/>
      <c r="BR1097" s="468"/>
      <c r="BS1097" s="468"/>
      <c r="BT1097" s="468"/>
      <c r="BU1097" s="468"/>
      <c r="BV1097" s="468"/>
      <c r="BW1097" s="469"/>
      <c r="BX1097" s="449"/>
      <c r="BY1097" s="449"/>
      <c r="BZ1097" s="449"/>
    </row>
    <row r="1098" spans="67:78" s="457" customFormat="1" x14ac:dyDescent="0.2">
      <c r="BO1098" s="468"/>
      <c r="BP1098" s="468"/>
      <c r="BQ1098" s="468"/>
      <c r="BR1098" s="468"/>
      <c r="BS1098" s="468"/>
      <c r="BT1098" s="468"/>
      <c r="BU1098" s="468"/>
      <c r="BV1098" s="468"/>
      <c r="BW1098" s="469"/>
      <c r="BX1098" s="449"/>
      <c r="BY1098" s="449"/>
      <c r="BZ1098" s="449"/>
    </row>
    <row r="1099" spans="67:78" s="457" customFormat="1" x14ac:dyDescent="0.2">
      <c r="BO1099" s="468"/>
      <c r="BP1099" s="468"/>
      <c r="BQ1099" s="468"/>
      <c r="BR1099" s="468"/>
      <c r="BS1099" s="468"/>
      <c r="BT1099" s="468"/>
      <c r="BU1099" s="468"/>
      <c r="BV1099" s="468"/>
      <c r="BW1099" s="469"/>
      <c r="BX1099" s="449"/>
      <c r="BY1099" s="449"/>
      <c r="BZ1099" s="449"/>
    </row>
    <row r="1100" spans="67:78" s="457" customFormat="1" x14ac:dyDescent="0.2">
      <c r="BO1100" s="468"/>
      <c r="BP1100" s="468"/>
      <c r="BQ1100" s="468"/>
      <c r="BR1100" s="468"/>
      <c r="BS1100" s="468"/>
      <c r="BT1100" s="468"/>
      <c r="BU1100" s="468"/>
      <c r="BV1100" s="468"/>
      <c r="BW1100" s="469"/>
      <c r="BX1100" s="449"/>
      <c r="BY1100" s="449"/>
      <c r="BZ1100" s="449"/>
    </row>
    <row r="1101" spans="67:78" s="457" customFormat="1" x14ac:dyDescent="0.2">
      <c r="BO1101" s="468"/>
      <c r="BP1101" s="468"/>
      <c r="BQ1101" s="468"/>
      <c r="BR1101" s="468"/>
      <c r="BS1101" s="468"/>
      <c r="BT1101" s="468"/>
      <c r="BU1101" s="468"/>
      <c r="BV1101" s="468"/>
      <c r="BW1101" s="469"/>
      <c r="BX1101" s="449"/>
      <c r="BY1101" s="449"/>
      <c r="BZ1101" s="449"/>
    </row>
    <row r="1102" spans="67:78" s="457" customFormat="1" x14ac:dyDescent="0.2">
      <c r="BO1102" s="468"/>
      <c r="BP1102" s="468"/>
      <c r="BQ1102" s="468"/>
      <c r="BR1102" s="468"/>
      <c r="BS1102" s="468"/>
      <c r="BT1102" s="468"/>
      <c r="BU1102" s="468"/>
      <c r="BV1102" s="468"/>
      <c r="BW1102" s="469"/>
      <c r="BX1102" s="449"/>
      <c r="BY1102" s="449"/>
      <c r="BZ1102" s="449"/>
    </row>
    <row r="1103" spans="67:78" s="457" customFormat="1" x14ac:dyDescent="0.2">
      <c r="BO1103" s="468"/>
      <c r="BP1103" s="468"/>
      <c r="BQ1103" s="468"/>
      <c r="BR1103" s="468"/>
      <c r="BS1103" s="468"/>
      <c r="BT1103" s="468"/>
      <c r="BU1103" s="468"/>
      <c r="BV1103" s="468"/>
      <c r="BW1103" s="469"/>
      <c r="BX1103" s="449"/>
      <c r="BY1103" s="449"/>
      <c r="BZ1103" s="449"/>
    </row>
    <row r="1104" spans="67:78" s="457" customFormat="1" x14ac:dyDescent="0.2">
      <c r="BO1104" s="468"/>
      <c r="BP1104" s="468"/>
      <c r="BQ1104" s="468"/>
      <c r="BR1104" s="468"/>
      <c r="BS1104" s="468"/>
      <c r="BT1104" s="468"/>
      <c r="BU1104" s="468"/>
      <c r="BV1104" s="468"/>
      <c r="BW1104" s="469"/>
      <c r="BX1104" s="449"/>
      <c r="BY1104" s="449"/>
      <c r="BZ1104" s="449"/>
    </row>
    <row r="1105" spans="67:78" s="457" customFormat="1" x14ac:dyDescent="0.2">
      <c r="BO1105" s="468"/>
      <c r="BP1105" s="468"/>
      <c r="BQ1105" s="468"/>
      <c r="BR1105" s="468"/>
      <c r="BS1105" s="468"/>
      <c r="BT1105" s="468"/>
      <c r="BU1105" s="468"/>
      <c r="BV1105" s="468"/>
      <c r="BW1105" s="469"/>
      <c r="BX1105" s="449"/>
      <c r="BY1105" s="449"/>
      <c r="BZ1105" s="449"/>
    </row>
    <row r="1106" spans="67:78" s="457" customFormat="1" x14ac:dyDescent="0.2">
      <c r="BO1106" s="468"/>
      <c r="BP1106" s="468"/>
      <c r="BQ1106" s="468"/>
      <c r="BR1106" s="468"/>
      <c r="BS1106" s="468"/>
      <c r="BT1106" s="468"/>
      <c r="BU1106" s="468"/>
      <c r="BV1106" s="468"/>
      <c r="BW1106" s="469"/>
      <c r="BX1106" s="449"/>
      <c r="BY1106" s="449"/>
      <c r="BZ1106" s="449"/>
    </row>
    <row r="1107" spans="67:78" s="457" customFormat="1" x14ac:dyDescent="0.2">
      <c r="BO1107" s="468"/>
      <c r="BP1107" s="468"/>
      <c r="BQ1107" s="468"/>
      <c r="BR1107" s="468"/>
      <c r="BS1107" s="468"/>
      <c r="BT1107" s="468"/>
      <c r="BU1107" s="468"/>
      <c r="BV1107" s="468"/>
      <c r="BW1107" s="469"/>
      <c r="BX1107" s="449"/>
      <c r="BY1107" s="449"/>
      <c r="BZ1107" s="449"/>
    </row>
    <row r="1108" spans="67:78" s="457" customFormat="1" x14ac:dyDescent="0.2">
      <c r="BO1108" s="468"/>
      <c r="BP1108" s="468"/>
      <c r="BQ1108" s="468"/>
      <c r="BR1108" s="468"/>
      <c r="BS1108" s="468"/>
      <c r="BT1108" s="468"/>
      <c r="BU1108" s="468"/>
      <c r="BV1108" s="468"/>
      <c r="BW1108" s="469"/>
      <c r="BX1108" s="449"/>
      <c r="BY1108" s="449"/>
      <c r="BZ1108" s="449"/>
    </row>
    <row r="1109" spans="67:78" s="457" customFormat="1" x14ac:dyDescent="0.2">
      <c r="BO1109" s="468"/>
      <c r="BP1109" s="468"/>
      <c r="BQ1109" s="468"/>
      <c r="BR1109" s="468"/>
      <c r="BS1109" s="468"/>
      <c r="BT1109" s="468"/>
      <c r="BU1109" s="468"/>
      <c r="BV1109" s="468"/>
      <c r="BW1109" s="469"/>
      <c r="BX1109" s="449"/>
      <c r="BY1109" s="449"/>
      <c r="BZ1109" s="449"/>
    </row>
    <row r="1110" spans="67:78" s="457" customFormat="1" x14ac:dyDescent="0.2">
      <c r="BO1110" s="468"/>
      <c r="BP1110" s="468"/>
      <c r="BQ1110" s="468"/>
      <c r="BR1110" s="468"/>
      <c r="BS1110" s="468"/>
      <c r="BT1110" s="468"/>
      <c r="BU1110" s="468"/>
      <c r="BV1110" s="468"/>
      <c r="BW1110" s="469"/>
      <c r="BX1110" s="449"/>
      <c r="BY1110" s="449"/>
      <c r="BZ1110" s="449"/>
    </row>
    <row r="1111" spans="67:78" s="457" customFormat="1" x14ac:dyDescent="0.2">
      <c r="BO1111" s="468"/>
      <c r="BP1111" s="468"/>
      <c r="BQ1111" s="468"/>
      <c r="BR1111" s="468"/>
      <c r="BS1111" s="468"/>
      <c r="BT1111" s="468"/>
      <c r="BU1111" s="468"/>
      <c r="BV1111" s="468"/>
      <c r="BW1111" s="469"/>
      <c r="BX1111" s="449"/>
      <c r="BY1111" s="449"/>
      <c r="BZ1111" s="449"/>
    </row>
    <row r="1112" spans="67:78" s="457" customFormat="1" x14ac:dyDescent="0.2">
      <c r="BO1112" s="468"/>
      <c r="BP1112" s="468"/>
      <c r="BQ1112" s="468"/>
      <c r="BR1112" s="468"/>
      <c r="BS1112" s="468"/>
      <c r="BT1112" s="468"/>
      <c r="BU1112" s="468"/>
      <c r="BV1112" s="468"/>
      <c r="BW1112" s="469"/>
      <c r="BX1112" s="449"/>
      <c r="BY1112" s="449"/>
      <c r="BZ1112" s="449"/>
    </row>
    <row r="1113" spans="67:78" s="457" customFormat="1" x14ac:dyDescent="0.2">
      <c r="BO1113" s="468"/>
      <c r="BP1113" s="468"/>
      <c r="BQ1113" s="468"/>
      <c r="BR1113" s="468"/>
      <c r="BS1113" s="468"/>
      <c r="BT1113" s="468"/>
      <c r="BU1113" s="468"/>
      <c r="BV1113" s="468"/>
      <c r="BW1113" s="469"/>
      <c r="BX1113" s="449"/>
      <c r="BY1113" s="449"/>
      <c r="BZ1113" s="449"/>
    </row>
    <row r="1114" spans="67:78" s="457" customFormat="1" x14ac:dyDescent="0.2">
      <c r="BO1114" s="468"/>
      <c r="BP1114" s="468"/>
      <c r="BQ1114" s="468"/>
      <c r="BR1114" s="468"/>
      <c r="BS1114" s="468"/>
      <c r="BT1114" s="468"/>
      <c r="BU1114" s="468"/>
      <c r="BV1114" s="468"/>
      <c r="BW1114" s="469"/>
      <c r="BX1114" s="449"/>
      <c r="BY1114" s="449"/>
      <c r="BZ1114" s="449"/>
    </row>
    <row r="1115" spans="67:78" s="457" customFormat="1" x14ac:dyDescent="0.2">
      <c r="BO1115" s="468"/>
      <c r="BP1115" s="468"/>
      <c r="BQ1115" s="468"/>
      <c r="BR1115" s="468"/>
      <c r="BS1115" s="468"/>
      <c r="BT1115" s="468"/>
      <c r="BU1115" s="468"/>
      <c r="BV1115" s="468"/>
      <c r="BW1115" s="469"/>
      <c r="BX1115" s="449"/>
      <c r="BY1115" s="449"/>
      <c r="BZ1115" s="449"/>
    </row>
    <row r="1116" spans="67:78" s="457" customFormat="1" x14ac:dyDescent="0.2">
      <c r="BO1116" s="468"/>
      <c r="BP1116" s="468"/>
      <c r="BQ1116" s="468"/>
      <c r="BR1116" s="468"/>
      <c r="BS1116" s="468"/>
      <c r="BT1116" s="468"/>
      <c r="BU1116" s="468"/>
      <c r="BV1116" s="468"/>
      <c r="BW1116" s="469"/>
      <c r="BX1116" s="449"/>
      <c r="BY1116" s="449"/>
      <c r="BZ1116" s="449"/>
    </row>
    <row r="1117" spans="67:78" s="457" customFormat="1" x14ac:dyDescent="0.2">
      <c r="BO1117" s="468"/>
      <c r="BP1117" s="468"/>
      <c r="BQ1117" s="468"/>
      <c r="BR1117" s="468"/>
      <c r="BS1117" s="468"/>
      <c r="BT1117" s="468"/>
      <c r="BU1117" s="468"/>
      <c r="BV1117" s="468"/>
      <c r="BW1117" s="469"/>
      <c r="BX1117" s="449"/>
      <c r="BY1117" s="449"/>
      <c r="BZ1117" s="449"/>
    </row>
    <row r="1118" spans="67:78" s="457" customFormat="1" x14ac:dyDescent="0.2">
      <c r="BO1118" s="468"/>
      <c r="BP1118" s="468"/>
      <c r="BQ1118" s="468"/>
      <c r="BR1118" s="468"/>
      <c r="BS1118" s="468"/>
      <c r="BT1118" s="468"/>
      <c r="BU1118" s="468"/>
      <c r="BV1118" s="468"/>
      <c r="BW1118" s="469"/>
      <c r="BX1118" s="449"/>
      <c r="BY1118" s="449"/>
      <c r="BZ1118" s="449"/>
    </row>
    <row r="1119" spans="67:78" s="457" customFormat="1" x14ac:dyDescent="0.2">
      <c r="BO1119" s="468"/>
      <c r="BP1119" s="468"/>
      <c r="BQ1119" s="468"/>
      <c r="BR1119" s="468"/>
      <c r="BS1119" s="468"/>
      <c r="BT1119" s="468"/>
      <c r="BU1119" s="468"/>
      <c r="BV1119" s="468"/>
      <c r="BW1119" s="469"/>
      <c r="BX1119" s="449"/>
      <c r="BY1119" s="449"/>
      <c r="BZ1119" s="449"/>
    </row>
    <row r="1120" spans="67:78" s="457" customFormat="1" x14ac:dyDescent="0.2">
      <c r="BO1120" s="468"/>
      <c r="BP1120" s="468"/>
      <c r="BQ1120" s="468"/>
      <c r="BR1120" s="468"/>
      <c r="BS1120" s="468"/>
      <c r="BT1120" s="468"/>
      <c r="BU1120" s="468"/>
      <c r="BV1120" s="468"/>
      <c r="BW1120" s="469"/>
      <c r="BX1120" s="449"/>
      <c r="BY1120" s="449"/>
      <c r="BZ1120" s="449"/>
    </row>
    <row r="1121" spans="67:78" s="457" customFormat="1" x14ac:dyDescent="0.2">
      <c r="BO1121" s="468"/>
      <c r="BP1121" s="468"/>
      <c r="BQ1121" s="468"/>
      <c r="BR1121" s="468"/>
      <c r="BS1121" s="468"/>
      <c r="BT1121" s="468"/>
      <c r="BU1121" s="468"/>
      <c r="BV1121" s="468"/>
      <c r="BW1121" s="469"/>
      <c r="BX1121" s="449"/>
      <c r="BY1121" s="449"/>
      <c r="BZ1121" s="449"/>
    </row>
    <row r="1122" spans="67:78" s="457" customFormat="1" x14ac:dyDescent="0.2">
      <c r="BO1122" s="468"/>
      <c r="BP1122" s="468"/>
      <c r="BQ1122" s="468"/>
      <c r="BR1122" s="468"/>
      <c r="BS1122" s="468"/>
      <c r="BT1122" s="468"/>
      <c r="BU1122" s="468"/>
      <c r="BV1122" s="468"/>
      <c r="BW1122" s="469"/>
      <c r="BX1122" s="449"/>
      <c r="BY1122" s="449"/>
      <c r="BZ1122" s="449"/>
    </row>
    <row r="1123" spans="67:78" s="457" customFormat="1" x14ac:dyDescent="0.2">
      <c r="BO1123" s="468"/>
      <c r="BP1123" s="468"/>
      <c r="BQ1123" s="468"/>
      <c r="BR1123" s="468"/>
      <c r="BS1123" s="468"/>
      <c r="BT1123" s="468"/>
      <c r="BU1123" s="468"/>
      <c r="BV1123" s="468"/>
      <c r="BW1123" s="469"/>
      <c r="BX1123" s="449"/>
      <c r="BY1123" s="449"/>
      <c r="BZ1123" s="449"/>
    </row>
    <row r="1124" spans="67:78" s="457" customFormat="1" x14ac:dyDescent="0.2">
      <c r="BO1124" s="468"/>
      <c r="BP1124" s="468"/>
      <c r="BQ1124" s="468"/>
      <c r="BR1124" s="468"/>
      <c r="BS1124" s="468"/>
      <c r="BT1124" s="468"/>
      <c r="BU1124" s="468"/>
      <c r="BV1124" s="468"/>
      <c r="BW1124" s="469"/>
      <c r="BX1124" s="449"/>
      <c r="BY1124" s="449"/>
      <c r="BZ1124" s="449"/>
    </row>
    <row r="1125" spans="67:78" s="457" customFormat="1" x14ac:dyDescent="0.2">
      <c r="BO1125" s="468"/>
      <c r="BP1125" s="468"/>
      <c r="BQ1125" s="468"/>
      <c r="BR1125" s="468"/>
      <c r="BS1125" s="468"/>
      <c r="BT1125" s="468"/>
      <c r="BU1125" s="468"/>
      <c r="BV1125" s="468"/>
      <c r="BW1125" s="469"/>
      <c r="BX1125" s="449"/>
      <c r="BY1125" s="449"/>
      <c r="BZ1125" s="449"/>
    </row>
    <row r="1126" spans="67:78" s="457" customFormat="1" x14ac:dyDescent="0.2">
      <c r="BO1126" s="468"/>
      <c r="BP1126" s="468"/>
      <c r="BQ1126" s="468"/>
      <c r="BR1126" s="468"/>
      <c r="BS1126" s="468"/>
      <c r="BT1126" s="468"/>
      <c r="BU1126" s="468"/>
      <c r="BV1126" s="468"/>
      <c r="BW1126" s="469"/>
      <c r="BX1126" s="449"/>
      <c r="BY1126" s="449"/>
      <c r="BZ1126" s="449"/>
    </row>
    <row r="1127" spans="67:78" s="457" customFormat="1" x14ac:dyDescent="0.2">
      <c r="BO1127" s="468"/>
      <c r="BP1127" s="468"/>
      <c r="BQ1127" s="468"/>
      <c r="BR1127" s="468"/>
      <c r="BS1127" s="468"/>
      <c r="BT1127" s="468"/>
      <c r="BU1127" s="468"/>
      <c r="BV1127" s="468"/>
      <c r="BW1127" s="469"/>
      <c r="BX1127" s="449"/>
      <c r="BY1127" s="449"/>
      <c r="BZ1127" s="449"/>
    </row>
    <row r="1128" spans="67:78" s="457" customFormat="1" x14ac:dyDescent="0.2">
      <c r="BO1128" s="468"/>
      <c r="BP1128" s="468"/>
      <c r="BQ1128" s="468"/>
      <c r="BR1128" s="468"/>
      <c r="BS1128" s="468"/>
      <c r="BT1128" s="468"/>
      <c r="BU1128" s="468"/>
      <c r="BV1128" s="468"/>
      <c r="BW1128" s="469"/>
      <c r="BX1128" s="449"/>
      <c r="BY1128" s="449"/>
      <c r="BZ1128" s="449"/>
    </row>
    <row r="1129" spans="67:78" s="457" customFormat="1" x14ac:dyDescent="0.2">
      <c r="BO1129" s="468"/>
      <c r="BP1129" s="468"/>
      <c r="BQ1129" s="468"/>
      <c r="BR1129" s="468"/>
      <c r="BS1129" s="468"/>
      <c r="BT1129" s="468"/>
      <c r="BU1129" s="468"/>
      <c r="BV1129" s="468"/>
      <c r="BW1129" s="469"/>
      <c r="BX1129" s="449"/>
      <c r="BY1129" s="449"/>
      <c r="BZ1129" s="449"/>
    </row>
    <row r="1130" spans="67:78" s="457" customFormat="1" x14ac:dyDescent="0.2">
      <c r="BO1130" s="468"/>
      <c r="BP1130" s="468"/>
      <c r="BQ1130" s="468"/>
      <c r="BR1130" s="468"/>
      <c r="BS1130" s="468"/>
      <c r="BT1130" s="468"/>
      <c r="BU1130" s="468"/>
      <c r="BV1130" s="468"/>
      <c r="BW1130" s="469"/>
      <c r="BX1130" s="449"/>
      <c r="BY1130" s="449"/>
      <c r="BZ1130" s="449"/>
    </row>
    <row r="1131" spans="67:78" s="457" customFormat="1" x14ac:dyDescent="0.2">
      <c r="BO1131" s="468"/>
      <c r="BP1131" s="468"/>
      <c r="BQ1131" s="468"/>
      <c r="BR1131" s="468"/>
      <c r="BS1131" s="468"/>
      <c r="BT1131" s="468"/>
      <c r="BU1131" s="468"/>
      <c r="BV1131" s="468"/>
      <c r="BW1131" s="469"/>
      <c r="BX1131" s="449"/>
      <c r="BY1131" s="449"/>
      <c r="BZ1131" s="449"/>
    </row>
    <row r="1132" spans="67:78" s="457" customFormat="1" x14ac:dyDescent="0.2">
      <c r="BO1132" s="468"/>
      <c r="BP1132" s="468"/>
      <c r="BQ1132" s="468"/>
      <c r="BR1132" s="468"/>
      <c r="BS1132" s="468"/>
      <c r="BT1132" s="468"/>
      <c r="BU1132" s="468"/>
      <c r="BV1132" s="468"/>
      <c r="BW1132" s="469"/>
      <c r="BX1132" s="449"/>
      <c r="BY1132" s="449"/>
      <c r="BZ1132" s="449"/>
    </row>
    <row r="1133" spans="67:78" s="457" customFormat="1" x14ac:dyDescent="0.2">
      <c r="BO1133" s="468"/>
      <c r="BP1133" s="468"/>
      <c r="BQ1133" s="468"/>
      <c r="BR1133" s="468"/>
      <c r="BS1133" s="468"/>
      <c r="BT1133" s="468"/>
      <c r="BU1133" s="468"/>
      <c r="BV1133" s="468"/>
      <c r="BW1133" s="469"/>
      <c r="BX1133" s="449"/>
      <c r="BY1133" s="449"/>
      <c r="BZ1133" s="449"/>
    </row>
    <row r="1134" spans="67:78" s="457" customFormat="1" x14ac:dyDescent="0.2">
      <c r="BO1134" s="468"/>
      <c r="BP1134" s="468"/>
      <c r="BQ1134" s="468"/>
      <c r="BR1134" s="468"/>
      <c r="BS1134" s="468"/>
      <c r="BT1134" s="468"/>
      <c r="BU1134" s="468"/>
      <c r="BV1134" s="468"/>
      <c r="BW1134" s="469"/>
      <c r="BX1134" s="449"/>
      <c r="BY1134" s="449"/>
      <c r="BZ1134" s="449"/>
    </row>
    <row r="1135" spans="67:78" s="457" customFormat="1" x14ac:dyDescent="0.2">
      <c r="BO1135" s="468"/>
      <c r="BP1135" s="468"/>
      <c r="BQ1135" s="468"/>
      <c r="BR1135" s="468"/>
      <c r="BS1135" s="468"/>
      <c r="BT1135" s="468"/>
      <c r="BU1135" s="468"/>
      <c r="BV1135" s="468"/>
      <c r="BW1135" s="469"/>
      <c r="BX1135" s="449"/>
      <c r="BY1135" s="449"/>
      <c r="BZ1135" s="449"/>
    </row>
    <row r="1136" spans="67:78" s="457" customFormat="1" x14ac:dyDescent="0.2">
      <c r="BO1136" s="468"/>
      <c r="BP1136" s="468"/>
      <c r="BQ1136" s="468"/>
      <c r="BR1136" s="468"/>
      <c r="BS1136" s="468"/>
      <c r="BT1136" s="468"/>
      <c r="BU1136" s="468"/>
      <c r="BV1136" s="468"/>
      <c r="BW1136" s="469"/>
      <c r="BX1136" s="449"/>
      <c r="BY1136" s="449"/>
      <c r="BZ1136" s="449"/>
    </row>
    <row r="1137" spans="67:78" s="457" customFormat="1" x14ac:dyDescent="0.2">
      <c r="BO1137" s="468"/>
      <c r="BP1137" s="468"/>
      <c r="BQ1137" s="468"/>
      <c r="BR1137" s="468"/>
      <c r="BS1137" s="468"/>
      <c r="BT1137" s="468"/>
      <c r="BU1137" s="468"/>
      <c r="BV1137" s="468"/>
      <c r="BW1137" s="469"/>
      <c r="BX1137" s="449"/>
      <c r="BY1137" s="449"/>
      <c r="BZ1137" s="449"/>
    </row>
    <row r="1138" spans="67:78" s="457" customFormat="1" x14ac:dyDescent="0.2">
      <c r="BO1138" s="468"/>
      <c r="BP1138" s="468"/>
      <c r="BQ1138" s="468"/>
      <c r="BR1138" s="468"/>
      <c r="BS1138" s="468"/>
      <c r="BT1138" s="468"/>
      <c r="BU1138" s="468"/>
      <c r="BV1138" s="468"/>
      <c r="BW1138" s="469"/>
      <c r="BX1138" s="449"/>
      <c r="BY1138" s="449"/>
      <c r="BZ1138" s="449"/>
    </row>
    <row r="1139" spans="67:78" s="457" customFormat="1" x14ac:dyDescent="0.2">
      <c r="BO1139" s="468"/>
      <c r="BP1139" s="468"/>
      <c r="BQ1139" s="468"/>
      <c r="BR1139" s="468"/>
      <c r="BS1139" s="468"/>
      <c r="BT1139" s="468"/>
      <c r="BU1139" s="468"/>
      <c r="BV1139" s="468"/>
      <c r="BW1139" s="469"/>
      <c r="BX1139" s="449"/>
      <c r="BY1139" s="449"/>
      <c r="BZ1139" s="449"/>
    </row>
    <row r="1140" spans="67:78" s="457" customFormat="1" x14ac:dyDescent="0.2">
      <c r="BO1140" s="468"/>
      <c r="BP1140" s="468"/>
      <c r="BQ1140" s="468"/>
      <c r="BR1140" s="468"/>
      <c r="BS1140" s="468"/>
      <c r="BT1140" s="468"/>
      <c r="BU1140" s="468"/>
      <c r="BV1140" s="468"/>
      <c r="BW1140" s="469"/>
      <c r="BX1140" s="449"/>
      <c r="BY1140" s="449"/>
      <c r="BZ1140" s="449"/>
    </row>
    <row r="1141" spans="67:78" s="457" customFormat="1" x14ac:dyDescent="0.2">
      <c r="BO1141" s="468"/>
      <c r="BP1141" s="468"/>
      <c r="BQ1141" s="468"/>
      <c r="BR1141" s="468"/>
      <c r="BS1141" s="468"/>
      <c r="BT1141" s="468"/>
      <c r="BU1141" s="468"/>
      <c r="BV1141" s="468"/>
      <c r="BW1141" s="469"/>
      <c r="BX1141" s="449"/>
      <c r="BY1141" s="449"/>
      <c r="BZ1141" s="449"/>
    </row>
    <row r="1142" spans="67:78" s="457" customFormat="1" x14ac:dyDescent="0.2">
      <c r="BO1142" s="468"/>
      <c r="BP1142" s="468"/>
      <c r="BQ1142" s="468"/>
      <c r="BR1142" s="468"/>
      <c r="BS1142" s="468"/>
      <c r="BT1142" s="468"/>
      <c r="BU1142" s="468"/>
      <c r="BV1142" s="468"/>
      <c r="BW1142" s="469"/>
      <c r="BX1142" s="449"/>
      <c r="BY1142" s="449"/>
      <c r="BZ1142" s="449"/>
    </row>
    <row r="1143" spans="67:78" s="457" customFormat="1" x14ac:dyDescent="0.2">
      <c r="BO1143" s="468"/>
      <c r="BP1143" s="468"/>
      <c r="BQ1143" s="468"/>
      <c r="BR1143" s="468"/>
      <c r="BS1143" s="468"/>
      <c r="BT1143" s="468"/>
      <c r="BU1143" s="468"/>
      <c r="BV1143" s="468"/>
      <c r="BW1143" s="469"/>
      <c r="BX1143" s="449"/>
      <c r="BY1143" s="449"/>
      <c r="BZ1143" s="449"/>
    </row>
    <row r="1144" spans="67:78" s="457" customFormat="1" x14ac:dyDescent="0.2">
      <c r="BO1144" s="468"/>
      <c r="BP1144" s="468"/>
      <c r="BQ1144" s="468"/>
      <c r="BR1144" s="468"/>
      <c r="BS1144" s="468"/>
      <c r="BT1144" s="468"/>
      <c r="BU1144" s="468"/>
      <c r="BV1144" s="468"/>
      <c r="BW1144" s="469"/>
      <c r="BX1144" s="449"/>
      <c r="BY1144" s="449"/>
      <c r="BZ1144" s="449"/>
    </row>
    <row r="1145" spans="67:78" s="457" customFormat="1" x14ac:dyDescent="0.2">
      <c r="BO1145" s="468"/>
      <c r="BP1145" s="468"/>
      <c r="BQ1145" s="468"/>
      <c r="BR1145" s="468"/>
      <c r="BS1145" s="468"/>
      <c r="BT1145" s="468"/>
      <c r="BU1145" s="468"/>
      <c r="BV1145" s="468"/>
      <c r="BW1145" s="469"/>
      <c r="BX1145" s="449"/>
      <c r="BY1145" s="449"/>
      <c r="BZ1145" s="449"/>
    </row>
    <row r="1146" spans="67:78" s="457" customFormat="1" x14ac:dyDescent="0.2">
      <c r="BO1146" s="468"/>
      <c r="BP1146" s="468"/>
      <c r="BQ1146" s="468"/>
      <c r="BR1146" s="468"/>
      <c r="BS1146" s="468"/>
      <c r="BT1146" s="468"/>
      <c r="BU1146" s="468"/>
      <c r="BV1146" s="468"/>
      <c r="BW1146" s="469"/>
      <c r="BX1146" s="449"/>
      <c r="BY1146" s="449"/>
      <c r="BZ1146" s="449"/>
    </row>
    <row r="1147" spans="67:78" s="457" customFormat="1" x14ac:dyDescent="0.2">
      <c r="BO1147" s="468"/>
      <c r="BP1147" s="468"/>
      <c r="BQ1147" s="468"/>
      <c r="BR1147" s="468"/>
      <c r="BS1147" s="468"/>
      <c r="BT1147" s="468"/>
      <c r="BU1147" s="468"/>
      <c r="BV1147" s="468"/>
      <c r="BW1147" s="469"/>
      <c r="BX1147" s="449"/>
      <c r="BY1147" s="449"/>
      <c r="BZ1147" s="449"/>
    </row>
    <row r="1148" spans="67:78" s="457" customFormat="1" x14ac:dyDescent="0.2">
      <c r="BO1148" s="468"/>
      <c r="BP1148" s="468"/>
      <c r="BQ1148" s="468"/>
      <c r="BR1148" s="468"/>
      <c r="BS1148" s="468"/>
      <c r="BT1148" s="468"/>
      <c r="BU1148" s="468"/>
      <c r="BV1148" s="468"/>
      <c r="BW1148" s="469"/>
      <c r="BX1148" s="449"/>
      <c r="BY1148" s="449"/>
      <c r="BZ1148" s="449"/>
    </row>
    <row r="1149" spans="67:78" s="457" customFormat="1" x14ac:dyDescent="0.2">
      <c r="BO1149" s="468"/>
      <c r="BP1149" s="468"/>
      <c r="BQ1149" s="468"/>
      <c r="BR1149" s="468"/>
      <c r="BS1149" s="468"/>
      <c r="BT1149" s="468"/>
      <c r="BU1149" s="468"/>
      <c r="BV1149" s="468"/>
      <c r="BW1149" s="469"/>
      <c r="BX1149" s="449"/>
      <c r="BY1149" s="449"/>
      <c r="BZ1149" s="449"/>
    </row>
    <row r="1150" spans="67:78" s="457" customFormat="1" x14ac:dyDescent="0.2">
      <c r="BO1150" s="468"/>
      <c r="BP1150" s="468"/>
      <c r="BQ1150" s="468"/>
      <c r="BR1150" s="468"/>
      <c r="BS1150" s="468"/>
      <c r="BT1150" s="468"/>
      <c r="BU1150" s="468"/>
      <c r="BV1150" s="468"/>
      <c r="BW1150" s="469"/>
      <c r="BX1150" s="449"/>
      <c r="BY1150" s="449"/>
      <c r="BZ1150" s="449"/>
    </row>
    <row r="1151" spans="67:78" s="457" customFormat="1" x14ac:dyDescent="0.2">
      <c r="BO1151" s="468"/>
      <c r="BP1151" s="468"/>
      <c r="BQ1151" s="468"/>
      <c r="BR1151" s="468"/>
      <c r="BS1151" s="468"/>
      <c r="BT1151" s="468"/>
      <c r="BU1151" s="468"/>
      <c r="BV1151" s="468"/>
      <c r="BW1151" s="469"/>
      <c r="BX1151" s="449"/>
      <c r="BY1151" s="449"/>
      <c r="BZ1151" s="449"/>
    </row>
    <row r="1152" spans="67:78" s="457" customFormat="1" x14ac:dyDescent="0.2">
      <c r="BO1152" s="468"/>
      <c r="BP1152" s="468"/>
      <c r="BQ1152" s="468"/>
      <c r="BR1152" s="468"/>
      <c r="BS1152" s="468"/>
      <c r="BT1152" s="468"/>
      <c r="BU1152" s="468"/>
      <c r="BV1152" s="468"/>
      <c r="BW1152" s="469"/>
      <c r="BX1152" s="449"/>
      <c r="BY1152" s="449"/>
      <c r="BZ1152" s="449"/>
    </row>
    <row r="1153" spans="67:78" s="457" customFormat="1" x14ac:dyDescent="0.2">
      <c r="BO1153" s="468"/>
      <c r="BP1153" s="468"/>
      <c r="BQ1153" s="468"/>
      <c r="BR1153" s="468"/>
      <c r="BS1153" s="468"/>
      <c r="BT1153" s="468"/>
      <c r="BU1153" s="468"/>
      <c r="BV1153" s="468"/>
      <c r="BW1153" s="469"/>
      <c r="BX1153" s="449"/>
      <c r="BY1153" s="449"/>
      <c r="BZ1153" s="449"/>
    </row>
    <row r="1154" spans="67:78" s="457" customFormat="1" x14ac:dyDescent="0.2">
      <c r="BO1154" s="468"/>
      <c r="BP1154" s="468"/>
      <c r="BQ1154" s="468"/>
      <c r="BR1154" s="468"/>
      <c r="BS1154" s="468"/>
      <c r="BT1154" s="468"/>
      <c r="BU1154" s="468"/>
      <c r="BV1154" s="468"/>
      <c r="BW1154" s="469"/>
      <c r="BX1154" s="449"/>
      <c r="BY1154" s="449"/>
      <c r="BZ1154" s="449"/>
    </row>
    <row r="1155" spans="67:78" s="457" customFormat="1" x14ac:dyDescent="0.2">
      <c r="BO1155" s="468"/>
      <c r="BP1155" s="468"/>
      <c r="BQ1155" s="468"/>
      <c r="BR1155" s="468"/>
      <c r="BS1155" s="468"/>
      <c r="BT1155" s="468"/>
      <c r="BU1155" s="468"/>
      <c r="BV1155" s="468"/>
      <c r="BW1155" s="469"/>
      <c r="BX1155" s="449"/>
      <c r="BY1155" s="449"/>
      <c r="BZ1155" s="449"/>
    </row>
    <row r="1156" spans="67:78" s="457" customFormat="1" x14ac:dyDescent="0.2">
      <c r="BO1156" s="468"/>
      <c r="BP1156" s="468"/>
      <c r="BQ1156" s="468"/>
      <c r="BR1156" s="468"/>
      <c r="BS1156" s="468"/>
      <c r="BT1156" s="468"/>
      <c r="BU1156" s="468"/>
      <c r="BV1156" s="468"/>
      <c r="BW1156" s="469"/>
      <c r="BX1156" s="449"/>
      <c r="BY1156" s="449"/>
      <c r="BZ1156" s="449"/>
    </row>
    <row r="1157" spans="67:78" s="457" customFormat="1" x14ac:dyDescent="0.2">
      <c r="BO1157" s="468"/>
      <c r="BP1157" s="468"/>
      <c r="BQ1157" s="468"/>
      <c r="BR1157" s="468"/>
      <c r="BS1157" s="468"/>
      <c r="BT1157" s="468"/>
      <c r="BU1157" s="468"/>
      <c r="BV1157" s="468"/>
      <c r="BW1157" s="469"/>
      <c r="BX1157" s="449"/>
      <c r="BY1157" s="449"/>
      <c r="BZ1157" s="449"/>
    </row>
    <row r="1158" spans="67:78" s="457" customFormat="1" x14ac:dyDescent="0.2">
      <c r="BO1158" s="468"/>
      <c r="BP1158" s="468"/>
      <c r="BQ1158" s="468"/>
      <c r="BR1158" s="468"/>
      <c r="BS1158" s="468"/>
      <c r="BT1158" s="468"/>
      <c r="BU1158" s="468"/>
      <c r="BV1158" s="468"/>
      <c r="BW1158" s="469"/>
      <c r="BX1158" s="449"/>
      <c r="BY1158" s="449"/>
      <c r="BZ1158" s="449"/>
    </row>
    <row r="1159" spans="67:78" s="457" customFormat="1" x14ac:dyDescent="0.2">
      <c r="BO1159" s="468"/>
      <c r="BP1159" s="468"/>
      <c r="BQ1159" s="468"/>
      <c r="BR1159" s="468"/>
      <c r="BS1159" s="468"/>
      <c r="BT1159" s="468"/>
      <c r="BU1159" s="468"/>
      <c r="BV1159" s="468"/>
      <c r="BW1159" s="469"/>
      <c r="BX1159" s="449"/>
      <c r="BY1159" s="449"/>
      <c r="BZ1159" s="449"/>
    </row>
    <row r="1160" spans="67:78" s="457" customFormat="1" x14ac:dyDescent="0.2">
      <c r="BO1160" s="468"/>
      <c r="BP1160" s="468"/>
      <c r="BQ1160" s="468"/>
      <c r="BR1160" s="468"/>
      <c r="BS1160" s="468"/>
      <c r="BT1160" s="468"/>
      <c r="BU1160" s="468"/>
      <c r="BV1160" s="468"/>
      <c r="BW1160" s="469"/>
      <c r="BX1160" s="449"/>
      <c r="BY1160" s="449"/>
      <c r="BZ1160" s="449"/>
    </row>
    <row r="1161" spans="67:78" s="457" customFormat="1" x14ac:dyDescent="0.2">
      <c r="BO1161" s="468"/>
      <c r="BP1161" s="468"/>
      <c r="BQ1161" s="468"/>
      <c r="BR1161" s="468"/>
      <c r="BS1161" s="468"/>
      <c r="BT1161" s="468"/>
      <c r="BU1161" s="468"/>
      <c r="BV1161" s="468"/>
      <c r="BW1161" s="469"/>
      <c r="BX1161" s="449"/>
      <c r="BY1161" s="449"/>
      <c r="BZ1161" s="449"/>
    </row>
    <row r="1162" spans="67:78" s="457" customFormat="1" x14ac:dyDescent="0.2">
      <c r="BO1162" s="468"/>
      <c r="BP1162" s="468"/>
      <c r="BQ1162" s="468"/>
      <c r="BR1162" s="468"/>
      <c r="BS1162" s="468"/>
      <c r="BT1162" s="468"/>
      <c r="BU1162" s="468"/>
      <c r="BV1162" s="468"/>
      <c r="BW1162" s="469"/>
      <c r="BX1162" s="449"/>
      <c r="BY1162" s="449"/>
      <c r="BZ1162" s="449"/>
    </row>
    <row r="1163" spans="67:78" s="457" customFormat="1" x14ac:dyDescent="0.2">
      <c r="BO1163" s="468"/>
      <c r="BP1163" s="468"/>
      <c r="BQ1163" s="468"/>
      <c r="BR1163" s="468"/>
      <c r="BS1163" s="468"/>
      <c r="BT1163" s="468"/>
      <c r="BU1163" s="468"/>
      <c r="BV1163" s="468"/>
      <c r="BW1163" s="469"/>
      <c r="BX1163" s="449"/>
      <c r="BY1163" s="449"/>
      <c r="BZ1163" s="449"/>
    </row>
    <row r="1164" spans="67:78" s="457" customFormat="1" x14ac:dyDescent="0.2">
      <c r="BO1164" s="468"/>
      <c r="BP1164" s="468"/>
      <c r="BQ1164" s="468"/>
      <c r="BR1164" s="468"/>
      <c r="BS1164" s="468"/>
      <c r="BT1164" s="468"/>
      <c r="BU1164" s="468"/>
      <c r="BV1164" s="468"/>
      <c r="BW1164" s="469"/>
      <c r="BX1164" s="449"/>
      <c r="BY1164" s="449"/>
      <c r="BZ1164" s="449"/>
    </row>
    <row r="1165" spans="67:78" s="457" customFormat="1" x14ac:dyDescent="0.2">
      <c r="BO1165" s="468"/>
      <c r="BP1165" s="468"/>
      <c r="BQ1165" s="468"/>
      <c r="BR1165" s="468"/>
      <c r="BS1165" s="468"/>
      <c r="BT1165" s="468"/>
      <c r="BU1165" s="468"/>
      <c r="BV1165" s="468"/>
      <c r="BW1165" s="469"/>
      <c r="BX1165" s="449"/>
      <c r="BY1165" s="449"/>
      <c r="BZ1165" s="449"/>
    </row>
    <row r="1166" spans="67:78" s="457" customFormat="1" x14ac:dyDescent="0.2">
      <c r="BO1166" s="468"/>
      <c r="BP1166" s="468"/>
      <c r="BQ1166" s="468"/>
      <c r="BR1166" s="468"/>
      <c r="BS1166" s="468"/>
      <c r="BT1166" s="468"/>
      <c r="BU1166" s="468"/>
      <c r="BV1166" s="468"/>
      <c r="BW1166" s="469"/>
      <c r="BX1166" s="449"/>
      <c r="BY1166" s="449"/>
      <c r="BZ1166" s="449"/>
    </row>
    <row r="1167" spans="67:78" s="457" customFormat="1" x14ac:dyDescent="0.2">
      <c r="BO1167" s="468"/>
      <c r="BP1167" s="468"/>
      <c r="BQ1167" s="468"/>
      <c r="BR1167" s="468"/>
      <c r="BS1167" s="468"/>
      <c r="BT1167" s="468"/>
      <c r="BU1167" s="468"/>
      <c r="BV1167" s="468"/>
      <c r="BW1167" s="469"/>
      <c r="BX1167" s="449"/>
      <c r="BY1167" s="449"/>
      <c r="BZ1167" s="449"/>
    </row>
    <row r="1168" spans="67:78" s="457" customFormat="1" x14ac:dyDescent="0.2">
      <c r="BO1168" s="468"/>
      <c r="BP1168" s="468"/>
      <c r="BQ1168" s="468"/>
      <c r="BR1168" s="468"/>
      <c r="BS1168" s="468"/>
      <c r="BT1168" s="468"/>
      <c r="BU1168" s="468"/>
      <c r="BV1168" s="468"/>
      <c r="BW1168" s="469"/>
      <c r="BX1168" s="449"/>
      <c r="BY1168" s="449"/>
      <c r="BZ1168" s="449"/>
    </row>
    <row r="1169" spans="67:78" s="457" customFormat="1" x14ac:dyDescent="0.2">
      <c r="BO1169" s="468"/>
      <c r="BP1169" s="468"/>
      <c r="BQ1169" s="468"/>
      <c r="BR1169" s="468"/>
      <c r="BS1169" s="468"/>
      <c r="BT1169" s="468"/>
      <c r="BU1169" s="468"/>
      <c r="BV1169" s="468"/>
      <c r="BW1169" s="469"/>
      <c r="BX1169" s="449"/>
      <c r="BY1169" s="449"/>
      <c r="BZ1169" s="449"/>
    </row>
    <row r="1170" spans="67:78" s="457" customFormat="1" x14ac:dyDescent="0.2">
      <c r="BO1170" s="468"/>
      <c r="BP1170" s="468"/>
      <c r="BQ1170" s="468"/>
      <c r="BR1170" s="468"/>
      <c r="BS1170" s="468"/>
      <c r="BT1170" s="468"/>
      <c r="BU1170" s="468"/>
      <c r="BV1170" s="468"/>
      <c r="BW1170" s="469"/>
      <c r="BX1170" s="449"/>
      <c r="BY1170" s="449"/>
      <c r="BZ1170" s="449"/>
    </row>
    <row r="1171" spans="67:78" s="457" customFormat="1" x14ac:dyDescent="0.2">
      <c r="BO1171" s="468"/>
      <c r="BP1171" s="468"/>
      <c r="BQ1171" s="468"/>
      <c r="BR1171" s="468"/>
      <c r="BS1171" s="468"/>
      <c r="BT1171" s="468"/>
      <c r="BU1171" s="468"/>
      <c r="BV1171" s="468"/>
      <c r="BW1171" s="469"/>
      <c r="BX1171" s="449"/>
      <c r="BY1171" s="449"/>
      <c r="BZ1171" s="449"/>
    </row>
    <row r="1172" spans="67:78" s="457" customFormat="1" x14ac:dyDescent="0.2">
      <c r="BO1172" s="468"/>
      <c r="BP1172" s="468"/>
      <c r="BQ1172" s="468"/>
      <c r="BR1172" s="468"/>
      <c r="BS1172" s="468"/>
      <c r="BT1172" s="468"/>
      <c r="BU1172" s="468"/>
      <c r="BV1172" s="468"/>
      <c r="BW1172" s="469"/>
      <c r="BX1172" s="449"/>
      <c r="BY1172" s="449"/>
      <c r="BZ1172" s="449"/>
    </row>
    <row r="1173" spans="67:78" s="457" customFormat="1" x14ac:dyDescent="0.2">
      <c r="BO1173" s="468"/>
      <c r="BP1173" s="468"/>
      <c r="BQ1173" s="468"/>
      <c r="BR1173" s="468"/>
      <c r="BS1173" s="468"/>
      <c r="BT1173" s="468"/>
      <c r="BU1173" s="468"/>
      <c r="BV1173" s="468"/>
      <c r="BW1173" s="469"/>
      <c r="BX1173" s="449"/>
      <c r="BY1173" s="449"/>
      <c r="BZ1173" s="449"/>
    </row>
    <row r="1174" spans="67:78" s="457" customFormat="1" x14ac:dyDescent="0.2">
      <c r="BO1174" s="468"/>
      <c r="BP1174" s="468"/>
      <c r="BQ1174" s="468"/>
      <c r="BR1174" s="468"/>
      <c r="BS1174" s="468"/>
      <c r="BT1174" s="468"/>
      <c r="BU1174" s="468"/>
      <c r="BV1174" s="468"/>
      <c r="BW1174" s="469"/>
      <c r="BX1174" s="449"/>
      <c r="BY1174" s="449"/>
      <c r="BZ1174" s="449"/>
    </row>
    <row r="1175" spans="67:78" s="457" customFormat="1" x14ac:dyDescent="0.2">
      <c r="BO1175" s="468"/>
      <c r="BP1175" s="468"/>
      <c r="BQ1175" s="468"/>
      <c r="BR1175" s="468"/>
      <c r="BS1175" s="468"/>
      <c r="BT1175" s="468"/>
      <c r="BU1175" s="468"/>
      <c r="BV1175" s="468"/>
      <c r="BW1175" s="469"/>
      <c r="BX1175" s="449"/>
      <c r="BY1175" s="449"/>
      <c r="BZ1175" s="449"/>
    </row>
    <row r="1176" spans="67:78" s="457" customFormat="1" x14ac:dyDescent="0.2">
      <c r="BO1176" s="468"/>
      <c r="BP1176" s="468"/>
      <c r="BQ1176" s="468"/>
      <c r="BR1176" s="468"/>
      <c r="BS1176" s="468"/>
      <c r="BT1176" s="468"/>
      <c r="BU1176" s="468"/>
      <c r="BV1176" s="468"/>
      <c r="BW1176" s="469"/>
      <c r="BX1176" s="449"/>
      <c r="BY1176" s="449"/>
      <c r="BZ1176" s="449"/>
    </row>
    <row r="1177" spans="67:78" s="457" customFormat="1" x14ac:dyDescent="0.2">
      <c r="BO1177" s="468"/>
      <c r="BP1177" s="468"/>
      <c r="BQ1177" s="468"/>
      <c r="BR1177" s="468"/>
      <c r="BS1177" s="468"/>
      <c r="BT1177" s="468"/>
      <c r="BU1177" s="468"/>
      <c r="BV1177" s="468"/>
      <c r="BW1177" s="469"/>
      <c r="BX1177" s="449"/>
      <c r="BY1177" s="449"/>
      <c r="BZ1177" s="449"/>
    </row>
    <row r="1178" spans="67:78" s="457" customFormat="1" x14ac:dyDescent="0.2">
      <c r="BO1178" s="468"/>
      <c r="BP1178" s="468"/>
      <c r="BQ1178" s="468"/>
      <c r="BR1178" s="468"/>
      <c r="BS1178" s="468"/>
      <c r="BT1178" s="468"/>
      <c r="BU1178" s="468"/>
      <c r="BV1178" s="468"/>
      <c r="BW1178" s="469"/>
      <c r="BX1178" s="449"/>
      <c r="BY1178" s="449"/>
      <c r="BZ1178" s="449"/>
    </row>
    <row r="1179" spans="67:78" s="457" customFormat="1" x14ac:dyDescent="0.2">
      <c r="BO1179" s="468"/>
      <c r="BP1179" s="468"/>
      <c r="BQ1179" s="468"/>
      <c r="BR1179" s="468"/>
      <c r="BS1179" s="468"/>
      <c r="BT1179" s="468"/>
      <c r="BU1179" s="468"/>
      <c r="BV1179" s="468"/>
      <c r="BW1179" s="469"/>
      <c r="BX1179" s="449"/>
      <c r="BY1179" s="449"/>
      <c r="BZ1179" s="449"/>
    </row>
    <row r="1180" spans="67:78" s="457" customFormat="1" x14ac:dyDescent="0.2">
      <c r="BO1180" s="468"/>
      <c r="BP1180" s="468"/>
      <c r="BQ1180" s="468"/>
      <c r="BR1180" s="468"/>
      <c r="BS1180" s="468"/>
      <c r="BT1180" s="468"/>
      <c r="BU1180" s="468"/>
      <c r="BV1180" s="468"/>
      <c r="BW1180" s="469"/>
      <c r="BX1180" s="449"/>
      <c r="BY1180" s="449"/>
      <c r="BZ1180" s="449"/>
    </row>
    <row r="1181" spans="67:78" s="457" customFormat="1" x14ac:dyDescent="0.2">
      <c r="BO1181" s="468"/>
      <c r="BP1181" s="468"/>
      <c r="BQ1181" s="468"/>
      <c r="BR1181" s="468"/>
      <c r="BS1181" s="468"/>
      <c r="BT1181" s="468"/>
      <c r="BU1181" s="468"/>
      <c r="BV1181" s="468"/>
      <c r="BW1181" s="469"/>
      <c r="BX1181" s="449"/>
      <c r="BY1181" s="449"/>
      <c r="BZ1181" s="449"/>
    </row>
    <row r="1182" spans="67:78" s="457" customFormat="1" x14ac:dyDescent="0.2">
      <c r="BO1182" s="468"/>
      <c r="BP1182" s="468"/>
      <c r="BQ1182" s="468"/>
      <c r="BR1182" s="468"/>
      <c r="BS1182" s="468"/>
      <c r="BT1182" s="468"/>
      <c r="BU1182" s="468"/>
      <c r="BV1182" s="468"/>
      <c r="BW1182" s="469"/>
      <c r="BX1182" s="449"/>
      <c r="BY1182" s="449"/>
      <c r="BZ1182" s="449"/>
    </row>
    <row r="1183" spans="67:78" s="457" customFormat="1" x14ac:dyDescent="0.2">
      <c r="BO1183" s="468"/>
      <c r="BP1183" s="468"/>
      <c r="BQ1183" s="468"/>
      <c r="BR1183" s="468"/>
      <c r="BS1183" s="468"/>
      <c r="BT1183" s="468"/>
      <c r="BU1183" s="468"/>
      <c r="BV1183" s="468"/>
      <c r="BW1183" s="469"/>
      <c r="BX1183" s="449"/>
      <c r="BY1183" s="449"/>
      <c r="BZ1183" s="449"/>
    </row>
    <row r="1184" spans="67:78" s="457" customFormat="1" x14ac:dyDescent="0.2">
      <c r="BO1184" s="468"/>
      <c r="BP1184" s="468"/>
      <c r="BQ1184" s="468"/>
      <c r="BR1184" s="468"/>
      <c r="BS1184" s="468"/>
      <c r="BT1184" s="468"/>
      <c r="BU1184" s="468"/>
      <c r="BV1184" s="468"/>
      <c r="BW1184" s="469"/>
      <c r="BX1184" s="449"/>
      <c r="BY1184" s="449"/>
      <c r="BZ1184" s="449"/>
    </row>
    <row r="1185" spans="67:78" s="457" customFormat="1" x14ac:dyDescent="0.2">
      <c r="BO1185" s="468"/>
      <c r="BP1185" s="468"/>
      <c r="BQ1185" s="468"/>
      <c r="BR1185" s="468"/>
      <c r="BS1185" s="468"/>
      <c r="BT1185" s="468"/>
      <c r="BU1185" s="468"/>
      <c r="BV1185" s="468"/>
      <c r="BW1185" s="469"/>
      <c r="BX1185" s="449"/>
      <c r="BY1185" s="449"/>
      <c r="BZ1185" s="449"/>
    </row>
    <row r="1186" spans="67:78" s="457" customFormat="1" x14ac:dyDescent="0.2">
      <c r="BO1186" s="468"/>
      <c r="BP1186" s="468"/>
      <c r="BQ1186" s="468"/>
      <c r="BR1186" s="468"/>
      <c r="BS1186" s="468"/>
      <c r="BT1186" s="468"/>
      <c r="BU1186" s="468"/>
      <c r="BV1186" s="468"/>
      <c r="BW1186" s="469"/>
      <c r="BX1186" s="449"/>
      <c r="BY1186" s="449"/>
      <c r="BZ1186" s="449"/>
    </row>
    <row r="1187" spans="67:78" s="457" customFormat="1" x14ac:dyDescent="0.2">
      <c r="BO1187" s="468"/>
      <c r="BP1187" s="468"/>
      <c r="BQ1187" s="468"/>
      <c r="BR1187" s="468"/>
      <c r="BS1187" s="468"/>
      <c r="BT1187" s="468"/>
      <c r="BU1187" s="468"/>
      <c r="BV1187" s="468"/>
      <c r="BW1187" s="469"/>
      <c r="BX1187" s="449"/>
      <c r="BY1187" s="449"/>
      <c r="BZ1187" s="449"/>
    </row>
    <row r="1188" spans="67:78" s="457" customFormat="1" x14ac:dyDescent="0.2">
      <c r="BO1188" s="468"/>
      <c r="BP1188" s="468"/>
      <c r="BQ1188" s="468"/>
      <c r="BR1188" s="468"/>
      <c r="BS1188" s="468"/>
      <c r="BT1188" s="468"/>
      <c r="BU1188" s="468"/>
      <c r="BV1188" s="468"/>
      <c r="BW1188" s="469"/>
      <c r="BX1188" s="449"/>
      <c r="BY1188" s="449"/>
      <c r="BZ1188" s="449"/>
    </row>
    <row r="1189" spans="67:78" s="457" customFormat="1" x14ac:dyDescent="0.2">
      <c r="BO1189" s="468"/>
      <c r="BP1189" s="468"/>
      <c r="BQ1189" s="468"/>
      <c r="BR1189" s="468"/>
      <c r="BS1189" s="468"/>
      <c r="BT1189" s="468"/>
      <c r="BU1189" s="468"/>
      <c r="BV1189" s="468"/>
      <c r="BW1189" s="469"/>
      <c r="BX1189" s="449"/>
      <c r="BY1189" s="449"/>
      <c r="BZ1189" s="449"/>
    </row>
    <row r="1190" spans="67:78" s="457" customFormat="1" x14ac:dyDescent="0.2">
      <c r="BO1190" s="468"/>
      <c r="BP1190" s="468"/>
      <c r="BQ1190" s="468"/>
      <c r="BR1190" s="468"/>
      <c r="BS1190" s="468"/>
      <c r="BT1190" s="468"/>
      <c r="BU1190" s="468"/>
      <c r="BV1190" s="468"/>
      <c r="BW1190" s="469"/>
      <c r="BX1190" s="449"/>
      <c r="BY1190" s="449"/>
      <c r="BZ1190" s="449"/>
    </row>
    <row r="1191" spans="67:78" s="457" customFormat="1" x14ac:dyDescent="0.2">
      <c r="BO1191" s="468"/>
      <c r="BP1191" s="468"/>
      <c r="BQ1191" s="468"/>
      <c r="BR1191" s="468"/>
      <c r="BS1191" s="468"/>
      <c r="BT1191" s="468"/>
      <c r="BU1191" s="468"/>
      <c r="BV1191" s="468"/>
      <c r="BW1191" s="469"/>
      <c r="BX1191" s="449"/>
      <c r="BY1191" s="449"/>
      <c r="BZ1191" s="449"/>
    </row>
    <row r="1192" spans="67:78" s="457" customFormat="1" x14ac:dyDescent="0.2">
      <c r="BO1192" s="468"/>
      <c r="BP1192" s="468"/>
      <c r="BQ1192" s="468"/>
      <c r="BR1192" s="468"/>
      <c r="BS1192" s="468"/>
      <c r="BT1192" s="468"/>
      <c r="BU1192" s="468"/>
      <c r="BV1192" s="468"/>
      <c r="BW1192" s="469"/>
      <c r="BX1192" s="449"/>
      <c r="BY1192" s="449"/>
      <c r="BZ1192" s="449"/>
    </row>
    <row r="1193" spans="67:78" s="457" customFormat="1" x14ac:dyDescent="0.2">
      <c r="BO1193" s="468"/>
      <c r="BP1193" s="468"/>
      <c r="BQ1193" s="468"/>
      <c r="BR1193" s="468"/>
      <c r="BS1193" s="468"/>
      <c r="BT1193" s="468"/>
      <c r="BU1193" s="468"/>
      <c r="BV1193" s="468"/>
      <c r="BW1193" s="469"/>
      <c r="BX1193" s="449"/>
      <c r="BY1193" s="449"/>
      <c r="BZ1193" s="449"/>
    </row>
    <row r="1194" spans="67:78" s="457" customFormat="1" x14ac:dyDescent="0.2">
      <c r="BO1194" s="468"/>
      <c r="BP1194" s="468"/>
      <c r="BQ1194" s="468"/>
      <c r="BR1194" s="468"/>
      <c r="BS1194" s="468"/>
      <c r="BT1194" s="468"/>
      <c r="BU1194" s="468"/>
      <c r="BV1194" s="468"/>
      <c r="BW1194" s="469"/>
      <c r="BX1194" s="449"/>
      <c r="BY1194" s="449"/>
      <c r="BZ1194" s="449"/>
    </row>
    <row r="1195" spans="67:78" s="457" customFormat="1" x14ac:dyDescent="0.2">
      <c r="BO1195" s="468"/>
      <c r="BP1195" s="468"/>
      <c r="BQ1195" s="468"/>
      <c r="BR1195" s="468"/>
      <c r="BS1195" s="468"/>
      <c r="BT1195" s="468"/>
      <c r="BU1195" s="468"/>
      <c r="BV1195" s="468"/>
      <c r="BW1195" s="469"/>
      <c r="BX1195" s="449"/>
      <c r="BY1195" s="449"/>
      <c r="BZ1195" s="449"/>
    </row>
    <row r="1196" spans="67:78" s="457" customFormat="1" x14ac:dyDescent="0.2">
      <c r="BO1196" s="468"/>
      <c r="BP1196" s="468"/>
      <c r="BQ1196" s="468"/>
      <c r="BR1196" s="468"/>
      <c r="BS1196" s="468"/>
      <c r="BT1196" s="468"/>
      <c r="BU1196" s="468"/>
      <c r="BV1196" s="468"/>
      <c r="BW1196" s="469"/>
      <c r="BX1196" s="449"/>
      <c r="BY1196" s="449"/>
      <c r="BZ1196" s="449"/>
    </row>
    <row r="1197" spans="67:78" s="457" customFormat="1" x14ac:dyDescent="0.2">
      <c r="BO1197" s="468"/>
      <c r="BP1197" s="468"/>
      <c r="BQ1197" s="468"/>
      <c r="BR1197" s="468"/>
      <c r="BS1197" s="468"/>
      <c r="BT1197" s="468"/>
      <c r="BU1197" s="468"/>
      <c r="BV1197" s="468"/>
      <c r="BW1197" s="469"/>
      <c r="BX1197" s="449"/>
      <c r="BY1197" s="449"/>
      <c r="BZ1197" s="449"/>
    </row>
    <row r="1198" spans="67:78" s="457" customFormat="1" x14ac:dyDescent="0.2">
      <c r="BO1198" s="468"/>
      <c r="BP1198" s="468"/>
      <c r="BQ1198" s="468"/>
      <c r="BR1198" s="468"/>
      <c r="BS1198" s="468"/>
      <c r="BT1198" s="468"/>
      <c r="BU1198" s="468"/>
      <c r="BV1198" s="468"/>
      <c r="BW1198" s="469"/>
      <c r="BX1198" s="449"/>
      <c r="BY1198" s="449"/>
      <c r="BZ1198" s="449"/>
    </row>
    <row r="1199" spans="67:78" s="457" customFormat="1" x14ac:dyDescent="0.2">
      <c r="BO1199" s="468"/>
      <c r="BP1199" s="468"/>
      <c r="BQ1199" s="468"/>
      <c r="BR1199" s="468"/>
      <c r="BS1199" s="468"/>
      <c r="BT1199" s="468"/>
      <c r="BU1199" s="468"/>
      <c r="BV1199" s="468"/>
      <c r="BW1199" s="469"/>
      <c r="BX1199" s="449"/>
      <c r="BY1199" s="449"/>
      <c r="BZ1199" s="449"/>
    </row>
    <row r="1200" spans="67:78" s="457" customFormat="1" x14ac:dyDescent="0.2">
      <c r="BO1200" s="468"/>
      <c r="BP1200" s="468"/>
      <c r="BQ1200" s="468"/>
      <c r="BR1200" s="468"/>
      <c r="BS1200" s="468"/>
      <c r="BT1200" s="468"/>
      <c r="BU1200" s="468"/>
      <c r="BV1200" s="468"/>
      <c r="BW1200" s="469"/>
      <c r="BX1200" s="449"/>
      <c r="BY1200" s="449"/>
      <c r="BZ1200" s="449"/>
    </row>
    <row r="1201" spans="67:78" s="457" customFormat="1" x14ac:dyDescent="0.2">
      <c r="BO1201" s="468"/>
      <c r="BP1201" s="468"/>
      <c r="BQ1201" s="468"/>
      <c r="BR1201" s="468"/>
      <c r="BS1201" s="468"/>
      <c r="BT1201" s="468"/>
      <c r="BU1201" s="468"/>
      <c r="BV1201" s="468"/>
      <c r="BW1201" s="469"/>
      <c r="BX1201" s="449"/>
      <c r="BY1201" s="449"/>
      <c r="BZ1201" s="449"/>
    </row>
    <row r="1202" spans="67:78" s="457" customFormat="1" x14ac:dyDescent="0.2">
      <c r="BO1202" s="468"/>
      <c r="BP1202" s="468"/>
      <c r="BQ1202" s="468"/>
      <c r="BR1202" s="468"/>
      <c r="BS1202" s="468"/>
      <c r="BT1202" s="468"/>
      <c r="BU1202" s="468"/>
      <c r="BV1202" s="468"/>
      <c r="BW1202" s="469"/>
      <c r="BX1202" s="449"/>
      <c r="BY1202" s="449"/>
      <c r="BZ1202" s="449"/>
    </row>
    <row r="1203" spans="67:78" s="457" customFormat="1" x14ac:dyDescent="0.2">
      <c r="BO1203" s="468"/>
      <c r="BP1203" s="468"/>
      <c r="BQ1203" s="468"/>
      <c r="BR1203" s="468"/>
      <c r="BS1203" s="468"/>
      <c r="BT1203" s="468"/>
      <c r="BU1203" s="468"/>
      <c r="BV1203" s="468"/>
      <c r="BW1203" s="469"/>
      <c r="BX1203" s="449"/>
      <c r="BY1203" s="449"/>
      <c r="BZ1203" s="449"/>
    </row>
    <row r="1204" spans="67:78" s="457" customFormat="1" x14ac:dyDescent="0.2">
      <c r="BO1204" s="468"/>
      <c r="BP1204" s="468"/>
      <c r="BQ1204" s="468"/>
      <c r="BR1204" s="468"/>
      <c r="BS1204" s="468"/>
      <c r="BT1204" s="468"/>
      <c r="BU1204" s="468"/>
      <c r="BV1204" s="468"/>
      <c r="BW1204" s="469"/>
      <c r="BX1204" s="449"/>
      <c r="BY1204" s="449"/>
      <c r="BZ1204" s="449"/>
    </row>
    <row r="1205" spans="67:78" s="457" customFormat="1" x14ac:dyDescent="0.2">
      <c r="BO1205" s="468"/>
      <c r="BP1205" s="468"/>
      <c r="BQ1205" s="468"/>
      <c r="BR1205" s="468"/>
      <c r="BS1205" s="468"/>
      <c r="BT1205" s="468"/>
      <c r="BU1205" s="468"/>
      <c r="BV1205" s="468"/>
      <c r="BW1205" s="469"/>
      <c r="BX1205" s="449"/>
      <c r="BY1205" s="449"/>
      <c r="BZ1205" s="449"/>
    </row>
    <row r="1206" spans="67:78" s="457" customFormat="1" x14ac:dyDescent="0.2">
      <c r="BO1206" s="468"/>
      <c r="BP1206" s="468"/>
      <c r="BQ1206" s="468"/>
      <c r="BR1206" s="468"/>
      <c r="BS1206" s="468"/>
      <c r="BT1206" s="468"/>
      <c r="BU1206" s="468"/>
      <c r="BV1206" s="468"/>
      <c r="BW1206" s="469"/>
      <c r="BX1206" s="449"/>
      <c r="BY1206" s="449"/>
      <c r="BZ1206" s="449"/>
    </row>
    <row r="1207" spans="67:78" s="457" customFormat="1" x14ac:dyDescent="0.2">
      <c r="BO1207" s="468"/>
      <c r="BP1207" s="468"/>
      <c r="BQ1207" s="468"/>
      <c r="BR1207" s="468"/>
      <c r="BS1207" s="468"/>
      <c r="BT1207" s="468"/>
      <c r="BU1207" s="468"/>
      <c r="BV1207" s="468"/>
      <c r="BW1207" s="469"/>
      <c r="BX1207" s="449"/>
      <c r="BY1207" s="449"/>
      <c r="BZ1207" s="449"/>
    </row>
    <row r="1208" spans="67:78" s="457" customFormat="1" x14ac:dyDescent="0.2">
      <c r="BO1208" s="468"/>
      <c r="BP1208" s="468"/>
      <c r="BQ1208" s="468"/>
      <c r="BR1208" s="468"/>
      <c r="BS1208" s="468"/>
      <c r="BT1208" s="468"/>
      <c r="BU1208" s="468"/>
      <c r="BV1208" s="468"/>
      <c r="BW1208" s="469"/>
      <c r="BX1208" s="449"/>
      <c r="BY1208" s="449"/>
      <c r="BZ1208" s="449"/>
    </row>
    <row r="1209" spans="67:78" s="457" customFormat="1" x14ac:dyDescent="0.2">
      <c r="BO1209" s="468"/>
      <c r="BP1209" s="468"/>
      <c r="BQ1209" s="468"/>
      <c r="BR1209" s="468"/>
      <c r="BS1209" s="468"/>
      <c r="BT1209" s="468"/>
      <c r="BU1209" s="468"/>
      <c r="BV1209" s="468"/>
      <c r="BW1209" s="469"/>
      <c r="BX1209" s="449"/>
      <c r="BY1209" s="449"/>
      <c r="BZ1209" s="449"/>
    </row>
    <row r="1210" spans="67:78" s="457" customFormat="1" x14ac:dyDescent="0.2">
      <c r="BO1210" s="468"/>
      <c r="BP1210" s="468"/>
      <c r="BQ1210" s="468"/>
      <c r="BR1210" s="468"/>
      <c r="BS1210" s="468"/>
      <c r="BT1210" s="468"/>
      <c r="BU1210" s="468"/>
      <c r="BV1210" s="468"/>
      <c r="BW1210" s="469"/>
      <c r="BX1210" s="449"/>
      <c r="BY1210" s="449"/>
      <c r="BZ1210" s="449"/>
    </row>
    <row r="1211" spans="67:78" s="457" customFormat="1" x14ac:dyDescent="0.2">
      <c r="BO1211" s="468"/>
      <c r="BP1211" s="468"/>
      <c r="BQ1211" s="468"/>
      <c r="BR1211" s="468"/>
      <c r="BS1211" s="468"/>
      <c r="BT1211" s="468"/>
      <c r="BU1211" s="468"/>
      <c r="BV1211" s="468"/>
      <c r="BW1211" s="469"/>
      <c r="BX1211" s="449"/>
      <c r="BY1211" s="449"/>
      <c r="BZ1211" s="449"/>
    </row>
    <row r="1212" spans="67:78" s="457" customFormat="1" x14ac:dyDescent="0.2">
      <c r="BO1212" s="468"/>
      <c r="BP1212" s="468"/>
      <c r="BQ1212" s="468"/>
      <c r="BR1212" s="468"/>
      <c r="BS1212" s="468"/>
      <c r="BT1212" s="468"/>
      <c r="BU1212" s="468"/>
      <c r="BV1212" s="468"/>
      <c r="BW1212" s="469"/>
      <c r="BX1212" s="449"/>
      <c r="BY1212" s="449"/>
      <c r="BZ1212" s="449"/>
    </row>
    <row r="1213" spans="67:78" s="457" customFormat="1" x14ac:dyDescent="0.2">
      <c r="BO1213" s="468"/>
      <c r="BP1213" s="468"/>
      <c r="BQ1213" s="468"/>
      <c r="BR1213" s="468"/>
      <c r="BS1213" s="468"/>
      <c r="BT1213" s="468"/>
      <c r="BU1213" s="468"/>
      <c r="BV1213" s="468"/>
      <c r="BW1213" s="469"/>
      <c r="BX1213" s="449"/>
      <c r="BY1213" s="449"/>
      <c r="BZ1213" s="449"/>
    </row>
    <row r="1214" spans="67:78" s="457" customFormat="1" x14ac:dyDescent="0.2">
      <c r="BO1214" s="468"/>
      <c r="BP1214" s="468"/>
      <c r="BQ1214" s="468"/>
      <c r="BR1214" s="468"/>
      <c r="BS1214" s="468"/>
      <c r="BT1214" s="468"/>
      <c r="BU1214" s="468"/>
      <c r="BV1214" s="468"/>
      <c r="BW1214" s="469"/>
      <c r="BX1214" s="449"/>
      <c r="BY1214" s="449"/>
      <c r="BZ1214" s="449"/>
    </row>
    <row r="1215" spans="67:78" s="457" customFormat="1" x14ac:dyDescent="0.2">
      <c r="BO1215" s="468"/>
      <c r="BP1215" s="468"/>
      <c r="BQ1215" s="468"/>
      <c r="BR1215" s="468"/>
      <c r="BS1215" s="468"/>
      <c r="BT1215" s="468"/>
      <c r="BU1215" s="468"/>
      <c r="BV1215" s="468"/>
      <c r="BW1215" s="469"/>
      <c r="BX1215" s="449"/>
      <c r="BY1215" s="449"/>
      <c r="BZ1215" s="449"/>
    </row>
    <row r="1216" spans="67:78" s="457" customFormat="1" x14ac:dyDescent="0.2">
      <c r="BO1216" s="468"/>
      <c r="BP1216" s="468"/>
      <c r="BQ1216" s="468"/>
      <c r="BR1216" s="468"/>
      <c r="BS1216" s="468"/>
      <c r="BT1216" s="468"/>
      <c r="BU1216" s="468"/>
      <c r="BV1216" s="468"/>
      <c r="BW1216" s="469"/>
      <c r="BX1216" s="449"/>
      <c r="BY1216" s="449"/>
      <c r="BZ1216" s="449"/>
    </row>
    <row r="1217" spans="67:78" s="457" customFormat="1" x14ac:dyDescent="0.2">
      <c r="BO1217" s="468"/>
      <c r="BP1217" s="468"/>
      <c r="BQ1217" s="468"/>
      <c r="BR1217" s="468"/>
      <c r="BS1217" s="468"/>
      <c r="BT1217" s="468"/>
      <c r="BU1217" s="468"/>
      <c r="BV1217" s="468"/>
      <c r="BW1217" s="469"/>
      <c r="BX1217" s="449"/>
      <c r="BY1217" s="449"/>
      <c r="BZ1217" s="449"/>
    </row>
    <row r="1218" spans="67:78" s="457" customFormat="1" x14ac:dyDescent="0.2">
      <c r="BO1218" s="468"/>
      <c r="BP1218" s="468"/>
      <c r="BQ1218" s="468"/>
      <c r="BR1218" s="468"/>
      <c r="BS1218" s="468"/>
      <c r="BT1218" s="468"/>
      <c r="BU1218" s="468"/>
      <c r="BV1218" s="468"/>
      <c r="BW1218" s="469"/>
      <c r="BX1218" s="449"/>
      <c r="BY1218" s="449"/>
      <c r="BZ1218" s="449"/>
    </row>
    <row r="1219" spans="67:78" s="457" customFormat="1" x14ac:dyDescent="0.2">
      <c r="BO1219" s="468"/>
      <c r="BP1219" s="468"/>
      <c r="BQ1219" s="468"/>
      <c r="BR1219" s="468"/>
      <c r="BS1219" s="468"/>
      <c r="BT1219" s="468"/>
      <c r="BU1219" s="468"/>
      <c r="BV1219" s="468"/>
      <c r="BW1219" s="469"/>
      <c r="BX1219" s="449"/>
      <c r="BY1219" s="449"/>
      <c r="BZ1219" s="449"/>
    </row>
    <row r="1220" spans="67:78" s="457" customFormat="1" x14ac:dyDescent="0.2">
      <c r="BO1220" s="468"/>
      <c r="BP1220" s="468"/>
      <c r="BQ1220" s="468"/>
      <c r="BR1220" s="468"/>
      <c r="BS1220" s="468"/>
      <c r="BT1220" s="468"/>
      <c r="BU1220" s="468"/>
      <c r="BV1220" s="468"/>
      <c r="BW1220" s="469"/>
      <c r="BX1220" s="449"/>
      <c r="BY1220" s="449"/>
      <c r="BZ1220" s="449"/>
    </row>
    <row r="1221" spans="67:78" s="457" customFormat="1" x14ac:dyDescent="0.2">
      <c r="BO1221" s="468"/>
      <c r="BP1221" s="468"/>
      <c r="BQ1221" s="468"/>
      <c r="BR1221" s="468"/>
      <c r="BS1221" s="468"/>
      <c r="BT1221" s="468"/>
      <c r="BU1221" s="468"/>
      <c r="BV1221" s="468"/>
      <c r="BW1221" s="469"/>
      <c r="BX1221" s="449"/>
      <c r="BY1221" s="449"/>
      <c r="BZ1221" s="449"/>
    </row>
    <row r="1222" spans="67:78" s="457" customFormat="1" x14ac:dyDescent="0.2">
      <c r="BO1222" s="468"/>
      <c r="BP1222" s="468"/>
      <c r="BQ1222" s="468"/>
      <c r="BR1222" s="468"/>
      <c r="BS1222" s="468"/>
      <c r="BT1222" s="468"/>
      <c r="BU1222" s="468"/>
      <c r="BV1222" s="468"/>
      <c r="BW1222" s="469"/>
      <c r="BX1222" s="449"/>
      <c r="BY1222" s="449"/>
      <c r="BZ1222" s="449"/>
    </row>
    <row r="1223" spans="67:78" s="457" customFormat="1" x14ac:dyDescent="0.2">
      <c r="BO1223" s="468"/>
      <c r="BP1223" s="468"/>
      <c r="BQ1223" s="468"/>
      <c r="BR1223" s="468"/>
      <c r="BS1223" s="468"/>
      <c r="BT1223" s="468"/>
      <c r="BU1223" s="468"/>
      <c r="BV1223" s="468"/>
      <c r="BW1223" s="469"/>
      <c r="BX1223" s="449"/>
      <c r="BY1223" s="449"/>
      <c r="BZ1223" s="449"/>
    </row>
    <row r="1224" spans="67:78" s="457" customFormat="1" x14ac:dyDescent="0.2">
      <c r="BO1224" s="468"/>
      <c r="BP1224" s="468"/>
      <c r="BQ1224" s="468"/>
      <c r="BR1224" s="468"/>
      <c r="BS1224" s="468"/>
      <c r="BT1224" s="468"/>
      <c r="BU1224" s="468"/>
      <c r="BV1224" s="468"/>
      <c r="BW1224" s="469"/>
      <c r="BX1224" s="449"/>
      <c r="BY1224" s="449"/>
      <c r="BZ1224" s="449"/>
    </row>
    <row r="1225" spans="67:78" s="457" customFormat="1" x14ac:dyDescent="0.2">
      <c r="BO1225" s="468"/>
      <c r="BP1225" s="468"/>
      <c r="BQ1225" s="468"/>
      <c r="BR1225" s="468"/>
      <c r="BS1225" s="468"/>
      <c r="BT1225" s="468"/>
      <c r="BU1225" s="468"/>
      <c r="BV1225" s="468"/>
      <c r="BW1225" s="469"/>
      <c r="BX1225" s="449"/>
      <c r="BY1225" s="449"/>
      <c r="BZ1225" s="449"/>
    </row>
    <row r="1226" spans="67:78" s="457" customFormat="1" x14ac:dyDescent="0.2">
      <c r="BO1226" s="468"/>
      <c r="BP1226" s="468"/>
      <c r="BQ1226" s="468"/>
      <c r="BR1226" s="468"/>
      <c r="BS1226" s="468"/>
      <c r="BT1226" s="468"/>
      <c r="BU1226" s="468"/>
      <c r="BV1226" s="468"/>
      <c r="BW1226" s="469"/>
      <c r="BX1226" s="449"/>
      <c r="BY1226" s="449"/>
      <c r="BZ1226" s="449"/>
    </row>
    <row r="1227" spans="67:78" s="457" customFormat="1" x14ac:dyDescent="0.2">
      <c r="BO1227" s="468"/>
      <c r="BP1227" s="468"/>
      <c r="BQ1227" s="468"/>
      <c r="BR1227" s="468"/>
      <c r="BS1227" s="468"/>
      <c r="BT1227" s="468"/>
      <c r="BU1227" s="468"/>
      <c r="BV1227" s="468"/>
      <c r="BW1227" s="469"/>
      <c r="BX1227" s="449"/>
      <c r="BY1227" s="449"/>
      <c r="BZ1227" s="449"/>
    </row>
    <row r="1228" spans="67:78" s="457" customFormat="1" x14ac:dyDescent="0.2">
      <c r="BO1228" s="468"/>
      <c r="BP1228" s="468"/>
      <c r="BQ1228" s="468"/>
      <c r="BR1228" s="468"/>
      <c r="BS1228" s="468"/>
      <c r="BT1228" s="468"/>
      <c r="BU1228" s="468"/>
      <c r="BV1228" s="468"/>
      <c r="BW1228" s="469"/>
      <c r="BX1228" s="449"/>
      <c r="BY1228" s="449"/>
      <c r="BZ1228" s="449"/>
    </row>
    <row r="1229" spans="67:78" s="457" customFormat="1" x14ac:dyDescent="0.2">
      <c r="BO1229" s="468"/>
      <c r="BP1229" s="468"/>
      <c r="BQ1229" s="468"/>
      <c r="BR1229" s="468"/>
      <c r="BS1229" s="468"/>
      <c r="BT1229" s="468"/>
      <c r="BU1229" s="468"/>
      <c r="BV1229" s="468"/>
      <c r="BW1229" s="469"/>
      <c r="BX1229" s="449"/>
      <c r="BY1229" s="449"/>
      <c r="BZ1229" s="449"/>
    </row>
    <row r="1230" spans="67:78" s="457" customFormat="1" x14ac:dyDescent="0.2">
      <c r="BO1230" s="468"/>
      <c r="BP1230" s="468"/>
      <c r="BQ1230" s="468"/>
      <c r="BR1230" s="468"/>
      <c r="BS1230" s="468"/>
      <c r="BT1230" s="468"/>
      <c r="BU1230" s="468"/>
      <c r="BV1230" s="468"/>
      <c r="BW1230" s="469"/>
      <c r="BX1230" s="449"/>
      <c r="BY1230" s="449"/>
      <c r="BZ1230" s="449"/>
    </row>
    <row r="1231" spans="67:78" s="457" customFormat="1" x14ac:dyDescent="0.2">
      <c r="BO1231" s="468"/>
      <c r="BP1231" s="468"/>
      <c r="BQ1231" s="468"/>
      <c r="BR1231" s="468"/>
      <c r="BS1231" s="468"/>
      <c r="BT1231" s="468"/>
      <c r="BU1231" s="468"/>
      <c r="BV1231" s="468"/>
      <c r="BW1231" s="469"/>
      <c r="BX1231" s="449"/>
      <c r="BY1231" s="449"/>
      <c r="BZ1231" s="449"/>
    </row>
    <row r="1232" spans="67:78" s="457" customFormat="1" x14ac:dyDescent="0.2">
      <c r="BO1232" s="468"/>
      <c r="BP1232" s="468"/>
      <c r="BQ1232" s="468"/>
      <c r="BR1232" s="468"/>
      <c r="BS1232" s="468"/>
      <c r="BT1232" s="468"/>
      <c r="BU1232" s="468"/>
      <c r="BV1232" s="468"/>
      <c r="BW1232" s="469"/>
      <c r="BX1232" s="449"/>
      <c r="BY1232" s="449"/>
      <c r="BZ1232" s="449"/>
    </row>
    <row r="1233" spans="67:78" s="457" customFormat="1" x14ac:dyDescent="0.2">
      <c r="BO1233" s="468"/>
      <c r="BP1233" s="468"/>
      <c r="BQ1233" s="468"/>
      <c r="BR1233" s="468"/>
      <c r="BS1233" s="468"/>
      <c r="BT1233" s="468"/>
      <c r="BU1233" s="468"/>
      <c r="BV1233" s="468"/>
      <c r="BW1233" s="469"/>
      <c r="BX1233" s="449"/>
      <c r="BY1233" s="449"/>
      <c r="BZ1233" s="449"/>
    </row>
    <row r="1234" spans="67:78" s="457" customFormat="1" x14ac:dyDescent="0.2">
      <c r="BO1234" s="468"/>
      <c r="BP1234" s="468"/>
      <c r="BQ1234" s="468"/>
      <c r="BR1234" s="468"/>
      <c r="BS1234" s="468"/>
      <c r="BT1234" s="468"/>
      <c r="BU1234" s="468"/>
      <c r="BV1234" s="468"/>
      <c r="BW1234" s="469"/>
      <c r="BX1234" s="449"/>
      <c r="BY1234" s="449"/>
      <c r="BZ1234" s="449"/>
    </row>
    <row r="1235" spans="67:78" s="457" customFormat="1" x14ac:dyDescent="0.2">
      <c r="BO1235" s="468"/>
      <c r="BP1235" s="468"/>
      <c r="BQ1235" s="468"/>
      <c r="BR1235" s="468"/>
      <c r="BS1235" s="468"/>
      <c r="BT1235" s="468"/>
      <c r="BU1235" s="468"/>
      <c r="BV1235" s="468"/>
      <c r="BW1235" s="469"/>
      <c r="BX1235" s="449"/>
      <c r="BY1235" s="449"/>
      <c r="BZ1235" s="449"/>
    </row>
    <row r="1236" spans="67:78" s="457" customFormat="1" x14ac:dyDescent="0.2">
      <c r="BO1236" s="468"/>
      <c r="BP1236" s="468"/>
      <c r="BQ1236" s="468"/>
      <c r="BR1236" s="468"/>
      <c r="BS1236" s="468"/>
      <c r="BT1236" s="468"/>
      <c r="BU1236" s="468"/>
      <c r="BV1236" s="468"/>
      <c r="BW1236" s="469"/>
      <c r="BX1236" s="449"/>
      <c r="BY1236" s="449"/>
      <c r="BZ1236" s="449"/>
    </row>
    <row r="1237" spans="67:78" s="457" customFormat="1" x14ac:dyDescent="0.2">
      <c r="BO1237" s="468"/>
      <c r="BP1237" s="468"/>
      <c r="BQ1237" s="468"/>
      <c r="BR1237" s="468"/>
      <c r="BS1237" s="468"/>
      <c r="BT1237" s="468"/>
      <c r="BU1237" s="468"/>
      <c r="BV1237" s="468"/>
      <c r="BW1237" s="469"/>
      <c r="BX1237" s="449"/>
      <c r="BY1237" s="449"/>
      <c r="BZ1237" s="449"/>
    </row>
    <row r="1238" spans="67:78" s="457" customFormat="1" x14ac:dyDescent="0.2">
      <c r="BO1238" s="468"/>
      <c r="BP1238" s="468"/>
      <c r="BQ1238" s="468"/>
      <c r="BR1238" s="468"/>
      <c r="BS1238" s="468"/>
      <c r="BT1238" s="468"/>
      <c r="BU1238" s="468"/>
      <c r="BV1238" s="468"/>
      <c r="BW1238" s="469"/>
      <c r="BX1238" s="449"/>
      <c r="BY1238" s="449"/>
      <c r="BZ1238" s="449"/>
    </row>
    <row r="1239" spans="67:78" s="457" customFormat="1" x14ac:dyDescent="0.2">
      <c r="BO1239" s="468"/>
      <c r="BP1239" s="468"/>
      <c r="BQ1239" s="468"/>
      <c r="BR1239" s="468"/>
      <c r="BS1239" s="468"/>
      <c r="BT1239" s="468"/>
      <c r="BU1239" s="468"/>
      <c r="BV1239" s="468"/>
      <c r="BW1239" s="469"/>
      <c r="BX1239" s="449"/>
      <c r="BY1239" s="449"/>
      <c r="BZ1239" s="449"/>
    </row>
    <row r="1240" spans="67:78" s="457" customFormat="1" x14ac:dyDescent="0.2">
      <c r="BO1240" s="468"/>
      <c r="BP1240" s="468"/>
      <c r="BQ1240" s="468"/>
      <c r="BR1240" s="468"/>
      <c r="BS1240" s="468"/>
      <c r="BT1240" s="468"/>
      <c r="BU1240" s="468"/>
      <c r="BV1240" s="468"/>
      <c r="BW1240" s="469"/>
      <c r="BX1240" s="449"/>
      <c r="BY1240" s="449"/>
      <c r="BZ1240" s="449"/>
    </row>
    <row r="1241" spans="67:78" s="457" customFormat="1" x14ac:dyDescent="0.2">
      <c r="BO1241" s="468"/>
      <c r="BP1241" s="468"/>
      <c r="BQ1241" s="468"/>
      <c r="BR1241" s="468"/>
      <c r="BS1241" s="468"/>
      <c r="BT1241" s="468"/>
      <c r="BU1241" s="468"/>
      <c r="BV1241" s="468"/>
      <c r="BW1241" s="469"/>
      <c r="BX1241" s="449"/>
      <c r="BY1241" s="449"/>
      <c r="BZ1241" s="449"/>
    </row>
    <row r="1242" spans="67:78" s="457" customFormat="1" x14ac:dyDescent="0.2">
      <c r="BO1242" s="468"/>
      <c r="BP1242" s="468"/>
      <c r="BQ1242" s="468"/>
      <c r="BR1242" s="468"/>
      <c r="BS1242" s="468"/>
      <c r="BT1242" s="468"/>
      <c r="BU1242" s="468"/>
      <c r="BV1242" s="468"/>
      <c r="BW1242" s="469"/>
      <c r="BX1242" s="449"/>
      <c r="BY1242" s="449"/>
      <c r="BZ1242" s="449"/>
    </row>
    <row r="1243" spans="67:78" s="457" customFormat="1" x14ac:dyDescent="0.2">
      <c r="BO1243" s="468"/>
      <c r="BP1243" s="468"/>
      <c r="BQ1243" s="468"/>
      <c r="BR1243" s="468"/>
      <c r="BS1243" s="468"/>
      <c r="BT1243" s="468"/>
      <c r="BU1243" s="468"/>
      <c r="BV1243" s="468"/>
      <c r="BW1243" s="469"/>
      <c r="BX1243" s="449"/>
      <c r="BY1243" s="449"/>
      <c r="BZ1243" s="449"/>
    </row>
    <row r="1244" spans="67:78" s="457" customFormat="1" x14ac:dyDescent="0.2">
      <c r="BO1244" s="468"/>
      <c r="BP1244" s="468"/>
      <c r="BQ1244" s="468"/>
      <c r="BR1244" s="468"/>
      <c r="BS1244" s="468"/>
      <c r="BT1244" s="468"/>
      <c r="BU1244" s="468"/>
      <c r="BV1244" s="468"/>
      <c r="BW1244" s="469"/>
      <c r="BX1244" s="449"/>
      <c r="BY1244" s="449"/>
      <c r="BZ1244" s="449"/>
    </row>
    <row r="1245" spans="67:78" s="457" customFormat="1" x14ac:dyDescent="0.2">
      <c r="BO1245" s="468"/>
      <c r="BP1245" s="468"/>
      <c r="BQ1245" s="468"/>
      <c r="BR1245" s="468"/>
      <c r="BS1245" s="468"/>
      <c r="BT1245" s="468"/>
      <c r="BU1245" s="468"/>
      <c r="BV1245" s="468"/>
      <c r="BW1245" s="469"/>
      <c r="BX1245" s="449"/>
      <c r="BY1245" s="449"/>
      <c r="BZ1245" s="449"/>
    </row>
    <row r="1246" spans="67:78" s="457" customFormat="1" x14ac:dyDescent="0.2">
      <c r="BO1246" s="468"/>
      <c r="BP1246" s="468"/>
      <c r="BQ1246" s="468"/>
      <c r="BR1246" s="468"/>
      <c r="BS1246" s="468"/>
      <c r="BT1246" s="468"/>
      <c r="BU1246" s="468"/>
      <c r="BV1246" s="468"/>
      <c r="BW1246" s="469"/>
      <c r="BX1246" s="449"/>
      <c r="BY1246" s="449"/>
      <c r="BZ1246" s="449"/>
    </row>
    <row r="1247" spans="67:78" s="457" customFormat="1" x14ac:dyDescent="0.2">
      <c r="BO1247" s="468"/>
      <c r="BP1247" s="468"/>
      <c r="BQ1247" s="468"/>
      <c r="BR1247" s="468"/>
      <c r="BS1247" s="468"/>
      <c r="BT1247" s="468"/>
      <c r="BU1247" s="468"/>
      <c r="BV1247" s="468"/>
      <c r="BW1247" s="469"/>
      <c r="BX1247" s="449"/>
      <c r="BY1247" s="449"/>
      <c r="BZ1247" s="449"/>
    </row>
    <row r="1248" spans="67:78" s="457" customFormat="1" x14ac:dyDescent="0.2">
      <c r="BO1248" s="468"/>
      <c r="BP1248" s="468"/>
      <c r="BQ1248" s="468"/>
      <c r="BR1248" s="468"/>
      <c r="BS1248" s="468"/>
      <c r="BT1248" s="468"/>
      <c r="BU1248" s="468"/>
      <c r="BV1248" s="468"/>
      <c r="BW1248" s="469"/>
      <c r="BX1248" s="449"/>
      <c r="BY1248" s="449"/>
      <c r="BZ1248" s="449"/>
    </row>
    <row r="1249" spans="67:78" s="457" customFormat="1" x14ac:dyDescent="0.2">
      <c r="BO1249" s="468"/>
      <c r="BP1249" s="468"/>
      <c r="BQ1249" s="468"/>
      <c r="BR1249" s="468"/>
      <c r="BS1249" s="468"/>
      <c r="BT1249" s="468"/>
      <c r="BU1249" s="468"/>
      <c r="BV1249" s="468"/>
      <c r="BW1249" s="469"/>
      <c r="BX1249" s="449"/>
      <c r="BY1249" s="449"/>
      <c r="BZ1249" s="449"/>
    </row>
    <row r="1250" spans="67:78" s="457" customFormat="1" x14ac:dyDescent="0.2">
      <c r="BO1250" s="468"/>
      <c r="BP1250" s="468"/>
      <c r="BQ1250" s="468"/>
      <c r="BR1250" s="468"/>
      <c r="BS1250" s="468"/>
      <c r="BT1250" s="468"/>
      <c r="BU1250" s="468"/>
      <c r="BV1250" s="468"/>
      <c r="BW1250" s="469"/>
      <c r="BX1250" s="449"/>
      <c r="BY1250" s="449"/>
      <c r="BZ1250" s="449"/>
    </row>
    <row r="1251" spans="67:78" s="457" customFormat="1" x14ac:dyDescent="0.2">
      <c r="BO1251" s="468"/>
      <c r="BP1251" s="468"/>
      <c r="BQ1251" s="468"/>
      <c r="BR1251" s="468"/>
      <c r="BS1251" s="468"/>
      <c r="BT1251" s="468"/>
      <c r="BU1251" s="468"/>
      <c r="BV1251" s="468"/>
      <c r="BW1251" s="469"/>
      <c r="BX1251" s="449"/>
      <c r="BY1251" s="449"/>
      <c r="BZ1251" s="449"/>
    </row>
    <row r="1252" spans="67:78" s="457" customFormat="1" x14ac:dyDescent="0.2">
      <c r="BO1252" s="468"/>
      <c r="BP1252" s="468"/>
      <c r="BQ1252" s="468"/>
      <c r="BR1252" s="468"/>
      <c r="BS1252" s="468"/>
      <c r="BT1252" s="468"/>
      <c r="BU1252" s="468"/>
      <c r="BV1252" s="468"/>
      <c r="BW1252" s="469"/>
      <c r="BX1252" s="449"/>
      <c r="BY1252" s="449"/>
      <c r="BZ1252" s="449"/>
    </row>
    <row r="1253" spans="67:78" s="457" customFormat="1" x14ac:dyDescent="0.2">
      <c r="BO1253" s="468"/>
      <c r="BP1253" s="468"/>
      <c r="BQ1253" s="468"/>
      <c r="BR1253" s="468"/>
      <c r="BS1253" s="468"/>
      <c r="BT1253" s="468"/>
      <c r="BU1253" s="468"/>
      <c r="BV1253" s="468"/>
      <c r="BW1253" s="469"/>
      <c r="BX1253" s="449"/>
      <c r="BY1253" s="449"/>
      <c r="BZ1253" s="449"/>
    </row>
    <row r="1254" spans="67:78" s="457" customFormat="1" x14ac:dyDescent="0.2">
      <c r="BO1254" s="468"/>
      <c r="BP1254" s="468"/>
      <c r="BQ1254" s="468"/>
      <c r="BR1254" s="468"/>
      <c r="BS1254" s="468"/>
      <c r="BT1254" s="468"/>
      <c r="BU1254" s="468"/>
      <c r="BV1254" s="468"/>
      <c r="BW1254" s="469"/>
      <c r="BX1254" s="449"/>
      <c r="BY1254" s="449"/>
      <c r="BZ1254" s="449"/>
    </row>
    <row r="1255" spans="67:78" s="457" customFormat="1" x14ac:dyDescent="0.2">
      <c r="BO1255" s="468"/>
      <c r="BP1255" s="468"/>
      <c r="BQ1255" s="468"/>
      <c r="BR1255" s="468"/>
      <c r="BS1255" s="468"/>
      <c r="BT1255" s="468"/>
      <c r="BU1255" s="468"/>
      <c r="BV1255" s="468"/>
      <c r="BW1255" s="469"/>
      <c r="BX1255" s="449"/>
      <c r="BY1255" s="449"/>
      <c r="BZ1255" s="449"/>
    </row>
    <row r="1256" spans="67:78" s="457" customFormat="1" x14ac:dyDescent="0.2">
      <c r="BO1256" s="468"/>
      <c r="BP1256" s="468"/>
      <c r="BQ1256" s="468"/>
      <c r="BR1256" s="468"/>
      <c r="BS1256" s="468"/>
      <c r="BT1256" s="468"/>
      <c r="BU1256" s="468"/>
      <c r="BV1256" s="468"/>
      <c r="BW1256" s="469"/>
      <c r="BX1256" s="449"/>
      <c r="BY1256" s="449"/>
      <c r="BZ1256" s="449"/>
    </row>
    <row r="1257" spans="67:78" s="457" customFormat="1" x14ac:dyDescent="0.2">
      <c r="BO1257" s="468"/>
      <c r="BP1257" s="468"/>
      <c r="BQ1257" s="468"/>
      <c r="BR1257" s="468"/>
      <c r="BS1257" s="468"/>
      <c r="BT1257" s="468"/>
      <c r="BU1257" s="468"/>
      <c r="BV1257" s="468"/>
      <c r="BW1257" s="469"/>
      <c r="BX1257" s="449"/>
      <c r="BY1257" s="449"/>
      <c r="BZ1257" s="449"/>
    </row>
    <row r="1258" spans="67:78" s="457" customFormat="1" x14ac:dyDescent="0.2">
      <c r="BO1258" s="468"/>
      <c r="BP1258" s="468"/>
      <c r="BQ1258" s="468"/>
      <c r="BR1258" s="468"/>
      <c r="BS1258" s="468"/>
      <c r="BT1258" s="468"/>
      <c r="BU1258" s="468"/>
      <c r="BV1258" s="468"/>
      <c r="BW1258" s="469"/>
      <c r="BX1258" s="449"/>
      <c r="BY1258" s="449"/>
      <c r="BZ1258" s="449"/>
    </row>
    <row r="1259" spans="67:78" s="457" customFormat="1" x14ac:dyDescent="0.2">
      <c r="BO1259" s="468"/>
      <c r="BP1259" s="468"/>
      <c r="BQ1259" s="468"/>
      <c r="BR1259" s="468"/>
      <c r="BS1259" s="468"/>
      <c r="BT1259" s="468"/>
      <c r="BU1259" s="468"/>
      <c r="BV1259" s="468"/>
      <c r="BW1259" s="469"/>
      <c r="BX1259" s="449"/>
      <c r="BY1259" s="449"/>
      <c r="BZ1259" s="449"/>
    </row>
    <row r="1260" spans="67:78" s="457" customFormat="1" x14ac:dyDescent="0.2">
      <c r="BO1260" s="468"/>
      <c r="BP1260" s="468"/>
      <c r="BQ1260" s="468"/>
      <c r="BR1260" s="468"/>
      <c r="BS1260" s="468"/>
      <c r="BT1260" s="468"/>
      <c r="BU1260" s="468"/>
      <c r="BV1260" s="468"/>
      <c r="BW1260" s="469"/>
      <c r="BX1260" s="449"/>
      <c r="BY1260" s="449"/>
      <c r="BZ1260" s="449"/>
    </row>
    <row r="1261" spans="67:78" s="457" customFormat="1" x14ac:dyDescent="0.2">
      <c r="BO1261" s="468"/>
      <c r="BP1261" s="468"/>
      <c r="BQ1261" s="468"/>
      <c r="BR1261" s="468"/>
      <c r="BS1261" s="468"/>
      <c r="BT1261" s="468"/>
      <c r="BU1261" s="468"/>
      <c r="BV1261" s="468"/>
      <c r="BW1261" s="469"/>
      <c r="BX1261" s="449"/>
      <c r="BY1261" s="449"/>
      <c r="BZ1261" s="449"/>
    </row>
    <row r="1262" spans="67:78" s="457" customFormat="1" x14ac:dyDescent="0.2">
      <c r="BO1262" s="468"/>
      <c r="BP1262" s="468"/>
      <c r="BQ1262" s="468"/>
      <c r="BR1262" s="468"/>
      <c r="BS1262" s="468"/>
      <c r="BT1262" s="468"/>
      <c r="BU1262" s="468"/>
      <c r="BV1262" s="468"/>
      <c r="BW1262" s="469"/>
      <c r="BX1262" s="449"/>
      <c r="BY1262" s="449"/>
      <c r="BZ1262" s="449"/>
    </row>
    <row r="1263" spans="67:78" s="457" customFormat="1" x14ac:dyDescent="0.2">
      <c r="BO1263" s="468"/>
      <c r="BP1263" s="468"/>
      <c r="BQ1263" s="468"/>
      <c r="BR1263" s="468"/>
      <c r="BS1263" s="468"/>
      <c r="BT1263" s="468"/>
      <c r="BU1263" s="468"/>
      <c r="BV1263" s="468"/>
      <c r="BW1263" s="469"/>
      <c r="BX1263" s="449"/>
      <c r="BY1263" s="449"/>
      <c r="BZ1263" s="449"/>
    </row>
    <row r="1264" spans="67:78" s="457" customFormat="1" x14ac:dyDescent="0.2">
      <c r="BO1264" s="468"/>
      <c r="BP1264" s="468"/>
      <c r="BQ1264" s="468"/>
      <c r="BR1264" s="468"/>
      <c r="BS1264" s="468"/>
      <c r="BT1264" s="468"/>
      <c r="BU1264" s="468"/>
      <c r="BV1264" s="468"/>
      <c r="BW1264" s="469"/>
      <c r="BX1264" s="449"/>
      <c r="BY1264" s="449"/>
      <c r="BZ1264" s="449"/>
    </row>
    <row r="1265" spans="67:78" s="457" customFormat="1" x14ac:dyDescent="0.2">
      <c r="BO1265" s="468"/>
      <c r="BP1265" s="468"/>
      <c r="BQ1265" s="468"/>
      <c r="BR1265" s="468"/>
      <c r="BS1265" s="468"/>
      <c r="BT1265" s="468"/>
      <c r="BU1265" s="468"/>
      <c r="BV1265" s="468"/>
      <c r="BW1265" s="469"/>
      <c r="BX1265" s="449"/>
      <c r="BY1265" s="449"/>
      <c r="BZ1265" s="449"/>
    </row>
    <row r="1266" spans="67:78" s="457" customFormat="1" x14ac:dyDescent="0.2">
      <c r="BO1266" s="468"/>
      <c r="BP1266" s="468"/>
      <c r="BQ1266" s="468"/>
      <c r="BR1266" s="468"/>
      <c r="BS1266" s="468"/>
      <c r="BT1266" s="468"/>
      <c r="BU1266" s="468"/>
      <c r="BV1266" s="468"/>
      <c r="BW1266" s="469"/>
      <c r="BX1266" s="449"/>
      <c r="BY1266" s="449"/>
      <c r="BZ1266" s="449"/>
    </row>
    <row r="1267" spans="67:78" s="457" customFormat="1" x14ac:dyDescent="0.2">
      <c r="BO1267" s="468"/>
      <c r="BP1267" s="468"/>
      <c r="BQ1267" s="468"/>
      <c r="BR1267" s="468"/>
      <c r="BS1267" s="468"/>
      <c r="BT1267" s="468"/>
      <c r="BU1267" s="468"/>
      <c r="BV1267" s="468"/>
      <c r="BW1267" s="469"/>
      <c r="BX1267" s="449"/>
      <c r="BY1267" s="449"/>
      <c r="BZ1267" s="449"/>
    </row>
    <row r="1268" spans="67:78" s="457" customFormat="1" x14ac:dyDescent="0.2">
      <c r="BO1268" s="468"/>
      <c r="BP1268" s="468"/>
      <c r="BQ1268" s="468"/>
      <c r="BR1268" s="468"/>
      <c r="BS1268" s="468"/>
      <c r="BT1268" s="468"/>
      <c r="BU1268" s="468"/>
      <c r="BV1268" s="468"/>
      <c r="BW1268" s="469"/>
      <c r="BX1268" s="449"/>
      <c r="BY1268" s="449"/>
      <c r="BZ1268" s="449"/>
    </row>
    <row r="1269" spans="67:78" s="457" customFormat="1" x14ac:dyDescent="0.2">
      <c r="BO1269" s="468"/>
      <c r="BP1269" s="468"/>
      <c r="BQ1269" s="468"/>
      <c r="BR1269" s="468"/>
      <c r="BS1269" s="468"/>
      <c r="BT1269" s="468"/>
      <c r="BU1269" s="468"/>
      <c r="BV1269" s="468"/>
      <c r="BW1269" s="469"/>
      <c r="BX1269" s="449"/>
      <c r="BY1269" s="449"/>
      <c r="BZ1269" s="449"/>
    </row>
    <row r="1270" spans="67:78" s="457" customFormat="1" x14ac:dyDescent="0.2">
      <c r="BO1270" s="468"/>
      <c r="BP1270" s="468"/>
      <c r="BQ1270" s="468"/>
      <c r="BR1270" s="468"/>
      <c r="BS1270" s="468"/>
      <c r="BT1270" s="468"/>
      <c r="BU1270" s="468"/>
      <c r="BV1270" s="468"/>
      <c r="BW1270" s="469"/>
      <c r="BX1270" s="449"/>
      <c r="BY1270" s="449"/>
      <c r="BZ1270" s="449"/>
    </row>
    <row r="1271" spans="67:78" s="457" customFormat="1" x14ac:dyDescent="0.2">
      <c r="BO1271" s="468"/>
      <c r="BP1271" s="468"/>
      <c r="BQ1271" s="468"/>
      <c r="BR1271" s="468"/>
      <c r="BS1271" s="468"/>
      <c r="BT1271" s="468"/>
      <c r="BU1271" s="468"/>
      <c r="BV1271" s="468"/>
      <c r="BW1271" s="469"/>
      <c r="BX1271" s="449"/>
      <c r="BY1271" s="449"/>
      <c r="BZ1271" s="449"/>
    </row>
    <row r="1272" spans="67:78" s="457" customFormat="1" x14ac:dyDescent="0.2">
      <c r="BO1272" s="468"/>
      <c r="BP1272" s="468"/>
      <c r="BQ1272" s="468"/>
      <c r="BR1272" s="468"/>
      <c r="BS1272" s="468"/>
      <c r="BT1272" s="468"/>
      <c r="BU1272" s="468"/>
      <c r="BV1272" s="468"/>
      <c r="BW1272" s="469"/>
      <c r="BX1272" s="449"/>
      <c r="BY1272" s="449"/>
      <c r="BZ1272" s="449"/>
    </row>
    <row r="1273" spans="67:78" s="457" customFormat="1" x14ac:dyDescent="0.2">
      <c r="BO1273" s="468"/>
      <c r="BP1273" s="468"/>
      <c r="BQ1273" s="468"/>
      <c r="BR1273" s="468"/>
      <c r="BS1273" s="468"/>
      <c r="BT1273" s="468"/>
      <c r="BU1273" s="468"/>
      <c r="BV1273" s="468"/>
      <c r="BW1273" s="469"/>
      <c r="BX1273" s="449"/>
      <c r="BY1273" s="449"/>
      <c r="BZ1273" s="449"/>
    </row>
    <row r="1274" spans="67:78" s="457" customFormat="1" x14ac:dyDescent="0.2">
      <c r="BO1274" s="468"/>
      <c r="BP1274" s="468"/>
      <c r="BQ1274" s="468"/>
      <c r="BR1274" s="468"/>
      <c r="BS1274" s="468"/>
      <c r="BT1274" s="468"/>
      <c r="BU1274" s="468"/>
      <c r="BV1274" s="468"/>
      <c r="BW1274" s="469"/>
      <c r="BX1274" s="449"/>
      <c r="BY1274" s="449"/>
      <c r="BZ1274" s="449"/>
    </row>
    <row r="1275" spans="67:78" s="457" customFormat="1" x14ac:dyDescent="0.2">
      <c r="BO1275" s="468"/>
      <c r="BP1275" s="468"/>
      <c r="BQ1275" s="468"/>
      <c r="BR1275" s="468"/>
      <c r="BS1275" s="468"/>
      <c r="BT1275" s="468"/>
      <c r="BU1275" s="468"/>
      <c r="BV1275" s="468"/>
      <c r="BW1275" s="469"/>
      <c r="BX1275" s="449"/>
      <c r="BY1275" s="449"/>
      <c r="BZ1275" s="449"/>
    </row>
    <row r="1276" spans="67:78" s="457" customFormat="1" x14ac:dyDescent="0.2">
      <c r="BO1276" s="468"/>
      <c r="BP1276" s="468"/>
      <c r="BQ1276" s="468"/>
      <c r="BR1276" s="468"/>
      <c r="BS1276" s="468"/>
      <c r="BT1276" s="468"/>
      <c r="BU1276" s="468"/>
      <c r="BV1276" s="468"/>
      <c r="BW1276" s="469"/>
      <c r="BX1276" s="449"/>
      <c r="BY1276" s="449"/>
      <c r="BZ1276" s="449"/>
    </row>
    <row r="1277" spans="67:78" s="457" customFormat="1" x14ac:dyDescent="0.2">
      <c r="BO1277" s="468"/>
      <c r="BP1277" s="468"/>
      <c r="BQ1277" s="468"/>
      <c r="BR1277" s="468"/>
      <c r="BS1277" s="468"/>
      <c r="BT1277" s="468"/>
      <c r="BU1277" s="468"/>
      <c r="BV1277" s="468"/>
      <c r="BW1277" s="469"/>
      <c r="BX1277" s="449"/>
      <c r="BY1277" s="449"/>
      <c r="BZ1277" s="449"/>
    </row>
    <row r="1278" spans="67:78" s="457" customFormat="1" x14ac:dyDescent="0.2">
      <c r="BO1278" s="468"/>
      <c r="BP1278" s="468"/>
      <c r="BQ1278" s="468"/>
      <c r="BR1278" s="468"/>
      <c r="BS1278" s="468"/>
      <c r="BT1278" s="468"/>
      <c r="BU1278" s="468"/>
      <c r="BV1278" s="468"/>
      <c r="BW1278" s="469"/>
      <c r="BX1278" s="449"/>
      <c r="BY1278" s="449"/>
      <c r="BZ1278" s="449"/>
    </row>
    <row r="1279" spans="67:78" s="457" customFormat="1" x14ac:dyDescent="0.2">
      <c r="BO1279" s="468"/>
      <c r="BP1279" s="468"/>
      <c r="BQ1279" s="468"/>
      <c r="BR1279" s="468"/>
      <c r="BS1279" s="468"/>
      <c r="BT1279" s="468"/>
      <c r="BU1279" s="468"/>
      <c r="BV1279" s="468"/>
      <c r="BW1279" s="469"/>
      <c r="BX1279" s="449"/>
      <c r="BY1279" s="449"/>
      <c r="BZ1279" s="449"/>
    </row>
    <row r="1280" spans="67:78" s="457" customFormat="1" x14ac:dyDescent="0.2">
      <c r="BO1280" s="468"/>
      <c r="BP1280" s="468"/>
      <c r="BQ1280" s="468"/>
      <c r="BR1280" s="468"/>
      <c r="BS1280" s="468"/>
      <c r="BT1280" s="468"/>
      <c r="BU1280" s="468"/>
      <c r="BV1280" s="468"/>
      <c r="BW1280" s="469"/>
      <c r="BX1280" s="449"/>
      <c r="BY1280" s="449"/>
      <c r="BZ1280" s="449"/>
    </row>
    <row r="1281" spans="67:78" s="457" customFormat="1" x14ac:dyDescent="0.2">
      <c r="BO1281" s="468"/>
      <c r="BP1281" s="468"/>
      <c r="BQ1281" s="468"/>
      <c r="BR1281" s="468"/>
      <c r="BS1281" s="468"/>
      <c r="BT1281" s="468"/>
      <c r="BU1281" s="468"/>
      <c r="BV1281" s="468"/>
      <c r="BW1281" s="469"/>
      <c r="BX1281" s="449"/>
      <c r="BY1281" s="449"/>
      <c r="BZ1281" s="449"/>
    </row>
    <row r="1282" spans="67:78" s="457" customFormat="1" x14ac:dyDescent="0.2">
      <c r="BO1282" s="468"/>
      <c r="BP1282" s="468"/>
      <c r="BQ1282" s="468"/>
      <c r="BR1282" s="468"/>
      <c r="BS1282" s="468"/>
      <c r="BT1282" s="468"/>
      <c r="BU1282" s="468"/>
      <c r="BV1282" s="468"/>
      <c r="BW1282" s="469"/>
      <c r="BX1282" s="449"/>
      <c r="BY1282" s="449"/>
      <c r="BZ1282" s="449"/>
    </row>
    <row r="1283" spans="67:78" s="457" customFormat="1" x14ac:dyDescent="0.2">
      <c r="BO1283" s="468"/>
      <c r="BP1283" s="468"/>
      <c r="BQ1283" s="468"/>
      <c r="BR1283" s="468"/>
      <c r="BS1283" s="468"/>
      <c r="BT1283" s="468"/>
      <c r="BU1283" s="468"/>
      <c r="BV1283" s="468"/>
      <c r="BW1283" s="469"/>
      <c r="BX1283" s="449"/>
      <c r="BY1283" s="449"/>
      <c r="BZ1283" s="449"/>
    </row>
    <row r="1284" spans="67:78" s="457" customFormat="1" x14ac:dyDescent="0.2">
      <c r="BO1284" s="468"/>
      <c r="BP1284" s="468"/>
      <c r="BQ1284" s="468"/>
      <c r="BR1284" s="468"/>
      <c r="BS1284" s="468"/>
      <c r="BT1284" s="468"/>
      <c r="BU1284" s="468"/>
      <c r="BV1284" s="468"/>
      <c r="BW1284" s="469"/>
      <c r="BX1284" s="449"/>
      <c r="BY1284" s="449"/>
      <c r="BZ1284" s="449"/>
    </row>
    <row r="1285" spans="67:78" s="457" customFormat="1" x14ac:dyDescent="0.2">
      <c r="BO1285" s="468"/>
      <c r="BP1285" s="468"/>
      <c r="BQ1285" s="468"/>
      <c r="BR1285" s="468"/>
      <c r="BS1285" s="468"/>
      <c r="BT1285" s="468"/>
      <c r="BU1285" s="468"/>
      <c r="BV1285" s="468"/>
      <c r="BW1285" s="469"/>
      <c r="BX1285" s="449"/>
      <c r="BY1285" s="449"/>
      <c r="BZ1285" s="449"/>
    </row>
    <row r="1286" spans="67:78" s="457" customFormat="1" x14ac:dyDescent="0.2">
      <c r="BO1286" s="468"/>
      <c r="BP1286" s="468"/>
      <c r="BQ1286" s="468"/>
      <c r="BR1286" s="468"/>
      <c r="BS1286" s="468"/>
      <c r="BT1286" s="468"/>
      <c r="BU1286" s="468"/>
      <c r="BV1286" s="468"/>
      <c r="BW1286" s="469"/>
      <c r="BX1286" s="449"/>
      <c r="BY1286" s="449"/>
      <c r="BZ1286" s="449"/>
    </row>
    <row r="1287" spans="67:78" s="457" customFormat="1" x14ac:dyDescent="0.2">
      <c r="BO1287" s="468"/>
      <c r="BP1287" s="468"/>
      <c r="BQ1287" s="468"/>
      <c r="BR1287" s="468"/>
      <c r="BS1287" s="468"/>
      <c r="BT1287" s="468"/>
      <c r="BU1287" s="468"/>
      <c r="BV1287" s="468"/>
      <c r="BW1287" s="469"/>
      <c r="BX1287" s="449"/>
      <c r="BY1287" s="449"/>
      <c r="BZ1287" s="449"/>
    </row>
    <row r="1288" spans="67:78" s="457" customFormat="1" x14ac:dyDescent="0.2">
      <c r="BO1288" s="468"/>
      <c r="BP1288" s="468"/>
      <c r="BQ1288" s="468"/>
      <c r="BR1288" s="468"/>
      <c r="BS1288" s="468"/>
      <c r="BT1288" s="468"/>
      <c r="BU1288" s="468"/>
      <c r="BV1288" s="468"/>
      <c r="BW1288" s="469"/>
      <c r="BX1288" s="449"/>
      <c r="BY1288" s="449"/>
      <c r="BZ1288" s="449"/>
    </row>
    <row r="1289" spans="67:78" s="457" customFormat="1" x14ac:dyDescent="0.2">
      <c r="BO1289" s="468"/>
      <c r="BP1289" s="468"/>
      <c r="BQ1289" s="468"/>
      <c r="BR1289" s="468"/>
      <c r="BS1289" s="468"/>
      <c r="BT1289" s="468"/>
      <c r="BU1289" s="468"/>
      <c r="BV1289" s="468"/>
      <c r="BW1289" s="469"/>
      <c r="BX1289" s="449"/>
      <c r="BY1289" s="449"/>
      <c r="BZ1289" s="449"/>
    </row>
    <row r="1290" spans="67:78" s="457" customFormat="1" x14ac:dyDescent="0.2">
      <c r="BO1290" s="468"/>
      <c r="BP1290" s="468"/>
      <c r="BQ1290" s="468"/>
      <c r="BR1290" s="468"/>
      <c r="BS1290" s="468"/>
      <c r="BT1290" s="468"/>
      <c r="BU1290" s="468"/>
      <c r="BV1290" s="468"/>
      <c r="BW1290" s="469"/>
      <c r="BX1290" s="449"/>
      <c r="BY1290" s="449"/>
      <c r="BZ1290" s="449"/>
    </row>
    <row r="1291" spans="67:78" s="457" customFormat="1" x14ac:dyDescent="0.2">
      <c r="BO1291" s="468"/>
      <c r="BP1291" s="468"/>
      <c r="BQ1291" s="468"/>
      <c r="BR1291" s="468"/>
      <c r="BS1291" s="468"/>
      <c r="BT1291" s="468"/>
      <c r="BU1291" s="468"/>
      <c r="BV1291" s="468"/>
      <c r="BW1291" s="469"/>
      <c r="BX1291" s="449"/>
      <c r="BY1291" s="449"/>
      <c r="BZ1291" s="449"/>
    </row>
    <row r="1292" spans="67:78" s="457" customFormat="1" x14ac:dyDescent="0.2">
      <c r="BO1292" s="468"/>
      <c r="BP1292" s="468"/>
      <c r="BQ1292" s="468"/>
      <c r="BR1292" s="468"/>
      <c r="BS1292" s="468"/>
      <c r="BT1292" s="468"/>
      <c r="BU1292" s="468"/>
      <c r="BV1292" s="468"/>
      <c r="BW1292" s="469"/>
      <c r="BX1292" s="449"/>
      <c r="BY1292" s="449"/>
      <c r="BZ1292" s="449"/>
    </row>
    <row r="1293" spans="67:78" s="457" customFormat="1" x14ac:dyDescent="0.2">
      <c r="BO1293" s="468"/>
      <c r="BP1293" s="468"/>
      <c r="BQ1293" s="468"/>
      <c r="BR1293" s="468"/>
      <c r="BS1293" s="468"/>
      <c r="BT1293" s="468"/>
      <c r="BU1293" s="468"/>
      <c r="BV1293" s="468"/>
      <c r="BW1293" s="469"/>
      <c r="BX1293" s="449"/>
      <c r="BY1293" s="449"/>
      <c r="BZ1293" s="449"/>
    </row>
    <row r="1294" spans="67:78" s="457" customFormat="1" x14ac:dyDescent="0.2">
      <c r="BO1294" s="468"/>
      <c r="BP1294" s="468"/>
      <c r="BQ1294" s="468"/>
      <c r="BR1294" s="468"/>
      <c r="BS1294" s="468"/>
      <c r="BT1294" s="468"/>
      <c r="BU1294" s="468"/>
      <c r="BV1294" s="468"/>
      <c r="BW1294" s="469"/>
      <c r="BX1294" s="449"/>
      <c r="BY1294" s="449"/>
      <c r="BZ1294" s="449"/>
    </row>
    <row r="1295" spans="67:78" s="457" customFormat="1" x14ac:dyDescent="0.2">
      <c r="BO1295" s="468"/>
      <c r="BP1295" s="468"/>
      <c r="BQ1295" s="468"/>
      <c r="BR1295" s="468"/>
      <c r="BS1295" s="468"/>
      <c r="BT1295" s="468"/>
      <c r="BU1295" s="468"/>
      <c r="BV1295" s="468"/>
      <c r="BW1295" s="469"/>
      <c r="BX1295" s="449"/>
      <c r="BY1295" s="449"/>
      <c r="BZ1295" s="449"/>
    </row>
    <row r="1296" spans="67:78" s="457" customFormat="1" x14ac:dyDescent="0.2">
      <c r="BO1296" s="468"/>
      <c r="BP1296" s="468"/>
      <c r="BQ1296" s="468"/>
      <c r="BR1296" s="468"/>
      <c r="BS1296" s="468"/>
      <c r="BT1296" s="468"/>
      <c r="BU1296" s="468"/>
      <c r="BV1296" s="468"/>
      <c r="BW1296" s="469"/>
      <c r="BX1296" s="449"/>
      <c r="BY1296" s="449"/>
      <c r="BZ1296" s="449"/>
    </row>
    <row r="1297" spans="67:78" s="457" customFormat="1" x14ac:dyDescent="0.2">
      <c r="BO1297" s="468"/>
      <c r="BP1297" s="468"/>
      <c r="BQ1297" s="468"/>
      <c r="BR1297" s="468"/>
      <c r="BS1297" s="468"/>
      <c r="BT1297" s="468"/>
      <c r="BU1297" s="468"/>
      <c r="BV1297" s="468"/>
      <c r="BW1297" s="469"/>
      <c r="BX1297" s="449"/>
      <c r="BY1297" s="449"/>
      <c r="BZ1297" s="449"/>
    </row>
    <row r="1298" spans="67:78" s="457" customFormat="1" x14ac:dyDescent="0.2">
      <c r="BO1298" s="468"/>
      <c r="BP1298" s="468"/>
      <c r="BQ1298" s="468"/>
      <c r="BR1298" s="468"/>
      <c r="BS1298" s="468"/>
      <c r="BT1298" s="468"/>
      <c r="BU1298" s="468"/>
      <c r="BV1298" s="468"/>
      <c r="BW1298" s="469"/>
      <c r="BX1298" s="449"/>
      <c r="BY1298" s="449"/>
      <c r="BZ1298" s="449"/>
    </row>
    <row r="1299" spans="67:78" s="457" customFormat="1" x14ac:dyDescent="0.2">
      <c r="BO1299" s="468"/>
      <c r="BP1299" s="468"/>
      <c r="BQ1299" s="468"/>
      <c r="BR1299" s="468"/>
      <c r="BS1299" s="468"/>
      <c r="BT1299" s="468"/>
      <c r="BU1299" s="468"/>
      <c r="BV1299" s="468"/>
      <c r="BW1299" s="469"/>
      <c r="BX1299" s="449"/>
      <c r="BY1299" s="449"/>
      <c r="BZ1299" s="449"/>
    </row>
    <row r="1300" spans="67:78" s="457" customFormat="1" x14ac:dyDescent="0.2">
      <c r="BO1300" s="468"/>
      <c r="BP1300" s="468"/>
      <c r="BQ1300" s="468"/>
      <c r="BR1300" s="468"/>
      <c r="BS1300" s="468"/>
      <c r="BT1300" s="468"/>
      <c r="BU1300" s="468"/>
      <c r="BV1300" s="468"/>
      <c r="BW1300" s="469"/>
      <c r="BX1300" s="449"/>
      <c r="BY1300" s="449"/>
      <c r="BZ1300" s="449"/>
    </row>
    <row r="1301" spans="67:78" s="457" customFormat="1" x14ac:dyDescent="0.2">
      <c r="BO1301" s="468"/>
      <c r="BP1301" s="468"/>
      <c r="BQ1301" s="468"/>
      <c r="BR1301" s="468"/>
      <c r="BS1301" s="468"/>
      <c r="BT1301" s="468"/>
      <c r="BU1301" s="468"/>
      <c r="BV1301" s="468"/>
      <c r="BW1301" s="469"/>
      <c r="BX1301" s="449"/>
      <c r="BY1301" s="449"/>
      <c r="BZ1301" s="449"/>
    </row>
    <row r="1302" spans="67:78" s="457" customFormat="1" x14ac:dyDescent="0.2">
      <c r="BO1302" s="468"/>
      <c r="BP1302" s="468"/>
      <c r="BQ1302" s="468"/>
      <c r="BR1302" s="468"/>
      <c r="BS1302" s="468"/>
      <c r="BT1302" s="468"/>
      <c r="BU1302" s="468"/>
      <c r="BV1302" s="468"/>
      <c r="BW1302" s="469"/>
      <c r="BX1302" s="449"/>
      <c r="BY1302" s="449"/>
      <c r="BZ1302" s="449"/>
    </row>
    <row r="1303" spans="67:78" s="457" customFormat="1" x14ac:dyDescent="0.2">
      <c r="BO1303" s="468"/>
      <c r="BP1303" s="468"/>
      <c r="BQ1303" s="468"/>
      <c r="BR1303" s="468"/>
      <c r="BS1303" s="468"/>
      <c r="BT1303" s="468"/>
      <c r="BU1303" s="468"/>
      <c r="BV1303" s="468"/>
      <c r="BW1303" s="469"/>
      <c r="BX1303" s="449"/>
      <c r="BY1303" s="449"/>
      <c r="BZ1303" s="449"/>
    </row>
    <row r="1304" spans="67:78" s="457" customFormat="1" x14ac:dyDescent="0.2">
      <c r="BO1304" s="468"/>
      <c r="BP1304" s="468"/>
      <c r="BQ1304" s="468"/>
      <c r="BR1304" s="468"/>
      <c r="BS1304" s="468"/>
      <c r="BT1304" s="468"/>
      <c r="BU1304" s="468"/>
      <c r="BV1304" s="468"/>
      <c r="BW1304" s="469"/>
      <c r="BX1304" s="449"/>
      <c r="BY1304" s="449"/>
      <c r="BZ1304" s="449"/>
    </row>
    <row r="1305" spans="67:78" s="457" customFormat="1" x14ac:dyDescent="0.2">
      <c r="BO1305" s="468"/>
      <c r="BP1305" s="468"/>
      <c r="BQ1305" s="468"/>
      <c r="BR1305" s="468"/>
      <c r="BS1305" s="468"/>
      <c r="BT1305" s="468"/>
      <c r="BU1305" s="468"/>
      <c r="BV1305" s="468"/>
      <c r="BW1305" s="469"/>
      <c r="BX1305" s="449"/>
      <c r="BY1305" s="449"/>
      <c r="BZ1305" s="449"/>
    </row>
    <row r="1306" spans="67:78" s="457" customFormat="1" x14ac:dyDescent="0.2">
      <c r="BO1306" s="468"/>
      <c r="BP1306" s="468"/>
      <c r="BQ1306" s="468"/>
      <c r="BR1306" s="468"/>
      <c r="BS1306" s="468"/>
      <c r="BT1306" s="468"/>
      <c r="BU1306" s="468"/>
      <c r="BV1306" s="468"/>
      <c r="BW1306" s="469"/>
      <c r="BX1306" s="449"/>
      <c r="BY1306" s="449"/>
      <c r="BZ1306" s="449"/>
    </row>
    <row r="1307" spans="67:78" s="457" customFormat="1" x14ac:dyDescent="0.2">
      <c r="BO1307" s="468"/>
      <c r="BP1307" s="468"/>
      <c r="BQ1307" s="468"/>
      <c r="BR1307" s="468"/>
      <c r="BS1307" s="468"/>
      <c r="BT1307" s="468"/>
      <c r="BU1307" s="468"/>
      <c r="BV1307" s="468"/>
      <c r="BW1307" s="469"/>
      <c r="BX1307" s="449"/>
      <c r="BY1307" s="449"/>
      <c r="BZ1307" s="449"/>
    </row>
    <row r="1308" spans="67:78" s="457" customFormat="1" x14ac:dyDescent="0.2">
      <c r="BO1308" s="468"/>
      <c r="BP1308" s="468"/>
      <c r="BQ1308" s="468"/>
      <c r="BR1308" s="468"/>
      <c r="BS1308" s="468"/>
      <c r="BT1308" s="468"/>
      <c r="BU1308" s="468"/>
      <c r="BV1308" s="468"/>
      <c r="BW1308" s="469"/>
      <c r="BX1308" s="449"/>
      <c r="BY1308" s="449"/>
      <c r="BZ1308" s="449"/>
    </row>
    <row r="1309" spans="67:78" s="457" customFormat="1" x14ac:dyDescent="0.2">
      <c r="BO1309" s="468"/>
      <c r="BP1309" s="468"/>
      <c r="BQ1309" s="468"/>
      <c r="BR1309" s="468"/>
      <c r="BS1309" s="468"/>
      <c r="BT1309" s="468"/>
      <c r="BU1309" s="468"/>
      <c r="BV1309" s="468"/>
      <c r="BW1309" s="469"/>
      <c r="BX1309" s="449"/>
      <c r="BY1309" s="449"/>
      <c r="BZ1309" s="449"/>
    </row>
    <row r="1310" spans="67:78" s="457" customFormat="1" x14ac:dyDescent="0.2">
      <c r="BO1310" s="468"/>
      <c r="BP1310" s="468"/>
      <c r="BQ1310" s="468"/>
      <c r="BR1310" s="468"/>
      <c r="BS1310" s="468"/>
      <c r="BT1310" s="468"/>
      <c r="BU1310" s="468"/>
      <c r="BV1310" s="468"/>
      <c r="BW1310" s="469"/>
      <c r="BX1310" s="449"/>
      <c r="BY1310" s="449"/>
      <c r="BZ1310" s="449"/>
    </row>
    <row r="1311" spans="67:78" s="457" customFormat="1" x14ac:dyDescent="0.2">
      <c r="BO1311" s="468"/>
      <c r="BP1311" s="468"/>
      <c r="BQ1311" s="468"/>
      <c r="BR1311" s="468"/>
      <c r="BS1311" s="468"/>
      <c r="BT1311" s="468"/>
      <c r="BU1311" s="468"/>
      <c r="BV1311" s="468"/>
      <c r="BW1311" s="469"/>
      <c r="BX1311" s="449"/>
      <c r="BY1311" s="449"/>
      <c r="BZ1311" s="449"/>
    </row>
    <row r="1312" spans="67:78" s="457" customFormat="1" x14ac:dyDescent="0.2">
      <c r="BO1312" s="468"/>
      <c r="BP1312" s="468"/>
      <c r="BQ1312" s="468"/>
      <c r="BR1312" s="468"/>
      <c r="BS1312" s="468"/>
      <c r="BT1312" s="468"/>
      <c r="BU1312" s="468"/>
      <c r="BV1312" s="468"/>
      <c r="BW1312" s="469"/>
      <c r="BX1312" s="449"/>
      <c r="BY1312" s="449"/>
      <c r="BZ1312" s="449"/>
    </row>
    <row r="1313" spans="67:78" s="457" customFormat="1" x14ac:dyDescent="0.2">
      <c r="BO1313" s="468"/>
      <c r="BP1313" s="468"/>
      <c r="BQ1313" s="468"/>
      <c r="BR1313" s="468"/>
      <c r="BS1313" s="468"/>
      <c r="BT1313" s="468"/>
      <c r="BU1313" s="468"/>
      <c r="BV1313" s="468"/>
      <c r="BW1313" s="469"/>
      <c r="BX1313" s="449"/>
      <c r="BY1313" s="449"/>
      <c r="BZ1313" s="449"/>
    </row>
    <row r="1314" spans="67:78" s="457" customFormat="1" x14ac:dyDescent="0.2">
      <c r="BO1314" s="468"/>
      <c r="BP1314" s="468"/>
      <c r="BQ1314" s="468"/>
      <c r="BR1314" s="468"/>
      <c r="BS1314" s="468"/>
      <c r="BT1314" s="468"/>
      <c r="BU1314" s="468"/>
      <c r="BV1314" s="468"/>
      <c r="BW1314" s="469"/>
      <c r="BX1314" s="449"/>
      <c r="BY1314" s="449"/>
      <c r="BZ1314" s="449"/>
    </row>
    <row r="1315" spans="67:78" s="457" customFormat="1" x14ac:dyDescent="0.2">
      <c r="BO1315" s="468"/>
      <c r="BP1315" s="468"/>
      <c r="BQ1315" s="468"/>
      <c r="BR1315" s="468"/>
      <c r="BS1315" s="468"/>
      <c r="BT1315" s="468"/>
      <c r="BU1315" s="468"/>
      <c r="BV1315" s="468"/>
      <c r="BW1315" s="469"/>
      <c r="BX1315" s="449"/>
      <c r="BY1315" s="449"/>
      <c r="BZ1315" s="449"/>
    </row>
    <row r="1316" spans="67:78" s="457" customFormat="1" x14ac:dyDescent="0.2">
      <c r="BO1316" s="468"/>
      <c r="BP1316" s="468"/>
      <c r="BQ1316" s="468"/>
      <c r="BR1316" s="468"/>
      <c r="BS1316" s="468"/>
      <c r="BT1316" s="468"/>
      <c r="BU1316" s="468"/>
      <c r="BV1316" s="468"/>
      <c r="BW1316" s="469"/>
      <c r="BX1316" s="449"/>
      <c r="BY1316" s="449"/>
      <c r="BZ1316" s="449"/>
    </row>
    <row r="1317" spans="67:78" s="457" customFormat="1" x14ac:dyDescent="0.2">
      <c r="BO1317" s="468"/>
      <c r="BP1317" s="468"/>
      <c r="BQ1317" s="468"/>
      <c r="BR1317" s="468"/>
      <c r="BS1317" s="468"/>
      <c r="BT1317" s="468"/>
      <c r="BU1317" s="468"/>
      <c r="BV1317" s="468"/>
      <c r="BW1317" s="469"/>
      <c r="BX1317" s="449"/>
      <c r="BY1317" s="449"/>
      <c r="BZ1317" s="449"/>
    </row>
    <row r="1318" spans="67:78" s="457" customFormat="1" x14ac:dyDescent="0.2">
      <c r="BO1318" s="468"/>
      <c r="BP1318" s="468"/>
      <c r="BQ1318" s="468"/>
      <c r="BR1318" s="468"/>
      <c r="BS1318" s="468"/>
      <c r="BT1318" s="468"/>
      <c r="BU1318" s="468"/>
      <c r="BV1318" s="468"/>
      <c r="BW1318" s="469"/>
      <c r="BX1318" s="449"/>
      <c r="BY1318" s="449"/>
      <c r="BZ1318" s="449"/>
    </row>
    <row r="1319" spans="67:78" s="457" customFormat="1" x14ac:dyDescent="0.2">
      <c r="BO1319" s="468"/>
      <c r="BP1319" s="468"/>
      <c r="BQ1319" s="468"/>
      <c r="BR1319" s="468"/>
      <c r="BS1319" s="468"/>
      <c r="BT1319" s="468"/>
      <c r="BU1319" s="468"/>
      <c r="BV1319" s="468"/>
      <c r="BW1319" s="469"/>
      <c r="BX1319" s="449"/>
      <c r="BY1319" s="449"/>
      <c r="BZ1319" s="449"/>
    </row>
    <row r="1320" spans="67:78" s="457" customFormat="1" x14ac:dyDescent="0.2">
      <c r="BO1320" s="468"/>
      <c r="BP1320" s="468"/>
      <c r="BQ1320" s="468"/>
      <c r="BR1320" s="468"/>
      <c r="BS1320" s="468"/>
      <c r="BT1320" s="468"/>
      <c r="BU1320" s="468"/>
      <c r="BV1320" s="468"/>
      <c r="BW1320" s="469"/>
      <c r="BX1320" s="449"/>
      <c r="BY1320" s="449"/>
      <c r="BZ1320" s="449"/>
    </row>
    <row r="1321" spans="67:78" s="457" customFormat="1" x14ac:dyDescent="0.2">
      <c r="BO1321" s="468"/>
      <c r="BP1321" s="468"/>
      <c r="BQ1321" s="468"/>
      <c r="BR1321" s="468"/>
      <c r="BS1321" s="468"/>
      <c r="BT1321" s="468"/>
      <c r="BU1321" s="468"/>
      <c r="BV1321" s="468"/>
      <c r="BW1321" s="469"/>
      <c r="BX1321" s="449"/>
      <c r="BY1321" s="449"/>
      <c r="BZ1321" s="449"/>
    </row>
    <row r="1322" spans="67:78" s="457" customFormat="1" x14ac:dyDescent="0.2">
      <c r="BO1322" s="468"/>
      <c r="BP1322" s="468"/>
      <c r="BQ1322" s="468"/>
      <c r="BR1322" s="468"/>
      <c r="BS1322" s="468"/>
      <c r="BT1322" s="468"/>
      <c r="BU1322" s="468"/>
      <c r="BV1322" s="468"/>
      <c r="BW1322" s="469"/>
      <c r="BX1322" s="449"/>
      <c r="BY1322" s="449"/>
      <c r="BZ1322" s="449"/>
    </row>
    <row r="1323" spans="67:78" s="457" customFormat="1" x14ac:dyDescent="0.2">
      <c r="BO1323" s="468"/>
      <c r="BP1323" s="468"/>
      <c r="BQ1323" s="468"/>
      <c r="BR1323" s="468"/>
      <c r="BS1323" s="468"/>
      <c r="BT1323" s="468"/>
      <c r="BU1323" s="468"/>
      <c r="BV1323" s="468"/>
      <c r="BW1323" s="469"/>
      <c r="BX1323" s="449"/>
      <c r="BY1323" s="449"/>
      <c r="BZ1323" s="449"/>
    </row>
    <row r="1324" spans="67:78" s="457" customFormat="1" x14ac:dyDescent="0.2">
      <c r="BO1324" s="468"/>
      <c r="BP1324" s="468"/>
      <c r="BQ1324" s="468"/>
      <c r="BR1324" s="468"/>
      <c r="BS1324" s="468"/>
      <c r="BT1324" s="468"/>
      <c r="BU1324" s="468"/>
      <c r="BV1324" s="468"/>
      <c r="BW1324" s="469"/>
      <c r="BX1324" s="449"/>
      <c r="BY1324" s="449"/>
      <c r="BZ1324" s="449"/>
    </row>
    <row r="1325" spans="67:78" s="457" customFormat="1" x14ac:dyDescent="0.2">
      <c r="BO1325" s="468"/>
      <c r="BP1325" s="468"/>
      <c r="BQ1325" s="468"/>
      <c r="BR1325" s="468"/>
      <c r="BS1325" s="468"/>
      <c r="BT1325" s="468"/>
      <c r="BU1325" s="468"/>
      <c r="BV1325" s="468"/>
      <c r="BW1325" s="469"/>
      <c r="BX1325" s="449"/>
      <c r="BY1325" s="449"/>
      <c r="BZ1325" s="449"/>
    </row>
    <row r="1326" spans="67:78" s="457" customFormat="1" x14ac:dyDescent="0.2">
      <c r="BO1326" s="468"/>
      <c r="BP1326" s="468"/>
      <c r="BQ1326" s="468"/>
      <c r="BR1326" s="468"/>
      <c r="BS1326" s="468"/>
      <c r="BT1326" s="468"/>
      <c r="BU1326" s="468"/>
      <c r="BV1326" s="468"/>
      <c r="BW1326" s="469"/>
      <c r="BX1326" s="449"/>
      <c r="BY1326" s="449"/>
      <c r="BZ1326" s="449"/>
    </row>
    <row r="1327" spans="67:78" s="457" customFormat="1" x14ac:dyDescent="0.2">
      <c r="BO1327" s="468"/>
      <c r="BP1327" s="468"/>
      <c r="BQ1327" s="468"/>
      <c r="BR1327" s="468"/>
      <c r="BS1327" s="468"/>
      <c r="BT1327" s="468"/>
      <c r="BU1327" s="468"/>
      <c r="BV1327" s="468"/>
      <c r="BW1327" s="469"/>
      <c r="BX1327" s="449"/>
      <c r="BY1327" s="449"/>
      <c r="BZ1327" s="449"/>
    </row>
    <row r="1328" spans="67:78" s="457" customFormat="1" x14ac:dyDescent="0.2">
      <c r="BO1328" s="468"/>
      <c r="BP1328" s="468"/>
      <c r="BQ1328" s="468"/>
      <c r="BR1328" s="468"/>
      <c r="BS1328" s="468"/>
      <c r="BT1328" s="468"/>
      <c r="BU1328" s="468"/>
      <c r="BV1328" s="468"/>
      <c r="BW1328" s="469"/>
      <c r="BX1328" s="449"/>
      <c r="BY1328" s="449"/>
      <c r="BZ1328" s="449"/>
    </row>
    <row r="1329" spans="67:78" s="457" customFormat="1" x14ac:dyDescent="0.2">
      <c r="BO1329" s="468"/>
      <c r="BP1329" s="468"/>
      <c r="BQ1329" s="468"/>
      <c r="BR1329" s="468"/>
      <c r="BS1329" s="468"/>
      <c r="BT1329" s="468"/>
      <c r="BU1329" s="468"/>
      <c r="BV1329" s="468"/>
      <c r="BW1329" s="469"/>
      <c r="BX1329" s="449"/>
      <c r="BY1329" s="449"/>
      <c r="BZ1329" s="449"/>
    </row>
    <row r="1330" spans="67:78" s="457" customFormat="1" x14ac:dyDescent="0.2">
      <c r="BO1330" s="468"/>
      <c r="BP1330" s="468"/>
      <c r="BQ1330" s="468"/>
      <c r="BR1330" s="468"/>
      <c r="BS1330" s="468"/>
      <c r="BT1330" s="468"/>
      <c r="BU1330" s="468"/>
      <c r="BV1330" s="468"/>
      <c r="BW1330" s="469"/>
      <c r="BX1330" s="449"/>
      <c r="BY1330" s="449"/>
      <c r="BZ1330" s="449"/>
    </row>
    <row r="1331" spans="67:78" s="457" customFormat="1" x14ac:dyDescent="0.2">
      <c r="BO1331" s="468"/>
      <c r="BP1331" s="468"/>
      <c r="BQ1331" s="468"/>
      <c r="BR1331" s="468"/>
      <c r="BS1331" s="468"/>
      <c r="BT1331" s="468"/>
      <c r="BU1331" s="468"/>
      <c r="BV1331" s="468"/>
      <c r="BW1331" s="469"/>
      <c r="BX1331" s="449"/>
      <c r="BY1331" s="449"/>
      <c r="BZ1331" s="449"/>
    </row>
    <row r="1332" spans="67:78" s="457" customFormat="1" x14ac:dyDescent="0.2">
      <c r="BO1332" s="468"/>
      <c r="BP1332" s="468"/>
      <c r="BQ1332" s="468"/>
      <c r="BR1332" s="468"/>
      <c r="BS1332" s="468"/>
      <c r="BT1332" s="468"/>
      <c r="BU1332" s="468"/>
      <c r="BV1332" s="468"/>
      <c r="BW1332" s="469"/>
      <c r="BX1332" s="449"/>
      <c r="BY1332" s="449"/>
      <c r="BZ1332" s="449"/>
    </row>
    <row r="1333" spans="67:78" s="457" customFormat="1" x14ac:dyDescent="0.2">
      <c r="BO1333" s="468"/>
      <c r="BP1333" s="468"/>
      <c r="BQ1333" s="468"/>
      <c r="BR1333" s="468"/>
      <c r="BS1333" s="468"/>
      <c r="BT1333" s="468"/>
      <c r="BU1333" s="468"/>
      <c r="BV1333" s="468"/>
      <c r="BW1333" s="469"/>
      <c r="BX1333" s="449"/>
      <c r="BY1333" s="449"/>
      <c r="BZ1333" s="449"/>
    </row>
    <row r="1334" spans="67:78" s="457" customFormat="1" x14ac:dyDescent="0.2">
      <c r="BO1334" s="468"/>
      <c r="BP1334" s="468"/>
      <c r="BQ1334" s="468"/>
      <c r="BR1334" s="468"/>
      <c r="BS1334" s="468"/>
      <c r="BT1334" s="468"/>
      <c r="BU1334" s="468"/>
      <c r="BV1334" s="468"/>
      <c r="BW1334" s="469"/>
      <c r="BX1334" s="449"/>
      <c r="BY1334" s="449"/>
      <c r="BZ1334" s="449"/>
    </row>
    <row r="1335" spans="67:78" s="457" customFormat="1" x14ac:dyDescent="0.2">
      <c r="BO1335" s="468"/>
      <c r="BP1335" s="468"/>
      <c r="BQ1335" s="468"/>
      <c r="BR1335" s="468"/>
      <c r="BS1335" s="468"/>
      <c r="BT1335" s="468"/>
      <c r="BU1335" s="468"/>
      <c r="BV1335" s="468"/>
      <c r="BW1335" s="469"/>
      <c r="BX1335" s="449"/>
      <c r="BY1335" s="449"/>
      <c r="BZ1335" s="449"/>
    </row>
    <row r="1336" spans="67:78" s="457" customFormat="1" x14ac:dyDescent="0.2">
      <c r="BO1336" s="468"/>
      <c r="BP1336" s="468"/>
      <c r="BQ1336" s="468"/>
      <c r="BR1336" s="468"/>
      <c r="BS1336" s="468"/>
      <c r="BT1336" s="468"/>
      <c r="BU1336" s="468"/>
      <c r="BV1336" s="468"/>
      <c r="BW1336" s="469"/>
      <c r="BX1336" s="449"/>
      <c r="BY1336" s="449"/>
      <c r="BZ1336" s="449"/>
    </row>
    <row r="1337" spans="67:78" s="457" customFormat="1" x14ac:dyDescent="0.2">
      <c r="BO1337" s="468"/>
      <c r="BP1337" s="468"/>
      <c r="BQ1337" s="468"/>
      <c r="BR1337" s="468"/>
      <c r="BS1337" s="468"/>
      <c r="BT1337" s="468"/>
      <c r="BU1337" s="468"/>
      <c r="BV1337" s="468"/>
      <c r="BW1337" s="469"/>
      <c r="BX1337" s="449"/>
      <c r="BY1337" s="449"/>
      <c r="BZ1337" s="449"/>
    </row>
    <row r="1338" spans="67:78" s="457" customFormat="1" x14ac:dyDescent="0.2">
      <c r="BO1338" s="468"/>
      <c r="BP1338" s="468"/>
      <c r="BQ1338" s="468"/>
      <c r="BR1338" s="468"/>
      <c r="BS1338" s="468"/>
      <c r="BT1338" s="468"/>
      <c r="BU1338" s="468"/>
      <c r="BV1338" s="468"/>
      <c r="BW1338" s="469"/>
      <c r="BX1338" s="449"/>
      <c r="BY1338" s="449"/>
      <c r="BZ1338" s="449"/>
    </row>
    <row r="1339" spans="67:78" s="457" customFormat="1" x14ac:dyDescent="0.2">
      <c r="BO1339" s="468"/>
      <c r="BP1339" s="468"/>
      <c r="BQ1339" s="468"/>
      <c r="BR1339" s="468"/>
      <c r="BS1339" s="468"/>
      <c r="BT1339" s="468"/>
      <c r="BU1339" s="468"/>
      <c r="BV1339" s="468"/>
      <c r="BW1339" s="469"/>
      <c r="BX1339" s="449"/>
      <c r="BY1339" s="449"/>
      <c r="BZ1339" s="449"/>
    </row>
    <row r="1340" spans="67:78" s="457" customFormat="1" x14ac:dyDescent="0.2">
      <c r="BO1340" s="468"/>
      <c r="BP1340" s="468"/>
      <c r="BQ1340" s="468"/>
      <c r="BR1340" s="468"/>
      <c r="BS1340" s="468"/>
      <c r="BT1340" s="468"/>
      <c r="BU1340" s="468"/>
      <c r="BV1340" s="468"/>
      <c r="BW1340" s="469"/>
      <c r="BX1340" s="449"/>
      <c r="BY1340" s="449"/>
      <c r="BZ1340" s="449"/>
    </row>
    <row r="1341" spans="67:78" s="457" customFormat="1" x14ac:dyDescent="0.2">
      <c r="BO1341" s="468"/>
      <c r="BP1341" s="468"/>
      <c r="BQ1341" s="468"/>
      <c r="BR1341" s="468"/>
      <c r="BS1341" s="468"/>
      <c r="BT1341" s="468"/>
      <c r="BU1341" s="468"/>
      <c r="BV1341" s="468"/>
      <c r="BW1341" s="469"/>
      <c r="BX1341" s="449"/>
      <c r="BY1341" s="449"/>
      <c r="BZ1341" s="449"/>
    </row>
    <row r="1342" spans="67:78" s="457" customFormat="1" x14ac:dyDescent="0.2">
      <c r="BO1342" s="468"/>
      <c r="BP1342" s="468"/>
      <c r="BQ1342" s="468"/>
      <c r="BR1342" s="468"/>
      <c r="BS1342" s="468"/>
      <c r="BT1342" s="468"/>
      <c r="BU1342" s="468"/>
      <c r="BV1342" s="468"/>
      <c r="BW1342" s="469"/>
      <c r="BX1342" s="449"/>
      <c r="BY1342" s="449"/>
      <c r="BZ1342" s="449"/>
    </row>
    <row r="1343" spans="67:78" s="457" customFormat="1" x14ac:dyDescent="0.2">
      <c r="BO1343" s="468"/>
      <c r="BP1343" s="468"/>
      <c r="BQ1343" s="468"/>
      <c r="BR1343" s="468"/>
      <c r="BS1343" s="468"/>
      <c r="BT1343" s="468"/>
      <c r="BU1343" s="468"/>
      <c r="BV1343" s="468"/>
      <c r="BW1343" s="469"/>
      <c r="BX1343" s="449"/>
      <c r="BY1343" s="449"/>
      <c r="BZ1343" s="449"/>
    </row>
    <row r="1344" spans="67:78" s="457" customFormat="1" x14ac:dyDescent="0.2">
      <c r="BO1344" s="468"/>
      <c r="BP1344" s="468"/>
      <c r="BQ1344" s="468"/>
      <c r="BR1344" s="468"/>
      <c r="BS1344" s="468"/>
      <c r="BT1344" s="468"/>
      <c r="BU1344" s="468"/>
      <c r="BV1344" s="468"/>
      <c r="BW1344" s="469"/>
      <c r="BX1344" s="449"/>
      <c r="BY1344" s="449"/>
      <c r="BZ1344" s="449"/>
    </row>
    <row r="1345" spans="67:78" s="457" customFormat="1" x14ac:dyDescent="0.2">
      <c r="BO1345" s="468"/>
      <c r="BP1345" s="468"/>
      <c r="BQ1345" s="468"/>
      <c r="BR1345" s="468"/>
      <c r="BS1345" s="468"/>
      <c r="BT1345" s="468"/>
      <c r="BU1345" s="468"/>
      <c r="BV1345" s="468"/>
      <c r="BW1345" s="469"/>
      <c r="BX1345" s="449"/>
      <c r="BY1345" s="449"/>
      <c r="BZ1345" s="449"/>
    </row>
    <row r="1346" spans="67:78" s="457" customFormat="1" x14ac:dyDescent="0.2">
      <c r="BO1346" s="468"/>
      <c r="BP1346" s="468"/>
      <c r="BQ1346" s="468"/>
      <c r="BR1346" s="468"/>
      <c r="BS1346" s="468"/>
      <c r="BT1346" s="468"/>
      <c r="BU1346" s="468"/>
      <c r="BV1346" s="468"/>
      <c r="BW1346" s="469"/>
      <c r="BX1346" s="449"/>
      <c r="BY1346" s="449"/>
      <c r="BZ1346" s="449"/>
    </row>
    <row r="1347" spans="67:78" s="457" customFormat="1" x14ac:dyDescent="0.2">
      <c r="BO1347" s="468"/>
      <c r="BP1347" s="468"/>
      <c r="BQ1347" s="468"/>
      <c r="BR1347" s="468"/>
      <c r="BS1347" s="468"/>
      <c r="BT1347" s="468"/>
      <c r="BU1347" s="468"/>
      <c r="BV1347" s="468"/>
      <c r="BW1347" s="469"/>
      <c r="BX1347" s="449"/>
      <c r="BY1347" s="449"/>
      <c r="BZ1347" s="449"/>
    </row>
    <row r="1348" spans="67:78" s="457" customFormat="1" x14ac:dyDescent="0.2">
      <c r="BO1348" s="468"/>
      <c r="BP1348" s="468"/>
      <c r="BQ1348" s="468"/>
      <c r="BR1348" s="468"/>
      <c r="BS1348" s="468"/>
      <c r="BT1348" s="468"/>
      <c r="BU1348" s="468"/>
      <c r="BV1348" s="468"/>
      <c r="BW1348" s="469"/>
      <c r="BX1348" s="449"/>
      <c r="BY1348" s="449"/>
      <c r="BZ1348" s="449"/>
    </row>
    <row r="1349" spans="67:78" s="457" customFormat="1" x14ac:dyDescent="0.2">
      <c r="BO1349" s="468"/>
      <c r="BP1349" s="468"/>
      <c r="BQ1349" s="468"/>
      <c r="BR1349" s="468"/>
      <c r="BS1349" s="468"/>
      <c r="BT1349" s="468"/>
      <c r="BU1349" s="468"/>
      <c r="BV1349" s="468"/>
      <c r="BW1349" s="469"/>
      <c r="BX1349" s="449"/>
      <c r="BY1349" s="449"/>
      <c r="BZ1349" s="449"/>
    </row>
    <row r="1350" spans="67:78" s="457" customFormat="1" x14ac:dyDescent="0.2">
      <c r="BO1350" s="468"/>
      <c r="BP1350" s="468"/>
      <c r="BQ1350" s="468"/>
      <c r="BR1350" s="468"/>
      <c r="BS1350" s="468"/>
      <c r="BT1350" s="468"/>
      <c r="BU1350" s="468"/>
      <c r="BV1350" s="468"/>
      <c r="BW1350" s="469"/>
      <c r="BX1350" s="449"/>
      <c r="BY1350" s="449"/>
      <c r="BZ1350" s="449"/>
    </row>
    <row r="1351" spans="67:78" s="457" customFormat="1" x14ac:dyDescent="0.2">
      <c r="BO1351" s="468"/>
      <c r="BP1351" s="468"/>
      <c r="BQ1351" s="468"/>
      <c r="BR1351" s="468"/>
      <c r="BS1351" s="468"/>
      <c r="BT1351" s="468"/>
      <c r="BU1351" s="468"/>
      <c r="BV1351" s="468"/>
      <c r="BW1351" s="469"/>
      <c r="BX1351" s="449"/>
      <c r="BY1351" s="449"/>
      <c r="BZ1351" s="449"/>
    </row>
    <row r="1352" spans="67:78" s="457" customFormat="1" x14ac:dyDescent="0.2">
      <c r="BO1352" s="468"/>
      <c r="BP1352" s="468"/>
      <c r="BQ1352" s="468"/>
      <c r="BR1352" s="468"/>
      <c r="BS1352" s="468"/>
      <c r="BT1352" s="468"/>
      <c r="BU1352" s="468"/>
      <c r="BV1352" s="468"/>
      <c r="BW1352" s="469"/>
      <c r="BX1352" s="449"/>
      <c r="BY1352" s="449"/>
      <c r="BZ1352" s="449"/>
    </row>
    <row r="1353" spans="67:78" s="457" customFormat="1" x14ac:dyDescent="0.2">
      <c r="BO1353" s="468"/>
      <c r="BP1353" s="468"/>
      <c r="BQ1353" s="468"/>
      <c r="BR1353" s="468"/>
      <c r="BS1353" s="468"/>
      <c r="BT1353" s="468"/>
      <c r="BU1353" s="468"/>
      <c r="BV1353" s="468"/>
      <c r="BW1353" s="469"/>
      <c r="BX1353" s="449"/>
      <c r="BY1353" s="449"/>
      <c r="BZ1353" s="449"/>
    </row>
    <row r="1354" spans="67:78" s="457" customFormat="1" x14ac:dyDescent="0.2">
      <c r="BO1354" s="468"/>
      <c r="BP1354" s="468"/>
      <c r="BQ1354" s="468"/>
      <c r="BR1354" s="468"/>
      <c r="BS1354" s="468"/>
      <c r="BT1354" s="468"/>
      <c r="BU1354" s="468"/>
      <c r="BV1354" s="468"/>
      <c r="BW1354" s="469"/>
      <c r="BX1354" s="449"/>
      <c r="BY1354" s="449"/>
      <c r="BZ1354" s="449"/>
    </row>
    <row r="1355" spans="67:78" s="457" customFormat="1" x14ac:dyDescent="0.2">
      <c r="BO1355" s="468"/>
      <c r="BP1355" s="468"/>
      <c r="BQ1355" s="468"/>
      <c r="BR1355" s="468"/>
      <c r="BS1355" s="468"/>
      <c r="BT1355" s="468"/>
      <c r="BU1355" s="468"/>
      <c r="BV1355" s="468"/>
      <c r="BW1355" s="469"/>
      <c r="BX1355" s="449"/>
      <c r="BY1355" s="449"/>
      <c r="BZ1355" s="449"/>
    </row>
    <row r="1356" spans="67:78" s="457" customFormat="1" x14ac:dyDescent="0.2">
      <c r="BO1356" s="468"/>
      <c r="BP1356" s="468"/>
      <c r="BQ1356" s="468"/>
      <c r="BR1356" s="468"/>
      <c r="BS1356" s="468"/>
      <c r="BT1356" s="468"/>
      <c r="BU1356" s="468"/>
      <c r="BV1356" s="468"/>
      <c r="BW1356" s="469"/>
      <c r="BX1356" s="449"/>
      <c r="BY1356" s="449"/>
      <c r="BZ1356" s="449"/>
    </row>
    <row r="1357" spans="67:78" s="457" customFormat="1" x14ac:dyDescent="0.2">
      <c r="BO1357" s="468"/>
      <c r="BP1357" s="468"/>
      <c r="BQ1357" s="468"/>
      <c r="BR1357" s="468"/>
      <c r="BS1357" s="468"/>
      <c r="BT1357" s="468"/>
      <c r="BU1357" s="468"/>
      <c r="BV1357" s="468"/>
      <c r="BW1357" s="469"/>
      <c r="BX1357" s="449"/>
      <c r="BY1357" s="449"/>
      <c r="BZ1357" s="449"/>
    </row>
    <row r="1358" spans="67:78" s="457" customFormat="1" x14ac:dyDescent="0.2">
      <c r="BO1358" s="468"/>
      <c r="BP1358" s="468"/>
      <c r="BQ1358" s="468"/>
      <c r="BR1358" s="468"/>
      <c r="BS1358" s="468"/>
      <c r="BT1358" s="468"/>
      <c r="BU1358" s="468"/>
      <c r="BV1358" s="468"/>
      <c r="BW1358" s="469"/>
      <c r="BX1358" s="449"/>
      <c r="BY1358" s="449"/>
      <c r="BZ1358" s="449"/>
    </row>
    <row r="1359" spans="67:78" s="457" customFormat="1" x14ac:dyDescent="0.2">
      <c r="BO1359" s="468"/>
      <c r="BP1359" s="468"/>
      <c r="BQ1359" s="468"/>
      <c r="BR1359" s="468"/>
      <c r="BS1359" s="468"/>
      <c r="BT1359" s="468"/>
      <c r="BU1359" s="468"/>
      <c r="BV1359" s="468"/>
      <c r="BW1359" s="469"/>
      <c r="BX1359" s="449"/>
      <c r="BY1359" s="449"/>
      <c r="BZ1359" s="449"/>
    </row>
    <row r="1360" spans="67:78" s="457" customFormat="1" x14ac:dyDescent="0.2">
      <c r="BO1360" s="468"/>
      <c r="BP1360" s="468"/>
      <c r="BQ1360" s="468"/>
      <c r="BR1360" s="468"/>
      <c r="BS1360" s="468"/>
      <c r="BT1360" s="468"/>
      <c r="BU1360" s="468"/>
      <c r="BV1360" s="468"/>
      <c r="BW1360" s="469"/>
      <c r="BX1360" s="449"/>
      <c r="BY1360" s="449"/>
      <c r="BZ1360" s="449"/>
    </row>
    <row r="1361" spans="67:78" s="457" customFormat="1" x14ac:dyDescent="0.2">
      <c r="BO1361" s="468"/>
      <c r="BP1361" s="468"/>
      <c r="BQ1361" s="468"/>
      <c r="BR1361" s="468"/>
      <c r="BS1361" s="468"/>
      <c r="BT1361" s="468"/>
      <c r="BU1361" s="468"/>
      <c r="BV1361" s="468"/>
      <c r="BW1361" s="469"/>
      <c r="BX1361" s="449"/>
      <c r="BY1361" s="449"/>
      <c r="BZ1361" s="449"/>
    </row>
    <row r="1362" spans="67:78" s="457" customFormat="1" x14ac:dyDescent="0.2">
      <c r="BO1362" s="468"/>
      <c r="BP1362" s="468"/>
      <c r="BQ1362" s="468"/>
      <c r="BR1362" s="468"/>
      <c r="BS1362" s="468"/>
      <c r="BT1362" s="468"/>
      <c r="BU1362" s="468"/>
      <c r="BV1362" s="468"/>
      <c r="BW1362" s="469"/>
      <c r="BX1362" s="449"/>
      <c r="BY1362" s="449"/>
      <c r="BZ1362" s="449"/>
    </row>
    <row r="1363" spans="67:78" s="457" customFormat="1" x14ac:dyDescent="0.2">
      <c r="BO1363" s="468"/>
      <c r="BP1363" s="468"/>
      <c r="BQ1363" s="468"/>
      <c r="BR1363" s="468"/>
      <c r="BS1363" s="468"/>
      <c r="BT1363" s="468"/>
      <c r="BU1363" s="468"/>
      <c r="BV1363" s="468"/>
      <c r="BW1363" s="469"/>
      <c r="BX1363" s="449"/>
      <c r="BY1363" s="449"/>
      <c r="BZ1363" s="449"/>
    </row>
    <row r="1364" spans="67:78" s="457" customFormat="1" x14ac:dyDescent="0.2">
      <c r="BO1364" s="468"/>
      <c r="BP1364" s="468"/>
      <c r="BQ1364" s="468"/>
      <c r="BR1364" s="468"/>
      <c r="BS1364" s="468"/>
      <c r="BT1364" s="468"/>
      <c r="BU1364" s="468"/>
      <c r="BV1364" s="468"/>
      <c r="BW1364" s="469"/>
      <c r="BX1364" s="449"/>
      <c r="BY1364" s="449"/>
      <c r="BZ1364" s="449"/>
    </row>
    <row r="1365" spans="67:78" s="457" customFormat="1" x14ac:dyDescent="0.2">
      <c r="BO1365" s="468"/>
      <c r="BP1365" s="468"/>
      <c r="BQ1365" s="468"/>
      <c r="BR1365" s="468"/>
      <c r="BS1365" s="468"/>
      <c r="BT1365" s="468"/>
      <c r="BU1365" s="468"/>
      <c r="BV1365" s="468"/>
      <c r="BW1365" s="469"/>
      <c r="BX1365" s="449"/>
      <c r="BY1365" s="449"/>
      <c r="BZ1365" s="449"/>
    </row>
    <row r="1366" spans="67:78" s="457" customFormat="1" x14ac:dyDescent="0.2">
      <c r="BO1366" s="468"/>
      <c r="BP1366" s="468"/>
      <c r="BQ1366" s="468"/>
      <c r="BR1366" s="468"/>
      <c r="BS1366" s="468"/>
      <c r="BT1366" s="468"/>
      <c r="BU1366" s="468"/>
      <c r="BV1366" s="468"/>
      <c r="BW1366" s="469"/>
      <c r="BX1366" s="449"/>
      <c r="BY1366" s="449"/>
      <c r="BZ1366" s="449"/>
    </row>
    <row r="1367" spans="67:78" s="457" customFormat="1" x14ac:dyDescent="0.2">
      <c r="BO1367" s="468"/>
      <c r="BP1367" s="468"/>
      <c r="BQ1367" s="468"/>
      <c r="BR1367" s="468"/>
      <c r="BS1367" s="468"/>
      <c r="BT1367" s="468"/>
      <c r="BU1367" s="468"/>
      <c r="BV1367" s="468"/>
      <c r="BW1367" s="469"/>
      <c r="BX1367" s="449"/>
      <c r="BY1367" s="449"/>
      <c r="BZ1367" s="449"/>
    </row>
    <row r="1368" spans="67:78" s="457" customFormat="1" x14ac:dyDescent="0.2">
      <c r="BO1368" s="468"/>
      <c r="BP1368" s="468"/>
      <c r="BQ1368" s="468"/>
      <c r="BR1368" s="468"/>
      <c r="BS1368" s="468"/>
      <c r="BT1368" s="468"/>
      <c r="BU1368" s="468"/>
      <c r="BV1368" s="468"/>
      <c r="BW1368" s="469"/>
      <c r="BX1368" s="449"/>
      <c r="BY1368" s="449"/>
      <c r="BZ1368" s="449"/>
    </row>
    <row r="1369" spans="67:78" s="457" customFormat="1" x14ac:dyDescent="0.2">
      <c r="BO1369" s="468"/>
      <c r="BP1369" s="468"/>
      <c r="BQ1369" s="468"/>
      <c r="BR1369" s="468"/>
      <c r="BS1369" s="468"/>
      <c r="BT1369" s="468"/>
      <c r="BU1369" s="468"/>
      <c r="BV1369" s="468"/>
      <c r="BW1369" s="469"/>
      <c r="BX1369" s="449"/>
      <c r="BY1369" s="449"/>
      <c r="BZ1369" s="449"/>
    </row>
    <row r="1370" spans="67:78" s="457" customFormat="1" x14ac:dyDescent="0.2">
      <c r="BO1370" s="468"/>
      <c r="BP1370" s="468"/>
      <c r="BQ1370" s="468"/>
      <c r="BR1370" s="468"/>
      <c r="BS1370" s="468"/>
      <c r="BT1370" s="468"/>
      <c r="BU1370" s="468"/>
      <c r="BV1370" s="468"/>
      <c r="BW1370" s="469"/>
      <c r="BX1370" s="449"/>
      <c r="BY1370" s="449"/>
      <c r="BZ1370" s="449"/>
    </row>
    <row r="1371" spans="67:78" s="457" customFormat="1" x14ac:dyDescent="0.2">
      <c r="BO1371" s="468"/>
      <c r="BP1371" s="468"/>
      <c r="BQ1371" s="468"/>
      <c r="BR1371" s="468"/>
      <c r="BS1371" s="468"/>
      <c r="BT1371" s="468"/>
      <c r="BU1371" s="468"/>
      <c r="BV1371" s="468"/>
      <c r="BW1371" s="469"/>
      <c r="BX1371" s="449"/>
      <c r="BY1371" s="449"/>
      <c r="BZ1371" s="449"/>
    </row>
    <row r="1372" spans="67:78" s="457" customFormat="1" x14ac:dyDescent="0.2">
      <c r="BO1372" s="468"/>
      <c r="BP1372" s="468"/>
      <c r="BQ1372" s="468"/>
      <c r="BR1372" s="468"/>
      <c r="BS1372" s="468"/>
      <c r="BT1372" s="468"/>
      <c r="BU1372" s="468"/>
      <c r="BV1372" s="468"/>
      <c r="BW1372" s="469"/>
      <c r="BX1372" s="449"/>
      <c r="BY1372" s="449"/>
      <c r="BZ1372" s="449"/>
    </row>
    <row r="1373" spans="67:78" s="457" customFormat="1" x14ac:dyDescent="0.2">
      <c r="BO1373" s="468"/>
      <c r="BP1373" s="468"/>
      <c r="BQ1373" s="468"/>
      <c r="BR1373" s="468"/>
      <c r="BS1373" s="468"/>
      <c r="BT1373" s="468"/>
      <c r="BU1373" s="468"/>
      <c r="BV1373" s="468"/>
      <c r="BW1373" s="469"/>
      <c r="BX1373" s="449"/>
      <c r="BY1373" s="449"/>
      <c r="BZ1373" s="449"/>
    </row>
    <row r="1374" spans="67:78" s="457" customFormat="1" x14ac:dyDescent="0.2">
      <c r="BO1374" s="468"/>
      <c r="BP1374" s="468"/>
      <c r="BQ1374" s="468"/>
      <c r="BR1374" s="468"/>
      <c r="BS1374" s="468"/>
      <c r="BT1374" s="468"/>
      <c r="BU1374" s="468"/>
      <c r="BV1374" s="468"/>
      <c r="BW1374" s="469"/>
      <c r="BX1374" s="449"/>
      <c r="BY1374" s="449"/>
      <c r="BZ1374" s="449"/>
    </row>
    <row r="1375" spans="67:78" s="457" customFormat="1" x14ac:dyDescent="0.2">
      <c r="BO1375" s="468"/>
      <c r="BP1375" s="468"/>
      <c r="BQ1375" s="468"/>
      <c r="BR1375" s="468"/>
      <c r="BS1375" s="468"/>
      <c r="BT1375" s="468"/>
      <c r="BU1375" s="468"/>
      <c r="BV1375" s="468"/>
      <c r="BW1375" s="469"/>
      <c r="BX1375" s="449"/>
      <c r="BY1375" s="449"/>
      <c r="BZ1375" s="449"/>
    </row>
    <row r="1376" spans="67:78" s="457" customFormat="1" x14ac:dyDescent="0.2">
      <c r="BO1376" s="468"/>
      <c r="BP1376" s="468"/>
      <c r="BQ1376" s="468"/>
      <c r="BR1376" s="468"/>
      <c r="BS1376" s="468"/>
      <c r="BT1376" s="468"/>
      <c r="BU1376" s="468"/>
      <c r="BV1376" s="468"/>
      <c r="BW1376" s="469"/>
      <c r="BX1376" s="449"/>
      <c r="BY1376" s="449"/>
      <c r="BZ1376" s="449"/>
    </row>
    <row r="1377" spans="67:78" s="457" customFormat="1" x14ac:dyDescent="0.2">
      <c r="BO1377" s="468"/>
      <c r="BP1377" s="468"/>
      <c r="BQ1377" s="468"/>
      <c r="BR1377" s="468"/>
      <c r="BS1377" s="468"/>
      <c r="BT1377" s="468"/>
      <c r="BU1377" s="468"/>
      <c r="BV1377" s="468"/>
      <c r="BW1377" s="469"/>
      <c r="BX1377" s="449"/>
      <c r="BY1377" s="449"/>
      <c r="BZ1377" s="449"/>
    </row>
    <row r="1378" spans="67:78" s="457" customFormat="1" x14ac:dyDescent="0.2">
      <c r="BO1378" s="468"/>
      <c r="BP1378" s="468"/>
      <c r="BQ1378" s="468"/>
      <c r="BR1378" s="468"/>
      <c r="BS1378" s="468"/>
      <c r="BT1378" s="468"/>
      <c r="BU1378" s="468"/>
      <c r="BV1378" s="468"/>
      <c r="BW1378" s="469"/>
      <c r="BX1378" s="449"/>
      <c r="BY1378" s="449"/>
      <c r="BZ1378" s="449"/>
    </row>
    <row r="1379" spans="67:78" s="457" customFormat="1" x14ac:dyDescent="0.2">
      <c r="BO1379" s="468"/>
      <c r="BP1379" s="468"/>
      <c r="BQ1379" s="468"/>
      <c r="BR1379" s="468"/>
      <c r="BS1379" s="468"/>
      <c r="BT1379" s="468"/>
      <c r="BU1379" s="468"/>
      <c r="BV1379" s="468"/>
      <c r="BW1379" s="469"/>
      <c r="BX1379" s="449"/>
      <c r="BY1379" s="449"/>
      <c r="BZ1379" s="449"/>
    </row>
    <row r="1380" spans="67:78" s="457" customFormat="1" x14ac:dyDescent="0.2">
      <c r="BO1380" s="468"/>
      <c r="BP1380" s="468"/>
      <c r="BQ1380" s="468"/>
      <c r="BR1380" s="468"/>
      <c r="BS1380" s="468"/>
      <c r="BT1380" s="468"/>
      <c r="BU1380" s="468"/>
      <c r="BV1380" s="468"/>
      <c r="BW1380" s="469"/>
      <c r="BX1380" s="449"/>
      <c r="BY1380" s="449"/>
      <c r="BZ1380" s="449"/>
    </row>
    <row r="1381" spans="67:78" s="457" customFormat="1" x14ac:dyDescent="0.2">
      <c r="BO1381" s="468"/>
      <c r="BP1381" s="468"/>
      <c r="BQ1381" s="468"/>
      <c r="BR1381" s="468"/>
      <c r="BS1381" s="468"/>
      <c r="BT1381" s="468"/>
      <c r="BU1381" s="468"/>
      <c r="BV1381" s="468"/>
      <c r="BW1381" s="469"/>
      <c r="BX1381" s="449"/>
      <c r="BY1381" s="449"/>
      <c r="BZ1381" s="449"/>
    </row>
    <row r="1382" spans="67:78" s="457" customFormat="1" x14ac:dyDescent="0.2">
      <c r="BO1382" s="468"/>
      <c r="BP1382" s="468"/>
      <c r="BQ1382" s="468"/>
      <c r="BR1382" s="468"/>
      <c r="BS1382" s="468"/>
      <c r="BT1382" s="468"/>
      <c r="BU1382" s="468"/>
      <c r="BV1382" s="468"/>
      <c r="BW1382" s="469"/>
      <c r="BX1382" s="449"/>
      <c r="BY1382" s="449"/>
      <c r="BZ1382" s="449"/>
    </row>
    <row r="1383" spans="67:78" s="457" customFormat="1" x14ac:dyDescent="0.2">
      <c r="BO1383" s="468"/>
      <c r="BP1383" s="468"/>
      <c r="BQ1383" s="468"/>
      <c r="BR1383" s="468"/>
      <c r="BS1383" s="468"/>
      <c r="BT1383" s="468"/>
      <c r="BU1383" s="468"/>
      <c r="BV1383" s="468"/>
      <c r="BW1383" s="469"/>
      <c r="BX1383" s="449"/>
      <c r="BY1383" s="449"/>
      <c r="BZ1383" s="449"/>
    </row>
    <row r="1384" spans="67:78" s="457" customFormat="1" x14ac:dyDescent="0.2">
      <c r="BO1384" s="468"/>
      <c r="BP1384" s="468"/>
      <c r="BQ1384" s="468"/>
      <c r="BR1384" s="468"/>
      <c r="BS1384" s="468"/>
      <c r="BT1384" s="468"/>
      <c r="BU1384" s="468"/>
      <c r="BV1384" s="468"/>
      <c r="BW1384" s="469"/>
      <c r="BX1384" s="449"/>
      <c r="BY1384" s="449"/>
      <c r="BZ1384" s="449"/>
    </row>
    <row r="1385" spans="67:78" s="457" customFormat="1" x14ac:dyDescent="0.2">
      <c r="BO1385" s="468"/>
      <c r="BP1385" s="468"/>
      <c r="BQ1385" s="468"/>
      <c r="BR1385" s="468"/>
      <c r="BS1385" s="468"/>
      <c r="BT1385" s="468"/>
      <c r="BU1385" s="468"/>
      <c r="BV1385" s="468"/>
      <c r="BW1385" s="469"/>
      <c r="BX1385" s="449"/>
      <c r="BY1385" s="449"/>
      <c r="BZ1385" s="449"/>
    </row>
    <row r="1386" spans="67:78" s="457" customFormat="1" x14ac:dyDescent="0.2">
      <c r="BO1386" s="468"/>
      <c r="BP1386" s="468"/>
      <c r="BQ1386" s="468"/>
      <c r="BR1386" s="468"/>
      <c r="BS1386" s="468"/>
      <c r="BT1386" s="468"/>
      <c r="BU1386" s="468"/>
      <c r="BV1386" s="468"/>
      <c r="BW1386" s="469"/>
      <c r="BX1386" s="449"/>
      <c r="BY1386" s="449"/>
      <c r="BZ1386" s="449"/>
    </row>
    <row r="1387" spans="67:78" s="457" customFormat="1" x14ac:dyDescent="0.2">
      <c r="BO1387" s="468"/>
      <c r="BP1387" s="468"/>
      <c r="BQ1387" s="468"/>
      <c r="BR1387" s="468"/>
      <c r="BS1387" s="468"/>
      <c r="BT1387" s="468"/>
      <c r="BU1387" s="468"/>
      <c r="BV1387" s="468"/>
      <c r="BW1387" s="469"/>
      <c r="BX1387" s="449"/>
      <c r="BY1387" s="449"/>
      <c r="BZ1387" s="449"/>
    </row>
    <row r="1388" spans="67:78" s="457" customFormat="1" x14ac:dyDescent="0.2">
      <c r="BO1388" s="468"/>
      <c r="BP1388" s="468"/>
      <c r="BQ1388" s="468"/>
      <c r="BR1388" s="468"/>
      <c r="BS1388" s="468"/>
      <c r="BT1388" s="468"/>
      <c r="BU1388" s="468"/>
      <c r="BV1388" s="468"/>
      <c r="BW1388" s="469"/>
      <c r="BX1388" s="449"/>
      <c r="BY1388" s="449"/>
      <c r="BZ1388" s="449"/>
    </row>
    <row r="1389" spans="67:78" s="457" customFormat="1" x14ac:dyDescent="0.2">
      <c r="BO1389" s="468"/>
      <c r="BP1389" s="468"/>
      <c r="BQ1389" s="468"/>
      <c r="BR1389" s="468"/>
      <c r="BS1389" s="468"/>
      <c r="BT1389" s="468"/>
      <c r="BU1389" s="468"/>
      <c r="BV1389" s="468"/>
      <c r="BW1389" s="469"/>
      <c r="BX1389" s="449"/>
      <c r="BY1389" s="449"/>
      <c r="BZ1389" s="449"/>
    </row>
    <row r="1390" spans="67:78" s="457" customFormat="1" x14ac:dyDescent="0.2">
      <c r="BO1390" s="468"/>
      <c r="BP1390" s="468"/>
      <c r="BQ1390" s="468"/>
      <c r="BR1390" s="468"/>
      <c r="BS1390" s="468"/>
      <c r="BT1390" s="468"/>
      <c r="BU1390" s="468"/>
      <c r="BV1390" s="468"/>
      <c r="BW1390" s="469"/>
      <c r="BX1390" s="449"/>
      <c r="BY1390" s="449"/>
      <c r="BZ1390" s="449"/>
    </row>
    <row r="1391" spans="67:78" s="457" customFormat="1" x14ac:dyDescent="0.2">
      <c r="BO1391" s="468"/>
      <c r="BP1391" s="468"/>
      <c r="BQ1391" s="468"/>
      <c r="BR1391" s="468"/>
      <c r="BS1391" s="468"/>
      <c r="BT1391" s="468"/>
      <c r="BU1391" s="468"/>
      <c r="BV1391" s="468"/>
      <c r="BW1391" s="469"/>
      <c r="BX1391" s="449"/>
      <c r="BY1391" s="449"/>
      <c r="BZ1391" s="449"/>
    </row>
    <row r="1392" spans="67:78" s="457" customFormat="1" x14ac:dyDescent="0.2">
      <c r="BO1392" s="468"/>
      <c r="BP1392" s="468"/>
      <c r="BQ1392" s="468"/>
      <c r="BR1392" s="468"/>
      <c r="BS1392" s="468"/>
      <c r="BT1392" s="468"/>
      <c r="BU1392" s="468"/>
      <c r="BV1392" s="468"/>
      <c r="BW1392" s="469"/>
      <c r="BX1392" s="449"/>
      <c r="BY1392" s="449"/>
      <c r="BZ1392" s="449"/>
    </row>
    <row r="1393" spans="67:78" s="457" customFormat="1" x14ac:dyDescent="0.2">
      <c r="BO1393" s="468"/>
      <c r="BP1393" s="468"/>
      <c r="BQ1393" s="468"/>
      <c r="BR1393" s="468"/>
      <c r="BS1393" s="468"/>
      <c r="BT1393" s="468"/>
      <c r="BU1393" s="468"/>
      <c r="BV1393" s="468"/>
      <c r="BW1393" s="469"/>
      <c r="BX1393" s="449"/>
      <c r="BY1393" s="449"/>
      <c r="BZ1393" s="449"/>
    </row>
    <row r="1394" spans="67:78" s="457" customFormat="1" x14ac:dyDescent="0.2">
      <c r="BO1394" s="468"/>
      <c r="BP1394" s="468"/>
      <c r="BQ1394" s="468"/>
      <c r="BR1394" s="468"/>
      <c r="BS1394" s="468"/>
      <c r="BT1394" s="468"/>
      <c r="BU1394" s="468"/>
      <c r="BV1394" s="468"/>
      <c r="BW1394" s="469"/>
      <c r="BX1394" s="449"/>
      <c r="BY1394" s="449"/>
      <c r="BZ1394" s="449"/>
    </row>
    <row r="1395" spans="67:78" s="457" customFormat="1" x14ac:dyDescent="0.2">
      <c r="BO1395" s="468"/>
      <c r="BP1395" s="468"/>
      <c r="BQ1395" s="468"/>
      <c r="BR1395" s="468"/>
      <c r="BS1395" s="468"/>
      <c r="BT1395" s="468"/>
      <c r="BU1395" s="468"/>
      <c r="BV1395" s="468"/>
      <c r="BW1395" s="469"/>
      <c r="BX1395" s="449"/>
      <c r="BY1395" s="449"/>
      <c r="BZ1395" s="449"/>
    </row>
    <row r="1396" spans="67:78" s="457" customFormat="1" x14ac:dyDescent="0.2">
      <c r="BO1396" s="468"/>
      <c r="BP1396" s="468"/>
      <c r="BQ1396" s="468"/>
      <c r="BR1396" s="468"/>
      <c r="BS1396" s="468"/>
      <c r="BT1396" s="468"/>
      <c r="BU1396" s="468"/>
      <c r="BV1396" s="468"/>
      <c r="BW1396" s="469"/>
      <c r="BX1396" s="449"/>
      <c r="BY1396" s="449"/>
      <c r="BZ1396" s="449"/>
    </row>
    <row r="1397" spans="67:78" s="457" customFormat="1" x14ac:dyDescent="0.2">
      <c r="BO1397" s="468"/>
      <c r="BP1397" s="468"/>
      <c r="BQ1397" s="468"/>
      <c r="BR1397" s="468"/>
      <c r="BS1397" s="468"/>
      <c r="BT1397" s="468"/>
      <c r="BU1397" s="468"/>
      <c r="BV1397" s="468"/>
      <c r="BW1397" s="469"/>
      <c r="BX1397" s="449"/>
      <c r="BY1397" s="449"/>
      <c r="BZ1397" s="449"/>
    </row>
    <row r="1398" spans="67:78" s="457" customFormat="1" x14ac:dyDescent="0.2">
      <c r="BO1398" s="468"/>
      <c r="BP1398" s="468"/>
      <c r="BQ1398" s="468"/>
      <c r="BR1398" s="468"/>
      <c r="BS1398" s="468"/>
      <c r="BT1398" s="468"/>
      <c r="BU1398" s="468"/>
      <c r="BV1398" s="468"/>
      <c r="BW1398" s="469"/>
      <c r="BX1398" s="449"/>
      <c r="BY1398" s="449"/>
      <c r="BZ1398" s="449"/>
    </row>
    <row r="1399" spans="67:78" s="457" customFormat="1" x14ac:dyDescent="0.2">
      <c r="BO1399" s="468"/>
      <c r="BP1399" s="468"/>
      <c r="BQ1399" s="468"/>
      <c r="BR1399" s="468"/>
      <c r="BS1399" s="468"/>
      <c r="BT1399" s="468"/>
      <c r="BU1399" s="468"/>
      <c r="BV1399" s="468"/>
      <c r="BW1399" s="469"/>
      <c r="BX1399" s="449"/>
      <c r="BY1399" s="449"/>
      <c r="BZ1399" s="449"/>
    </row>
    <row r="1400" spans="67:78" s="457" customFormat="1" x14ac:dyDescent="0.2">
      <c r="BO1400" s="468"/>
      <c r="BP1400" s="468"/>
      <c r="BQ1400" s="468"/>
      <c r="BR1400" s="468"/>
      <c r="BS1400" s="468"/>
      <c r="BT1400" s="468"/>
      <c r="BU1400" s="468"/>
      <c r="BV1400" s="468"/>
      <c r="BW1400" s="469"/>
      <c r="BX1400" s="449"/>
      <c r="BY1400" s="449"/>
      <c r="BZ1400" s="449"/>
    </row>
    <row r="1401" spans="67:78" s="457" customFormat="1" x14ac:dyDescent="0.2">
      <c r="BO1401" s="468"/>
      <c r="BP1401" s="468"/>
      <c r="BQ1401" s="468"/>
      <c r="BR1401" s="468"/>
      <c r="BS1401" s="468"/>
      <c r="BT1401" s="468"/>
      <c r="BU1401" s="468"/>
      <c r="BV1401" s="468"/>
      <c r="BW1401" s="469"/>
      <c r="BX1401" s="449"/>
      <c r="BY1401" s="449"/>
      <c r="BZ1401" s="449"/>
    </row>
    <row r="1402" spans="67:78" s="457" customFormat="1" x14ac:dyDescent="0.2">
      <c r="BO1402" s="468"/>
      <c r="BP1402" s="468"/>
      <c r="BQ1402" s="468"/>
      <c r="BR1402" s="468"/>
      <c r="BS1402" s="468"/>
      <c r="BT1402" s="468"/>
      <c r="BU1402" s="468"/>
      <c r="BV1402" s="468"/>
      <c r="BW1402" s="469"/>
      <c r="BX1402" s="449"/>
      <c r="BY1402" s="449"/>
      <c r="BZ1402" s="449"/>
    </row>
    <row r="1403" spans="67:78" s="457" customFormat="1" x14ac:dyDescent="0.2">
      <c r="BO1403" s="468"/>
      <c r="BP1403" s="468"/>
      <c r="BQ1403" s="468"/>
      <c r="BR1403" s="468"/>
      <c r="BS1403" s="468"/>
      <c r="BT1403" s="468"/>
      <c r="BU1403" s="468"/>
      <c r="BV1403" s="468"/>
      <c r="BW1403" s="469"/>
      <c r="BX1403" s="449"/>
      <c r="BY1403" s="449"/>
      <c r="BZ1403" s="449"/>
    </row>
    <row r="1404" spans="67:78" s="457" customFormat="1" x14ac:dyDescent="0.2">
      <c r="BO1404" s="468"/>
      <c r="BP1404" s="468"/>
      <c r="BQ1404" s="468"/>
      <c r="BR1404" s="468"/>
      <c r="BS1404" s="468"/>
      <c r="BT1404" s="468"/>
      <c r="BU1404" s="468"/>
      <c r="BV1404" s="468"/>
      <c r="BW1404" s="469"/>
      <c r="BX1404" s="449"/>
      <c r="BY1404" s="449"/>
      <c r="BZ1404" s="449"/>
    </row>
    <row r="1405" spans="67:78" s="457" customFormat="1" x14ac:dyDescent="0.2">
      <c r="BO1405" s="468"/>
      <c r="BP1405" s="468"/>
      <c r="BQ1405" s="468"/>
      <c r="BR1405" s="468"/>
      <c r="BS1405" s="468"/>
      <c r="BT1405" s="468"/>
      <c r="BU1405" s="468"/>
      <c r="BV1405" s="468"/>
      <c r="BW1405" s="469"/>
      <c r="BX1405" s="449"/>
      <c r="BY1405" s="449"/>
      <c r="BZ1405" s="449"/>
    </row>
    <row r="1406" spans="67:78" s="457" customFormat="1" x14ac:dyDescent="0.2">
      <c r="BO1406" s="468"/>
      <c r="BP1406" s="468"/>
      <c r="BQ1406" s="468"/>
      <c r="BR1406" s="468"/>
      <c r="BS1406" s="468"/>
      <c r="BT1406" s="468"/>
      <c r="BU1406" s="468"/>
      <c r="BV1406" s="468"/>
      <c r="BW1406" s="469"/>
      <c r="BX1406" s="449"/>
      <c r="BY1406" s="449"/>
      <c r="BZ1406" s="449"/>
    </row>
    <row r="1407" spans="67:78" s="457" customFormat="1" x14ac:dyDescent="0.2">
      <c r="BO1407" s="468"/>
      <c r="BP1407" s="468"/>
      <c r="BQ1407" s="468"/>
      <c r="BR1407" s="468"/>
      <c r="BS1407" s="468"/>
      <c r="BT1407" s="468"/>
      <c r="BU1407" s="468"/>
      <c r="BV1407" s="468"/>
      <c r="BW1407" s="469"/>
      <c r="BX1407" s="449"/>
      <c r="BY1407" s="449"/>
      <c r="BZ1407" s="449"/>
    </row>
    <row r="1408" spans="67:78" s="457" customFormat="1" x14ac:dyDescent="0.2">
      <c r="BO1408" s="468"/>
      <c r="BP1408" s="468"/>
      <c r="BQ1408" s="468"/>
      <c r="BR1408" s="468"/>
      <c r="BS1408" s="468"/>
      <c r="BT1408" s="468"/>
      <c r="BU1408" s="468"/>
      <c r="BV1408" s="468"/>
      <c r="BW1408" s="469"/>
      <c r="BX1408" s="449"/>
      <c r="BY1408" s="449"/>
      <c r="BZ1408" s="449"/>
    </row>
    <row r="1409" spans="67:78" s="457" customFormat="1" x14ac:dyDescent="0.2">
      <c r="BO1409" s="468"/>
      <c r="BP1409" s="468"/>
      <c r="BQ1409" s="468"/>
      <c r="BR1409" s="468"/>
      <c r="BS1409" s="468"/>
      <c r="BT1409" s="468"/>
      <c r="BU1409" s="468"/>
      <c r="BV1409" s="468"/>
      <c r="BW1409" s="469"/>
      <c r="BX1409" s="449"/>
      <c r="BY1409" s="449"/>
      <c r="BZ1409" s="449"/>
    </row>
    <row r="1410" spans="67:78" s="457" customFormat="1" x14ac:dyDescent="0.2">
      <c r="BO1410" s="468"/>
      <c r="BP1410" s="468"/>
      <c r="BQ1410" s="468"/>
      <c r="BR1410" s="468"/>
      <c r="BS1410" s="468"/>
      <c r="BT1410" s="468"/>
      <c r="BU1410" s="468"/>
      <c r="BV1410" s="468"/>
      <c r="BW1410" s="469"/>
      <c r="BX1410" s="449"/>
      <c r="BY1410" s="449"/>
      <c r="BZ1410" s="449"/>
    </row>
    <row r="1411" spans="67:78" s="457" customFormat="1" x14ac:dyDescent="0.2">
      <c r="BO1411" s="468"/>
      <c r="BP1411" s="468"/>
      <c r="BQ1411" s="468"/>
      <c r="BR1411" s="468"/>
      <c r="BS1411" s="468"/>
      <c r="BT1411" s="468"/>
      <c r="BU1411" s="468"/>
      <c r="BV1411" s="468"/>
      <c r="BW1411" s="469"/>
      <c r="BX1411" s="449"/>
      <c r="BY1411" s="449"/>
      <c r="BZ1411" s="449"/>
    </row>
    <row r="1412" spans="67:78" s="457" customFormat="1" x14ac:dyDescent="0.2">
      <c r="BO1412" s="468"/>
      <c r="BP1412" s="468"/>
      <c r="BQ1412" s="468"/>
      <c r="BR1412" s="468"/>
      <c r="BS1412" s="468"/>
      <c r="BT1412" s="468"/>
      <c r="BU1412" s="468"/>
      <c r="BV1412" s="468"/>
      <c r="BW1412" s="469"/>
      <c r="BX1412" s="449"/>
      <c r="BY1412" s="449"/>
      <c r="BZ1412" s="449"/>
    </row>
    <row r="1413" spans="67:78" s="457" customFormat="1" x14ac:dyDescent="0.2">
      <c r="BO1413" s="468"/>
      <c r="BP1413" s="468"/>
      <c r="BQ1413" s="468"/>
      <c r="BR1413" s="468"/>
      <c r="BS1413" s="468"/>
      <c r="BT1413" s="468"/>
      <c r="BU1413" s="468"/>
      <c r="BV1413" s="468"/>
      <c r="BW1413" s="469"/>
      <c r="BX1413" s="449"/>
      <c r="BY1413" s="449"/>
      <c r="BZ1413" s="449"/>
    </row>
    <row r="1414" spans="67:78" s="457" customFormat="1" x14ac:dyDescent="0.2">
      <c r="BO1414" s="468"/>
      <c r="BP1414" s="468"/>
      <c r="BQ1414" s="468"/>
      <c r="BR1414" s="468"/>
      <c r="BS1414" s="468"/>
      <c r="BT1414" s="468"/>
      <c r="BU1414" s="468"/>
      <c r="BV1414" s="468"/>
      <c r="BW1414" s="469"/>
      <c r="BX1414" s="449"/>
      <c r="BY1414" s="449"/>
      <c r="BZ1414" s="449"/>
    </row>
    <row r="1415" spans="67:78" s="457" customFormat="1" x14ac:dyDescent="0.2">
      <c r="BO1415" s="468"/>
      <c r="BP1415" s="468"/>
      <c r="BQ1415" s="468"/>
      <c r="BR1415" s="468"/>
      <c r="BS1415" s="468"/>
      <c r="BT1415" s="468"/>
      <c r="BU1415" s="468"/>
      <c r="BV1415" s="468"/>
      <c r="BW1415" s="469"/>
      <c r="BX1415" s="449"/>
      <c r="BY1415" s="449"/>
      <c r="BZ1415" s="449"/>
    </row>
    <row r="1416" spans="67:78" s="457" customFormat="1" x14ac:dyDescent="0.2">
      <c r="BO1416" s="468"/>
      <c r="BP1416" s="468"/>
      <c r="BQ1416" s="468"/>
      <c r="BR1416" s="468"/>
      <c r="BS1416" s="468"/>
      <c r="BT1416" s="468"/>
      <c r="BU1416" s="468"/>
      <c r="BV1416" s="468"/>
      <c r="BW1416" s="469"/>
      <c r="BX1416" s="449"/>
      <c r="BY1416" s="449"/>
      <c r="BZ1416" s="449"/>
    </row>
    <row r="1417" spans="67:78" s="457" customFormat="1" x14ac:dyDescent="0.2">
      <c r="BO1417" s="468"/>
      <c r="BP1417" s="468"/>
      <c r="BQ1417" s="468"/>
      <c r="BR1417" s="468"/>
      <c r="BS1417" s="468"/>
      <c r="BT1417" s="468"/>
      <c r="BU1417" s="468"/>
      <c r="BV1417" s="468"/>
      <c r="BW1417" s="469"/>
      <c r="BX1417" s="449"/>
      <c r="BY1417" s="449"/>
      <c r="BZ1417" s="449"/>
    </row>
    <row r="1418" spans="67:78" s="457" customFormat="1" x14ac:dyDescent="0.2">
      <c r="BO1418" s="468"/>
      <c r="BP1418" s="468"/>
      <c r="BQ1418" s="468"/>
      <c r="BR1418" s="468"/>
      <c r="BS1418" s="468"/>
      <c r="BT1418" s="468"/>
      <c r="BU1418" s="468"/>
      <c r="BV1418" s="468"/>
      <c r="BW1418" s="469"/>
      <c r="BX1418" s="449"/>
      <c r="BY1418" s="449"/>
      <c r="BZ1418" s="449"/>
    </row>
    <row r="1419" spans="67:78" s="457" customFormat="1" x14ac:dyDescent="0.2">
      <c r="BO1419" s="468"/>
      <c r="BP1419" s="468"/>
      <c r="BQ1419" s="468"/>
      <c r="BR1419" s="468"/>
      <c r="BS1419" s="468"/>
      <c r="BT1419" s="468"/>
      <c r="BU1419" s="468"/>
      <c r="BV1419" s="468"/>
      <c r="BW1419" s="469"/>
      <c r="BX1419" s="449"/>
      <c r="BY1419" s="449"/>
      <c r="BZ1419" s="449"/>
    </row>
    <row r="1420" spans="67:78" s="457" customFormat="1" x14ac:dyDescent="0.2">
      <c r="BO1420" s="468"/>
      <c r="BP1420" s="468"/>
      <c r="BQ1420" s="468"/>
      <c r="BR1420" s="468"/>
      <c r="BS1420" s="468"/>
      <c r="BT1420" s="468"/>
      <c r="BU1420" s="468"/>
      <c r="BV1420" s="468"/>
      <c r="BW1420" s="469"/>
      <c r="BX1420" s="449"/>
      <c r="BY1420" s="449"/>
      <c r="BZ1420" s="449"/>
    </row>
    <row r="1421" spans="67:78" s="457" customFormat="1" x14ac:dyDescent="0.2">
      <c r="BO1421" s="468"/>
      <c r="BP1421" s="468"/>
      <c r="BQ1421" s="468"/>
      <c r="BR1421" s="468"/>
      <c r="BS1421" s="468"/>
      <c r="BT1421" s="468"/>
      <c r="BU1421" s="468"/>
      <c r="BV1421" s="468"/>
      <c r="BW1421" s="469"/>
      <c r="BX1421" s="449"/>
      <c r="BY1421" s="449"/>
      <c r="BZ1421" s="449"/>
    </row>
    <row r="1422" spans="67:78" s="457" customFormat="1" x14ac:dyDescent="0.2">
      <c r="BO1422" s="468"/>
      <c r="BP1422" s="468"/>
      <c r="BQ1422" s="468"/>
      <c r="BR1422" s="468"/>
      <c r="BS1422" s="468"/>
      <c r="BT1422" s="468"/>
      <c r="BU1422" s="468"/>
      <c r="BV1422" s="468"/>
      <c r="BW1422" s="469"/>
      <c r="BX1422" s="449"/>
      <c r="BY1422" s="449"/>
      <c r="BZ1422" s="449"/>
    </row>
    <row r="1423" spans="67:78" s="457" customFormat="1" x14ac:dyDescent="0.2">
      <c r="BO1423" s="468"/>
      <c r="BP1423" s="468"/>
      <c r="BQ1423" s="468"/>
      <c r="BR1423" s="468"/>
      <c r="BS1423" s="468"/>
      <c r="BT1423" s="468"/>
      <c r="BU1423" s="468"/>
      <c r="BV1423" s="468"/>
      <c r="BW1423" s="469"/>
      <c r="BX1423" s="449"/>
      <c r="BY1423" s="449"/>
      <c r="BZ1423" s="449"/>
    </row>
    <row r="1424" spans="67:78" s="457" customFormat="1" x14ac:dyDescent="0.2">
      <c r="BO1424" s="468"/>
      <c r="BP1424" s="468"/>
      <c r="BQ1424" s="468"/>
      <c r="BR1424" s="468"/>
      <c r="BS1424" s="468"/>
      <c r="BT1424" s="468"/>
      <c r="BU1424" s="468"/>
      <c r="BV1424" s="468"/>
      <c r="BW1424" s="469"/>
      <c r="BX1424" s="449"/>
      <c r="BY1424" s="449"/>
      <c r="BZ1424" s="449"/>
    </row>
    <row r="1425" spans="67:78" s="457" customFormat="1" x14ac:dyDescent="0.2">
      <c r="BO1425" s="468"/>
      <c r="BP1425" s="468"/>
      <c r="BQ1425" s="468"/>
      <c r="BR1425" s="468"/>
      <c r="BS1425" s="468"/>
      <c r="BT1425" s="468"/>
      <c r="BU1425" s="468"/>
      <c r="BV1425" s="468"/>
      <c r="BW1425" s="469"/>
      <c r="BX1425" s="449"/>
      <c r="BY1425" s="449"/>
      <c r="BZ1425" s="449"/>
    </row>
    <row r="1426" spans="67:78" s="457" customFormat="1" x14ac:dyDescent="0.2">
      <c r="BO1426" s="468"/>
      <c r="BP1426" s="468"/>
      <c r="BQ1426" s="468"/>
      <c r="BR1426" s="468"/>
      <c r="BS1426" s="468"/>
      <c r="BT1426" s="468"/>
      <c r="BU1426" s="468"/>
      <c r="BV1426" s="468"/>
      <c r="BW1426" s="469"/>
      <c r="BX1426" s="449"/>
      <c r="BY1426" s="449"/>
      <c r="BZ1426" s="449"/>
    </row>
    <row r="1427" spans="67:78" s="457" customFormat="1" x14ac:dyDescent="0.2">
      <c r="BO1427" s="468"/>
      <c r="BP1427" s="468"/>
      <c r="BQ1427" s="468"/>
      <c r="BR1427" s="468"/>
      <c r="BS1427" s="468"/>
      <c r="BT1427" s="468"/>
      <c r="BU1427" s="468"/>
      <c r="BV1427" s="468"/>
      <c r="BW1427" s="469"/>
      <c r="BX1427" s="449"/>
      <c r="BY1427" s="449"/>
      <c r="BZ1427" s="449"/>
    </row>
    <row r="1428" spans="67:78" s="457" customFormat="1" x14ac:dyDescent="0.2">
      <c r="BO1428" s="468"/>
      <c r="BP1428" s="468"/>
      <c r="BQ1428" s="468"/>
      <c r="BR1428" s="468"/>
      <c r="BS1428" s="468"/>
      <c r="BT1428" s="468"/>
      <c r="BU1428" s="468"/>
      <c r="BV1428" s="468"/>
      <c r="BW1428" s="469"/>
      <c r="BX1428" s="449"/>
      <c r="BY1428" s="449"/>
      <c r="BZ1428" s="449"/>
    </row>
    <row r="1429" spans="67:78" s="457" customFormat="1" x14ac:dyDescent="0.2">
      <c r="BO1429" s="468"/>
      <c r="BP1429" s="468"/>
      <c r="BQ1429" s="468"/>
      <c r="BR1429" s="468"/>
      <c r="BS1429" s="468"/>
      <c r="BT1429" s="468"/>
      <c r="BU1429" s="468"/>
      <c r="BV1429" s="468"/>
      <c r="BW1429" s="469"/>
      <c r="BX1429" s="449"/>
      <c r="BY1429" s="449"/>
      <c r="BZ1429" s="449"/>
    </row>
    <row r="1430" spans="67:78" s="457" customFormat="1" x14ac:dyDescent="0.2">
      <c r="BO1430" s="468"/>
      <c r="BP1430" s="468"/>
      <c r="BQ1430" s="468"/>
      <c r="BR1430" s="468"/>
      <c r="BS1430" s="468"/>
      <c r="BT1430" s="468"/>
      <c r="BU1430" s="468"/>
      <c r="BV1430" s="468"/>
      <c r="BW1430" s="469"/>
      <c r="BX1430" s="449"/>
      <c r="BY1430" s="449"/>
      <c r="BZ1430" s="449"/>
    </row>
    <row r="1431" spans="67:78" s="457" customFormat="1" x14ac:dyDescent="0.2">
      <c r="BO1431" s="468"/>
      <c r="BP1431" s="468"/>
      <c r="BQ1431" s="468"/>
      <c r="BR1431" s="468"/>
      <c r="BS1431" s="468"/>
      <c r="BT1431" s="468"/>
      <c r="BU1431" s="468"/>
      <c r="BV1431" s="468"/>
      <c r="BW1431" s="469"/>
      <c r="BX1431" s="449"/>
      <c r="BY1431" s="449"/>
      <c r="BZ1431" s="449"/>
    </row>
    <row r="1432" spans="67:78" s="457" customFormat="1" x14ac:dyDescent="0.2">
      <c r="BO1432" s="468"/>
      <c r="BP1432" s="468"/>
      <c r="BQ1432" s="468"/>
      <c r="BR1432" s="468"/>
      <c r="BS1432" s="468"/>
      <c r="BT1432" s="468"/>
      <c r="BU1432" s="468"/>
      <c r="BV1432" s="468"/>
      <c r="BW1432" s="469"/>
      <c r="BX1432" s="449"/>
      <c r="BY1432" s="449"/>
      <c r="BZ1432" s="449"/>
    </row>
    <row r="1433" spans="67:78" s="457" customFormat="1" x14ac:dyDescent="0.2">
      <c r="BO1433" s="468"/>
      <c r="BP1433" s="468"/>
      <c r="BQ1433" s="468"/>
      <c r="BR1433" s="468"/>
      <c r="BS1433" s="468"/>
      <c r="BT1433" s="468"/>
      <c r="BU1433" s="468"/>
      <c r="BV1433" s="468"/>
      <c r="BW1433" s="469"/>
      <c r="BX1433" s="449"/>
      <c r="BY1433" s="449"/>
      <c r="BZ1433" s="449"/>
    </row>
    <row r="1434" spans="67:78" s="457" customFormat="1" x14ac:dyDescent="0.2">
      <c r="BO1434" s="468"/>
      <c r="BP1434" s="468"/>
      <c r="BQ1434" s="468"/>
      <c r="BR1434" s="468"/>
      <c r="BS1434" s="468"/>
      <c r="BT1434" s="468"/>
      <c r="BU1434" s="468"/>
      <c r="BV1434" s="468"/>
      <c r="BW1434" s="469"/>
      <c r="BX1434" s="449"/>
      <c r="BY1434" s="449"/>
      <c r="BZ1434" s="449"/>
    </row>
    <row r="1435" spans="67:78" s="457" customFormat="1" x14ac:dyDescent="0.2">
      <c r="BO1435" s="468"/>
      <c r="BP1435" s="468"/>
      <c r="BQ1435" s="468"/>
      <c r="BR1435" s="468"/>
      <c r="BS1435" s="468"/>
      <c r="BT1435" s="468"/>
      <c r="BU1435" s="468"/>
      <c r="BV1435" s="468"/>
      <c r="BW1435" s="469"/>
      <c r="BX1435" s="449"/>
      <c r="BY1435" s="449"/>
      <c r="BZ1435" s="449"/>
    </row>
    <row r="1436" spans="67:78" s="457" customFormat="1" x14ac:dyDescent="0.2">
      <c r="BO1436" s="468"/>
      <c r="BP1436" s="468"/>
      <c r="BQ1436" s="468"/>
      <c r="BR1436" s="468"/>
      <c r="BS1436" s="468"/>
      <c r="BT1436" s="468"/>
      <c r="BU1436" s="468"/>
      <c r="BV1436" s="468"/>
      <c r="BW1436" s="469"/>
      <c r="BX1436" s="449"/>
      <c r="BY1436" s="449"/>
      <c r="BZ1436" s="449"/>
    </row>
    <row r="1437" spans="67:78" s="457" customFormat="1" x14ac:dyDescent="0.2">
      <c r="BO1437" s="468"/>
      <c r="BP1437" s="468"/>
      <c r="BQ1437" s="468"/>
      <c r="BR1437" s="468"/>
      <c r="BS1437" s="468"/>
      <c r="BT1437" s="468"/>
      <c r="BU1437" s="468"/>
      <c r="BV1437" s="468"/>
      <c r="BW1437" s="469"/>
      <c r="BX1437" s="449"/>
      <c r="BY1437" s="449"/>
      <c r="BZ1437" s="449"/>
    </row>
    <row r="1438" spans="67:78" s="457" customFormat="1" x14ac:dyDescent="0.2">
      <c r="BO1438" s="468"/>
      <c r="BP1438" s="468"/>
      <c r="BQ1438" s="468"/>
      <c r="BR1438" s="468"/>
      <c r="BS1438" s="468"/>
      <c r="BT1438" s="468"/>
      <c r="BU1438" s="468"/>
      <c r="BV1438" s="468"/>
      <c r="BW1438" s="469"/>
      <c r="BX1438" s="449"/>
      <c r="BY1438" s="449"/>
      <c r="BZ1438" s="449"/>
    </row>
    <row r="1439" spans="67:78" s="457" customFormat="1" x14ac:dyDescent="0.2">
      <c r="BO1439" s="468"/>
      <c r="BP1439" s="468"/>
      <c r="BQ1439" s="468"/>
      <c r="BR1439" s="468"/>
      <c r="BS1439" s="468"/>
      <c r="BT1439" s="468"/>
      <c r="BU1439" s="468"/>
      <c r="BV1439" s="468"/>
      <c r="BW1439" s="469"/>
      <c r="BX1439" s="449"/>
      <c r="BY1439" s="449"/>
      <c r="BZ1439" s="449"/>
    </row>
    <row r="1440" spans="67:78" s="457" customFormat="1" x14ac:dyDescent="0.2">
      <c r="BO1440" s="468"/>
      <c r="BP1440" s="468"/>
      <c r="BQ1440" s="468"/>
      <c r="BR1440" s="468"/>
      <c r="BS1440" s="468"/>
      <c r="BT1440" s="468"/>
      <c r="BU1440" s="468"/>
      <c r="BV1440" s="468"/>
      <c r="BW1440" s="469"/>
      <c r="BX1440" s="449"/>
      <c r="BY1440" s="449"/>
      <c r="BZ1440" s="449"/>
    </row>
    <row r="1441" spans="67:78" s="457" customFormat="1" x14ac:dyDescent="0.2">
      <c r="BO1441" s="468"/>
      <c r="BP1441" s="468"/>
      <c r="BQ1441" s="468"/>
      <c r="BR1441" s="468"/>
      <c r="BS1441" s="468"/>
      <c r="BT1441" s="468"/>
      <c r="BU1441" s="468"/>
      <c r="BV1441" s="468"/>
      <c r="BW1441" s="469"/>
      <c r="BX1441" s="449"/>
      <c r="BY1441" s="449"/>
      <c r="BZ1441" s="449"/>
    </row>
    <row r="1442" spans="67:78" s="457" customFormat="1" x14ac:dyDescent="0.2">
      <c r="BO1442" s="468"/>
      <c r="BP1442" s="468"/>
      <c r="BQ1442" s="468"/>
      <c r="BR1442" s="468"/>
      <c r="BS1442" s="468"/>
      <c r="BT1442" s="468"/>
      <c r="BU1442" s="468"/>
      <c r="BV1442" s="468"/>
      <c r="BW1442" s="469"/>
      <c r="BX1442" s="449"/>
      <c r="BY1442" s="449"/>
      <c r="BZ1442" s="449"/>
    </row>
    <row r="1443" spans="67:78" s="457" customFormat="1" x14ac:dyDescent="0.2">
      <c r="BO1443" s="468"/>
      <c r="BP1443" s="468"/>
      <c r="BQ1443" s="468"/>
      <c r="BR1443" s="468"/>
      <c r="BS1443" s="468"/>
      <c r="BT1443" s="468"/>
      <c r="BU1443" s="468"/>
      <c r="BV1443" s="468"/>
      <c r="BW1443" s="469"/>
      <c r="BX1443" s="449"/>
      <c r="BY1443" s="449"/>
      <c r="BZ1443" s="449"/>
    </row>
    <row r="1444" spans="67:78" s="457" customFormat="1" x14ac:dyDescent="0.2">
      <c r="BO1444" s="468"/>
      <c r="BP1444" s="468"/>
      <c r="BQ1444" s="468"/>
      <c r="BR1444" s="468"/>
      <c r="BS1444" s="468"/>
      <c r="BT1444" s="468"/>
      <c r="BU1444" s="468"/>
      <c r="BV1444" s="468"/>
      <c r="BW1444" s="469"/>
      <c r="BX1444" s="449"/>
      <c r="BY1444" s="449"/>
      <c r="BZ1444" s="449"/>
    </row>
    <row r="1445" spans="67:78" s="457" customFormat="1" x14ac:dyDescent="0.2">
      <c r="BO1445" s="468"/>
      <c r="BP1445" s="468"/>
      <c r="BQ1445" s="468"/>
      <c r="BR1445" s="468"/>
      <c r="BS1445" s="468"/>
      <c r="BT1445" s="468"/>
      <c r="BU1445" s="468"/>
      <c r="BV1445" s="468"/>
      <c r="BW1445" s="469"/>
      <c r="BX1445" s="449"/>
      <c r="BY1445" s="449"/>
      <c r="BZ1445" s="449"/>
    </row>
    <row r="1446" spans="67:78" s="457" customFormat="1" x14ac:dyDescent="0.2">
      <c r="BO1446" s="468"/>
      <c r="BP1446" s="468"/>
      <c r="BQ1446" s="468"/>
      <c r="BR1446" s="468"/>
      <c r="BS1446" s="468"/>
      <c r="BT1446" s="468"/>
      <c r="BU1446" s="468"/>
      <c r="BV1446" s="468"/>
      <c r="BW1446" s="469"/>
      <c r="BX1446" s="449"/>
      <c r="BY1446" s="449"/>
      <c r="BZ1446" s="449"/>
    </row>
    <row r="1447" spans="67:78" s="457" customFormat="1" x14ac:dyDescent="0.2">
      <c r="BO1447" s="468"/>
      <c r="BP1447" s="468"/>
      <c r="BQ1447" s="468"/>
      <c r="BR1447" s="468"/>
      <c r="BS1447" s="468"/>
      <c r="BT1447" s="468"/>
      <c r="BU1447" s="468"/>
      <c r="BV1447" s="468"/>
      <c r="BW1447" s="469"/>
      <c r="BX1447" s="449"/>
      <c r="BY1447" s="449"/>
      <c r="BZ1447" s="449"/>
    </row>
    <row r="1448" spans="67:78" s="457" customFormat="1" x14ac:dyDescent="0.2">
      <c r="BO1448" s="468"/>
      <c r="BP1448" s="468"/>
      <c r="BQ1448" s="468"/>
      <c r="BR1448" s="468"/>
      <c r="BS1448" s="468"/>
      <c r="BT1448" s="468"/>
      <c r="BU1448" s="468"/>
      <c r="BV1448" s="468"/>
      <c r="BW1448" s="469"/>
      <c r="BX1448" s="449"/>
      <c r="BY1448" s="449"/>
      <c r="BZ1448" s="449"/>
    </row>
    <row r="1449" spans="67:78" s="457" customFormat="1" x14ac:dyDescent="0.2">
      <c r="BO1449" s="468"/>
      <c r="BP1449" s="468"/>
      <c r="BQ1449" s="468"/>
      <c r="BR1449" s="468"/>
      <c r="BS1449" s="468"/>
      <c r="BT1449" s="468"/>
      <c r="BU1449" s="468"/>
      <c r="BV1449" s="468"/>
      <c r="BW1449" s="469"/>
      <c r="BX1449" s="449"/>
      <c r="BY1449" s="449"/>
      <c r="BZ1449" s="449"/>
    </row>
    <row r="1450" spans="67:78" s="457" customFormat="1" x14ac:dyDescent="0.2">
      <c r="BO1450" s="468"/>
      <c r="BP1450" s="468"/>
      <c r="BQ1450" s="468"/>
      <c r="BR1450" s="468"/>
      <c r="BS1450" s="468"/>
      <c r="BT1450" s="468"/>
      <c r="BU1450" s="468"/>
      <c r="BV1450" s="468"/>
      <c r="BW1450" s="469"/>
      <c r="BX1450" s="449"/>
      <c r="BY1450" s="449"/>
      <c r="BZ1450" s="449"/>
    </row>
    <row r="1451" spans="67:78" s="457" customFormat="1" x14ac:dyDescent="0.2">
      <c r="BO1451" s="468"/>
      <c r="BP1451" s="468"/>
      <c r="BQ1451" s="468"/>
      <c r="BR1451" s="468"/>
      <c r="BS1451" s="468"/>
      <c r="BT1451" s="468"/>
      <c r="BU1451" s="468"/>
      <c r="BV1451" s="468"/>
      <c r="BW1451" s="469"/>
      <c r="BX1451" s="449"/>
      <c r="BY1451" s="449"/>
      <c r="BZ1451" s="449"/>
    </row>
    <row r="1452" spans="67:78" s="457" customFormat="1" x14ac:dyDescent="0.2">
      <c r="BO1452" s="468"/>
      <c r="BP1452" s="468"/>
      <c r="BQ1452" s="468"/>
      <c r="BR1452" s="468"/>
      <c r="BS1452" s="468"/>
      <c r="BT1452" s="468"/>
      <c r="BU1452" s="468"/>
      <c r="BV1452" s="468"/>
      <c r="BW1452" s="469"/>
      <c r="BX1452" s="449"/>
      <c r="BY1452" s="449"/>
      <c r="BZ1452" s="449"/>
    </row>
    <row r="1453" spans="67:78" s="457" customFormat="1" x14ac:dyDescent="0.2">
      <c r="BO1453" s="468"/>
      <c r="BP1453" s="468"/>
      <c r="BQ1453" s="468"/>
      <c r="BR1453" s="468"/>
      <c r="BS1453" s="468"/>
      <c r="BT1453" s="468"/>
      <c r="BU1453" s="468"/>
      <c r="BV1453" s="468"/>
      <c r="BW1453" s="469"/>
      <c r="BX1453" s="449"/>
      <c r="BY1453" s="449"/>
      <c r="BZ1453" s="449"/>
    </row>
    <row r="1454" spans="67:78" s="457" customFormat="1" x14ac:dyDescent="0.2">
      <c r="BO1454" s="468"/>
      <c r="BP1454" s="468"/>
      <c r="BQ1454" s="468"/>
      <c r="BR1454" s="468"/>
      <c r="BS1454" s="468"/>
      <c r="BT1454" s="468"/>
      <c r="BU1454" s="468"/>
      <c r="BV1454" s="468"/>
      <c r="BW1454" s="469"/>
      <c r="BX1454" s="449"/>
      <c r="BY1454" s="449"/>
      <c r="BZ1454" s="449"/>
    </row>
    <row r="1455" spans="67:78" s="457" customFormat="1" x14ac:dyDescent="0.2">
      <c r="BO1455" s="468"/>
      <c r="BP1455" s="468"/>
      <c r="BQ1455" s="468"/>
      <c r="BR1455" s="468"/>
      <c r="BS1455" s="468"/>
      <c r="BT1455" s="468"/>
      <c r="BU1455" s="468"/>
      <c r="BV1455" s="468"/>
      <c r="BW1455" s="469"/>
      <c r="BX1455" s="449"/>
      <c r="BY1455" s="449"/>
      <c r="BZ1455" s="449"/>
    </row>
    <row r="1456" spans="67:78" s="457" customFormat="1" x14ac:dyDescent="0.2">
      <c r="BO1456" s="468"/>
      <c r="BP1456" s="468"/>
      <c r="BQ1456" s="468"/>
      <c r="BR1456" s="468"/>
      <c r="BS1456" s="468"/>
      <c r="BT1456" s="468"/>
      <c r="BU1456" s="468"/>
      <c r="BV1456" s="468"/>
      <c r="BW1456" s="469"/>
      <c r="BX1456" s="449"/>
      <c r="BY1456" s="449"/>
      <c r="BZ1456" s="449"/>
    </row>
    <row r="1457" spans="67:78" s="457" customFormat="1" x14ac:dyDescent="0.2">
      <c r="BO1457" s="468"/>
      <c r="BP1457" s="468"/>
      <c r="BQ1457" s="468"/>
      <c r="BR1457" s="468"/>
      <c r="BS1457" s="468"/>
      <c r="BT1457" s="468"/>
      <c r="BU1457" s="468"/>
      <c r="BV1457" s="468"/>
      <c r="BW1457" s="469"/>
      <c r="BX1457" s="449"/>
      <c r="BY1457" s="449"/>
      <c r="BZ1457" s="449"/>
    </row>
    <row r="1458" spans="67:78" s="457" customFormat="1" x14ac:dyDescent="0.2">
      <c r="BO1458" s="468"/>
      <c r="BP1458" s="468"/>
      <c r="BQ1458" s="468"/>
      <c r="BR1458" s="468"/>
      <c r="BS1458" s="468"/>
      <c r="BT1458" s="468"/>
      <c r="BU1458" s="468"/>
      <c r="BV1458" s="468"/>
      <c r="BW1458" s="469"/>
      <c r="BX1458" s="449"/>
      <c r="BY1458" s="449"/>
      <c r="BZ1458" s="449"/>
    </row>
    <row r="1459" spans="67:78" s="457" customFormat="1" x14ac:dyDescent="0.2">
      <c r="BO1459" s="468"/>
      <c r="BP1459" s="468"/>
      <c r="BQ1459" s="468"/>
      <c r="BR1459" s="468"/>
      <c r="BS1459" s="468"/>
      <c r="BT1459" s="468"/>
      <c r="BU1459" s="468"/>
      <c r="BV1459" s="468"/>
      <c r="BW1459" s="469"/>
      <c r="BX1459" s="449"/>
      <c r="BY1459" s="449"/>
      <c r="BZ1459" s="449"/>
    </row>
    <row r="1460" spans="67:78" s="457" customFormat="1" x14ac:dyDescent="0.2">
      <c r="BO1460" s="468"/>
      <c r="BP1460" s="468"/>
      <c r="BQ1460" s="468"/>
      <c r="BR1460" s="468"/>
      <c r="BS1460" s="468"/>
      <c r="BT1460" s="468"/>
      <c r="BU1460" s="468"/>
      <c r="BV1460" s="468"/>
      <c r="BW1460" s="469"/>
      <c r="BX1460" s="449"/>
      <c r="BY1460" s="449"/>
      <c r="BZ1460" s="449"/>
    </row>
    <row r="1461" spans="67:78" s="457" customFormat="1" x14ac:dyDescent="0.2">
      <c r="BO1461" s="468"/>
      <c r="BP1461" s="468"/>
      <c r="BQ1461" s="468"/>
      <c r="BR1461" s="468"/>
      <c r="BS1461" s="468"/>
      <c r="BT1461" s="468"/>
      <c r="BU1461" s="468"/>
      <c r="BV1461" s="468"/>
      <c r="BW1461" s="469"/>
      <c r="BX1461" s="449"/>
      <c r="BY1461" s="449"/>
      <c r="BZ1461" s="449"/>
    </row>
    <row r="1462" spans="67:78" s="457" customFormat="1" x14ac:dyDescent="0.2">
      <c r="BO1462" s="468"/>
      <c r="BP1462" s="468"/>
      <c r="BQ1462" s="468"/>
      <c r="BR1462" s="468"/>
      <c r="BS1462" s="468"/>
      <c r="BT1462" s="468"/>
      <c r="BU1462" s="468"/>
      <c r="BV1462" s="468"/>
      <c r="BW1462" s="469"/>
      <c r="BX1462" s="449"/>
      <c r="BY1462" s="449"/>
      <c r="BZ1462" s="449"/>
    </row>
    <row r="1463" spans="67:78" s="457" customFormat="1" x14ac:dyDescent="0.2">
      <c r="BO1463" s="468"/>
      <c r="BP1463" s="468"/>
      <c r="BQ1463" s="468"/>
      <c r="BR1463" s="468"/>
      <c r="BS1463" s="468"/>
      <c r="BT1463" s="468"/>
      <c r="BU1463" s="468"/>
      <c r="BV1463" s="468"/>
      <c r="BW1463" s="469"/>
      <c r="BX1463" s="449"/>
      <c r="BY1463" s="449"/>
      <c r="BZ1463" s="449"/>
    </row>
    <row r="1464" spans="67:78" s="457" customFormat="1" x14ac:dyDescent="0.2">
      <c r="BO1464" s="468"/>
      <c r="BP1464" s="468"/>
      <c r="BQ1464" s="468"/>
      <c r="BR1464" s="468"/>
      <c r="BS1464" s="468"/>
      <c r="BT1464" s="468"/>
      <c r="BU1464" s="468"/>
      <c r="BV1464" s="468"/>
      <c r="BW1464" s="469"/>
      <c r="BX1464" s="449"/>
      <c r="BY1464" s="449"/>
      <c r="BZ1464" s="449"/>
    </row>
    <row r="1465" spans="67:78" s="457" customFormat="1" x14ac:dyDescent="0.2">
      <c r="BO1465" s="468"/>
      <c r="BP1465" s="468"/>
      <c r="BQ1465" s="468"/>
      <c r="BR1465" s="468"/>
      <c r="BS1465" s="468"/>
      <c r="BT1465" s="468"/>
      <c r="BU1465" s="468"/>
      <c r="BV1465" s="468"/>
      <c r="BW1465" s="469"/>
      <c r="BX1465" s="449"/>
      <c r="BY1465" s="449"/>
      <c r="BZ1465" s="449"/>
    </row>
    <row r="1466" spans="67:78" s="457" customFormat="1" x14ac:dyDescent="0.2">
      <c r="BO1466" s="468"/>
      <c r="BP1466" s="468"/>
      <c r="BQ1466" s="468"/>
      <c r="BR1466" s="468"/>
      <c r="BS1466" s="468"/>
      <c r="BT1466" s="468"/>
      <c r="BU1466" s="468"/>
      <c r="BV1466" s="468"/>
      <c r="BW1466" s="469"/>
      <c r="BX1466" s="449"/>
      <c r="BY1466" s="449"/>
      <c r="BZ1466" s="449"/>
    </row>
    <row r="1467" spans="67:78" s="457" customFormat="1" x14ac:dyDescent="0.2">
      <c r="BO1467" s="468"/>
      <c r="BP1467" s="468"/>
      <c r="BQ1467" s="468"/>
      <c r="BR1467" s="468"/>
      <c r="BS1467" s="468"/>
      <c r="BT1467" s="468"/>
      <c r="BU1467" s="468"/>
      <c r="BV1467" s="468"/>
      <c r="BW1467" s="469"/>
      <c r="BX1467" s="449"/>
      <c r="BY1467" s="449"/>
      <c r="BZ1467" s="449"/>
    </row>
    <row r="1468" spans="67:78" s="457" customFormat="1" x14ac:dyDescent="0.2">
      <c r="BO1468" s="468"/>
      <c r="BP1468" s="468"/>
      <c r="BQ1468" s="468"/>
      <c r="BR1468" s="468"/>
      <c r="BS1468" s="468"/>
      <c r="BT1468" s="468"/>
      <c r="BU1468" s="468"/>
      <c r="BV1468" s="468"/>
      <c r="BW1468" s="469"/>
      <c r="BX1468" s="449"/>
      <c r="BY1468" s="449"/>
      <c r="BZ1468" s="449"/>
    </row>
    <row r="1469" spans="67:78" s="457" customFormat="1" x14ac:dyDescent="0.2">
      <c r="BO1469" s="468"/>
      <c r="BP1469" s="468"/>
      <c r="BQ1469" s="468"/>
      <c r="BR1469" s="468"/>
      <c r="BS1469" s="468"/>
      <c r="BT1469" s="468"/>
      <c r="BU1469" s="468"/>
      <c r="BV1469" s="468"/>
      <c r="BW1469" s="469"/>
      <c r="BX1469" s="449"/>
      <c r="BY1469" s="449"/>
      <c r="BZ1469" s="449"/>
    </row>
    <row r="1470" spans="67:78" s="457" customFormat="1" x14ac:dyDescent="0.2">
      <c r="BO1470" s="468"/>
      <c r="BP1470" s="468"/>
      <c r="BQ1470" s="468"/>
      <c r="BR1470" s="468"/>
      <c r="BS1470" s="468"/>
      <c r="BT1470" s="468"/>
      <c r="BU1470" s="468"/>
      <c r="BV1470" s="468"/>
      <c r="BW1470" s="469"/>
      <c r="BX1470" s="449"/>
      <c r="BY1470" s="449"/>
      <c r="BZ1470" s="449"/>
    </row>
    <row r="1471" spans="67:78" s="457" customFormat="1" x14ac:dyDescent="0.2">
      <c r="BO1471" s="468"/>
      <c r="BP1471" s="468"/>
      <c r="BQ1471" s="468"/>
      <c r="BR1471" s="468"/>
      <c r="BS1471" s="468"/>
      <c r="BT1471" s="468"/>
      <c r="BU1471" s="468"/>
      <c r="BV1471" s="468"/>
      <c r="BW1471" s="469"/>
      <c r="BX1471" s="449"/>
      <c r="BY1471" s="449"/>
      <c r="BZ1471" s="449"/>
    </row>
    <row r="1472" spans="67:78" s="457" customFormat="1" x14ac:dyDescent="0.2">
      <c r="BO1472" s="468"/>
      <c r="BP1472" s="468"/>
      <c r="BQ1472" s="468"/>
      <c r="BR1472" s="468"/>
      <c r="BS1472" s="468"/>
      <c r="BT1472" s="468"/>
      <c r="BU1472" s="468"/>
      <c r="BV1472" s="468"/>
      <c r="BW1472" s="469"/>
      <c r="BX1472" s="449"/>
      <c r="BY1472" s="449"/>
      <c r="BZ1472" s="449"/>
    </row>
    <row r="1473" spans="67:78" s="457" customFormat="1" x14ac:dyDescent="0.2">
      <c r="BO1473" s="468"/>
      <c r="BP1473" s="468"/>
      <c r="BQ1473" s="468"/>
      <c r="BR1473" s="468"/>
      <c r="BS1473" s="468"/>
      <c r="BT1473" s="468"/>
      <c r="BU1473" s="468"/>
      <c r="BV1473" s="468"/>
      <c r="BW1473" s="469"/>
      <c r="BX1473" s="449"/>
      <c r="BY1473" s="449"/>
      <c r="BZ1473" s="449"/>
    </row>
    <row r="1474" spans="67:78" s="457" customFormat="1" x14ac:dyDescent="0.2">
      <c r="BO1474" s="468"/>
      <c r="BP1474" s="468"/>
      <c r="BQ1474" s="468"/>
      <c r="BR1474" s="468"/>
      <c r="BS1474" s="468"/>
      <c r="BT1474" s="468"/>
      <c r="BU1474" s="468"/>
      <c r="BV1474" s="468"/>
      <c r="BW1474" s="469"/>
      <c r="BX1474" s="449"/>
      <c r="BY1474" s="449"/>
      <c r="BZ1474" s="449"/>
    </row>
    <row r="1475" spans="67:78" s="457" customFormat="1" x14ac:dyDescent="0.2">
      <c r="BO1475" s="468"/>
      <c r="BP1475" s="468"/>
      <c r="BQ1475" s="468"/>
      <c r="BR1475" s="468"/>
      <c r="BS1475" s="468"/>
      <c r="BT1475" s="468"/>
      <c r="BU1475" s="468"/>
      <c r="BV1475" s="468"/>
      <c r="BW1475" s="469"/>
      <c r="BX1475" s="449"/>
      <c r="BY1475" s="449"/>
      <c r="BZ1475" s="449"/>
    </row>
    <row r="1476" spans="67:78" s="457" customFormat="1" x14ac:dyDescent="0.2">
      <c r="BO1476" s="468"/>
      <c r="BP1476" s="468"/>
      <c r="BQ1476" s="468"/>
      <c r="BR1476" s="468"/>
      <c r="BS1476" s="468"/>
      <c r="BT1476" s="468"/>
      <c r="BU1476" s="468"/>
      <c r="BV1476" s="468"/>
      <c r="BW1476" s="469"/>
      <c r="BX1476" s="449"/>
      <c r="BY1476" s="449"/>
      <c r="BZ1476" s="449"/>
    </row>
    <row r="1477" spans="67:78" s="457" customFormat="1" x14ac:dyDescent="0.2">
      <c r="BO1477" s="468"/>
      <c r="BP1477" s="468"/>
      <c r="BQ1477" s="468"/>
      <c r="BR1477" s="468"/>
      <c r="BS1477" s="468"/>
      <c r="BT1477" s="468"/>
      <c r="BU1477" s="468"/>
      <c r="BV1477" s="468"/>
      <c r="BW1477" s="469"/>
      <c r="BX1477" s="449"/>
      <c r="BY1477" s="449"/>
      <c r="BZ1477" s="449"/>
    </row>
    <row r="1478" spans="67:78" s="457" customFormat="1" x14ac:dyDescent="0.2">
      <c r="BO1478" s="468"/>
      <c r="BP1478" s="468"/>
      <c r="BQ1478" s="468"/>
      <c r="BR1478" s="468"/>
      <c r="BS1478" s="468"/>
      <c r="BT1478" s="468"/>
      <c r="BU1478" s="468"/>
      <c r="BV1478" s="468"/>
      <c r="BW1478" s="469"/>
      <c r="BX1478" s="449"/>
      <c r="BY1478" s="449"/>
      <c r="BZ1478" s="449"/>
    </row>
    <row r="1479" spans="67:78" s="457" customFormat="1" x14ac:dyDescent="0.2">
      <c r="BO1479" s="468"/>
      <c r="BP1479" s="468"/>
      <c r="BQ1479" s="468"/>
      <c r="BR1479" s="468"/>
      <c r="BS1479" s="468"/>
      <c r="BT1479" s="468"/>
      <c r="BU1479" s="468"/>
      <c r="BV1479" s="468"/>
      <c r="BW1479" s="469"/>
      <c r="BX1479" s="449"/>
      <c r="BY1479" s="449"/>
      <c r="BZ1479" s="449"/>
    </row>
    <row r="1480" spans="67:78" s="457" customFormat="1" x14ac:dyDescent="0.2">
      <c r="BO1480" s="468"/>
      <c r="BP1480" s="468"/>
      <c r="BQ1480" s="468"/>
      <c r="BR1480" s="468"/>
      <c r="BS1480" s="468"/>
      <c r="BT1480" s="468"/>
      <c r="BU1480" s="468"/>
      <c r="BV1480" s="468"/>
      <c r="BW1480" s="469"/>
      <c r="BX1480" s="449"/>
      <c r="BY1480" s="449"/>
      <c r="BZ1480" s="449"/>
    </row>
    <row r="1481" spans="67:78" s="457" customFormat="1" x14ac:dyDescent="0.2">
      <c r="BO1481" s="468"/>
      <c r="BP1481" s="468"/>
      <c r="BQ1481" s="468"/>
      <c r="BR1481" s="468"/>
      <c r="BS1481" s="468"/>
      <c r="BT1481" s="468"/>
      <c r="BU1481" s="468"/>
      <c r="BV1481" s="468"/>
      <c r="BW1481" s="469"/>
      <c r="BX1481" s="449"/>
      <c r="BY1481" s="449"/>
      <c r="BZ1481" s="449"/>
    </row>
    <row r="1482" spans="67:78" s="457" customFormat="1" x14ac:dyDescent="0.2">
      <c r="BO1482" s="468"/>
      <c r="BP1482" s="468"/>
      <c r="BQ1482" s="468"/>
      <c r="BR1482" s="468"/>
      <c r="BS1482" s="468"/>
      <c r="BT1482" s="468"/>
      <c r="BU1482" s="468"/>
      <c r="BV1482" s="468"/>
      <c r="BW1482" s="469"/>
      <c r="BX1482" s="449"/>
      <c r="BY1482" s="449"/>
      <c r="BZ1482" s="449"/>
    </row>
    <row r="1483" spans="67:78" s="457" customFormat="1" x14ac:dyDescent="0.2">
      <c r="BO1483" s="468"/>
      <c r="BP1483" s="468"/>
      <c r="BQ1483" s="468"/>
      <c r="BR1483" s="468"/>
      <c r="BS1483" s="468"/>
      <c r="BT1483" s="468"/>
      <c r="BU1483" s="468"/>
      <c r="BV1483" s="468"/>
      <c r="BW1483" s="469"/>
      <c r="BX1483" s="449"/>
      <c r="BY1483" s="449"/>
      <c r="BZ1483" s="449"/>
    </row>
    <row r="1484" spans="67:78" s="457" customFormat="1" x14ac:dyDescent="0.2">
      <c r="BO1484" s="468"/>
      <c r="BP1484" s="468"/>
      <c r="BQ1484" s="468"/>
      <c r="BR1484" s="468"/>
      <c r="BS1484" s="468"/>
      <c r="BT1484" s="468"/>
      <c r="BU1484" s="468"/>
      <c r="BV1484" s="468"/>
      <c r="BW1484" s="469"/>
      <c r="BX1484" s="449"/>
      <c r="BY1484" s="449"/>
      <c r="BZ1484" s="449"/>
    </row>
    <row r="1485" spans="67:78" s="457" customFormat="1" x14ac:dyDescent="0.2">
      <c r="BO1485" s="468"/>
      <c r="BP1485" s="468"/>
      <c r="BQ1485" s="468"/>
      <c r="BR1485" s="468"/>
      <c r="BS1485" s="468"/>
      <c r="BT1485" s="468"/>
      <c r="BU1485" s="468"/>
      <c r="BV1485" s="468"/>
      <c r="BW1485" s="469"/>
      <c r="BX1485" s="449"/>
      <c r="BY1485" s="449"/>
      <c r="BZ1485" s="449"/>
    </row>
    <row r="1486" spans="67:78" s="457" customFormat="1" x14ac:dyDescent="0.2">
      <c r="BO1486" s="468"/>
      <c r="BP1486" s="468"/>
      <c r="BQ1486" s="468"/>
      <c r="BR1486" s="468"/>
      <c r="BS1486" s="468"/>
      <c r="BT1486" s="468"/>
      <c r="BU1486" s="468"/>
      <c r="BV1486" s="468"/>
      <c r="BW1486" s="469"/>
      <c r="BX1486" s="449"/>
      <c r="BY1486" s="449"/>
      <c r="BZ1486" s="449"/>
    </row>
    <row r="1487" spans="67:78" s="457" customFormat="1" x14ac:dyDescent="0.2">
      <c r="BO1487" s="468"/>
      <c r="BP1487" s="468"/>
      <c r="BQ1487" s="468"/>
      <c r="BR1487" s="468"/>
      <c r="BS1487" s="468"/>
      <c r="BT1487" s="468"/>
      <c r="BU1487" s="468"/>
      <c r="BV1487" s="468"/>
      <c r="BW1487" s="469"/>
      <c r="BX1487" s="449"/>
      <c r="BY1487" s="449"/>
      <c r="BZ1487" s="449"/>
    </row>
    <row r="1488" spans="67:78" s="457" customFormat="1" x14ac:dyDescent="0.2">
      <c r="BO1488" s="468"/>
      <c r="BP1488" s="468"/>
      <c r="BQ1488" s="468"/>
      <c r="BR1488" s="468"/>
      <c r="BS1488" s="468"/>
      <c r="BT1488" s="468"/>
      <c r="BU1488" s="468"/>
      <c r="BV1488" s="468"/>
      <c r="BW1488" s="469"/>
      <c r="BX1488" s="449"/>
      <c r="BY1488" s="449"/>
      <c r="BZ1488" s="449"/>
    </row>
    <row r="1489" spans="67:78" s="457" customFormat="1" x14ac:dyDescent="0.2">
      <c r="BO1489" s="468"/>
      <c r="BP1489" s="468"/>
      <c r="BQ1489" s="468"/>
      <c r="BR1489" s="468"/>
      <c r="BS1489" s="468"/>
      <c r="BT1489" s="468"/>
      <c r="BU1489" s="468"/>
      <c r="BV1489" s="468"/>
      <c r="BW1489" s="469"/>
      <c r="BX1489" s="449"/>
      <c r="BY1489" s="449"/>
      <c r="BZ1489" s="449"/>
    </row>
    <row r="1490" spans="67:78" s="457" customFormat="1" x14ac:dyDescent="0.2">
      <c r="BO1490" s="468"/>
      <c r="BP1490" s="468"/>
      <c r="BQ1490" s="468"/>
      <c r="BR1490" s="468"/>
      <c r="BS1490" s="468"/>
      <c r="BT1490" s="468"/>
      <c r="BU1490" s="468"/>
      <c r="BV1490" s="468"/>
      <c r="BW1490" s="469"/>
      <c r="BX1490" s="449"/>
      <c r="BY1490" s="449"/>
      <c r="BZ1490" s="449"/>
    </row>
    <row r="1491" spans="67:78" s="457" customFormat="1" x14ac:dyDescent="0.2">
      <c r="BO1491" s="468"/>
      <c r="BP1491" s="468"/>
      <c r="BQ1491" s="468"/>
      <c r="BR1491" s="468"/>
      <c r="BS1491" s="468"/>
      <c r="BT1491" s="468"/>
      <c r="BU1491" s="468"/>
      <c r="BV1491" s="468"/>
      <c r="BW1491" s="469"/>
      <c r="BX1491" s="449"/>
      <c r="BY1491" s="449"/>
      <c r="BZ1491" s="449"/>
    </row>
    <row r="1492" spans="67:78" s="457" customFormat="1" x14ac:dyDescent="0.2">
      <c r="BO1492" s="468"/>
      <c r="BP1492" s="468"/>
      <c r="BQ1492" s="468"/>
      <c r="BR1492" s="468"/>
      <c r="BS1492" s="468"/>
      <c r="BT1492" s="468"/>
      <c r="BU1492" s="468"/>
      <c r="BV1492" s="468"/>
      <c r="BW1492" s="469"/>
      <c r="BX1492" s="449"/>
      <c r="BY1492" s="449"/>
      <c r="BZ1492" s="449"/>
    </row>
    <row r="1493" spans="67:78" s="457" customFormat="1" x14ac:dyDescent="0.2">
      <c r="BO1493" s="468"/>
      <c r="BP1493" s="468"/>
      <c r="BQ1493" s="468"/>
      <c r="BR1493" s="468"/>
      <c r="BS1493" s="468"/>
      <c r="BT1493" s="468"/>
      <c r="BU1493" s="468"/>
      <c r="BV1493" s="468"/>
      <c r="BW1493" s="469"/>
      <c r="BX1493" s="449"/>
      <c r="BY1493" s="449"/>
      <c r="BZ1493" s="449"/>
    </row>
    <row r="1494" spans="67:78" s="457" customFormat="1" x14ac:dyDescent="0.2">
      <c r="BO1494" s="468"/>
      <c r="BP1494" s="468"/>
      <c r="BQ1494" s="468"/>
      <c r="BR1494" s="468"/>
      <c r="BS1494" s="468"/>
      <c r="BT1494" s="468"/>
      <c r="BU1494" s="468"/>
      <c r="BV1494" s="468"/>
      <c r="BW1494" s="469"/>
      <c r="BX1494" s="449"/>
      <c r="BY1494" s="449"/>
      <c r="BZ1494" s="449"/>
    </row>
    <row r="1495" spans="67:78" s="457" customFormat="1" x14ac:dyDescent="0.2">
      <c r="BO1495" s="468"/>
      <c r="BP1495" s="468"/>
      <c r="BQ1495" s="468"/>
      <c r="BR1495" s="468"/>
      <c r="BS1495" s="468"/>
      <c r="BT1495" s="468"/>
      <c r="BU1495" s="468"/>
      <c r="BV1495" s="468"/>
      <c r="BW1495" s="469"/>
      <c r="BX1495" s="449"/>
      <c r="BY1495" s="449"/>
      <c r="BZ1495" s="449"/>
    </row>
    <row r="1496" spans="67:78" s="457" customFormat="1" x14ac:dyDescent="0.2">
      <c r="BO1496" s="468"/>
      <c r="BP1496" s="468"/>
      <c r="BQ1496" s="468"/>
      <c r="BR1496" s="468"/>
      <c r="BS1496" s="468"/>
      <c r="BT1496" s="468"/>
      <c r="BU1496" s="468"/>
      <c r="BV1496" s="468"/>
      <c r="BW1496" s="469"/>
      <c r="BX1496" s="449"/>
      <c r="BY1496" s="449"/>
      <c r="BZ1496" s="449"/>
    </row>
    <row r="1497" spans="67:78" s="457" customFormat="1" x14ac:dyDescent="0.2">
      <c r="BO1497" s="468"/>
      <c r="BP1497" s="468"/>
      <c r="BQ1497" s="468"/>
      <c r="BR1497" s="468"/>
      <c r="BS1497" s="468"/>
      <c r="BT1497" s="468"/>
      <c r="BU1497" s="468"/>
      <c r="BV1497" s="468"/>
      <c r="BW1497" s="469"/>
      <c r="BX1497" s="449"/>
      <c r="BY1497" s="449"/>
      <c r="BZ1497" s="449"/>
    </row>
    <row r="1498" spans="67:78" s="457" customFormat="1" x14ac:dyDescent="0.2">
      <c r="BO1498" s="468"/>
      <c r="BP1498" s="468"/>
      <c r="BQ1498" s="468"/>
      <c r="BR1498" s="468"/>
      <c r="BS1498" s="468"/>
      <c r="BT1498" s="468"/>
      <c r="BU1498" s="468"/>
      <c r="BV1498" s="468"/>
      <c r="BW1498" s="469"/>
      <c r="BX1498" s="449"/>
      <c r="BY1498" s="449"/>
      <c r="BZ1498" s="449"/>
    </row>
    <row r="1499" spans="67:78" s="457" customFormat="1" x14ac:dyDescent="0.2">
      <c r="BO1499" s="468"/>
      <c r="BP1499" s="468"/>
      <c r="BQ1499" s="468"/>
      <c r="BR1499" s="468"/>
      <c r="BS1499" s="468"/>
      <c r="BT1499" s="468"/>
      <c r="BU1499" s="468"/>
      <c r="BV1499" s="468"/>
      <c r="BW1499" s="469"/>
      <c r="BX1499" s="449"/>
      <c r="BY1499" s="449"/>
      <c r="BZ1499" s="449"/>
    </row>
    <row r="1500" spans="67:78" s="457" customFormat="1" x14ac:dyDescent="0.2">
      <c r="BO1500" s="468"/>
      <c r="BP1500" s="468"/>
      <c r="BQ1500" s="468"/>
      <c r="BR1500" s="468"/>
      <c r="BS1500" s="468"/>
      <c r="BT1500" s="468"/>
      <c r="BU1500" s="468"/>
      <c r="BV1500" s="468"/>
      <c r="BW1500" s="469"/>
      <c r="BX1500" s="449"/>
      <c r="BY1500" s="449"/>
      <c r="BZ1500" s="449"/>
    </row>
    <row r="1501" spans="67:78" s="457" customFormat="1" x14ac:dyDescent="0.2">
      <c r="BO1501" s="468"/>
      <c r="BP1501" s="468"/>
      <c r="BQ1501" s="468"/>
      <c r="BR1501" s="468"/>
      <c r="BS1501" s="468"/>
      <c r="BT1501" s="468"/>
      <c r="BU1501" s="468"/>
      <c r="BV1501" s="468"/>
      <c r="BW1501" s="469"/>
      <c r="BX1501" s="449"/>
      <c r="BY1501" s="449"/>
      <c r="BZ1501" s="449"/>
    </row>
    <row r="1502" spans="67:78" s="457" customFormat="1" x14ac:dyDescent="0.2">
      <c r="BO1502" s="468"/>
      <c r="BP1502" s="468"/>
      <c r="BQ1502" s="468"/>
      <c r="BR1502" s="468"/>
      <c r="BS1502" s="468"/>
      <c r="BT1502" s="468"/>
      <c r="BU1502" s="468"/>
      <c r="BV1502" s="468"/>
      <c r="BW1502" s="469"/>
      <c r="BX1502" s="449"/>
      <c r="BY1502" s="449"/>
      <c r="BZ1502" s="449"/>
    </row>
    <row r="1503" spans="67:78" s="457" customFormat="1" x14ac:dyDescent="0.2">
      <c r="BO1503" s="468"/>
      <c r="BP1503" s="468"/>
      <c r="BQ1503" s="468"/>
      <c r="BR1503" s="468"/>
      <c r="BS1503" s="468"/>
      <c r="BT1503" s="468"/>
      <c r="BU1503" s="468"/>
      <c r="BV1503" s="468"/>
      <c r="BW1503" s="469"/>
      <c r="BX1503" s="449"/>
      <c r="BY1503" s="449"/>
      <c r="BZ1503" s="449"/>
    </row>
    <row r="1504" spans="67:78" s="457" customFormat="1" x14ac:dyDescent="0.2">
      <c r="BO1504" s="468"/>
      <c r="BP1504" s="468"/>
      <c r="BQ1504" s="468"/>
      <c r="BR1504" s="468"/>
      <c r="BS1504" s="468"/>
      <c r="BT1504" s="468"/>
      <c r="BU1504" s="468"/>
      <c r="BV1504" s="468"/>
      <c r="BW1504" s="469"/>
      <c r="BX1504" s="449"/>
      <c r="BY1504" s="449"/>
      <c r="BZ1504" s="449"/>
    </row>
    <row r="1505" spans="67:78" s="457" customFormat="1" x14ac:dyDescent="0.2">
      <c r="BO1505" s="468"/>
      <c r="BP1505" s="468"/>
      <c r="BQ1505" s="468"/>
      <c r="BR1505" s="468"/>
      <c r="BS1505" s="468"/>
      <c r="BT1505" s="468"/>
      <c r="BU1505" s="468"/>
      <c r="BV1505" s="468"/>
      <c r="BW1505" s="469"/>
      <c r="BX1505" s="449"/>
      <c r="BY1505" s="449"/>
      <c r="BZ1505" s="449"/>
    </row>
    <row r="1506" spans="67:78" s="457" customFormat="1" x14ac:dyDescent="0.2">
      <c r="BO1506" s="468"/>
      <c r="BP1506" s="468"/>
      <c r="BQ1506" s="468"/>
      <c r="BR1506" s="468"/>
      <c r="BS1506" s="468"/>
      <c r="BT1506" s="468"/>
      <c r="BU1506" s="468"/>
      <c r="BV1506" s="468"/>
      <c r="BW1506" s="469"/>
      <c r="BX1506" s="449"/>
      <c r="BY1506" s="449"/>
      <c r="BZ1506" s="449"/>
    </row>
  </sheetData>
  <sheetProtection sheet="1" objects="1" scenarios="1"/>
  <autoFilter ref="A5:CL302" xr:uid="{00000000-0001-0000-0900-000000000000}"/>
  <sortState xmlns:xlrd2="http://schemas.microsoft.com/office/spreadsheetml/2017/richdata2" ref="A6:CC301">
    <sortCondition ref="B6:B301"/>
  </sortState>
  <phoneticPr fontId="7" type="noConversion"/>
  <conditionalFormatting sqref="C6:C301 F6:F301 I6:I301">
    <cfRule type="cellIs" dxfId="10" priority="67" stopIfTrue="1" operator="lessThan">
      <formula>0</formula>
    </cfRule>
  </conditionalFormatting>
  <conditionalFormatting sqref="K6:K301 N6:N301 Q6:Q301">
    <cfRule type="cellIs" dxfId="9" priority="1" stopIfTrue="1" operator="lessThan">
      <formula>0</formula>
    </cfRule>
  </conditionalFormatting>
  <conditionalFormatting sqref="S6:S301 V6:V301 Y6:Y301">
    <cfRule type="cellIs" dxfId="8" priority="25" stopIfTrue="1" operator="lessThan">
      <formula>0</formula>
    </cfRule>
  </conditionalFormatting>
  <conditionalFormatting sqref="AA6:AA301 AD6:AD301 AG6:AG301">
    <cfRule type="cellIs" dxfId="7" priority="22" stopIfTrue="1" operator="lessThan">
      <formula>0</formula>
    </cfRule>
  </conditionalFormatting>
  <conditionalFormatting sqref="AI6:AI301 AL6:AL301 AO6:AO301">
    <cfRule type="cellIs" dxfId="6" priority="20" stopIfTrue="1" operator="lessThan">
      <formula>0</formula>
    </cfRule>
  </conditionalFormatting>
  <conditionalFormatting sqref="AQ6:AQ301 AT6:AT301 AW6:AW301">
    <cfRule type="cellIs" dxfId="5" priority="18" stopIfTrue="1" operator="lessThan">
      <formula>0</formula>
    </cfRule>
  </conditionalFormatting>
  <conditionalFormatting sqref="AY6:AY301 BB6:BB301 BE6:BE301">
    <cfRule type="cellIs" dxfId="4" priority="16" stopIfTrue="1" operator="lessThan">
      <formula>0</formula>
    </cfRule>
  </conditionalFormatting>
  <conditionalFormatting sqref="AZ6:AZ302 BC6:BC302 BF6:BF302">
    <cfRule type="cellIs" dxfId="3" priority="33" stopIfTrue="1" operator="lessThan">
      <formula>0</formula>
    </cfRule>
  </conditionalFormatting>
  <conditionalFormatting sqref="BH6:BH302 BK6:BK302 BN6:BN302">
    <cfRule type="cellIs" dxfId="2" priority="14" stopIfTrue="1" operator="lessThan">
      <formula>0</formula>
    </cfRule>
  </conditionalFormatting>
  <conditionalFormatting sqref="BP6:BP301 BS6:BS301 BV6:BV301">
    <cfRule type="cellIs" dxfId="1" priority="12" stopIfTrue="1" operator="lessThan">
      <formula>0</formula>
    </cfRule>
  </conditionalFormatting>
  <conditionalFormatting sqref="CF6:CF301 CI6:CI301">
    <cfRule type="cellIs" dxfId="0" priority="115" stopIfTrue="1" operator="lessThan">
      <formula>0</formula>
    </cfRule>
  </conditionalFormatting>
  <pageMargins left="0.3543307086614173" right="0.3543307086614173" top="0.19685039370078741" bottom="0.19685039370078741" header="0.39370078740157483" footer="0.31496062992125984"/>
  <pageSetup paperSize="9" scale="11"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4D79B"/>
    <pageSetUpPr autoPageBreaks="0" fitToPage="1"/>
  </sheetPr>
  <dimension ref="A1:AH555"/>
  <sheetViews>
    <sheetView showGridLines="0" workbookViewId="0"/>
  </sheetViews>
  <sheetFormatPr defaultColWidth="9.140625" defaultRowHeight="12.75" x14ac:dyDescent="0.2"/>
  <cols>
    <col min="2" max="2" width="6.5703125" style="266" customWidth="1"/>
    <col min="3" max="3" width="12.28515625" style="266" customWidth="1"/>
    <col min="4" max="4" width="25.7109375" bestFit="1" customWidth="1"/>
    <col min="5" max="5" width="54.5703125" customWidth="1"/>
    <col min="6" max="6" width="23.7109375" style="544" customWidth="1"/>
    <col min="7" max="7" width="25.140625" style="544" customWidth="1"/>
    <col min="8" max="8" width="14.7109375" style="544" customWidth="1"/>
    <col min="9" max="9" width="14.28515625" style="544" bestFit="1" customWidth="1"/>
    <col min="10" max="10" width="14.7109375" customWidth="1"/>
    <col min="11" max="11" width="14.28515625" style="273" customWidth="1"/>
    <col min="12" max="12" width="15" style="273" customWidth="1"/>
    <col min="13" max="13" width="13.42578125" style="273" customWidth="1"/>
    <col min="14" max="14" width="14.140625" style="273" customWidth="1"/>
    <col min="15" max="34" width="9.140625" style="273"/>
  </cols>
  <sheetData>
    <row r="1" spans="1:14" ht="19.5" customHeight="1" thickBot="1" x14ac:dyDescent="0.25">
      <c r="B1" s="544" t="s">
        <v>1253</v>
      </c>
      <c r="D1" s="530"/>
      <c r="E1" s="530"/>
      <c r="I1" s="544">
        <f>491/480</f>
        <v>1.0229166666666667</v>
      </c>
      <c r="J1" s="397">
        <f>499/491</f>
        <v>1.0162932790224033</v>
      </c>
      <c r="K1" s="544">
        <f>499/499</f>
        <v>1</v>
      </c>
      <c r="L1" s="273">
        <f>499/499</f>
        <v>1</v>
      </c>
      <c r="M1" s="544">
        <v>1</v>
      </c>
      <c r="N1" s="273">
        <f>499/499</f>
        <v>1</v>
      </c>
    </row>
    <row r="2" spans="1:14" ht="18.75" customHeight="1" x14ac:dyDescent="0.2">
      <c r="D2" s="529">
        <v>1</v>
      </c>
      <c r="E2" s="529">
        <v>2</v>
      </c>
      <c r="F2" s="544">
        <v>3</v>
      </c>
      <c r="G2" s="543">
        <v>4</v>
      </c>
      <c r="H2" s="544">
        <v>5</v>
      </c>
      <c r="I2" s="544">
        <v>6</v>
      </c>
      <c r="J2">
        <v>7</v>
      </c>
      <c r="K2" s="273">
        <v>8</v>
      </c>
      <c r="L2" s="273">
        <v>9</v>
      </c>
      <c r="M2" s="273">
        <v>10</v>
      </c>
      <c r="N2" s="273">
        <v>11</v>
      </c>
    </row>
    <row r="3" spans="1:14" ht="66.75" customHeight="1" x14ac:dyDescent="0.2">
      <c r="A3" s="671"/>
      <c r="B3" s="672" t="s">
        <v>970</v>
      </c>
      <c r="C3" s="672" t="s">
        <v>969</v>
      </c>
      <c r="D3" s="673" t="s">
        <v>729</v>
      </c>
      <c r="E3" s="673" t="s">
        <v>968</v>
      </c>
      <c r="F3" s="671" t="s">
        <v>1185</v>
      </c>
      <c r="G3" s="671" t="s">
        <v>1187</v>
      </c>
      <c r="H3" s="671" t="s">
        <v>1186</v>
      </c>
      <c r="I3" s="671" t="s">
        <v>1248</v>
      </c>
      <c r="J3" s="671" t="s">
        <v>1252</v>
      </c>
      <c r="K3" s="671" t="s">
        <v>1371</v>
      </c>
      <c r="L3" s="671" t="s">
        <v>2298</v>
      </c>
      <c r="M3" s="1165" t="s">
        <v>2927</v>
      </c>
      <c r="N3" s="1165" t="s">
        <v>2928</v>
      </c>
    </row>
    <row r="4" spans="1:14" x14ac:dyDescent="0.2">
      <c r="A4">
        <v>1</v>
      </c>
      <c r="B4" s="451" t="str">
        <f>VLOOKUP(D4,'LA List'!$A$3:$B$470,2,0)</f>
        <v>E3831</v>
      </c>
      <c r="C4" s="451" t="str">
        <f t="shared" ref="C4:C66" si="0">CONCATENATE(B4,"EZ",A4)</f>
        <v>E3831EZ1</v>
      </c>
      <c r="D4" s="273" t="s">
        <v>731</v>
      </c>
      <c r="E4" s="273"/>
      <c r="F4" s="649" t="s">
        <v>1201</v>
      </c>
      <c r="G4" s="649" t="s">
        <v>1201</v>
      </c>
      <c r="H4" s="649" t="s">
        <v>1201</v>
      </c>
      <c r="I4" s="649" t="str">
        <f>IF(H4="","",ROUND(H4*$I$1,0))</f>
        <v/>
      </c>
      <c r="J4" s="650" t="str">
        <f>IF(I4="","",ROUND(I4*$J$1,0))</f>
        <v/>
      </c>
      <c r="K4" s="650" t="str">
        <f>IF(J4="","",ROUND(J4*$K$1,0))</f>
        <v/>
      </c>
      <c r="M4" s="635" t="s">
        <v>1201</v>
      </c>
      <c r="N4" s="650" t="str">
        <f>IF(M4="","",ROUND(M4*$N$1,0))</f>
        <v/>
      </c>
    </row>
    <row r="5" spans="1:14" x14ac:dyDescent="0.2">
      <c r="A5">
        <f t="shared" ref="A5:A70" si="1">IF(D5=D4,A4+1,1)</f>
        <v>1</v>
      </c>
      <c r="B5" s="451" t="str">
        <f>VLOOKUP(D5,'LA List'!$A$3:$B$470,2,0)</f>
        <v>E1031</v>
      </c>
      <c r="C5" s="451" t="str">
        <f t="shared" si="0"/>
        <v>E1031EZ1</v>
      </c>
      <c r="D5" s="273" t="s">
        <v>733</v>
      </c>
      <c r="E5" s="273"/>
      <c r="F5" s="649" t="s">
        <v>1201</v>
      </c>
      <c r="G5" s="649" t="s">
        <v>1201</v>
      </c>
      <c r="H5" s="649" t="s">
        <v>1201</v>
      </c>
      <c r="I5" s="649" t="str">
        <f t="shared" ref="I5:I67" si="2">IF(H5="","",ROUND(H5*$I$1,0))</f>
        <v/>
      </c>
      <c r="J5" s="650" t="str">
        <f t="shared" ref="J5:J67" si="3">IF(I5="","",ROUND(I5*$J$1,0))</f>
        <v/>
      </c>
      <c r="K5" s="650" t="str">
        <f t="shared" ref="K5:K67" si="4">IF(J5="","",ROUND(J5*$K$1,0))</f>
        <v/>
      </c>
      <c r="M5" s="635" t="s">
        <v>1201</v>
      </c>
      <c r="N5" s="650" t="str">
        <f t="shared" ref="N5:N70" si="5">IF(M5="","",ROUND(M5*$N$1,0))</f>
        <v/>
      </c>
    </row>
    <row r="6" spans="1:14" x14ac:dyDescent="0.2">
      <c r="A6">
        <f t="shared" si="1"/>
        <v>1</v>
      </c>
      <c r="B6" s="451" t="str">
        <f>VLOOKUP(D6,'LA List'!$A$3:$B$470,2,0)</f>
        <v>E3832</v>
      </c>
      <c r="C6" s="451" t="str">
        <f t="shared" si="0"/>
        <v>E3832EZ1</v>
      </c>
      <c r="D6" s="273" t="s">
        <v>735</v>
      </c>
      <c r="E6" s="273"/>
      <c r="F6" s="649" t="s">
        <v>1201</v>
      </c>
      <c r="G6" s="649" t="s">
        <v>1201</v>
      </c>
      <c r="H6" s="649" t="s">
        <v>1201</v>
      </c>
      <c r="I6" s="649" t="str">
        <f t="shared" si="2"/>
        <v/>
      </c>
      <c r="J6" s="650" t="str">
        <f t="shared" si="3"/>
        <v/>
      </c>
      <c r="K6" s="650" t="str">
        <f t="shared" si="4"/>
        <v/>
      </c>
      <c r="M6" s="635" t="s">
        <v>1201</v>
      </c>
      <c r="N6" s="650" t="str">
        <f t="shared" si="5"/>
        <v/>
      </c>
    </row>
    <row r="7" spans="1:14" x14ac:dyDescent="0.2">
      <c r="A7">
        <f t="shared" si="1"/>
        <v>1</v>
      </c>
      <c r="B7" s="451" t="str">
        <f>VLOOKUP(D7,'LA List'!$A$3:$B$470,2,0)</f>
        <v>E3031</v>
      </c>
      <c r="C7" s="451" t="str">
        <f t="shared" si="0"/>
        <v>E3031EZ1</v>
      </c>
      <c r="D7" s="273" t="s">
        <v>737</v>
      </c>
      <c r="E7" s="273"/>
      <c r="F7" s="649" t="s">
        <v>1201</v>
      </c>
      <c r="G7" s="649" t="s">
        <v>1201</v>
      </c>
      <c r="H7" s="649" t="s">
        <v>1201</v>
      </c>
      <c r="I7" s="649" t="str">
        <f t="shared" si="2"/>
        <v/>
      </c>
      <c r="J7" s="650" t="str">
        <f t="shared" si="3"/>
        <v/>
      </c>
      <c r="K7" s="650" t="str">
        <f t="shared" si="4"/>
        <v/>
      </c>
      <c r="M7" s="635" t="s">
        <v>1201</v>
      </c>
      <c r="N7" s="650" t="str">
        <f t="shared" si="5"/>
        <v/>
      </c>
    </row>
    <row r="8" spans="1:14" x14ac:dyDescent="0.2">
      <c r="A8">
        <f t="shared" si="1"/>
        <v>1</v>
      </c>
      <c r="B8" s="451" t="str">
        <f>VLOOKUP(D8,'LA List'!$A$3:$B$470,2,0)</f>
        <v>E2231</v>
      </c>
      <c r="C8" s="451" t="str">
        <f t="shared" si="0"/>
        <v>E2231EZ1</v>
      </c>
      <c r="D8" s="273" t="s">
        <v>739</v>
      </c>
      <c r="E8" s="273"/>
      <c r="F8" s="649" t="s">
        <v>1201</v>
      </c>
      <c r="G8" s="649" t="s">
        <v>1201</v>
      </c>
      <c r="H8" s="649" t="s">
        <v>1201</v>
      </c>
      <c r="I8" s="649" t="str">
        <f t="shared" si="2"/>
        <v/>
      </c>
      <c r="J8" s="650" t="str">
        <f t="shared" si="3"/>
        <v/>
      </c>
      <c r="K8" s="650" t="str">
        <f t="shared" si="4"/>
        <v/>
      </c>
      <c r="M8" s="635" t="s">
        <v>1201</v>
      </c>
      <c r="N8" s="650" t="str">
        <f t="shared" si="5"/>
        <v/>
      </c>
    </row>
    <row r="9" spans="1:14" x14ac:dyDescent="0.2">
      <c r="A9">
        <f t="shared" si="1"/>
        <v>1</v>
      </c>
      <c r="B9" s="451" t="str">
        <f>VLOOKUP(D9,'LA List'!$A$3:$B$470,2,0)</f>
        <v>E3531</v>
      </c>
      <c r="C9" s="451" t="str">
        <f t="shared" si="0"/>
        <v>E3531EZ1</v>
      </c>
      <c r="D9" s="273" t="s">
        <v>741</v>
      </c>
      <c r="E9" s="273" t="s">
        <v>1110</v>
      </c>
      <c r="F9" s="649">
        <v>0</v>
      </c>
      <c r="G9" s="649">
        <v>0</v>
      </c>
      <c r="H9" s="649">
        <v>0</v>
      </c>
      <c r="I9" s="649">
        <f t="shared" si="2"/>
        <v>0</v>
      </c>
      <c r="J9" s="650">
        <f>IF(I9="","",ROUND(I9*$J$1,0))</f>
        <v>0</v>
      </c>
      <c r="K9" s="650">
        <f t="shared" si="4"/>
        <v>0</v>
      </c>
      <c r="L9" s="650">
        <f>IF(K9="","",ROUND(K9*$L$1,0))</f>
        <v>0</v>
      </c>
      <c r="M9" s="635">
        <v>0</v>
      </c>
      <c r="N9" s="650">
        <f t="shared" si="5"/>
        <v>0</v>
      </c>
    </row>
    <row r="10" spans="1:14" x14ac:dyDescent="0.2">
      <c r="A10">
        <f t="shared" si="1"/>
        <v>1</v>
      </c>
      <c r="B10" s="451" t="str">
        <f>VLOOKUP(D10,'LA List'!$A$3:$B$470,2,0)</f>
        <v>E5030</v>
      </c>
      <c r="C10" s="451" t="str">
        <f t="shared" si="0"/>
        <v>E5030EZ1</v>
      </c>
      <c r="D10" s="273" t="s">
        <v>743</v>
      </c>
      <c r="E10" s="544" t="s">
        <v>3382</v>
      </c>
      <c r="F10" s="649">
        <v>0</v>
      </c>
      <c r="G10" s="649">
        <v>0</v>
      </c>
      <c r="H10" s="649">
        <v>0</v>
      </c>
      <c r="I10" s="649">
        <v>0</v>
      </c>
      <c r="J10" s="650">
        <v>0</v>
      </c>
      <c r="K10" s="650">
        <v>0</v>
      </c>
      <c r="L10" s="650">
        <v>3123740</v>
      </c>
      <c r="M10" s="635">
        <v>3123740</v>
      </c>
      <c r="N10" s="650">
        <f t="shared" si="5"/>
        <v>3123740</v>
      </c>
    </row>
    <row r="11" spans="1:14" x14ac:dyDescent="0.2">
      <c r="A11">
        <f>IF(D11=D10,A10+1,1)</f>
        <v>1</v>
      </c>
      <c r="B11" s="451" t="str">
        <f>VLOOKUP(D11,'LA List'!$A$3:$B$470,2,0)</f>
        <v>E5031</v>
      </c>
      <c r="C11" s="451" t="str">
        <f t="shared" si="0"/>
        <v>E5031EZ1</v>
      </c>
      <c r="D11" s="273" t="s">
        <v>745</v>
      </c>
      <c r="E11" s="544" t="s">
        <v>1196</v>
      </c>
      <c r="F11" s="649">
        <v>0</v>
      </c>
      <c r="G11" s="649">
        <v>0</v>
      </c>
      <c r="H11" s="649">
        <v>20252290</v>
      </c>
      <c r="I11" s="649">
        <f t="shared" si="2"/>
        <v>20716405</v>
      </c>
      <c r="J11" s="650">
        <f>IF(I11="","",ROUND(I11*$J$1,0))</f>
        <v>21053943</v>
      </c>
      <c r="K11" s="650">
        <f t="shared" si="4"/>
        <v>21053943</v>
      </c>
      <c r="L11" s="650">
        <f t="shared" ref="L11:L73" si="6">IF(K11="","",ROUND(K11*$L$1,0))</f>
        <v>21053943</v>
      </c>
      <c r="M11" s="635">
        <v>13587543</v>
      </c>
      <c r="N11" s="650">
        <f t="shared" si="5"/>
        <v>13587543</v>
      </c>
    </row>
    <row r="12" spans="1:14" x14ac:dyDescent="0.2">
      <c r="A12">
        <f t="shared" si="1"/>
        <v>1</v>
      </c>
      <c r="B12" s="451" t="str">
        <f>VLOOKUP(D12,'LA List'!$A$3:$B$470,2,0)</f>
        <v>E4401</v>
      </c>
      <c r="C12" s="451" t="str">
        <f t="shared" si="0"/>
        <v>E4401EZ1</v>
      </c>
      <c r="D12" s="273" t="s">
        <v>747</v>
      </c>
      <c r="E12" s="273" t="s">
        <v>845</v>
      </c>
      <c r="F12" s="649">
        <v>88251</v>
      </c>
      <c r="G12" s="649">
        <v>88251</v>
      </c>
      <c r="H12" s="649">
        <v>90902</v>
      </c>
      <c r="I12" s="649">
        <f>IF(H12="","",ROUND(H12*$I$1,0))</f>
        <v>92985</v>
      </c>
      <c r="J12" s="650">
        <f t="shared" si="3"/>
        <v>94500</v>
      </c>
      <c r="K12" s="650">
        <f t="shared" si="4"/>
        <v>94500</v>
      </c>
      <c r="L12" s="650">
        <f>IF(K12="","",ROUND(K12*$L$1,0))</f>
        <v>94500</v>
      </c>
      <c r="M12" s="635">
        <v>99424</v>
      </c>
      <c r="N12" s="650">
        <f t="shared" si="5"/>
        <v>99424</v>
      </c>
    </row>
    <row r="13" spans="1:14" x14ac:dyDescent="0.2">
      <c r="A13">
        <f t="shared" si="1"/>
        <v>1</v>
      </c>
      <c r="B13" s="451" t="str">
        <f>VLOOKUP(D13,'LA List'!$A$3:$B$470,2,0)</f>
        <v>E1531</v>
      </c>
      <c r="C13" s="451" t="str">
        <f t="shared" si="0"/>
        <v>E1531EZ1</v>
      </c>
      <c r="D13" s="273" t="s">
        <v>749</v>
      </c>
      <c r="E13" s="273"/>
      <c r="F13" s="649" t="s">
        <v>1201</v>
      </c>
      <c r="G13" s="649" t="s">
        <v>1201</v>
      </c>
      <c r="H13" s="649" t="s">
        <v>1201</v>
      </c>
      <c r="I13" s="649" t="str">
        <f t="shared" si="2"/>
        <v/>
      </c>
      <c r="J13" s="650" t="str">
        <f t="shared" si="3"/>
        <v/>
      </c>
      <c r="K13" s="650" t="str">
        <f t="shared" si="4"/>
        <v/>
      </c>
      <c r="L13" s="650" t="str">
        <f t="shared" si="6"/>
        <v/>
      </c>
      <c r="M13" s="635" t="s">
        <v>1201</v>
      </c>
      <c r="N13" s="650" t="str">
        <f t="shared" si="5"/>
        <v/>
      </c>
    </row>
    <row r="14" spans="1:14" x14ac:dyDescent="0.2">
      <c r="A14">
        <f t="shared" si="1"/>
        <v>1</v>
      </c>
      <c r="B14" s="451" t="str">
        <f>VLOOKUP(D14,'LA List'!$A$3:$B$470,2,0)</f>
        <v>E1731</v>
      </c>
      <c r="C14" s="451" t="str">
        <f t="shared" si="0"/>
        <v>E1731EZ1</v>
      </c>
      <c r="D14" s="273" t="s">
        <v>751</v>
      </c>
      <c r="E14" s="273" t="s">
        <v>1008</v>
      </c>
      <c r="F14" s="649">
        <v>2131596</v>
      </c>
      <c r="G14" s="649">
        <v>2131596</v>
      </c>
      <c r="H14" s="649">
        <v>2195635</v>
      </c>
      <c r="I14" s="649">
        <f t="shared" si="2"/>
        <v>2245952</v>
      </c>
      <c r="J14" s="650">
        <f t="shared" si="3"/>
        <v>2282546</v>
      </c>
      <c r="K14" s="650">
        <f t="shared" si="4"/>
        <v>2282546</v>
      </c>
      <c r="L14" s="650">
        <f t="shared" si="6"/>
        <v>2282546</v>
      </c>
      <c r="M14" s="635">
        <v>3144053</v>
      </c>
      <c r="N14" s="650">
        <f t="shared" si="5"/>
        <v>3144053</v>
      </c>
    </row>
    <row r="15" spans="1:14" x14ac:dyDescent="0.2">
      <c r="A15">
        <f t="shared" si="1"/>
        <v>1</v>
      </c>
      <c r="B15" s="451" t="str">
        <f>VLOOKUP(D15,'LA List'!$A$3:$B$470,2,0)</f>
        <v>E3032</v>
      </c>
      <c r="C15" s="451" t="str">
        <f t="shared" si="0"/>
        <v>E3032EZ1</v>
      </c>
      <c r="D15" s="273" t="s">
        <v>753</v>
      </c>
      <c r="E15" s="273"/>
      <c r="F15" s="649" t="s">
        <v>1201</v>
      </c>
      <c r="G15" s="649" t="s">
        <v>1201</v>
      </c>
      <c r="H15" s="649" t="s">
        <v>1201</v>
      </c>
      <c r="I15" s="649" t="str">
        <f t="shared" si="2"/>
        <v/>
      </c>
      <c r="J15" s="650" t="str">
        <f t="shared" si="3"/>
        <v/>
      </c>
      <c r="K15" s="650" t="str">
        <f t="shared" si="4"/>
        <v/>
      </c>
      <c r="L15" s="650" t="str">
        <f t="shared" si="6"/>
        <v/>
      </c>
      <c r="M15" s="635" t="s">
        <v>1201</v>
      </c>
      <c r="N15" s="650" t="str">
        <f t="shared" si="5"/>
        <v/>
      </c>
    </row>
    <row r="16" spans="1:14" x14ac:dyDescent="0.2">
      <c r="A16">
        <f t="shared" si="1"/>
        <v>1</v>
      </c>
      <c r="B16" s="451" t="str">
        <f>VLOOKUP(D16,'LA List'!$A$3:$B$470,2,0)</f>
        <v>E0101</v>
      </c>
      <c r="C16" s="451" t="str">
        <f t="shared" si="0"/>
        <v>E0101EZ1</v>
      </c>
      <c r="D16" s="273" t="s">
        <v>755</v>
      </c>
      <c r="E16" s="273" t="s">
        <v>846</v>
      </c>
      <c r="F16" s="649">
        <v>5188300</v>
      </c>
      <c r="G16" s="649">
        <v>5188300</v>
      </c>
      <c r="H16" s="649">
        <v>5344172</v>
      </c>
      <c r="I16" s="649">
        <f t="shared" si="2"/>
        <v>5466643</v>
      </c>
      <c r="J16" s="650">
        <f t="shared" si="3"/>
        <v>5555713</v>
      </c>
      <c r="K16" s="650">
        <f t="shared" si="4"/>
        <v>5555713</v>
      </c>
      <c r="L16" s="650">
        <f t="shared" si="6"/>
        <v>5555713</v>
      </c>
      <c r="M16" s="635">
        <v>5530118</v>
      </c>
      <c r="N16" s="650">
        <f t="shared" si="5"/>
        <v>5530118</v>
      </c>
    </row>
    <row r="17" spans="1:34" x14ac:dyDescent="0.2">
      <c r="A17">
        <f t="shared" si="1"/>
        <v>2</v>
      </c>
      <c r="B17" s="451" t="str">
        <f>VLOOKUP(D17,'LA List'!$A$3:$B$470,2,0)</f>
        <v>E0101</v>
      </c>
      <c r="C17" s="451" t="str">
        <f t="shared" si="0"/>
        <v>E0101EZ2</v>
      </c>
      <c r="D17" s="273" t="s">
        <v>755</v>
      </c>
      <c r="E17" s="273" t="s">
        <v>1009</v>
      </c>
      <c r="F17" s="649">
        <v>0</v>
      </c>
      <c r="G17" s="649">
        <v>0</v>
      </c>
      <c r="H17" s="649">
        <v>0</v>
      </c>
      <c r="I17" s="649">
        <f t="shared" si="2"/>
        <v>0</v>
      </c>
      <c r="J17" s="650">
        <f t="shared" si="3"/>
        <v>0</v>
      </c>
      <c r="K17" s="650">
        <f t="shared" si="4"/>
        <v>0</v>
      </c>
      <c r="L17" s="650">
        <f t="shared" si="6"/>
        <v>0</v>
      </c>
      <c r="M17" s="635">
        <v>0</v>
      </c>
      <c r="N17" s="650">
        <f t="shared" si="5"/>
        <v>0</v>
      </c>
    </row>
    <row r="18" spans="1:34" x14ac:dyDescent="0.2">
      <c r="A18">
        <f t="shared" si="1"/>
        <v>3</v>
      </c>
      <c r="B18" s="451" t="str">
        <f>VLOOKUP(D18,'LA List'!$A$3:$B$470,2,0)</f>
        <v>E0101</v>
      </c>
      <c r="C18" s="451" t="str">
        <f t="shared" si="0"/>
        <v>E0101EZ3</v>
      </c>
      <c r="D18" s="273" t="s">
        <v>755</v>
      </c>
      <c r="E18" s="273" t="s">
        <v>1010</v>
      </c>
      <c r="F18" s="649">
        <v>15431</v>
      </c>
      <c r="G18" s="649">
        <v>15431</v>
      </c>
      <c r="H18" s="649">
        <v>15895</v>
      </c>
      <c r="I18" s="649">
        <f t="shared" si="2"/>
        <v>16259</v>
      </c>
      <c r="J18" s="650">
        <f t="shared" si="3"/>
        <v>16524</v>
      </c>
      <c r="K18" s="650">
        <f t="shared" si="4"/>
        <v>16524</v>
      </c>
      <c r="L18" s="650">
        <f t="shared" si="6"/>
        <v>16524</v>
      </c>
      <c r="M18" s="635">
        <v>16448</v>
      </c>
      <c r="N18" s="650">
        <f t="shared" si="5"/>
        <v>16448</v>
      </c>
    </row>
    <row r="19" spans="1:34" x14ac:dyDescent="0.2">
      <c r="A19">
        <f t="shared" si="1"/>
        <v>4</v>
      </c>
      <c r="B19" s="451" t="str">
        <f>VLOOKUP(D19,'LA List'!$A$3:$B$470,2,0)</f>
        <v>E0101</v>
      </c>
      <c r="C19" s="451" t="str">
        <f t="shared" si="0"/>
        <v>E0101EZ4</v>
      </c>
      <c r="D19" s="273" t="s">
        <v>755</v>
      </c>
      <c r="E19" s="273" t="s">
        <v>1011</v>
      </c>
      <c r="F19" s="649">
        <v>0</v>
      </c>
      <c r="G19" s="649">
        <v>0</v>
      </c>
      <c r="H19" s="649">
        <v>0</v>
      </c>
      <c r="I19" s="649">
        <f t="shared" si="2"/>
        <v>0</v>
      </c>
      <c r="J19" s="650">
        <f t="shared" si="3"/>
        <v>0</v>
      </c>
      <c r="K19" s="650">
        <f t="shared" si="4"/>
        <v>0</v>
      </c>
      <c r="L19" s="650">
        <f t="shared" si="6"/>
        <v>0</v>
      </c>
      <c r="M19" s="635">
        <v>0</v>
      </c>
      <c r="N19" s="650">
        <f t="shared" si="5"/>
        <v>0</v>
      </c>
    </row>
    <row r="20" spans="1:34" x14ac:dyDescent="0.2">
      <c r="A20">
        <f t="shared" si="1"/>
        <v>1</v>
      </c>
      <c r="B20" s="451" t="str">
        <f>VLOOKUP(D20,'LA List'!$A$3:$B$470,2,0)</f>
        <v>E0202</v>
      </c>
      <c r="C20" s="451" t="str">
        <f t="shared" si="0"/>
        <v>E0202EZ1</v>
      </c>
      <c r="D20" s="273" t="s">
        <v>757</v>
      </c>
      <c r="E20" s="273"/>
      <c r="F20" s="649" t="s">
        <v>1201</v>
      </c>
      <c r="G20" s="649" t="s">
        <v>1201</v>
      </c>
      <c r="H20" s="649" t="s">
        <v>1201</v>
      </c>
      <c r="I20" s="649" t="str">
        <f t="shared" si="2"/>
        <v/>
      </c>
      <c r="J20" s="650" t="str">
        <f t="shared" si="3"/>
        <v/>
      </c>
      <c r="K20" s="650" t="str">
        <f t="shared" si="4"/>
        <v/>
      </c>
      <c r="L20" s="650" t="str">
        <f t="shared" si="6"/>
        <v/>
      </c>
      <c r="M20" s="635" t="s">
        <v>1201</v>
      </c>
      <c r="N20" s="650" t="str">
        <f t="shared" si="5"/>
        <v/>
      </c>
    </row>
    <row r="21" spans="1:34" x14ac:dyDescent="0.2">
      <c r="A21">
        <f t="shared" si="1"/>
        <v>1</v>
      </c>
      <c r="B21" s="451" t="str">
        <f>VLOOKUP(D21,'LA List'!$A$3:$B$470,2,0)</f>
        <v>E5032</v>
      </c>
      <c r="C21" s="451" t="str">
        <f t="shared" si="0"/>
        <v>E5032EZ1</v>
      </c>
      <c r="D21" s="273" t="s">
        <v>759</v>
      </c>
      <c r="E21" s="273"/>
      <c r="F21" s="649" t="s">
        <v>1201</v>
      </c>
      <c r="G21" s="649" t="s">
        <v>1201</v>
      </c>
      <c r="H21" s="649" t="s">
        <v>1201</v>
      </c>
      <c r="I21" s="649" t="str">
        <f t="shared" si="2"/>
        <v/>
      </c>
      <c r="J21" s="650" t="str">
        <f t="shared" si="3"/>
        <v/>
      </c>
      <c r="K21" s="650" t="str">
        <f t="shared" si="4"/>
        <v/>
      </c>
      <c r="L21" s="650" t="str">
        <f t="shared" si="6"/>
        <v/>
      </c>
      <c r="M21" s="635" t="s">
        <v>1201</v>
      </c>
      <c r="N21" s="650" t="str">
        <f t="shared" si="5"/>
        <v/>
      </c>
    </row>
    <row r="22" spans="1:34" x14ac:dyDescent="0.2">
      <c r="A22">
        <f t="shared" si="1"/>
        <v>1</v>
      </c>
      <c r="B22" s="451" t="str">
        <f>VLOOKUP(D22,'LA List'!$A$3:$B$470,2,0)</f>
        <v>E4601</v>
      </c>
      <c r="C22" s="451" t="str">
        <f t="shared" si="0"/>
        <v>E4601EZ1</v>
      </c>
      <c r="D22" s="273" t="s">
        <v>761</v>
      </c>
      <c r="E22" s="273" t="s">
        <v>891</v>
      </c>
      <c r="F22" s="649">
        <v>4087232</v>
      </c>
      <c r="G22" s="649">
        <v>4087232</v>
      </c>
      <c r="H22" s="649">
        <v>4210024</v>
      </c>
      <c r="I22" s="649">
        <f t="shared" si="2"/>
        <v>4306504</v>
      </c>
      <c r="J22" s="650">
        <f t="shared" si="3"/>
        <v>4376671</v>
      </c>
      <c r="K22" s="650">
        <f t="shared" si="4"/>
        <v>4376671</v>
      </c>
      <c r="L22" s="650">
        <f t="shared" si="6"/>
        <v>4376671</v>
      </c>
      <c r="M22" s="635">
        <v>4886827</v>
      </c>
      <c r="N22" s="650">
        <f t="shared" si="5"/>
        <v>4886827</v>
      </c>
    </row>
    <row r="23" spans="1:34" x14ac:dyDescent="0.2">
      <c r="A23">
        <f t="shared" si="1"/>
        <v>2</v>
      </c>
      <c r="B23" s="451" t="str">
        <f>VLOOKUP(D23,'LA List'!$A$3:$B$470,2,0)</f>
        <v>E4601</v>
      </c>
      <c r="C23" s="451" t="str">
        <f t="shared" si="0"/>
        <v>E4601EZ2</v>
      </c>
      <c r="D23" s="273" t="s">
        <v>761</v>
      </c>
      <c r="E23" s="273" t="s">
        <v>1012</v>
      </c>
      <c r="F23" s="649">
        <v>6682049</v>
      </c>
      <c r="G23" s="649">
        <v>6682049</v>
      </c>
      <c r="H23" s="649">
        <v>6882797</v>
      </c>
      <c r="I23" s="649">
        <f t="shared" si="2"/>
        <v>7040528</v>
      </c>
      <c r="J23" s="650">
        <f t="shared" si="3"/>
        <v>7155241</v>
      </c>
      <c r="K23" s="650">
        <f t="shared" si="4"/>
        <v>7155241</v>
      </c>
      <c r="L23" s="650">
        <f t="shared" si="6"/>
        <v>7155241</v>
      </c>
      <c r="M23" s="635">
        <v>7989275</v>
      </c>
      <c r="N23" s="650">
        <f t="shared" si="5"/>
        <v>7989275</v>
      </c>
    </row>
    <row r="24" spans="1:34" x14ac:dyDescent="0.2">
      <c r="A24">
        <f t="shared" si="1"/>
        <v>3</v>
      </c>
      <c r="B24" s="451" t="str">
        <f>VLOOKUP(D24,'LA List'!$A$3:$B$470,2,0)</f>
        <v>E4601</v>
      </c>
      <c r="C24" s="451" t="str">
        <f t="shared" si="0"/>
        <v>E4601EZ3</v>
      </c>
      <c r="D24" s="273" t="s">
        <v>761</v>
      </c>
      <c r="E24" s="273" t="s">
        <v>3364</v>
      </c>
      <c r="F24" s="649"/>
      <c r="G24" s="649"/>
      <c r="H24" s="649"/>
      <c r="I24" s="649"/>
      <c r="J24" s="650"/>
      <c r="K24" s="650"/>
      <c r="L24" s="650"/>
      <c r="M24" s="635"/>
      <c r="N24" s="650">
        <v>8111502.62890625</v>
      </c>
    </row>
    <row r="25" spans="1:34" x14ac:dyDescent="0.2">
      <c r="A25">
        <f t="shared" si="1"/>
        <v>4</v>
      </c>
      <c r="B25" s="451" t="str">
        <f>VLOOKUP(D25,'LA List'!$A$3:$B$470,2,0)</f>
        <v>E4601</v>
      </c>
      <c r="C25" s="451" t="str">
        <f t="shared" si="0"/>
        <v>E4601EZ4</v>
      </c>
      <c r="D25" s="273" t="s">
        <v>761</v>
      </c>
      <c r="E25" s="273" t="s">
        <v>3365</v>
      </c>
      <c r="F25" s="649"/>
      <c r="G25" s="649"/>
      <c r="H25" s="649"/>
      <c r="I25" s="649"/>
      <c r="J25" s="650"/>
      <c r="K25" s="650"/>
      <c r="L25" s="650"/>
      <c r="M25" s="635"/>
      <c r="N25" s="650">
        <v>8143163.4876609612</v>
      </c>
    </row>
    <row r="26" spans="1:34" x14ac:dyDescent="0.2">
      <c r="A26">
        <f>IF(D26=D23,A23+1,1)</f>
        <v>1</v>
      </c>
      <c r="B26" s="451" t="str">
        <f>VLOOKUP(D26,'LA List'!$A$3:$B$470,2,0)</f>
        <v>E2431</v>
      </c>
      <c r="C26" s="451" t="str">
        <f t="shared" si="0"/>
        <v>E2431EZ1</v>
      </c>
      <c r="D26" s="273" t="s">
        <v>763</v>
      </c>
      <c r="E26" s="273"/>
      <c r="F26" s="649" t="s">
        <v>1201</v>
      </c>
      <c r="G26" s="649" t="s">
        <v>1201</v>
      </c>
      <c r="H26" s="649" t="s">
        <v>1201</v>
      </c>
      <c r="I26" s="649" t="str">
        <f t="shared" si="2"/>
        <v/>
      </c>
      <c r="J26" s="650" t="str">
        <f t="shared" si="3"/>
        <v/>
      </c>
      <c r="K26" s="650" t="str">
        <f t="shared" si="4"/>
        <v/>
      </c>
      <c r="L26" s="650" t="str">
        <f t="shared" si="6"/>
        <v/>
      </c>
      <c r="M26" s="635" t="s">
        <v>1201</v>
      </c>
      <c r="N26" s="650" t="str">
        <f t="shared" si="5"/>
        <v/>
      </c>
    </row>
    <row r="27" spans="1:34" x14ac:dyDescent="0.2">
      <c r="A27">
        <f t="shared" si="1"/>
        <v>1</v>
      </c>
      <c r="B27" s="451" t="str">
        <f>VLOOKUP(D27,'LA List'!$A$3:$B$470,2,0)</f>
        <v>E2301</v>
      </c>
      <c r="C27" s="451" t="str">
        <f t="shared" si="0"/>
        <v>E2301EZ1</v>
      </c>
      <c r="D27" s="273" t="s">
        <v>765</v>
      </c>
      <c r="E27" s="273"/>
      <c r="F27" s="649" t="s">
        <v>1201</v>
      </c>
      <c r="G27" s="649" t="s">
        <v>1201</v>
      </c>
      <c r="H27" s="649" t="s">
        <v>1201</v>
      </c>
      <c r="I27" s="649" t="str">
        <f t="shared" si="2"/>
        <v/>
      </c>
      <c r="J27" s="650" t="str">
        <f t="shared" si="3"/>
        <v/>
      </c>
      <c r="K27" s="650" t="str">
        <f t="shared" si="4"/>
        <v/>
      </c>
      <c r="L27" s="650" t="str">
        <f t="shared" si="6"/>
        <v/>
      </c>
      <c r="M27" s="635" t="s">
        <v>1201</v>
      </c>
      <c r="N27" s="650" t="str">
        <f t="shared" si="5"/>
        <v/>
      </c>
    </row>
    <row r="28" spans="1:34" x14ac:dyDescent="0.2">
      <c r="A28">
        <f t="shared" si="1"/>
        <v>1</v>
      </c>
      <c r="B28" s="451" t="str">
        <f>VLOOKUP(D28,'LA List'!$A$3:$B$470,2,0)</f>
        <v>E2302</v>
      </c>
      <c r="C28" s="451" t="str">
        <f t="shared" si="0"/>
        <v>E2302EZ1</v>
      </c>
      <c r="D28" s="273" t="s">
        <v>767</v>
      </c>
      <c r="E28" s="273" t="s">
        <v>1013</v>
      </c>
      <c r="F28" s="649">
        <v>1503000</v>
      </c>
      <c r="G28" s="649">
        <v>1503000</v>
      </c>
      <c r="H28" s="649">
        <v>1548155</v>
      </c>
      <c r="I28" s="649">
        <f t="shared" si="2"/>
        <v>1583634</v>
      </c>
      <c r="J28" s="650">
        <f t="shared" si="3"/>
        <v>1609437</v>
      </c>
      <c r="K28" s="650">
        <f t="shared" si="4"/>
        <v>1609437</v>
      </c>
      <c r="L28" s="650">
        <f t="shared" si="6"/>
        <v>1609437</v>
      </c>
      <c r="M28" s="635">
        <v>1917484</v>
      </c>
      <c r="N28" s="650">
        <f t="shared" si="5"/>
        <v>1917484</v>
      </c>
    </row>
    <row r="29" spans="1:34" x14ac:dyDescent="0.2">
      <c r="A29">
        <f t="shared" si="1"/>
        <v>1</v>
      </c>
      <c r="B29" s="451" t="str">
        <f>VLOOKUP(D29,'LA List'!$A$3:$B$470,2,0)</f>
        <v>E1032</v>
      </c>
      <c r="C29" s="451" t="str">
        <f t="shared" si="0"/>
        <v>E1032EZ1</v>
      </c>
      <c r="D29" s="273" t="s">
        <v>769</v>
      </c>
      <c r="E29" s="273"/>
      <c r="F29" s="649" t="s">
        <v>1201</v>
      </c>
      <c r="G29" s="649" t="s">
        <v>1201</v>
      </c>
      <c r="H29" s="649" t="s">
        <v>1201</v>
      </c>
      <c r="I29" s="649" t="str">
        <f t="shared" si="2"/>
        <v/>
      </c>
      <c r="J29" s="650" t="str">
        <f t="shared" si="3"/>
        <v/>
      </c>
      <c r="K29" s="650" t="str">
        <f t="shared" si="4"/>
        <v/>
      </c>
      <c r="L29" s="650" t="str">
        <f t="shared" si="6"/>
        <v/>
      </c>
      <c r="M29" s="635" t="s">
        <v>1201</v>
      </c>
      <c r="N29" s="650" t="str">
        <f t="shared" si="5"/>
        <v/>
      </c>
    </row>
    <row r="30" spans="1:34" x14ac:dyDescent="0.2">
      <c r="A30">
        <f t="shared" si="1"/>
        <v>1</v>
      </c>
      <c r="B30" s="451" t="str">
        <f>VLOOKUP(D30,'LA List'!$A$3:$B$470,2,0)</f>
        <v>E4201</v>
      </c>
      <c r="C30" s="451" t="str">
        <f t="shared" si="0"/>
        <v>E4201EZ1</v>
      </c>
      <c r="D30" s="273" t="s">
        <v>771</v>
      </c>
      <c r="E30" s="273"/>
      <c r="F30" s="649" t="s">
        <v>1201</v>
      </c>
      <c r="G30" s="649" t="s">
        <v>1201</v>
      </c>
      <c r="H30" s="649" t="s">
        <v>1201</v>
      </c>
      <c r="I30" s="649" t="str">
        <f t="shared" si="2"/>
        <v/>
      </c>
      <c r="J30" s="650" t="str">
        <f t="shared" si="3"/>
        <v/>
      </c>
      <c r="K30" s="650" t="str">
        <f t="shared" si="4"/>
        <v/>
      </c>
      <c r="L30" s="650" t="str">
        <f t="shared" si="6"/>
        <v/>
      </c>
      <c r="M30" s="635" t="s">
        <v>1201</v>
      </c>
      <c r="N30" s="650" t="str">
        <f t="shared" si="5"/>
        <v/>
      </c>
    </row>
    <row r="31" spans="1:34" x14ac:dyDescent="0.2">
      <c r="A31">
        <f t="shared" si="1"/>
        <v>1</v>
      </c>
      <c r="B31" s="451" t="str">
        <f>VLOOKUP(D31,'LA List'!$A$3:$B$470,2,0)</f>
        <v>E2531</v>
      </c>
      <c r="C31" s="451" t="str">
        <f t="shared" si="0"/>
        <v>E2531EZ1</v>
      </c>
      <c r="D31" s="273" t="s">
        <v>773</v>
      </c>
      <c r="E31" s="273"/>
      <c r="F31" s="649" t="s">
        <v>1201</v>
      </c>
      <c r="G31" s="649" t="s">
        <v>1201</v>
      </c>
      <c r="H31" s="649" t="s">
        <v>1201</v>
      </c>
      <c r="I31" s="649" t="str">
        <f t="shared" si="2"/>
        <v/>
      </c>
      <c r="J31" s="650" t="str">
        <f t="shared" si="3"/>
        <v/>
      </c>
      <c r="K31" s="650" t="str">
        <f t="shared" si="4"/>
        <v/>
      </c>
      <c r="L31" s="650" t="str">
        <f t="shared" si="6"/>
        <v/>
      </c>
      <c r="M31" s="635" t="s">
        <v>1201</v>
      </c>
      <c r="N31" s="650" t="str">
        <f t="shared" si="5"/>
        <v/>
      </c>
    </row>
    <row r="32" spans="1:34" x14ac:dyDescent="0.2">
      <c r="A32">
        <f t="shared" si="1"/>
        <v>1</v>
      </c>
      <c r="B32" s="397" t="str">
        <f>VLOOKUP(D32,'LA List'!$A$3:$B$470,2,0)</f>
        <v>E1204</v>
      </c>
      <c r="C32" s="397" t="str">
        <f t="shared" si="0"/>
        <v>E1204EZ1</v>
      </c>
      <c r="D32" s="142" t="s">
        <v>1235</v>
      </c>
      <c r="F32" s="650" t="s">
        <v>1201</v>
      </c>
      <c r="G32" s="650" t="s">
        <v>1201</v>
      </c>
      <c r="H32" s="650" t="s">
        <v>1201</v>
      </c>
      <c r="I32" s="650" t="str">
        <f t="shared" si="2"/>
        <v/>
      </c>
      <c r="J32" s="650" t="str">
        <f t="shared" si="3"/>
        <v/>
      </c>
      <c r="K32" s="650" t="str">
        <f t="shared" si="4"/>
        <v/>
      </c>
      <c r="L32" s="650" t="str">
        <f t="shared" si="6"/>
        <v/>
      </c>
      <c r="M32" s="635" t="s">
        <v>1201</v>
      </c>
      <c r="N32" s="650" t="str">
        <f t="shared" si="5"/>
        <v/>
      </c>
      <c r="O32"/>
      <c r="P32"/>
      <c r="Q32"/>
      <c r="R32"/>
      <c r="S32"/>
      <c r="T32"/>
      <c r="U32"/>
      <c r="V32"/>
      <c r="W32"/>
      <c r="X32"/>
      <c r="Y32"/>
      <c r="Z32"/>
      <c r="AA32"/>
      <c r="AB32"/>
      <c r="AC32"/>
      <c r="AD32"/>
      <c r="AE32"/>
      <c r="AF32"/>
      <c r="AG32"/>
      <c r="AH32"/>
    </row>
    <row r="33" spans="1:14" x14ac:dyDescent="0.2">
      <c r="A33">
        <f t="shared" si="1"/>
        <v>1</v>
      </c>
      <c r="B33" s="451" t="str">
        <f>VLOOKUP(D33,'LA List'!$A$3:$B$470,2,0)</f>
        <v>E0301</v>
      </c>
      <c r="C33" s="451" t="str">
        <f t="shared" si="0"/>
        <v>E0301EZ1</v>
      </c>
      <c r="D33" s="273" t="s">
        <v>775</v>
      </c>
      <c r="E33" s="273"/>
      <c r="F33" s="649" t="s">
        <v>1201</v>
      </c>
      <c r="G33" s="649" t="s">
        <v>1201</v>
      </c>
      <c r="H33" s="649" t="s">
        <v>1201</v>
      </c>
      <c r="I33" s="649" t="str">
        <f t="shared" si="2"/>
        <v/>
      </c>
      <c r="J33" s="650" t="str">
        <f t="shared" si="3"/>
        <v/>
      </c>
      <c r="K33" s="650" t="str">
        <f t="shared" si="4"/>
        <v/>
      </c>
      <c r="L33" s="650" t="str">
        <f t="shared" si="6"/>
        <v/>
      </c>
      <c r="M33" s="635" t="s">
        <v>1201</v>
      </c>
      <c r="N33" s="650" t="str">
        <f t="shared" si="5"/>
        <v/>
      </c>
    </row>
    <row r="34" spans="1:14" x14ac:dyDescent="0.2">
      <c r="A34">
        <f t="shared" si="1"/>
        <v>1</v>
      </c>
      <c r="B34" s="451" t="str">
        <f>VLOOKUP(D34,'LA List'!$A$3:$B$470,2,0)</f>
        <v>E4701</v>
      </c>
      <c r="C34" s="451" t="str">
        <f t="shared" si="0"/>
        <v>E4701EZ1</v>
      </c>
      <c r="D34" s="273" t="s">
        <v>777</v>
      </c>
      <c r="E34" s="273" t="s">
        <v>1014</v>
      </c>
      <c r="F34" s="649">
        <v>0</v>
      </c>
      <c r="G34" s="649">
        <v>0</v>
      </c>
      <c r="H34" s="649">
        <v>0</v>
      </c>
      <c r="I34" s="649">
        <f t="shared" si="2"/>
        <v>0</v>
      </c>
      <c r="J34" s="650">
        <f t="shared" si="3"/>
        <v>0</v>
      </c>
      <c r="K34" s="650">
        <f t="shared" si="4"/>
        <v>0</v>
      </c>
      <c r="L34" s="650">
        <f t="shared" si="6"/>
        <v>0</v>
      </c>
      <c r="M34" s="635">
        <v>0</v>
      </c>
      <c r="N34" s="650">
        <f t="shared" si="5"/>
        <v>0</v>
      </c>
    </row>
    <row r="35" spans="1:14" x14ac:dyDescent="0.2">
      <c r="A35">
        <f t="shared" si="1"/>
        <v>2</v>
      </c>
      <c r="B35" s="451" t="str">
        <f>VLOOKUP(D35,'LA List'!$A$3:$B$470,2,0)</f>
        <v>E4701</v>
      </c>
      <c r="C35" s="451" t="str">
        <f t="shared" si="0"/>
        <v>E4701EZ2</v>
      </c>
      <c r="D35" s="273" t="s">
        <v>777</v>
      </c>
      <c r="E35" s="273" t="s">
        <v>1015</v>
      </c>
      <c r="F35" s="649">
        <v>0</v>
      </c>
      <c r="G35" s="649">
        <v>0</v>
      </c>
      <c r="H35" s="649">
        <v>0</v>
      </c>
      <c r="I35" s="649">
        <f t="shared" si="2"/>
        <v>0</v>
      </c>
      <c r="J35" s="650">
        <f t="shared" si="3"/>
        <v>0</v>
      </c>
      <c r="K35" s="650">
        <f t="shared" si="4"/>
        <v>0</v>
      </c>
      <c r="L35" s="650">
        <f t="shared" si="6"/>
        <v>0</v>
      </c>
      <c r="M35" s="635">
        <v>0</v>
      </c>
      <c r="N35" s="650">
        <f t="shared" si="5"/>
        <v>0</v>
      </c>
    </row>
    <row r="36" spans="1:14" x14ac:dyDescent="0.2">
      <c r="A36">
        <f t="shared" si="1"/>
        <v>3</v>
      </c>
      <c r="B36" s="451" t="str">
        <f>VLOOKUP(D36,'LA List'!$A$3:$B$470,2,0)</f>
        <v>E4701</v>
      </c>
      <c r="C36" s="451" t="str">
        <f t="shared" si="0"/>
        <v>E4701EZ3</v>
      </c>
      <c r="D36" s="273" t="s">
        <v>777</v>
      </c>
      <c r="E36" s="273" t="s">
        <v>1016</v>
      </c>
      <c r="F36" s="649">
        <v>0</v>
      </c>
      <c r="G36" s="649">
        <v>0</v>
      </c>
      <c r="H36" s="649">
        <v>0</v>
      </c>
      <c r="I36" s="649">
        <f t="shared" si="2"/>
        <v>0</v>
      </c>
      <c r="J36" s="650">
        <f t="shared" si="3"/>
        <v>0</v>
      </c>
      <c r="K36" s="650">
        <f t="shared" si="4"/>
        <v>0</v>
      </c>
      <c r="L36" s="650">
        <f t="shared" si="6"/>
        <v>0</v>
      </c>
      <c r="M36" s="635">
        <v>0</v>
      </c>
      <c r="N36" s="650">
        <f t="shared" si="5"/>
        <v>0</v>
      </c>
    </row>
    <row r="37" spans="1:14" x14ac:dyDescent="0.2">
      <c r="A37">
        <f t="shared" si="1"/>
        <v>1</v>
      </c>
      <c r="B37" s="451" t="str">
        <f>VLOOKUP(D37,'LA List'!$A$3:$B$470,2,0)</f>
        <v>E1532</v>
      </c>
      <c r="C37" s="451" t="str">
        <f t="shared" si="0"/>
        <v>E1532EZ1</v>
      </c>
      <c r="D37" s="273" t="s">
        <v>779</v>
      </c>
      <c r="E37" s="273"/>
      <c r="F37" s="649" t="s">
        <v>1201</v>
      </c>
      <c r="G37" s="649" t="s">
        <v>1201</v>
      </c>
      <c r="H37" s="649" t="s">
        <v>1201</v>
      </c>
      <c r="I37" s="649" t="str">
        <f t="shared" si="2"/>
        <v/>
      </c>
      <c r="J37" s="650" t="str">
        <f t="shared" si="3"/>
        <v/>
      </c>
      <c r="K37" s="650" t="str">
        <f t="shared" si="4"/>
        <v/>
      </c>
      <c r="L37" s="650" t="str">
        <f t="shared" si="6"/>
        <v/>
      </c>
      <c r="M37" s="635" t="s">
        <v>1201</v>
      </c>
      <c r="N37" s="650" t="str">
        <f t="shared" si="5"/>
        <v/>
      </c>
    </row>
    <row r="38" spans="1:14" x14ac:dyDescent="0.2">
      <c r="A38">
        <f t="shared" si="1"/>
        <v>1</v>
      </c>
      <c r="B38" s="451" t="str">
        <f>VLOOKUP(D38,'LA List'!$A$3:$B$470,2,0)</f>
        <v>E2631</v>
      </c>
      <c r="C38" s="451" t="str">
        <f t="shared" si="0"/>
        <v>E2631EZ1</v>
      </c>
      <c r="D38" s="273" t="s">
        <v>781</v>
      </c>
      <c r="E38" s="273"/>
      <c r="F38" s="649" t="s">
        <v>1201</v>
      </c>
      <c r="G38" s="649" t="s">
        <v>1201</v>
      </c>
      <c r="H38" s="649" t="s">
        <v>1201</v>
      </c>
      <c r="I38" s="649" t="str">
        <f t="shared" si="2"/>
        <v/>
      </c>
      <c r="J38" s="650" t="str">
        <f t="shared" si="3"/>
        <v/>
      </c>
      <c r="K38" s="650" t="str">
        <f t="shared" si="4"/>
        <v/>
      </c>
      <c r="L38" s="650" t="str">
        <f t="shared" si="6"/>
        <v/>
      </c>
      <c r="M38" s="635" t="s">
        <v>1201</v>
      </c>
      <c r="N38" s="650" t="str">
        <f t="shared" si="5"/>
        <v/>
      </c>
    </row>
    <row r="39" spans="1:14" x14ac:dyDescent="0.2">
      <c r="A39">
        <f t="shared" si="1"/>
        <v>1</v>
      </c>
      <c r="B39" s="451" t="str">
        <f>VLOOKUP(D39,'LA List'!$A$3:$B$470,2,0)</f>
        <v>E5033</v>
      </c>
      <c r="C39" s="451" t="str">
        <f t="shared" si="0"/>
        <v>E5033EZ1</v>
      </c>
      <c r="D39" s="273" t="s">
        <v>783</v>
      </c>
      <c r="E39" s="273"/>
      <c r="F39" s="649" t="s">
        <v>1201</v>
      </c>
      <c r="G39" s="649" t="s">
        <v>1201</v>
      </c>
      <c r="H39" s="649" t="s">
        <v>1201</v>
      </c>
      <c r="I39" s="649" t="str">
        <f t="shared" si="2"/>
        <v/>
      </c>
      <c r="J39" s="650" t="str">
        <f t="shared" si="3"/>
        <v/>
      </c>
      <c r="K39" s="650" t="str">
        <f t="shared" si="4"/>
        <v/>
      </c>
      <c r="L39" s="650" t="str">
        <f t="shared" si="6"/>
        <v/>
      </c>
      <c r="M39" s="635" t="s">
        <v>1201</v>
      </c>
      <c r="N39" s="650" t="str">
        <f t="shared" si="5"/>
        <v/>
      </c>
    </row>
    <row r="40" spans="1:14" x14ac:dyDescent="0.2">
      <c r="A40">
        <f t="shared" si="1"/>
        <v>1</v>
      </c>
      <c r="B40" s="451" t="str">
        <f>VLOOKUP(D40,'LA List'!$A$3:$B$470,2,0)</f>
        <v>E1533</v>
      </c>
      <c r="C40" s="451" t="str">
        <f t="shared" si="0"/>
        <v>E1533EZ1</v>
      </c>
      <c r="D40" s="273" t="s">
        <v>785</v>
      </c>
      <c r="E40" s="273"/>
      <c r="F40" s="649" t="s">
        <v>1201</v>
      </c>
      <c r="G40" s="649" t="s">
        <v>1201</v>
      </c>
      <c r="H40" s="649" t="s">
        <v>1201</v>
      </c>
      <c r="I40" s="649" t="str">
        <f t="shared" si="2"/>
        <v/>
      </c>
      <c r="J40" s="650" t="str">
        <f t="shared" si="3"/>
        <v/>
      </c>
      <c r="K40" s="650" t="str">
        <f t="shared" si="4"/>
        <v/>
      </c>
      <c r="L40" s="650" t="str">
        <f t="shared" si="6"/>
        <v/>
      </c>
      <c r="M40" s="635" t="s">
        <v>1201</v>
      </c>
      <c r="N40" s="650" t="str">
        <f t="shared" si="5"/>
        <v/>
      </c>
    </row>
    <row r="41" spans="1:14" x14ac:dyDescent="0.2">
      <c r="A41">
        <f t="shared" si="1"/>
        <v>1</v>
      </c>
      <c r="B41" s="451" t="str">
        <f>VLOOKUP(D41,'LA List'!$A$3:$B$470,2,0)</f>
        <v>E1401</v>
      </c>
      <c r="C41" s="451" t="str">
        <f t="shared" si="0"/>
        <v>E1401EZ1</v>
      </c>
      <c r="D41" s="273" t="s">
        <v>787</v>
      </c>
      <c r="E41" s="273"/>
      <c r="F41" s="649" t="s">
        <v>1201</v>
      </c>
      <c r="G41" s="649" t="s">
        <v>1201</v>
      </c>
      <c r="H41" s="649" t="s">
        <v>1201</v>
      </c>
      <c r="I41" s="649" t="str">
        <f t="shared" si="2"/>
        <v/>
      </c>
      <c r="J41" s="650" t="str">
        <f t="shared" si="3"/>
        <v/>
      </c>
      <c r="K41" s="650" t="str">
        <f t="shared" si="4"/>
        <v/>
      </c>
      <c r="L41" s="650" t="str">
        <f t="shared" si="6"/>
        <v/>
      </c>
      <c r="M41" s="635" t="s">
        <v>1201</v>
      </c>
      <c r="N41" s="650" t="str">
        <f t="shared" si="5"/>
        <v/>
      </c>
    </row>
    <row r="42" spans="1:14" x14ac:dyDescent="0.2">
      <c r="A42">
        <f t="shared" si="1"/>
        <v>1</v>
      </c>
      <c r="B42" s="451" t="str">
        <f>VLOOKUP(D42,'LA List'!$A$3:$B$470,2,0)</f>
        <v>E0102</v>
      </c>
      <c r="C42" s="451" t="str">
        <f t="shared" si="0"/>
        <v>E0102EZ1</v>
      </c>
      <c r="D42" s="273" t="s">
        <v>789</v>
      </c>
      <c r="E42" s="273" t="s">
        <v>847</v>
      </c>
      <c r="F42" s="649">
        <v>14097223</v>
      </c>
      <c r="G42" s="649">
        <v>14097223</v>
      </c>
      <c r="H42" s="649">
        <v>14520745</v>
      </c>
      <c r="I42" s="649">
        <f t="shared" si="2"/>
        <v>14853512</v>
      </c>
      <c r="J42" s="650">
        <f t="shared" si="3"/>
        <v>15095524</v>
      </c>
      <c r="K42" s="650">
        <f t="shared" si="4"/>
        <v>15095524</v>
      </c>
      <c r="L42" s="650">
        <f t="shared" si="6"/>
        <v>15095524</v>
      </c>
      <c r="M42" s="635">
        <v>16434332</v>
      </c>
      <c r="N42" s="650">
        <f t="shared" si="5"/>
        <v>16434332</v>
      </c>
    </row>
    <row r="43" spans="1:14" x14ac:dyDescent="0.2">
      <c r="A43">
        <f t="shared" si="1"/>
        <v>2</v>
      </c>
      <c r="B43" s="451" t="str">
        <f>VLOOKUP(D43,'LA List'!$A$3:$B$470,2,0)</f>
        <v>E0102</v>
      </c>
      <c r="C43" s="451" t="str">
        <f t="shared" si="0"/>
        <v>E0102EZ2</v>
      </c>
      <c r="D43" s="273" t="s">
        <v>789</v>
      </c>
      <c r="E43" s="273" t="s">
        <v>846</v>
      </c>
      <c r="F43" s="649">
        <v>6924728</v>
      </c>
      <c r="G43" s="649">
        <v>6924728</v>
      </c>
      <c r="H43" s="649">
        <v>7132767</v>
      </c>
      <c r="I43" s="649">
        <f t="shared" si="2"/>
        <v>7296226</v>
      </c>
      <c r="J43" s="650">
        <f t="shared" si="3"/>
        <v>7415105</v>
      </c>
      <c r="K43" s="650">
        <f t="shared" si="4"/>
        <v>7415105</v>
      </c>
      <c r="L43" s="650">
        <f t="shared" si="6"/>
        <v>7415105</v>
      </c>
      <c r="M43" s="635">
        <v>9365077</v>
      </c>
      <c r="N43" s="650">
        <f t="shared" si="5"/>
        <v>9365077</v>
      </c>
    </row>
    <row r="44" spans="1:14" x14ac:dyDescent="0.2">
      <c r="A44">
        <f t="shared" si="1"/>
        <v>3</v>
      </c>
      <c r="B44" s="451" t="str">
        <f>VLOOKUP(D44,'LA List'!$A$3:$B$470,2,0)</f>
        <v>E0102</v>
      </c>
      <c r="C44" s="451" t="str">
        <f t="shared" si="0"/>
        <v>E0102EZ3</v>
      </c>
      <c r="D44" s="273" t="s">
        <v>789</v>
      </c>
      <c r="E44" s="273" t="s">
        <v>1017</v>
      </c>
      <c r="F44" s="649">
        <v>3812784</v>
      </c>
      <c r="G44" s="649">
        <v>3812784</v>
      </c>
      <c r="H44" s="649">
        <v>3927331</v>
      </c>
      <c r="I44" s="649">
        <f t="shared" si="2"/>
        <v>4017332</v>
      </c>
      <c r="J44" s="650">
        <f t="shared" si="3"/>
        <v>4082788</v>
      </c>
      <c r="K44" s="650">
        <f t="shared" si="4"/>
        <v>4082788</v>
      </c>
      <c r="L44" s="650">
        <f t="shared" si="6"/>
        <v>4082788</v>
      </c>
      <c r="M44" s="635">
        <v>4595633</v>
      </c>
      <c r="N44" s="650">
        <f t="shared" si="5"/>
        <v>4595633</v>
      </c>
    </row>
    <row r="45" spans="1:14" x14ac:dyDescent="0.2">
      <c r="A45">
        <f t="shared" si="1"/>
        <v>1</v>
      </c>
      <c r="B45" s="451" t="str">
        <f>VLOOKUP(D45,'LA List'!$A$3:$B$470,2,0)</f>
        <v>E2632</v>
      </c>
      <c r="C45" s="451" t="str">
        <f t="shared" si="0"/>
        <v>E2632EZ1</v>
      </c>
      <c r="D45" s="273" t="s">
        <v>791</v>
      </c>
      <c r="E45" s="273"/>
      <c r="F45" s="649" t="s">
        <v>1201</v>
      </c>
      <c r="G45" s="649" t="s">
        <v>1201</v>
      </c>
      <c r="H45" s="649" t="s">
        <v>1201</v>
      </c>
      <c r="I45" s="649" t="str">
        <f t="shared" si="2"/>
        <v/>
      </c>
      <c r="J45" s="650" t="str">
        <f t="shared" si="3"/>
        <v/>
      </c>
      <c r="K45" s="650" t="str">
        <f t="shared" si="4"/>
        <v/>
      </c>
      <c r="L45" s="650" t="str">
        <f t="shared" si="6"/>
        <v/>
      </c>
      <c r="M45" s="635" t="s">
        <v>1201</v>
      </c>
      <c r="N45" s="650" t="str">
        <f t="shared" si="5"/>
        <v/>
      </c>
    </row>
    <row r="46" spans="1:14" x14ac:dyDescent="0.2">
      <c r="A46">
        <f t="shared" si="1"/>
        <v>1</v>
      </c>
      <c r="B46" s="451" t="str">
        <f>VLOOKUP(D46,'LA List'!$A$3:$B$470,2,0)</f>
        <v>E5034</v>
      </c>
      <c r="C46" s="451" t="str">
        <f t="shared" si="0"/>
        <v>E5034EZ1</v>
      </c>
      <c r="D46" s="273" t="s">
        <v>793</v>
      </c>
      <c r="E46" s="273"/>
      <c r="F46" s="649" t="s">
        <v>1201</v>
      </c>
      <c r="G46" s="649" t="s">
        <v>1201</v>
      </c>
      <c r="H46" s="649" t="s">
        <v>1201</v>
      </c>
      <c r="I46" s="649" t="str">
        <f t="shared" si="2"/>
        <v/>
      </c>
      <c r="J46" s="650" t="str">
        <f t="shared" si="3"/>
        <v/>
      </c>
      <c r="K46" s="650" t="str">
        <f t="shared" si="4"/>
        <v/>
      </c>
      <c r="L46" s="650" t="str">
        <f t="shared" si="6"/>
        <v/>
      </c>
      <c r="M46" s="635" t="s">
        <v>1201</v>
      </c>
      <c r="N46" s="650" t="str">
        <f t="shared" si="5"/>
        <v/>
      </c>
    </row>
    <row r="47" spans="1:14" x14ac:dyDescent="0.2">
      <c r="A47">
        <f t="shared" si="1"/>
        <v>1</v>
      </c>
      <c r="B47" s="451" t="str">
        <f>VLOOKUP(D47,'LA List'!$A$3:$B$470,2,0)</f>
        <v>E1831</v>
      </c>
      <c r="C47" s="451" t="str">
        <f t="shared" si="0"/>
        <v>E1831EZ1</v>
      </c>
      <c r="D47" s="273" t="s">
        <v>795</v>
      </c>
      <c r="E47" s="273"/>
      <c r="F47" s="649" t="s">
        <v>1201</v>
      </c>
      <c r="G47" s="649" t="s">
        <v>1201</v>
      </c>
      <c r="H47" s="649" t="s">
        <v>1201</v>
      </c>
      <c r="I47" s="649" t="str">
        <f t="shared" si="2"/>
        <v/>
      </c>
      <c r="J47" s="650" t="str">
        <f t="shared" si="3"/>
        <v/>
      </c>
      <c r="K47" s="650" t="str">
        <f t="shared" si="4"/>
        <v/>
      </c>
      <c r="L47" s="650" t="str">
        <f t="shared" si="6"/>
        <v/>
      </c>
      <c r="M47" s="635" t="s">
        <v>1201</v>
      </c>
      <c r="N47" s="650" t="str">
        <f t="shared" si="5"/>
        <v/>
      </c>
    </row>
    <row r="48" spans="1:14" x14ac:dyDescent="0.2">
      <c r="A48">
        <f t="shared" si="1"/>
        <v>1</v>
      </c>
      <c r="B48" s="451" t="str">
        <f>VLOOKUP(D48,'LA List'!$A$3:$B$470,2,0)</f>
        <v>E1931</v>
      </c>
      <c r="C48" s="451" t="str">
        <f t="shared" si="0"/>
        <v>E1931EZ1</v>
      </c>
      <c r="D48" s="273" t="s">
        <v>797</v>
      </c>
      <c r="E48" s="273"/>
      <c r="F48" s="649" t="s">
        <v>1201</v>
      </c>
      <c r="G48" s="649" t="s">
        <v>1201</v>
      </c>
      <c r="H48" s="649" t="s">
        <v>1201</v>
      </c>
      <c r="I48" s="649" t="str">
        <f t="shared" si="2"/>
        <v/>
      </c>
      <c r="J48" s="650" t="str">
        <f t="shared" si="3"/>
        <v/>
      </c>
      <c r="K48" s="650" t="str">
        <f t="shared" si="4"/>
        <v/>
      </c>
      <c r="L48" s="650" t="str">
        <f t="shared" si="6"/>
        <v/>
      </c>
      <c r="M48" s="635" t="s">
        <v>1201</v>
      </c>
      <c r="N48" s="650" t="str">
        <f t="shared" si="5"/>
        <v/>
      </c>
    </row>
    <row r="49" spans="1:34" x14ac:dyDescent="0.2">
      <c r="A49">
        <f t="shared" si="1"/>
        <v>1</v>
      </c>
      <c r="B49" s="451" t="str">
        <f>VLOOKUP(D49,'LA List'!$A$3:$B$470,2,0)</f>
        <v>E3033</v>
      </c>
      <c r="C49" s="451" t="str">
        <f t="shared" si="0"/>
        <v>E3033EZ1</v>
      </c>
      <c r="D49" s="273" t="s">
        <v>799</v>
      </c>
      <c r="E49" s="273" t="s">
        <v>848</v>
      </c>
      <c r="F49" s="649">
        <v>1182989</v>
      </c>
      <c r="G49" s="649">
        <v>1182989</v>
      </c>
      <c r="H49" s="649">
        <v>1218529</v>
      </c>
      <c r="I49" s="649">
        <f t="shared" si="2"/>
        <v>1246454</v>
      </c>
      <c r="J49" s="650">
        <f t="shared" si="3"/>
        <v>1266763</v>
      </c>
      <c r="K49" s="650">
        <f t="shared" si="4"/>
        <v>1266763</v>
      </c>
      <c r="L49" s="650">
        <f t="shared" si="6"/>
        <v>1266763</v>
      </c>
      <c r="M49" s="635">
        <v>1318907</v>
      </c>
      <c r="N49" s="650">
        <f t="shared" si="5"/>
        <v>1318907</v>
      </c>
    </row>
    <row r="50" spans="1:34" x14ac:dyDescent="0.2">
      <c r="A50">
        <f t="shared" si="1"/>
        <v>1</v>
      </c>
      <c r="B50" s="397" t="str">
        <f>VLOOKUP(D50,'LA List'!$A$3:$B$470,2,0)</f>
        <v>E0402</v>
      </c>
      <c r="C50" s="397" t="str">
        <f>CONCATENATE(B50,"EZ",A50)</f>
        <v>E0402EZ1</v>
      </c>
      <c r="D50" s="142" t="s">
        <v>1256</v>
      </c>
      <c r="E50" t="s">
        <v>1005</v>
      </c>
      <c r="F50" s="650">
        <v>0</v>
      </c>
      <c r="G50" s="650">
        <v>0</v>
      </c>
      <c r="H50" s="650">
        <v>0</v>
      </c>
      <c r="I50" s="650">
        <f>IF(H50="","",ROUND(H50*$I$1,0))</f>
        <v>0</v>
      </c>
      <c r="J50" s="650">
        <f>IF(I50="","",ROUND(I50*$J$1,0))</f>
        <v>0</v>
      </c>
      <c r="K50" s="650">
        <f t="shared" si="4"/>
        <v>0</v>
      </c>
      <c r="L50" s="650">
        <f t="shared" si="6"/>
        <v>0</v>
      </c>
      <c r="M50" s="635">
        <v>0</v>
      </c>
      <c r="N50" s="650">
        <f t="shared" si="5"/>
        <v>0</v>
      </c>
      <c r="O50"/>
      <c r="P50"/>
      <c r="Q50"/>
      <c r="R50"/>
      <c r="S50"/>
      <c r="T50"/>
      <c r="U50"/>
      <c r="V50"/>
      <c r="W50"/>
      <c r="X50"/>
      <c r="Y50"/>
      <c r="Z50"/>
      <c r="AA50"/>
      <c r="AB50"/>
      <c r="AC50"/>
      <c r="AD50"/>
      <c r="AE50"/>
      <c r="AF50"/>
      <c r="AG50"/>
      <c r="AH50"/>
    </row>
    <row r="51" spans="1:34" x14ac:dyDescent="0.2">
      <c r="A51">
        <f t="shared" si="1"/>
        <v>2</v>
      </c>
      <c r="B51" s="397" t="str">
        <f>VLOOKUP(D51,'LA List'!$A$3:$B$470,2,0)</f>
        <v>E0402</v>
      </c>
      <c r="C51" s="397" t="str">
        <f>CONCATENATE(B51,"EZ",A51)</f>
        <v>E0402EZ2</v>
      </c>
      <c r="D51" s="142" t="s">
        <v>1256</v>
      </c>
      <c r="E51" t="s">
        <v>1006</v>
      </c>
      <c r="F51" s="650">
        <v>0</v>
      </c>
      <c r="G51" s="650">
        <v>0</v>
      </c>
      <c r="H51" s="650">
        <v>0</v>
      </c>
      <c r="I51" s="650">
        <f>IF(H51="","",ROUND(H51*$I$1,0))</f>
        <v>0</v>
      </c>
      <c r="J51" s="650">
        <f>IF(I51="","",ROUND(I51*$J$1,0))</f>
        <v>0</v>
      </c>
      <c r="K51" s="650">
        <f t="shared" si="4"/>
        <v>0</v>
      </c>
      <c r="L51" s="650">
        <f t="shared" si="6"/>
        <v>0</v>
      </c>
      <c r="M51" s="635">
        <v>0</v>
      </c>
      <c r="N51" s="650">
        <f t="shared" si="5"/>
        <v>0</v>
      </c>
      <c r="O51"/>
      <c r="P51"/>
      <c r="Q51"/>
      <c r="R51"/>
      <c r="S51"/>
      <c r="T51"/>
      <c r="U51"/>
      <c r="V51"/>
      <c r="W51"/>
      <c r="X51"/>
      <c r="Y51"/>
      <c r="Z51"/>
      <c r="AA51"/>
      <c r="AB51"/>
      <c r="AC51"/>
      <c r="AD51"/>
      <c r="AE51"/>
      <c r="AF51"/>
      <c r="AG51"/>
      <c r="AH51"/>
    </row>
    <row r="52" spans="1:34" x14ac:dyDescent="0.2">
      <c r="A52">
        <f t="shared" si="1"/>
        <v>3</v>
      </c>
      <c r="B52" s="397" t="str">
        <f>VLOOKUP(D52,'LA List'!$A$3:$B$470,2,0)</f>
        <v>E0402</v>
      </c>
      <c r="C52" s="397" t="str">
        <f>CONCATENATE(B52,"EZ",A52)</f>
        <v>E0402EZ3</v>
      </c>
      <c r="D52" s="142" t="s">
        <v>1256</v>
      </c>
      <c r="E52" t="s">
        <v>1007</v>
      </c>
      <c r="F52" s="650">
        <v>24915</v>
      </c>
      <c r="G52" s="650">
        <v>24915</v>
      </c>
      <c r="H52" s="650">
        <v>25664</v>
      </c>
      <c r="I52" s="650">
        <f>IF(H52="","",ROUND(H52*$I$1,0))</f>
        <v>26252</v>
      </c>
      <c r="J52" s="650">
        <f>IF(I52="","",ROUND(I52*$J$1,0))</f>
        <v>26680</v>
      </c>
      <c r="K52" s="650">
        <f t="shared" si="4"/>
        <v>26680</v>
      </c>
      <c r="L52" s="650">
        <f t="shared" si="6"/>
        <v>26680</v>
      </c>
      <c r="M52" s="635">
        <v>32393</v>
      </c>
      <c r="N52" s="650">
        <f t="shared" si="5"/>
        <v>32393</v>
      </c>
      <c r="O52"/>
      <c r="P52"/>
      <c r="Q52"/>
      <c r="R52"/>
      <c r="S52"/>
      <c r="T52"/>
      <c r="U52"/>
      <c r="V52"/>
      <c r="W52"/>
      <c r="X52"/>
      <c r="Y52"/>
      <c r="Z52"/>
      <c r="AA52"/>
      <c r="AB52"/>
      <c r="AC52"/>
      <c r="AD52"/>
      <c r="AE52"/>
      <c r="AF52"/>
      <c r="AG52"/>
      <c r="AH52"/>
    </row>
    <row r="53" spans="1:34" x14ac:dyDescent="0.2">
      <c r="A53">
        <f t="shared" si="1"/>
        <v>1</v>
      </c>
      <c r="B53" s="451" t="str">
        <f>VLOOKUP(D53,'LA List'!$A$3:$B$470,2,0)</f>
        <v>E2333</v>
      </c>
      <c r="C53" s="451" t="str">
        <f t="shared" si="0"/>
        <v>E2333EZ1</v>
      </c>
      <c r="D53" s="273" t="s">
        <v>801</v>
      </c>
      <c r="E53" s="273"/>
      <c r="F53" s="649" t="s">
        <v>1201</v>
      </c>
      <c r="G53" s="649" t="s">
        <v>1201</v>
      </c>
      <c r="H53" s="649" t="s">
        <v>1201</v>
      </c>
      <c r="I53" s="649" t="str">
        <f t="shared" si="2"/>
        <v/>
      </c>
      <c r="J53" s="650" t="str">
        <f t="shared" si="3"/>
        <v/>
      </c>
      <c r="K53" s="650" t="str">
        <f t="shared" si="4"/>
        <v/>
      </c>
      <c r="L53" s="650" t="str">
        <f t="shared" si="6"/>
        <v/>
      </c>
      <c r="M53" s="635" t="s">
        <v>1201</v>
      </c>
      <c r="N53" s="650" t="str">
        <f t="shared" si="5"/>
        <v/>
      </c>
    </row>
    <row r="54" spans="1:34" x14ac:dyDescent="0.2">
      <c r="A54">
        <f t="shared" si="1"/>
        <v>1</v>
      </c>
      <c r="B54" s="451" t="str">
        <f>VLOOKUP(D54,'LA List'!$A$3:$B$470,2,0)</f>
        <v>E4202</v>
      </c>
      <c r="C54" s="451" t="str">
        <f t="shared" si="0"/>
        <v>E4202EZ1</v>
      </c>
      <c r="D54" s="273" t="s">
        <v>803</v>
      </c>
      <c r="E54" s="273" t="s">
        <v>3366</v>
      </c>
      <c r="F54" s="649" t="s">
        <v>1201</v>
      </c>
      <c r="G54" s="649" t="s">
        <v>1201</v>
      </c>
      <c r="H54" s="649" t="s">
        <v>1201</v>
      </c>
      <c r="I54" s="649" t="str">
        <f t="shared" si="2"/>
        <v/>
      </c>
      <c r="J54" s="650" t="str">
        <f t="shared" si="3"/>
        <v/>
      </c>
      <c r="K54" s="650" t="str">
        <f t="shared" si="4"/>
        <v/>
      </c>
      <c r="L54" s="650" t="str">
        <f t="shared" si="6"/>
        <v/>
      </c>
      <c r="M54" s="635" t="s">
        <v>1201</v>
      </c>
      <c r="N54" s="650">
        <v>0</v>
      </c>
    </row>
    <row r="55" spans="1:34" x14ac:dyDescent="0.2">
      <c r="A55">
        <f t="shared" si="1"/>
        <v>1</v>
      </c>
      <c r="B55" s="451" t="str">
        <f>VLOOKUP(D55,'LA List'!$A$3:$B$470,2,0)</f>
        <v>E4702</v>
      </c>
      <c r="C55" s="451" t="str">
        <f t="shared" si="0"/>
        <v>E4702EZ1</v>
      </c>
      <c r="D55" s="273" t="s">
        <v>805</v>
      </c>
      <c r="E55" s="273" t="s">
        <v>1018</v>
      </c>
      <c r="F55" s="649">
        <v>0</v>
      </c>
      <c r="G55" s="649">
        <v>0</v>
      </c>
      <c r="H55" s="649">
        <v>0</v>
      </c>
      <c r="I55" s="649">
        <f t="shared" si="2"/>
        <v>0</v>
      </c>
      <c r="J55" s="650">
        <f t="shared" si="3"/>
        <v>0</v>
      </c>
      <c r="K55" s="650">
        <f t="shared" si="4"/>
        <v>0</v>
      </c>
      <c r="L55" s="650">
        <f t="shared" si="6"/>
        <v>0</v>
      </c>
      <c r="M55" s="635">
        <v>0</v>
      </c>
      <c r="N55" s="650">
        <f t="shared" si="5"/>
        <v>0</v>
      </c>
    </row>
    <row r="56" spans="1:34" x14ac:dyDescent="0.2">
      <c r="A56">
        <f t="shared" si="1"/>
        <v>1</v>
      </c>
      <c r="B56" s="451" t="str">
        <f>VLOOKUP(D56,'LA List'!$A$3:$B$470,2,0)</f>
        <v>E0531</v>
      </c>
      <c r="C56" s="451" t="str">
        <f t="shared" si="0"/>
        <v>E0531EZ1</v>
      </c>
      <c r="D56" s="273" t="s">
        <v>807</v>
      </c>
      <c r="E56" s="273"/>
      <c r="F56" s="649" t="s">
        <v>1201</v>
      </c>
      <c r="G56" s="649" t="s">
        <v>1201</v>
      </c>
      <c r="H56" s="649" t="s">
        <v>1201</v>
      </c>
      <c r="I56" s="649" t="str">
        <f t="shared" si="2"/>
        <v/>
      </c>
      <c r="J56" s="650" t="str">
        <f t="shared" si="3"/>
        <v/>
      </c>
      <c r="K56" s="650" t="str">
        <f t="shared" si="4"/>
        <v/>
      </c>
      <c r="L56" s="650" t="str">
        <f t="shared" si="6"/>
        <v/>
      </c>
      <c r="M56" s="635" t="s">
        <v>1201</v>
      </c>
      <c r="N56" s="650" t="str">
        <f t="shared" si="5"/>
        <v/>
      </c>
    </row>
    <row r="57" spans="1:34" x14ac:dyDescent="0.2">
      <c r="A57">
        <f t="shared" si="1"/>
        <v>1</v>
      </c>
      <c r="B57" s="451" t="str">
        <f>VLOOKUP(D57,'LA List'!$A$3:$B$470,2,0)</f>
        <v>E5011</v>
      </c>
      <c r="C57" s="451" t="str">
        <f t="shared" si="0"/>
        <v>E5011EZ1</v>
      </c>
      <c r="D57" s="273" t="s">
        <v>809</v>
      </c>
      <c r="E57" s="273"/>
      <c r="F57" s="649" t="s">
        <v>1201</v>
      </c>
      <c r="G57" s="649" t="s">
        <v>1201</v>
      </c>
      <c r="H57" s="649" t="s">
        <v>1201</v>
      </c>
      <c r="I57" s="649" t="str">
        <f t="shared" si="2"/>
        <v/>
      </c>
      <c r="J57" s="650" t="str">
        <f t="shared" si="3"/>
        <v/>
      </c>
      <c r="K57" s="650" t="str">
        <f t="shared" si="4"/>
        <v/>
      </c>
      <c r="L57" s="650" t="str">
        <f t="shared" si="6"/>
        <v/>
      </c>
      <c r="M57" s="635" t="s">
        <v>1201</v>
      </c>
      <c r="N57" s="650" t="str">
        <f t="shared" si="5"/>
        <v/>
      </c>
    </row>
    <row r="58" spans="1:34" x14ac:dyDescent="0.2">
      <c r="A58">
        <f t="shared" si="1"/>
        <v>1</v>
      </c>
      <c r="B58" s="451" t="str">
        <f>VLOOKUP(D58,'LA List'!$A$3:$B$470,2,0)</f>
        <v>E3431</v>
      </c>
      <c r="C58" s="451" t="str">
        <f t="shared" si="0"/>
        <v>E3431EZ1</v>
      </c>
      <c r="D58" s="273" t="s">
        <v>811</v>
      </c>
      <c r="E58" s="273"/>
      <c r="F58" s="649" t="s">
        <v>1201</v>
      </c>
      <c r="G58" s="649" t="s">
        <v>1201</v>
      </c>
      <c r="H58" s="649" t="s">
        <v>1201</v>
      </c>
      <c r="I58" s="649" t="str">
        <f t="shared" si="2"/>
        <v/>
      </c>
      <c r="J58" s="650" t="str">
        <f t="shared" si="3"/>
        <v/>
      </c>
      <c r="K58" s="650" t="str">
        <f t="shared" si="4"/>
        <v/>
      </c>
      <c r="L58" s="650" t="str">
        <f t="shared" si="6"/>
        <v/>
      </c>
      <c r="M58" s="635" t="s">
        <v>1201</v>
      </c>
      <c r="N58" s="650" t="str">
        <f t="shared" si="5"/>
        <v/>
      </c>
    </row>
    <row r="59" spans="1:34" x14ac:dyDescent="0.2">
      <c r="A59">
        <f t="shared" si="1"/>
        <v>1</v>
      </c>
      <c r="B59" s="451" t="str">
        <f>VLOOKUP(D59,'LA List'!$A$3:$B$470,2,0)</f>
        <v>E2232</v>
      </c>
      <c r="C59" s="451" t="str">
        <f t="shared" si="0"/>
        <v>E2232EZ1</v>
      </c>
      <c r="D59" s="273" t="s">
        <v>813</v>
      </c>
      <c r="E59" s="273"/>
      <c r="F59" s="649" t="s">
        <v>1201</v>
      </c>
      <c r="G59" s="649" t="s">
        <v>1201</v>
      </c>
      <c r="H59" s="649" t="s">
        <v>1201</v>
      </c>
      <c r="I59" s="649" t="str">
        <f t="shared" si="2"/>
        <v/>
      </c>
      <c r="J59" s="650" t="str">
        <f t="shared" si="3"/>
        <v/>
      </c>
      <c r="K59" s="650" t="str">
        <f t="shared" si="4"/>
        <v/>
      </c>
      <c r="L59" s="650" t="str">
        <f t="shared" si="6"/>
        <v/>
      </c>
      <c r="M59" s="635" t="s">
        <v>1201</v>
      </c>
      <c r="N59" s="650" t="str">
        <f t="shared" si="5"/>
        <v/>
      </c>
    </row>
    <row r="60" spans="1:34" x14ac:dyDescent="0.2">
      <c r="A60">
        <f t="shared" si="1"/>
        <v>1</v>
      </c>
      <c r="B60" s="451" t="str">
        <f>VLOOKUP(D60,'LA List'!$A$3:$B$470,2,0)</f>
        <v>E1534</v>
      </c>
      <c r="C60" s="451" t="str">
        <f t="shared" si="0"/>
        <v>E1534EZ1</v>
      </c>
      <c r="D60" s="273" t="s">
        <v>815</v>
      </c>
      <c r="E60" s="273"/>
      <c r="F60" s="649" t="s">
        <v>1201</v>
      </c>
      <c r="G60" s="649" t="s">
        <v>1201</v>
      </c>
      <c r="H60" s="649" t="s">
        <v>1201</v>
      </c>
      <c r="I60" s="649" t="str">
        <f t="shared" si="2"/>
        <v/>
      </c>
      <c r="J60" s="650" t="str">
        <f t="shared" si="3"/>
        <v/>
      </c>
      <c r="K60" s="650" t="str">
        <f t="shared" si="4"/>
        <v/>
      </c>
      <c r="L60" s="650" t="str">
        <f t="shared" si="6"/>
        <v/>
      </c>
      <c r="M60" s="635" t="s">
        <v>1201</v>
      </c>
      <c r="N60" s="650" t="str">
        <f t="shared" si="5"/>
        <v/>
      </c>
    </row>
    <row r="61" spans="1:34" x14ac:dyDescent="0.2">
      <c r="A61">
        <f t="shared" si="1"/>
        <v>1</v>
      </c>
      <c r="B61" s="451" t="str">
        <f>VLOOKUP(D61,'LA List'!$A$3:$B$470,2,0)</f>
        <v>E0203</v>
      </c>
      <c r="C61" s="451" t="str">
        <f t="shared" si="0"/>
        <v>E0203EZ1</v>
      </c>
      <c r="D61" s="273" t="s">
        <v>817</v>
      </c>
      <c r="E61" s="273"/>
      <c r="F61" s="649" t="s">
        <v>1201</v>
      </c>
      <c r="G61" s="649" t="s">
        <v>1201</v>
      </c>
      <c r="H61" s="649" t="s">
        <v>1201</v>
      </c>
      <c r="I61" s="649" t="str">
        <f t="shared" si="2"/>
        <v/>
      </c>
      <c r="J61" s="650" t="str">
        <f t="shared" si="3"/>
        <v/>
      </c>
      <c r="K61" s="650" t="str">
        <f t="shared" si="4"/>
        <v/>
      </c>
      <c r="L61" s="650" t="str">
        <f t="shared" si="6"/>
        <v/>
      </c>
      <c r="M61" s="635" t="s">
        <v>1201</v>
      </c>
      <c r="N61" s="650" t="str">
        <f t="shared" si="5"/>
        <v/>
      </c>
    </row>
    <row r="62" spans="1:34" x14ac:dyDescent="0.2">
      <c r="A62">
        <f t="shared" si="1"/>
        <v>1</v>
      </c>
      <c r="B62" s="451" t="str">
        <f>VLOOKUP(D62,'LA List'!$A$3:$B$470,2,0)</f>
        <v>E2432</v>
      </c>
      <c r="C62" s="451" t="str">
        <f t="shared" si="0"/>
        <v>E2432EZ1</v>
      </c>
      <c r="D62" s="273" t="s">
        <v>819</v>
      </c>
      <c r="E62" s="273" t="s">
        <v>1020</v>
      </c>
      <c r="F62" s="649">
        <v>0</v>
      </c>
      <c r="G62" s="649">
        <v>0</v>
      </c>
      <c r="H62" s="649">
        <v>0</v>
      </c>
      <c r="I62" s="649">
        <f t="shared" si="2"/>
        <v>0</v>
      </c>
      <c r="J62" s="650">
        <f t="shared" si="3"/>
        <v>0</v>
      </c>
      <c r="K62" s="650">
        <f t="shared" si="4"/>
        <v>0</v>
      </c>
      <c r="L62" s="650">
        <f t="shared" si="6"/>
        <v>0</v>
      </c>
      <c r="M62" s="635">
        <v>0</v>
      </c>
      <c r="N62" s="650">
        <f t="shared" si="5"/>
        <v>0</v>
      </c>
    </row>
    <row r="63" spans="1:34" x14ac:dyDescent="0.2">
      <c r="A63">
        <f t="shared" si="1"/>
        <v>2</v>
      </c>
      <c r="B63" s="451" t="str">
        <f>VLOOKUP(D63,'LA List'!$A$3:$B$470,2,0)</f>
        <v>E2432</v>
      </c>
      <c r="C63" s="451" t="str">
        <f t="shared" si="0"/>
        <v>E2432EZ2</v>
      </c>
      <c r="D63" s="273" t="s">
        <v>819</v>
      </c>
      <c r="E63" s="273" t="s">
        <v>1021</v>
      </c>
      <c r="F63" s="649">
        <v>119000</v>
      </c>
      <c r="G63" s="649">
        <v>119000</v>
      </c>
      <c r="H63" s="649">
        <v>122575</v>
      </c>
      <c r="I63" s="649">
        <f t="shared" si="2"/>
        <v>125384</v>
      </c>
      <c r="J63" s="650">
        <f t="shared" si="3"/>
        <v>127427</v>
      </c>
      <c r="K63" s="650">
        <f t="shared" si="4"/>
        <v>127427</v>
      </c>
      <c r="L63" s="650">
        <f t="shared" si="6"/>
        <v>127427</v>
      </c>
      <c r="M63" s="635">
        <v>122719</v>
      </c>
      <c r="N63" s="650">
        <f t="shared" si="5"/>
        <v>122719</v>
      </c>
    </row>
    <row r="64" spans="1:34" x14ac:dyDescent="0.2">
      <c r="A64">
        <f t="shared" si="1"/>
        <v>1</v>
      </c>
      <c r="B64" s="451" t="str">
        <f>VLOOKUP(D64,'LA List'!$A$3:$B$470,2,0)</f>
        <v>E1535</v>
      </c>
      <c r="C64" s="451" t="str">
        <f t="shared" si="0"/>
        <v>E1535EZ1</v>
      </c>
      <c r="D64" s="273" t="s">
        <v>821</v>
      </c>
      <c r="E64" s="273"/>
      <c r="F64" s="649" t="s">
        <v>1201</v>
      </c>
      <c r="G64" s="649" t="s">
        <v>1201</v>
      </c>
      <c r="H64" s="649" t="s">
        <v>1201</v>
      </c>
      <c r="I64" s="649" t="str">
        <f t="shared" si="2"/>
        <v/>
      </c>
      <c r="J64" s="650" t="str">
        <f t="shared" si="3"/>
        <v/>
      </c>
      <c r="K64" s="650" t="str">
        <f t="shared" si="4"/>
        <v/>
      </c>
      <c r="L64" s="650" t="str">
        <f t="shared" si="6"/>
        <v/>
      </c>
      <c r="M64" s="635" t="s">
        <v>1201</v>
      </c>
      <c r="N64" s="650" t="str">
        <f t="shared" si="5"/>
        <v/>
      </c>
    </row>
    <row r="65" spans="1:14" x14ac:dyDescent="0.2">
      <c r="A65">
        <f t="shared" si="1"/>
        <v>1</v>
      </c>
      <c r="B65" s="451" t="str">
        <f>VLOOKUP(D65,'LA List'!$A$3:$B$470,2,0)</f>
        <v>E1631</v>
      </c>
      <c r="C65" s="451" t="str">
        <f t="shared" si="0"/>
        <v>E1631EZ1</v>
      </c>
      <c r="D65" s="273" t="s">
        <v>823</v>
      </c>
      <c r="E65" s="273"/>
      <c r="F65" s="649" t="s">
        <v>1201</v>
      </c>
      <c r="G65" s="649" t="s">
        <v>1201</v>
      </c>
      <c r="H65" s="649" t="s">
        <v>1201</v>
      </c>
      <c r="I65" s="649" t="str">
        <f t="shared" si="2"/>
        <v/>
      </c>
      <c r="J65" s="650" t="str">
        <f t="shared" si="3"/>
        <v/>
      </c>
      <c r="K65" s="650" t="str">
        <f t="shared" si="4"/>
        <v/>
      </c>
      <c r="L65" s="650" t="str">
        <f t="shared" si="6"/>
        <v/>
      </c>
      <c r="M65" s="635" t="s">
        <v>1201</v>
      </c>
      <c r="N65" s="650" t="str">
        <f t="shared" si="5"/>
        <v/>
      </c>
    </row>
    <row r="66" spans="1:14" x14ac:dyDescent="0.2">
      <c r="A66">
        <f t="shared" si="1"/>
        <v>1</v>
      </c>
      <c r="B66" s="451" t="str">
        <f>VLOOKUP(D66,'LA List'!$A$3:$B$470,2,0)</f>
        <v>E3131</v>
      </c>
      <c r="C66" s="451" t="str">
        <f t="shared" si="0"/>
        <v>E3131EZ1</v>
      </c>
      <c r="D66" s="273" t="s">
        <v>825</v>
      </c>
      <c r="E66" s="273"/>
      <c r="F66" s="649" t="s">
        <v>1201</v>
      </c>
      <c r="G66" s="649" t="s">
        <v>1201</v>
      </c>
      <c r="H66" s="649" t="s">
        <v>1201</v>
      </c>
      <c r="I66" s="649" t="str">
        <f t="shared" si="2"/>
        <v/>
      </c>
      <c r="J66" s="650" t="str">
        <f t="shared" si="3"/>
        <v/>
      </c>
      <c r="K66" s="650" t="str">
        <f t="shared" si="4"/>
        <v/>
      </c>
      <c r="L66" s="650" t="str">
        <f t="shared" si="6"/>
        <v/>
      </c>
      <c r="M66" s="635" t="s">
        <v>1201</v>
      </c>
      <c r="N66" s="650" t="str">
        <f t="shared" si="5"/>
        <v/>
      </c>
    </row>
    <row r="67" spans="1:14" x14ac:dyDescent="0.2">
      <c r="A67">
        <f t="shared" si="1"/>
        <v>1</v>
      </c>
      <c r="B67" s="451" t="str">
        <f>VLOOKUP(D67,'LA List'!$A$3:$B$470,2,0)</f>
        <v>E0603</v>
      </c>
      <c r="C67" s="451" t="str">
        <f t="shared" ref="C67:C125" si="7">CONCATENATE(B67,"EZ",A67)</f>
        <v>E0603EZ1</v>
      </c>
      <c r="D67" s="273" t="s">
        <v>827</v>
      </c>
      <c r="E67" s="273" t="s">
        <v>1022</v>
      </c>
      <c r="F67" s="649">
        <v>2253425</v>
      </c>
      <c r="G67" s="649">
        <v>2253425</v>
      </c>
      <c r="H67" s="649">
        <v>2321124</v>
      </c>
      <c r="I67" s="649">
        <f t="shared" si="2"/>
        <v>2374316</v>
      </c>
      <c r="J67" s="650">
        <f t="shared" si="3"/>
        <v>2413001</v>
      </c>
      <c r="K67" s="650">
        <f t="shared" si="4"/>
        <v>2413001</v>
      </c>
      <c r="L67" s="650">
        <f t="shared" si="6"/>
        <v>2413001</v>
      </c>
      <c r="M67" s="635">
        <v>1932743</v>
      </c>
      <c r="N67" s="650">
        <f t="shared" si="5"/>
        <v>1932743</v>
      </c>
    </row>
    <row r="68" spans="1:14" x14ac:dyDescent="0.2">
      <c r="A68">
        <f t="shared" si="1"/>
        <v>1</v>
      </c>
      <c r="B68" s="451" t="str">
        <f>VLOOKUP(D68,'LA List'!$A$3:$B$470,2,0)</f>
        <v>E0604</v>
      </c>
      <c r="C68" s="451" t="str">
        <f t="shared" si="7"/>
        <v>E0604EZ1</v>
      </c>
      <c r="D68" s="273" t="s">
        <v>545</v>
      </c>
      <c r="E68" s="273" t="s">
        <v>1023</v>
      </c>
      <c r="F68" s="649">
        <v>143520</v>
      </c>
      <c r="G68" s="649">
        <v>143520</v>
      </c>
      <c r="H68" s="649">
        <v>147832</v>
      </c>
      <c r="I68" s="649">
        <f t="shared" ref="I68:I127" si="8">IF(H68="","",ROUND(H68*$I$1,0))</f>
        <v>151220</v>
      </c>
      <c r="J68" s="650">
        <f t="shared" ref="J68:J127" si="9">IF(I68="","",ROUND(I68*$J$1,0))</f>
        <v>153684</v>
      </c>
      <c r="K68" s="650">
        <f t="shared" ref="K68:K128" si="10">IF(J68="","",ROUND(J68*$K$1,0))</f>
        <v>153684</v>
      </c>
      <c r="L68" s="650">
        <f t="shared" si="6"/>
        <v>153684</v>
      </c>
      <c r="M68" s="635">
        <v>195959</v>
      </c>
      <c r="N68" s="650">
        <f t="shared" si="5"/>
        <v>195959</v>
      </c>
    </row>
    <row r="69" spans="1:14" x14ac:dyDescent="0.2">
      <c r="A69">
        <f t="shared" si="1"/>
        <v>2</v>
      </c>
      <c r="B69" s="451" t="str">
        <f>VLOOKUP(D69,'LA List'!$A$3:$B$470,2,0)</f>
        <v>E0604</v>
      </c>
      <c r="C69" s="451" t="str">
        <f t="shared" si="7"/>
        <v>E0604EZ2</v>
      </c>
      <c r="D69" s="273" t="s">
        <v>545</v>
      </c>
      <c r="E69" s="273" t="s">
        <v>1024</v>
      </c>
      <c r="F69" s="649">
        <v>0</v>
      </c>
      <c r="G69" s="649">
        <v>0</v>
      </c>
      <c r="H69" s="649">
        <v>0</v>
      </c>
      <c r="I69" s="649">
        <f t="shared" si="8"/>
        <v>0</v>
      </c>
      <c r="J69" s="650">
        <f t="shared" si="9"/>
        <v>0</v>
      </c>
      <c r="K69" s="650">
        <f t="shared" si="10"/>
        <v>0</v>
      </c>
      <c r="L69" s="650">
        <f t="shared" si="6"/>
        <v>0</v>
      </c>
      <c r="M69" s="635">
        <v>0</v>
      </c>
      <c r="N69" s="650">
        <f t="shared" si="5"/>
        <v>0</v>
      </c>
    </row>
    <row r="70" spans="1:14" x14ac:dyDescent="0.2">
      <c r="A70">
        <f t="shared" si="1"/>
        <v>3</v>
      </c>
      <c r="B70" s="451" t="str">
        <f>VLOOKUP(D70,'LA List'!$A$3:$B$470,2,0)</f>
        <v>E0604</v>
      </c>
      <c r="C70" s="451" t="str">
        <f t="shared" si="7"/>
        <v>E0604EZ3</v>
      </c>
      <c r="D70" s="273" t="s">
        <v>545</v>
      </c>
      <c r="E70" s="273" t="s">
        <v>1025</v>
      </c>
      <c r="F70" s="649">
        <v>0</v>
      </c>
      <c r="G70" s="649">
        <v>0</v>
      </c>
      <c r="H70" s="649">
        <v>0</v>
      </c>
      <c r="I70" s="649">
        <f t="shared" si="8"/>
        <v>0</v>
      </c>
      <c r="J70" s="650">
        <f t="shared" si="9"/>
        <v>0</v>
      </c>
      <c r="K70" s="650">
        <f t="shared" si="10"/>
        <v>0</v>
      </c>
      <c r="L70" s="650">
        <f t="shared" si="6"/>
        <v>0</v>
      </c>
      <c r="M70" s="635">
        <v>0</v>
      </c>
      <c r="N70" s="650">
        <f t="shared" si="5"/>
        <v>0</v>
      </c>
    </row>
    <row r="71" spans="1:14" x14ac:dyDescent="0.2">
      <c r="A71">
        <f t="shared" ref="A71:A138" si="11">IF(D71=D70,A70+1,1)</f>
        <v>4</v>
      </c>
      <c r="B71" s="451" t="str">
        <f>VLOOKUP(D71,'LA List'!$A$3:$B$470,2,0)</f>
        <v>E0604</v>
      </c>
      <c r="C71" s="451" t="str">
        <f t="shared" si="7"/>
        <v>E0604EZ4</v>
      </c>
      <c r="D71" s="273" t="s">
        <v>545</v>
      </c>
      <c r="E71" s="273" t="s">
        <v>1026</v>
      </c>
      <c r="F71" s="649">
        <v>0</v>
      </c>
      <c r="G71" s="649">
        <v>0</v>
      </c>
      <c r="H71" s="649">
        <v>0</v>
      </c>
      <c r="I71" s="649">
        <f t="shared" si="8"/>
        <v>0</v>
      </c>
      <c r="J71" s="650">
        <f t="shared" si="9"/>
        <v>0</v>
      </c>
      <c r="K71" s="650">
        <f t="shared" si="10"/>
        <v>0</v>
      </c>
      <c r="L71" s="650">
        <f t="shared" si="6"/>
        <v>0</v>
      </c>
      <c r="M71" s="635">
        <v>0</v>
      </c>
      <c r="N71" s="650">
        <f t="shared" ref="N71:N136" si="12">IF(M71="","",ROUND(M71*$N$1,0))</f>
        <v>0</v>
      </c>
    </row>
    <row r="72" spans="1:14" x14ac:dyDescent="0.2">
      <c r="A72">
        <f t="shared" si="11"/>
        <v>5</v>
      </c>
      <c r="B72" s="451" t="str">
        <f>VLOOKUP(D72,'LA List'!$A$3:$B$470,2,0)</f>
        <v>E0604</v>
      </c>
      <c r="C72" s="451" t="str">
        <f t="shared" si="7"/>
        <v>E0604EZ5</v>
      </c>
      <c r="D72" s="273" t="s">
        <v>545</v>
      </c>
      <c r="E72" s="273" t="s">
        <v>1027</v>
      </c>
      <c r="F72" s="649">
        <v>0</v>
      </c>
      <c r="G72" s="649">
        <v>0</v>
      </c>
      <c r="H72" s="649">
        <v>0</v>
      </c>
      <c r="I72" s="649">
        <f t="shared" si="8"/>
        <v>0</v>
      </c>
      <c r="J72" s="650">
        <f t="shared" si="9"/>
        <v>0</v>
      </c>
      <c r="K72" s="650">
        <f t="shared" si="10"/>
        <v>0</v>
      </c>
      <c r="L72" s="650">
        <f t="shared" si="6"/>
        <v>0</v>
      </c>
      <c r="M72" s="635">
        <v>0</v>
      </c>
      <c r="N72" s="650">
        <f t="shared" si="12"/>
        <v>0</v>
      </c>
    </row>
    <row r="73" spans="1:14" x14ac:dyDescent="0.2">
      <c r="A73">
        <f t="shared" si="11"/>
        <v>6</v>
      </c>
      <c r="B73" s="451" t="str">
        <f>VLOOKUP(D73,'LA List'!$A$3:$B$470,2,0)</f>
        <v>E0604</v>
      </c>
      <c r="C73" s="451" t="str">
        <f t="shared" si="7"/>
        <v>E0604EZ6</v>
      </c>
      <c r="D73" s="273" t="s">
        <v>545</v>
      </c>
      <c r="E73" s="273" t="s">
        <v>1028</v>
      </c>
      <c r="F73" s="649">
        <v>0</v>
      </c>
      <c r="G73" s="649">
        <v>0</v>
      </c>
      <c r="H73" s="649">
        <v>0</v>
      </c>
      <c r="I73" s="649">
        <f t="shared" si="8"/>
        <v>0</v>
      </c>
      <c r="J73" s="650">
        <f t="shared" si="9"/>
        <v>0</v>
      </c>
      <c r="K73" s="650">
        <f t="shared" si="10"/>
        <v>0</v>
      </c>
      <c r="L73" s="650">
        <f t="shared" si="6"/>
        <v>0</v>
      </c>
      <c r="M73" s="635">
        <v>0</v>
      </c>
      <c r="N73" s="650">
        <f t="shared" si="12"/>
        <v>0</v>
      </c>
    </row>
    <row r="74" spans="1:14" x14ac:dyDescent="0.2">
      <c r="A74">
        <f t="shared" si="11"/>
        <v>7</v>
      </c>
      <c r="B74" s="451" t="str">
        <f>VLOOKUP(D74,'LA List'!$A$3:$B$470,2,0)</f>
        <v>E0604</v>
      </c>
      <c r="C74" s="451" t="str">
        <f t="shared" si="7"/>
        <v>E0604EZ7</v>
      </c>
      <c r="D74" s="273" t="s">
        <v>545</v>
      </c>
      <c r="E74" s="273" t="s">
        <v>1029</v>
      </c>
      <c r="F74" s="649">
        <v>0</v>
      </c>
      <c r="G74" s="649">
        <v>0</v>
      </c>
      <c r="H74" s="649">
        <v>0</v>
      </c>
      <c r="I74" s="649">
        <f t="shared" si="8"/>
        <v>0</v>
      </c>
      <c r="J74" s="650">
        <f t="shared" si="9"/>
        <v>0</v>
      </c>
      <c r="K74" s="650">
        <f t="shared" si="10"/>
        <v>0</v>
      </c>
      <c r="L74" s="650">
        <f t="shared" ref="L74:L137" si="13">IF(K74="","",ROUND(K74*$L$1,0))</f>
        <v>0</v>
      </c>
      <c r="M74" s="635">
        <v>0</v>
      </c>
      <c r="N74" s="650">
        <f t="shared" si="12"/>
        <v>0</v>
      </c>
    </row>
    <row r="75" spans="1:14" x14ac:dyDescent="0.2">
      <c r="A75">
        <f t="shared" si="11"/>
        <v>8</v>
      </c>
      <c r="B75" s="451" t="str">
        <f>VLOOKUP(D75,'LA List'!$A$3:$B$470,2,0)</f>
        <v>E0604</v>
      </c>
      <c r="C75" s="451" t="str">
        <f t="shared" si="7"/>
        <v>E0604EZ8</v>
      </c>
      <c r="D75" s="273" t="s">
        <v>545</v>
      </c>
      <c r="E75" s="273" t="s">
        <v>1030</v>
      </c>
      <c r="F75" s="649">
        <v>23901</v>
      </c>
      <c r="G75" s="649">
        <v>23901</v>
      </c>
      <c r="H75" s="649">
        <v>24619</v>
      </c>
      <c r="I75" s="649">
        <f t="shared" si="8"/>
        <v>25183</v>
      </c>
      <c r="J75" s="650">
        <f t="shared" si="9"/>
        <v>25593</v>
      </c>
      <c r="K75" s="650">
        <f t="shared" si="10"/>
        <v>25593</v>
      </c>
      <c r="L75" s="650">
        <f t="shared" si="13"/>
        <v>25593</v>
      </c>
      <c r="M75" s="635">
        <v>20227</v>
      </c>
      <c r="N75" s="650">
        <f t="shared" si="12"/>
        <v>20227</v>
      </c>
    </row>
    <row r="76" spans="1:14" x14ac:dyDescent="0.2">
      <c r="A76">
        <f t="shared" si="11"/>
        <v>9</v>
      </c>
      <c r="B76" s="451" t="str">
        <f>VLOOKUP(D76,'LA List'!$A$3:$B$470,2,0)</f>
        <v>E0604</v>
      </c>
      <c r="C76" s="451" t="str">
        <f t="shared" si="7"/>
        <v>E0604EZ9</v>
      </c>
      <c r="D76" s="273" t="s">
        <v>545</v>
      </c>
      <c r="E76" s="273" t="s">
        <v>1031</v>
      </c>
      <c r="F76" s="649">
        <v>0</v>
      </c>
      <c r="G76" s="649">
        <v>0</v>
      </c>
      <c r="H76" s="649">
        <v>0</v>
      </c>
      <c r="I76" s="649">
        <f t="shared" si="8"/>
        <v>0</v>
      </c>
      <c r="J76" s="650">
        <f t="shared" si="9"/>
        <v>0</v>
      </c>
      <c r="K76" s="650">
        <f t="shared" si="10"/>
        <v>0</v>
      </c>
      <c r="L76" s="650">
        <f t="shared" si="13"/>
        <v>0</v>
      </c>
      <c r="M76" s="635">
        <v>0</v>
      </c>
      <c r="N76" s="650">
        <f t="shared" si="12"/>
        <v>0</v>
      </c>
    </row>
    <row r="77" spans="1:14" x14ac:dyDescent="0.2">
      <c r="A77">
        <f t="shared" si="11"/>
        <v>10</v>
      </c>
      <c r="B77" s="451" t="str">
        <f>VLOOKUP(D77,'LA List'!$A$3:$B$470,2,0)</f>
        <v>E0604</v>
      </c>
      <c r="C77" s="451" t="str">
        <f t="shared" si="7"/>
        <v>E0604EZ10</v>
      </c>
      <c r="D77" s="273" t="s">
        <v>545</v>
      </c>
      <c r="E77" s="273" t="s">
        <v>1032</v>
      </c>
      <c r="F77" s="649">
        <v>0</v>
      </c>
      <c r="G77" s="649">
        <v>0</v>
      </c>
      <c r="H77" s="649">
        <v>0</v>
      </c>
      <c r="I77" s="649">
        <f t="shared" si="8"/>
        <v>0</v>
      </c>
      <c r="J77" s="650">
        <f t="shared" si="9"/>
        <v>0</v>
      </c>
      <c r="K77" s="650">
        <f t="shared" si="10"/>
        <v>0</v>
      </c>
      <c r="L77" s="650">
        <f t="shared" si="13"/>
        <v>0</v>
      </c>
      <c r="M77" s="635">
        <v>0</v>
      </c>
      <c r="N77" s="650">
        <f t="shared" si="12"/>
        <v>0</v>
      </c>
    </row>
    <row r="78" spans="1:14" x14ac:dyDescent="0.2">
      <c r="A78">
        <f t="shared" si="11"/>
        <v>1</v>
      </c>
      <c r="B78" s="451" t="str">
        <f>VLOOKUP(D78,'LA List'!$A$3:$B$470,2,0)</f>
        <v>E1033</v>
      </c>
      <c r="C78" s="451" t="str">
        <f t="shared" si="7"/>
        <v>E1033EZ1</v>
      </c>
      <c r="D78" s="273" t="s">
        <v>830</v>
      </c>
      <c r="E78" s="273" t="s">
        <v>849</v>
      </c>
      <c r="F78" s="649">
        <v>0</v>
      </c>
      <c r="G78" s="649">
        <v>0</v>
      </c>
      <c r="H78" s="649">
        <v>0</v>
      </c>
      <c r="I78" s="649">
        <f t="shared" si="8"/>
        <v>0</v>
      </c>
      <c r="J78" s="650">
        <f t="shared" si="9"/>
        <v>0</v>
      </c>
      <c r="K78" s="650">
        <f t="shared" si="10"/>
        <v>0</v>
      </c>
      <c r="L78" s="650">
        <f t="shared" si="13"/>
        <v>0</v>
      </c>
      <c r="M78" s="635">
        <v>39820</v>
      </c>
      <c r="N78" s="650">
        <f t="shared" si="12"/>
        <v>39820</v>
      </c>
    </row>
    <row r="79" spans="1:14" x14ac:dyDescent="0.2">
      <c r="A79">
        <f t="shared" si="11"/>
        <v>1</v>
      </c>
      <c r="B79" s="451" t="str">
        <f>VLOOKUP(D79,'LA List'!$A$3:$B$470,2,0)</f>
        <v>E3833</v>
      </c>
      <c r="C79" s="451" t="str">
        <f t="shared" si="7"/>
        <v>E3833EZ1</v>
      </c>
      <c r="D79" s="273" t="s">
        <v>832</v>
      </c>
      <c r="E79" s="273"/>
      <c r="F79" s="649" t="s">
        <v>1201</v>
      </c>
      <c r="G79" s="649" t="s">
        <v>1201</v>
      </c>
      <c r="H79" s="649" t="s">
        <v>1201</v>
      </c>
      <c r="I79" s="649" t="str">
        <f t="shared" si="8"/>
        <v/>
      </c>
      <c r="J79" s="650" t="str">
        <f t="shared" si="9"/>
        <v/>
      </c>
      <c r="K79" s="650" t="str">
        <f t="shared" si="10"/>
        <v/>
      </c>
      <c r="L79" s="650" t="str">
        <f t="shared" si="13"/>
        <v/>
      </c>
      <c r="M79" s="635" t="s">
        <v>1201</v>
      </c>
      <c r="N79" s="650" t="str">
        <f t="shared" si="12"/>
        <v/>
      </c>
    </row>
    <row r="80" spans="1:14" x14ac:dyDescent="0.2">
      <c r="A80">
        <f t="shared" si="11"/>
        <v>1</v>
      </c>
      <c r="B80" s="451" t="str">
        <f>VLOOKUP(D80,'LA List'!$A$3:$B$470,2,0)</f>
        <v>E2334</v>
      </c>
      <c r="C80" s="451" t="str">
        <f t="shared" si="7"/>
        <v>E2334EZ1</v>
      </c>
      <c r="D80" s="273" t="s">
        <v>834</v>
      </c>
      <c r="E80" s="273"/>
      <c r="F80" s="649" t="s">
        <v>1201</v>
      </c>
      <c r="G80" s="649" t="s">
        <v>1201</v>
      </c>
      <c r="H80" s="649" t="s">
        <v>1201</v>
      </c>
      <c r="I80" s="649" t="str">
        <f t="shared" si="8"/>
        <v/>
      </c>
      <c r="J80" s="650" t="str">
        <f t="shared" si="9"/>
        <v/>
      </c>
      <c r="K80" s="650" t="str">
        <f t="shared" si="10"/>
        <v/>
      </c>
      <c r="L80" s="650" t="str">
        <f t="shared" si="13"/>
        <v/>
      </c>
      <c r="M80" s="635" t="s">
        <v>1201</v>
      </c>
      <c r="N80" s="650" t="str">
        <f t="shared" si="12"/>
        <v/>
      </c>
    </row>
    <row r="81" spans="1:14" x14ac:dyDescent="0.2">
      <c r="A81">
        <f t="shared" si="11"/>
        <v>1</v>
      </c>
      <c r="B81" s="451" t="str">
        <f>VLOOKUP(D81,'LA List'!$A$3:$B$470,2,0)</f>
        <v>E5010</v>
      </c>
      <c r="C81" s="451" t="str">
        <f t="shared" si="7"/>
        <v>E5010EZ1</v>
      </c>
      <c r="D81" s="273" t="s">
        <v>836</v>
      </c>
      <c r="E81" s="273"/>
      <c r="F81" s="649" t="s">
        <v>1201</v>
      </c>
      <c r="G81" s="649" t="s">
        <v>1201</v>
      </c>
      <c r="H81" s="649" t="s">
        <v>1201</v>
      </c>
      <c r="I81" s="649" t="str">
        <f t="shared" si="8"/>
        <v/>
      </c>
      <c r="J81" s="650" t="str">
        <f t="shared" si="9"/>
        <v/>
      </c>
      <c r="K81" s="650" t="str">
        <f t="shared" si="10"/>
        <v/>
      </c>
      <c r="L81" s="650" t="str">
        <f t="shared" si="13"/>
        <v/>
      </c>
      <c r="M81" s="635" t="s">
        <v>1201</v>
      </c>
      <c r="N81" s="650" t="str">
        <f t="shared" si="12"/>
        <v/>
      </c>
    </row>
    <row r="82" spans="1:14" x14ac:dyDescent="0.2">
      <c r="A82">
        <f t="shared" si="11"/>
        <v>1</v>
      </c>
      <c r="B82" s="451" t="str">
        <f>VLOOKUP(D82,'LA List'!$A$3:$B$470,2,0)</f>
        <v>E1536</v>
      </c>
      <c r="C82" s="451" t="str">
        <f t="shared" si="7"/>
        <v>E1536EZ1</v>
      </c>
      <c r="D82" s="273" t="s">
        <v>1</v>
      </c>
      <c r="E82" s="273"/>
      <c r="F82" s="649" t="s">
        <v>1201</v>
      </c>
      <c r="G82" s="649" t="s">
        <v>1201</v>
      </c>
      <c r="H82" s="649" t="s">
        <v>1201</v>
      </c>
      <c r="I82" s="649" t="str">
        <f t="shared" si="8"/>
        <v/>
      </c>
      <c r="J82" s="650" t="str">
        <f t="shared" si="9"/>
        <v/>
      </c>
      <c r="K82" s="650" t="str">
        <f t="shared" si="10"/>
        <v/>
      </c>
      <c r="L82" s="650" t="str">
        <f t="shared" si="13"/>
        <v/>
      </c>
      <c r="M82" s="635" t="s">
        <v>1201</v>
      </c>
      <c r="N82" s="650" t="str">
        <f t="shared" si="12"/>
        <v/>
      </c>
    </row>
    <row r="83" spans="1:14" x14ac:dyDescent="0.2">
      <c r="A83">
        <f t="shared" si="11"/>
        <v>1</v>
      </c>
      <c r="B83" s="451" t="str">
        <f>VLOOKUP(D83,'LA List'!$A$3:$B$470,2,0)</f>
        <v>E0801</v>
      </c>
      <c r="C83" s="451" t="str">
        <f t="shared" si="7"/>
        <v>E0801EZ1</v>
      </c>
      <c r="D83" s="273" t="s">
        <v>3</v>
      </c>
      <c r="E83" s="273" t="s">
        <v>850</v>
      </c>
      <c r="F83" s="649">
        <v>506696</v>
      </c>
      <c r="G83" s="649">
        <v>506696</v>
      </c>
      <c r="H83" s="649">
        <v>521919</v>
      </c>
      <c r="I83" s="649">
        <f t="shared" si="8"/>
        <v>533880</v>
      </c>
      <c r="J83" s="650">
        <f t="shared" si="9"/>
        <v>542579</v>
      </c>
      <c r="K83" s="650">
        <f t="shared" si="10"/>
        <v>542579</v>
      </c>
      <c r="L83" s="650">
        <f t="shared" si="13"/>
        <v>542579</v>
      </c>
      <c r="M83" s="635">
        <v>518319</v>
      </c>
      <c r="N83" s="650">
        <f t="shared" si="12"/>
        <v>518319</v>
      </c>
    </row>
    <row r="84" spans="1:14" x14ac:dyDescent="0.2">
      <c r="A84">
        <f t="shared" si="11"/>
        <v>2</v>
      </c>
      <c r="B84" s="451" t="str">
        <f>VLOOKUP(D84,'LA List'!$A$3:$B$470,2,0)</f>
        <v>E0801</v>
      </c>
      <c r="C84" s="451" t="str">
        <f t="shared" si="7"/>
        <v>E0801EZ2</v>
      </c>
      <c r="D84" s="273" t="s">
        <v>3</v>
      </c>
      <c r="E84" s="273" t="s">
        <v>1033</v>
      </c>
      <c r="F84" s="649">
        <v>68686</v>
      </c>
      <c r="G84" s="649">
        <v>68686</v>
      </c>
      <c r="H84" s="649">
        <v>70750</v>
      </c>
      <c r="I84" s="649">
        <f t="shared" si="8"/>
        <v>72371</v>
      </c>
      <c r="J84" s="650">
        <f t="shared" si="9"/>
        <v>73550</v>
      </c>
      <c r="K84" s="650">
        <f t="shared" si="10"/>
        <v>73550</v>
      </c>
      <c r="L84" s="650">
        <f t="shared" si="13"/>
        <v>73550</v>
      </c>
      <c r="M84" s="635">
        <v>82881</v>
      </c>
      <c r="N84" s="650">
        <f t="shared" si="12"/>
        <v>82881</v>
      </c>
    </row>
    <row r="85" spans="1:14" x14ac:dyDescent="0.2">
      <c r="A85">
        <f t="shared" si="11"/>
        <v>3</v>
      </c>
      <c r="B85" s="451" t="str">
        <f>VLOOKUP(D85,'LA List'!$A$3:$B$470,2,0)</f>
        <v>E0801</v>
      </c>
      <c r="C85" s="451" t="str">
        <f t="shared" si="7"/>
        <v>E0801EZ3</v>
      </c>
      <c r="D85" s="273" t="s">
        <v>3</v>
      </c>
      <c r="E85" s="273" t="s">
        <v>1034</v>
      </c>
      <c r="F85" s="649">
        <v>73887</v>
      </c>
      <c r="G85" s="649">
        <v>73887</v>
      </c>
      <c r="H85" s="649">
        <v>76107</v>
      </c>
      <c r="I85" s="649">
        <f t="shared" si="8"/>
        <v>77851</v>
      </c>
      <c r="J85" s="650">
        <f t="shared" si="9"/>
        <v>79119</v>
      </c>
      <c r="K85" s="650">
        <f t="shared" si="10"/>
        <v>79119</v>
      </c>
      <c r="L85" s="650">
        <f t="shared" si="13"/>
        <v>79119</v>
      </c>
      <c r="M85" s="635">
        <v>80254</v>
      </c>
      <c r="N85" s="650">
        <f t="shared" si="12"/>
        <v>80254</v>
      </c>
    </row>
    <row r="86" spans="1:14" x14ac:dyDescent="0.2">
      <c r="A86">
        <f t="shared" si="11"/>
        <v>4</v>
      </c>
      <c r="B86" s="451" t="str">
        <f>VLOOKUP(D86,'LA List'!$A$3:$B$470,2,0)</f>
        <v>E0801</v>
      </c>
      <c r="C86" s="451" t="str">
        <f t="shared" si="7"/>
        <v>E0801EZ4</v>
      </c>
      <c r="D86" s="273" t="s">
        <v>3</v>
      </c>
      <c r="E86" s="273" t="s">
        <v>1035</v>
      </c>
      <c r="F86" s="649">
        <v>0</v>
      </c>
      <c r="G86" s="649">
        <v>0</v>
      </c>
      <c r="H86" s="649">
        <v>0</v>
      </c>
      <c r="I86" s="649">
        <f t="shared" si="8"/>
        <v>0</v>
      </c>
      <c r="J86" s="650">
        <f t="shared" si="9"/>
        <v>0</v>
      </c>
      <c r="K86" s="650">
        <f t="shared" si="10"/>
        <v>0</v>
      </c>
      <c r="L86" s="650">
        <f t="shared" si="13"/>
        <v>0</v>
      </c>
      <c r="M86" s="635">
        <v>0</v>
      </c>
      <c r="N86" s="650">
        <f t="shared" si="12"/>
        <v>0</v>
      </c>
    </row>
    <row r="87" spans="1:14" x14ac:dyDescent="0.2">
      <c r="A87">
        <f t="shared" si="11"/>
        <v>5</v>
      </c>
      <c r="B87" s="451" t="str">
        <f>VLOOKUP(D87,'LA List'!$A$3:$B$470,2,0)</f>
        <v>E0801</v>
      </c>
      <c r="C87" s="451" t="str">
        <f t="shared" si="7"/>
        <v>E0801EZ5</v>
      </c>
      <c r="D87" s="273" t="s">
        <v>3</v>
      </c>
      <c r="E87" s="273" t="s">
        <v>1036</v>
      </c>
      <c r="F87" s="649">
        <v>11855</v>
      </c>
      <c r="G87" s="649">
        <v>11855</v>
      </c>
      <c r="H87" s="649">
        <v>12211</v>
      </c>
      <c r="I87" s="649">
        <f t="shared" si="8"/>
        <v>12491</v>
      </c>
      <c r="J87" s="650">
        <f t="shared" si="9"/>
        <v>12695</v>
      </c>
      <c r="K87" s="650">
        <f t="shared" si="10"/>
        <v>12695</v>
      </c>
      <c r="L87" s="650">
        <f t="shared" si="13"/>
        <v>12695</v>
      </c>
      <c r="M87" s="635">
        <v>0</v>
      </c>
      <c r="N87" s="650">
        <f t="shared" si="12"/>
        <v>0</v>
      </c>
    </row>
    <row r="88" spans="1:14" x14ac:dyDescent="0.2">
      <c r="A88">
        <f t="shared" si="11"/>
        <v>1</v>
      </c>
      <c r="B88" s="451" t="str">
        <f>VLOOKUP(D88,'LA List'!$A$3:$B$470,2,0)</f>
        <v>E1632</v>
      </c>
      <c r="C88" s="451" t="str">
        <f t="shared" si="7"/>
        <v>E1632EZ1</v>
      </c>
      <c r="D88" s="273" t="s">
        <v>5</v>
      </c>
      <c r="E88" s="273"/>
      <c r="F88" s="649" t="s">
        <v>1201</v>
      </c>
      <c r="G88" s="649" t="s">
        <v>1201</v>
      </c>
      <c r="H88" s="649" t="s">
        <v>1201</v>
      </c>
      <c r="I88" s="649" t="str">
        <f t="shared" si="8"/>
        <v/>
      </c>
      <c r="J88" s="650" t="str">
        <f t="shared" si="9"/>
        <v/>
      </c>
      <c r="K88" s="650" t="str">
        <f t="shared" si="10"/>
        <v/>
      </c>
      <c r="L88" s="650" t="str">
        <f t="shared" si="13"/>
        <v/>
      </c>
      <c r="M88" s="635" t="s">
        <v>1201</v>
      </c>
      <c r="N88" s="650" t="str">
        <f t="shared" si="12"/>
        <v/>
      </c>
    </row>
    <row r="89" spans="1:14" x14ac:dyDescent="0.2">
      <c r="A89">
        <f t="shared" si="11"/>
        <v>1</v>
      </c>
      <c r="B89" s="451" t="str">
        <f>VLOOKUP(D89,'LA List'!$A$3:$B$470,2,0)</f>
        <v>E4602</v>
      </c>
      <c r="C89" s="451" t="str">
        <f t="shared" si="7"/>
        <v>E4602EZ1</v>
      </c>
      <c r="D89" s="273" t="s">
        <v>7</v>
      </c>
      <c r="E89" s="273" t="s">
        <v>3367</v>
      </c>
      <c r="F89" s="649" t="s">
        <v>1201</v>
      </c>
      <c r="G89" s="649" t="s">
        <v>1201</v>
      </c>
      <c r="H89" s="649" t="s">
        <v>1201</v>
      </c>
      <c r="I89" s="649" t="str">
        <f t="shared" si="8"/>
        <v/>
      </c>
      <c r="J89" s="650" t="str">
        <f t="shared" si="9"/>
        <v/>
      </c>
      <c r="K89" s="650" t="str">
        <f t="shared" si="10"/>
        <v/>
      </c>
      <c r="L89" s="650" t="str">
        <f t="shared" si="13"/>
        <v/>
      </c>
      <c r="M89" s="635" t="s">
        <v>1201</v>
      </c>
      <c r="N89" s="650">
        <v>1043</v>
      </c>
    </row>
    <row r="90" spans="1:14" x14ac:dyDescent="0.2">
      <c r="A90">
        <f t="shared" si="11"/>
        <v>1</v>
      </c>
      <c r="B90" s="451" t="str">
        <f>VLOOKUP(D90,'LA List'!$A$3:$B$470,2,0)</f>
        <v>E3834</v>
      </c>
      <c r="C90" s="451" t="str">
        <f t="shared" si="7"/>
        <v>E3834EZ1</v>
      </c>
      <c r="D90" s="273" t="s">
        <v>9</v>
      </c>
      <c r="E90" s="273"/>
      <c r="F90" s="649" t="s">
        <v>1201</v>
      </c>
      <c r="G90" s="649" t="s">
        <v>1201</v>
      </c>
      <c r="H90" s="649" t="s">
        <v>1201</v>
      </c>
      <c r="I90" s="649" t="str">
        <f t="shared" si="8"/>
        <v/>
      </c>
      <c r="J90" s="650" t="str">
        <f t="shared" si="9"/>
        <v/>
      </c>
      <c r="K90" s="650" t="str">
        <f t="shared" si="10"/>
        <v/>
      </c>
      <c r="L90" s="650" t="str">
        <f t="shared" si="13"/>
        <v/>
      </c>
      <c r="M90" s="635" t="s">
        <v>1201</v>
      </c>
      <c r="N90" s="650" t="str">
        <f t="shared" si="12"/>
        <v/>
      </c>
    </row>
    <row r="91" spans="1:14" x14ac:dyDescent="0.2">
      <c r="A91">
        <f t="shared" si="11"/>
        <v>1</v>
      </c>
      <c r="B91" s="451" t="str">
        <f>VLOOKUP(D91,'LA List'!$A$3:$B$470,2,0)</f>
        <v>E5035</v>
      </c>
      <c r="C91" s="451" t="str">
        <f t="shared" si="7"/>
        <v>E5035EZ1</v>
      </c>
      <c r="D91" s="273" t="s">
        <v>11</v>
      </c>
      <c r="E91" s="544" t="s">
        <v>1197</v>
      </c>
      <c r="F91" s="649">
        <v>0</v>
      </c>
      <c r="G91" s="649">
        <v>0</v>
      </c>
      <c r="H91" s="649">
        <v>19952122</v>
      </c>
      <c r="I91" s="649">
        <f t="shared" si="8"/>
        <v>20409358</v>
      </c>
      <c r="J91" s="650">
        <f t="shared" si="9"/>
        <v>20741893</v>
      </c>
      <c r="K91" s="650">
        <f t="shared" si="10"/>
        <v>20741893</v>
      </c>
      <c r="L91" s="650">
        <f t="shared" si="13"/>
        <v>20741893</v>
      </c>
      <c r="M91" s="635">
        <v>20508150</v>
      </c>
      <c r="N91" s="650">
        <f t="shared" si="12"/>
        <v>20508150</v>
      </c>
    </row>
    <row r="92" spans="1:14" x14ac:dyDescent="0.2">
      <c r="A92">
        <f t="shared" si="11"/>
        <v>1</v>
      </c>
      <c r="B92" s="451" t="str">
        <f>VLOOKUP(D92,'LA List'!$A$3:$B$470,2,0)</f>
        <v>E0901</v>
      </c>
      <c r="C92" s="451" t="str">
        <f t="shared" ref="C92" si="14">CONCATENATE(B92,"EZ",A92)</f>
        <v>E0901EZ1</v>
      </c>
      <c r="D92" s="544" t="s">
        <v>2403</v>
      </c>
      <c r="E92" s="273" t="s">
        <v>1019</v>
      </c>
      <c r="F92" s="649">
        <v>1536785</v>
      </c>
      <c r="G92" s="649">
        <v>1536785</v>
      </c>
      <c r="H92" s="649">
        <v>1582955</v>
      </c>
      <c r="I92" s="649">
        <v>1715250</v>
      </c>
      <c r="J92" s="650">
        <f t="shared" si="9"/>
        <v>1743197</v>
      </c>
      <c r="K92" s="650">
        <f t="shared" si="10"/>
        <v>1743197</v>
      </c>
      <c r="L92" s="650">
        <f t="shared" si="13"/>
        <v>1743197</v>
      </c>
      <c r="M92" s="635">
        <v>1914375</v>
      </c>
      <c r="N92" s="650">
        <f t="shared" si="12"/>
        <v>1914375</v>
      </c>
    </row>
    <row r="93" spans="1:14" x14ac:dyDescent="0.2">
      <c r="A93">
        <f t="shared" si="11"/>
        <v>1</v>
      </c>
      <c r="B93" s="451" t="str">
        <f>VLOOKUP(D93,'LA List'!$A$3:$B$470,2,0)</f>
        <v>E1932</v>
      </c>
      <c r="C93" s="451" t="str">
        <f t="shared" si="7"/>
        <v>E1932EZ1</v>
      </c>
      <c r="D93" s="273" t="s">
        <v>13</v>
      </c>
      <c r="E93" s="273" t="s">
        <v>1037</v>
      </c>
      <c r="F93" s="649">
        <v>0</v>
      </c>
      <c r="G93" s="649">
        <v>0</v>
      </c>
      <c r="H93" s="649">
        <v>0</v>
      </c>
      <c r="I93" s="649">
        <f t="shared" si="8"/>
        <v>0</v>
      </c>
      <c r="J93" s="650">
        <f t="shared" si="9"/>
        <v>0</v>
      </c>
      <c r="K93" s="650">
        <f t="shared" si="10"/>
        <v>0</v>
      </c>
      <c r="L93" s="650">
        <f t="shared" si="13"/>
        <v>0</v>
      </c>
      <c r="M93" s="635">
        <v>0</v>
      </c>
      <c r="N93" s="650">
        <f t="shared" si="12"/>
        <v>0</v>
      </c>
    </row>
    <row r="94" spans="1:14" x14ac:dyDescent="0.2">
      <c r="A94">
        <f t="shared" si="11"/>
        <v>2</v>
      </c>
      <c r="B94" s="451" t="str">
        <f>VLOOKUP(D94,'LA List'!$A$3:$B$470,2,0)</f>
        <v>E1932</v>
      </c>
      <c r="C94" s="451" t="str">
        <f t="shared" si="7"/>
        <v>E1932EZ2</v>
      </c>
      <c r="D94" s="273" t="s">
        <v>13</v>
      </c>
      <c r="E94" s="273" t="s">
        <v>1038</v>
      </c>
      <c r="F94" s="649">
        <v>0</v>
      </c>
      <c r="G94" s="649">
        <v>0</v>
      </c>
      <c r="H94" s="649">
        <v>0</v>
      </c>
      <c r="I94" s="649">
        <f t="shared" si="8"/>
        <v>0</v>
      </c>
      <c r="J94" s="650">
        <f t="shared" si="9"/>
        <v>0</v>
      </c>
      <c r="K94" s="650">
        <f t="shared" si="10"/>
        <v>0</v>
      </c>
      <c r="L94" s="650">
        <f t="shared" si="13"/>
        <v>0</v>
      </c>
      <c r="M94" s="635">
        <v>0</v>
      </c>
      <c r="N94" s="650">
        <f t="shared" si="12"/>
        <v>0</v>
      </c>
    </row>
    <row r="95" spans="1:14" x14ac:dyDescent="0.2">
      <c r="A95">
        <f t="shared" si="11"/>
        <v>3</v>
      </c>
      <c r="B95" s="451" t="str">
        <f>VLOOKUP(D95,'LA List'!$A$3:$B$470,2,0)</f>
        <v>E1932</v>
      </c>
      <c r="C95" s="451" t="str">
        <f t="shared" si="7"/>
        <v>E1932EZ3</v>
      </c>
      <c r="D95" s="273" t="s">
        <v>13</v>
      </c>
      <c r="E95" s="273" t="s">
        <v>1039</v>
      </c>
      <c r="F95" s="649">
        <v>0</v>
      </c>
      <c r="G95" s="649">
        <v>0</v>
      </c>
      <c r="H95" s="649">
        <v>0</v>
      </c>
      <c r="I95" s="649">
        <f t="shared" si="8"/>
        <v>0</v>
      </c>
      <c r="J95" s="650">
        <f t="shared" si="9"/>
        <v>0</v>
      </c>
      <c r="K95" s="650">
        <f t="shared" si="10"/>
        <v>0</v>
      </c>
      <c r="L95" s="650">
        <f t="shared" si="13"/>
        <v>0</v>
      </c>
      <c r="M95" s="635">
        <v>0</v>
      </c>
      <c r="N95" s="650">
        <f t="shared" si="12"/>
        <v>0</v>
      </c>
    </row>
    <row r="96" spans="1:14" x14ac:dyDescent="0.2">
      <c r="A96">
        <f t="shared" si="11"/>
        <v>4</v>
      </c>
      <c r="B96" s="451" t="str">
        <f>VLOOKUP(D96,'LA List'!$A$3:$B$470,2,0)</f>
        <v>E1932</v>
      </c>
      <c r="C96" s="451" t="str">
        <f t="shared" si="7"/>
        <v>E1932EZ4</v>
      </c>
      <c r="D96" s="273" t="s">
        <v>13</v>
      </c>
      <c r="E96" s="273" t="s">
        <v>1040</v>
      </c>
      <c r="F96" s="649">
        <v>61283</v>
      </c>
      <c r="G96" s="649">
        <v>61283</v>
      </c>
      <c r="H96" s="649">
        <v>63124</v>
      </c>
      <c r="I96" s="649">
        <f t="shared" si="8"/>
        <v>64571</v>
      </c>
      <c r="J96" s="650">
        <f t="shared" si="9"/>
        <v>65623</v>
      </c>
      <c r="K96" s="650">
        <f t="shared" si="10"/>
        <v>65623</v>
      </c>
      <c r="L96" s="650">
        <f t="shared" si="13"/>
        <v>65623</v>
      </c>
      <c r="M96" s="635">
        <v>125041</v>
      </c>
      <c r="N96" s="650">
        <f t="shared" si="12"/>
        <v>125041</v>
      </c>
    </row>
    <row r="97" spans="1:14" x14ac:dyDescent="0.2">
      <c r="A97">
        <f t="shared" si="11"/>
        <v>1</v>
      </c>
      <c r="B97" s="451" t="str">
        <f>VLOOKUP(D97,'LA List'!$A$3:$B$470,2,0)</f>
        <v>E1301</v>
      </c>
      <c r="C97" s="451" t="str">
        <f t="shared" si="7"/>
        <v>E1301EZ1</v>
      </c>
      <c r="D97" s="273" t="s">
        <v>15</v>
      </c>
      <c r="E97" s="273" t="s">
        <v>1041</v>
      </c>
      <c r="F97" s="649">
        <v>28576</v>
      </c>
      <c r="G97" s="649">
        <v>28576</v>
      </c>
      <c r="H97" s="649">
        <v>29435</v>
      </c>
      <c r="I97" s="649">
        <f t="shared" si="8"/>
        <v>30110</v>
      </c>
      <c r="J97" s="650">
        <f t="shared" si="9"/>
        <v>30601</v>
      </c>
      <c r="K97" s="650">
        <f t="shared" si="10"/>
        <v>30601</v>
      </c>
      <c r="L97" s="650">
        <f t="shared" si="13"/>
        <v>30601</v>
      </c>
      <c r="M97" s="635">
        <v>30761</v>
      </c>
      <c r="N97" s="650">
        <f t="shared" si="12"/>
        <v>30761</v>
      </c>
    </row>
    <row r="98" spans="1:14" x14ac:dyDescent="0.2">
      <c r="A98">
        <f t="shared" si="11"/>
        <v>1</v>
      </c>
      <c r="B98" s="451" t="str">
        <f>VLOOKUP(D98,'LA List'!$A$3:$B$470,2,0)</f>
        <v>E2233</v>
      </c>
      <c r="C98" s="451" t="str">
        <f t="shared" si="7"/>
        <v>E2233EZ1</v>
      </c>
      <c r="D98" s="273" t="s">
        <v>17</v>
      </c>
      <c r="E98" s="273" t="s">
        <v>1042</v>
      </c>
      <c r="F98" s="649">
        <v>0</v>
      </c>
      <c r="G98" s="649">
        <v>0</v>
      </c>
      <c r="H98" s="649">
        <v>0</v>
      </c>
      <c r="I98" s="649">
        <f t="shared" si="8"/>
        <v>0</v>
      </c>
      <c r="J98" s="650">
        <f t="shared" si="9"/>
        <v>0</v>
      </c>
      <c r="K98" s="650">
        <f t="shared" si="10"/>
        <v>0</v>
      </c>
      <c r="L98" s="650">
        <f t="shared" si="13"/>
        <v>0</v>
      </c>
      <c r="M98" s="635">
        <v>0</v>
      </c>
      <c r="N98" s="650">
        <f t="shared" si="12"/>
        <v>0</v>
      </c>
    </row>
    <row r="99" spans="1:14" x14ac:dyDescent="0.2">
      <c r="A99">
        <f t="shared" si="11"/>
        <v>1</v>
      </c>
      <c r="B99" s="451" t="str">
        <f>VLOOKUP(D99,'LA List'!$A$3:$B$470,2,0)</f>
        <v>E1001</v>
      </c>
      <c r="C99" s="451" t="str">
        <f t="shared" si="7"/>
        <v>E1001EZ1</v>
      </c>
      <c r="D99" s="273" t="s">
        <v>19</v>
      </c>
      <c r="E99" s="273" t="s">
        <v>923</v>
      </c>
      <c r="F99" s="649">
        <v>0</v>
      </c>
      <c r="G99" s="649">
        <v>0</v>
      </c>
      <c r="H99" s="649">
        <v>0</v>
      </c>
      <c r="I99" s="649">
        <f t="shared" si="8"/>
        <v>0</v>
      </c>
      <c r="J99" s="650">
        <f t="shared" si="9"/>
        <v>0</v>
      </c>
      <c r="K99" s="650">
        <f t="shared" si="10"/>
        <v>0</v>
      </c>
      <c r="L99" s="650">
        <f t="shared" si="13"/>
        <v>0</v>
      </c>
      <c r="M99" s="635">
        <v>0</v>
      </c>
      <c r="N99" s="650">
        <f t="shared" si="12"/>
        <v>0</v>
      </c>
    </row>
    <row r="100" spans="1:14" x14ac:dyDescent="0.2">
      <c r="A100">
        <f t="shared" si="11"/>
        <v>2</v>
      </c>
      <c r="B100" s="451" t="str">
        <f>VLOOKUP(D100,'LA List'!$A$3:$B$470,2,0)</f>
        <v>E1001</v>
      </c>
      <c r="C100" s="451" t="str">
        <f t="shared" si="7"/>
        <v>E1001EZ2</v>
      </c>
      <c r="D100" s="273" t="s">
        <v>19</v>
      </c>
      <c r="E100" s="273" t="s">
        <v>951</v>
      </c>
      <c r="F100" s="649">
        <v>0</v>
      </c>
      <c r="G100" s="649">
        <v>0</v>
      </c>
      <c r="H100" s="649">
        <v>0</v>
      </c>
      <c r="I100" s="649">
        <f t="shared" si="8"/>
        <v>0</v>
      </c>
      <c r="J100" s="650">
        <f t="shared" si="9"/>
        <v>0</v>
      </c>
      <c r="K100" s="650">
        <f t="shared" si="10"/>
        <v>0</v>
      </c>
      <c r="L100" s="650">
        <f t="shared" si="13"/>
        <v>0</v>
      </c>
      <c r="M100" s="635">
        <v>0</v>
      </c>
      <c r="N100" s="650">
        <f t="shared" si="12"/>
        <v>0</v>
      </c>
    </row>
    <row r="101" spans="1:14" x14ac:dyDescent="0.2">
      <c r="A101">
        <f t="shared" si="11"/>
        <v>1</v>
      </c>
      <c r="B101" s="451" t="str">
        <f>VLOOKUP(D101,'LA List'!$A$3:$B$470,2,0)</f>
        <v>E1035</v>
      </c>
      <c r="C101" s="451" t="str">
        <f t="shared" si="7"/>
        <v>E1035EZ1</v>
      </c>
      <c r="D101" s="273" t="s">
        <v>21</v>
      </c>
      <c r="E101" s="273"/>
      <c r="F101" s="649" t="s">
        <v>1201</v>
      </c>
      <c r="G101" s="649" t="s">
        <v>1201</v>
      </c>
      <c r="H101" s="649" t="s">
        <v>1201</v>
      </c>
      <c r="I101" s="649" t="str">
        <f t="shared" si="8"/>
        <v/>
      </c>
      <c r="J101" s="650" t="str">
        <f t="shared" si="9"/>
        <v/>
      </c>
      <c r="K101" s="650" t="str">
        <f t="shared" si="10"/>
        <v/>
      </c>
      <c r="L101" s="650" t="str">
        <f t="shared" si="13"/>
        <v/>
      </c>
      <c r="M101" s="635" t="s">
        <v>1201</v>
      </c>
      <c r="N101" s="650" t="str">
        <f t="shared" si="12"/>
        <v/>
      </c>
    </row>
    <row r="102" spans="1:14" x14ac:dyDescent="0.2">
      <c r="A102">
        <f t="shared" si="11"/>
        <v>1</v>
      </c>
      <c r="B102" s="451" t="str">
        <f>VLOOKUP(D102,'LA List'!$A$3:$B$470,2,0)</f>
        <v>E4402</v>
      </c>
      <c r="C102" s="451" t="str">
        <f t="shared" si="7"/>
        <v>E4402EZ1</v>
      </c>
      <c r="D102" s="273" t="s">
        <v>23</v>
      </c>
      <c r="E102" s="273" t="s">
        <v>3368</v>
      </c>
      <c r="F102" s="649" t="s">
        <v>1201</v>
      </c>
      <c r="G102" s="649" t="s">
        <v>1201</v>
      </c>
      <c r="H102" s="649" t="s">
        <v>1201</v>
      </c>
      <c r="I102" s="649" t="str">
        <f t="shared" si="8"/>
        <v/>
      </c>
      <c r="J102" s="650" t="str">
        <f t="shared" si="9"/>
        <v/>
      </c>
      <c r="K102" s="650" t="str">
        <f t="shared" si="10"/>
        <v/>
      </c>
      <c r="L102" s="650" t="str">
        <f t="shared" si="13"/>
        <v/>
      </c>
      <c r="M102" s="635" t="s">
        <v>1201</v>
      </c>
      <c r="N102" s="650">
        <v>0</v>
      </c>
    </row>
    <row r="103" spans="1:14" s="273" customFormat="1" x14ac:dyDescent="0.2">
      <c r="A103">
        <f t="shared" si="11"/>
        <v>1</v>
      </c>
      <c r="B103" s="451" t="str">
        <f>VLOOKUP(D103,'LA List'!$A$3:$B$470,2,0)</f>
        <v>E1203</v>
      </c>
      <c r="C103" s="451" t="str">
        <f t="shared" si="7"/>
        <v>E1203EZ1</v>
      </c>
      <c r="D103" s="544" t="s">
        <v>1221</v>
      </c>
      <c r="E103" s="273" t="s">
        <v>1129</v>
      </c>
      <c r="F103" s="649">
        <v>263396</v>
      </c>
      <c r="G103" s="649">
        <v>263396</v>
      </c>
      <c r="H103" s="649">
        <v>271309</v>
      </c>
      <c r="I103" s="649">
        <f t="shared" si="8"/>
        <v>277526</v>
      </c>
      <c r="J103" s="650">
        <f t="shared" si="9"/>
        <v>282048</v>
      </c>
      <c r="K103" s="650">
        <f t="shared" si="10"/>
        <v>282048</v>
      </c>
      <c r="L103" s="650">
        <f t="shared" si="13"/>
        <v>282048</v>
      </c>
      <c r="M103" s="635">
        <v>310705</v>
      </c>
      <c r="N103" s="650">
        <f t="shared" si="12"/>
        <v>310705</v>
      </c>
    </row>
    <row r="104" spans="1:14" x14ac:dyDescent="0.2">
      <c r="A104">
        <f t="shared" si="11"/>
        <v>1</v>
      </c>
      <c r="B104" s="451" t="str">
        <f>VLOOKUP(D104,'LA List'!$A$3:$B$470,2,0)</f>
        <v>E2234</v>
      </c>
      <c r="C104" s="451" t="str">
        <f t="shared" si="7"/>
        <v>E2234EZ1</v>
      </c>
      <c r="D104" s="273" t="s">
        <v>33</v>
      </c>
      <c r="E104" s="273"/>
      <c r="F104" s="649" t="s">
        <v>1201</v>
      </c>
      <c r="G104" s="649" t="s">
        <v>1201</v>
      </c>
      <c r="H104" s="649" t="s">
        <v>1201</v>
      </c>
      <c r="I104" s="649" t="str">
        <f t="shared" si="8"/>
        <v/>
      </c>
      <c r="J104" s="650" t="str">
        <f t="shared" si="9"/>
        <v/>
      </c>
      <c r="K104" s="650" t="str">
        <f t="shared" si="10"/>
        <v/>
      </c>
      <c r="L104" s="650" t="str">
        <f t="shared" si="13"/>
        <v/>
      </c>
      <c r="M104" s="635" t="s">
        <v>1201</v>
      </c>
      <c r="N104" s="650" t="str">
        <f t="shared" si="12"/>
        <v/>
      </c>
    </row>
    <row r="105" spans="1:14" x14ac:dyDescent="0.2">
      <c r="A105">
        <f t="shared" si="11"/>
        <v>1</v>
      </c>
      <c r="B105" s="451" t="str">
        <f>VLOOKUP(D105,'LA List'!$A$3:$B$470,2,0)</f>
        <v>E4603</v>
      </c>
      <c r="C105" s="451" t="str">
        <f t="shared" si="7"/>
        <v>E4603EZ1</v>
      </c>
      <c r="D105" s="273" t="s">
        <v>35</v>
      </c>
      <c r="E105" s="273" t="s">
        <v>1043</v>
      </c>
      <c r="F105" s="649">
        <v>0</v>
      </c>
      <c r="G105" s="649">
        <v>0</v>
      </c>
      <c r="H105" s="649">
        <v>0</v>
      </c>
      <c r="I105" s="649">
        <f t="shared" si="8"/>
        <v>0</v>
      </c>
      <c r="J105" s="650">
        <f t="shared" si="9"/>
        <v>0</v>
      </c>
      <c r="K105" s="650">
        <f t="shared" si="10"/>
        <v>0</v>
      </c>
      <c r="L105" s="650">
        <f t="shared" si="13"/>
        <v>0</v>
      </c>
      <c r="M105" s="635">
        <v>0</v>
      </c>
      <c r="N105" s="650">
        <f t="shared" si="12"/>
        <v>0</v>
      </c>
    </row>
    <row r="106" spans="1:14" x14ac:dyDescent="0.2">
      <c r="A106">
        <f t="shared" si="11"/>
        <v>2</v>
      </c>
      <c r="B106" s="451" t="str">
        <f>VLOOKUP(D106,'LA List'!$A$3:$B$470,2,0)</f>
        <v>E4603</v>
      </c>
      <c r="C106" s="451" t="str">
        <f t="shared" si="7"/>
        <v>E4603EZ2</v>
      </c>
      <c r="D106" s="273" t="s">
        <v>35</v>
      </c>
      <c r="E106" s="273" t="s">
        <v>1044</v>
      </c>
      <c r="F106" s="649">
        <v>14726</v>
      </c>
      <c r="G106" s="649">
        <v>14726</v>
      </c>
      <c r="H106" s="649">
        <v>15168</v>
      </c>
      <c r="I106" s="649">
        <f t="shared" si="8"/>
        <v>15516</v>
      </c>
      <c r="J106" s="650">
        <f t="shared" si="9"/>
        <v>15769</v>
      </c>
      <c r="K106" s="650">
        <f t="shared" si="10"/>
        <v>15769</v>
      </c>
      <c r="L106" s="650">
        <f t="shared" si="13"/>
        <v>15769</v>
      </c>
      <c r="M106" s="635">
        <v>29325</v>
      </c>
      <c r="N106" s="650">
        <f t="shared" si="12"/>
        <v>29325</v>
      </c>
    </row>
    <row r="107" spans="1:14" x14ac:dyDescent="0.2">
      <c r="A107">
        <f t="shared" si="11"/>
        <v>3</v>
      </c>
      <c r="B107" s="451" t="str">
        <f>VLOOKUP(D107,'LA List'!$A$3:$B$470,2,0)</f>
        <v>E4603</v>
      </c>
      <c r="C107" s="451" t="str">
        <f t="shared" si="7"/>
        <v>E4603EZ3</v>
      </c>
      <c r="D107" s="273" t="s">
        <v>35</v>
      </c>
      <c r="E107" s="273" t="s">
        <v>1045</v>
      </c>
      <c r="F107" s="649">
        <v>19222</v>
      </c>
      <c r="G107" s="649">
        <v>19222</v>
      </c>
      <c r="H107" s="649">
        <v>19799</v>
      </c>
      <c r="I107" s="649">
        <f t="shared" si="8"/>
        <v>20253</v>
      </c>
      <c r="J107" s="650">
        <f t="shared" si="9"/>
        <v>20583</v>
      </c>
      <c r="K107" s="650">
        <f t="shared" si="10"/>
        <v>20583</v>
      </c>
      <c r="L107" s="650">
        <f t="shared" si="13"/>
        <v>20583</v>
      </c>
      <c r="M107" s="635">
        <v>32104</v>
      </c>
      <c r="N107" s="650">
        <f t="shared" si="12"/>
        <v>32104</v>
      </c>
    </row>
    <row r="108" spans="1:14" x14ac:dyDescent="0.2">
      <c r="A108">
        <f t="shared" si="11"/>
        <v>4</v>
      </c>
      <c r="B108" s="451" t="str">
        <f>VLOOKUP(D108,'LA List'!$A$3:$B$470,2,0)</f>
        <v>E4603</v>
      </c>
      <c r="C108" s="451" t="str">
        <f t="shared" si="7"/>
        <v>E4603EZ4</v>
      </c>
      <c r="D108" s="273" t="s">
        <v>35</v>
      </c>
      <c r="E108" s="273" t="s">
        <v>1046</v>
      </c>
      <c r="F108" s="649">
        <v>0</v>
      </c>
      <c r="G108" s="649">
        <v>0</v>
      </c>
      <c r="H108" s="649">
        <v>0</v>
      </c>
      <c r="I108" s="649">
        <f t="shared" si="8"/>
        <v>0</v>
      </c>
      <c r="J108" s="650">
        <f t="shared" si="9"/>
        <v>0</v>
      </c>
      <c r="K108" s="650">
        <f t="shared" si="10"/>
        <v>0</v>
      </c>
      <c r="L108" s="650">
        <f t="shared" si="13"/>
        <v>0</v>
      </c>
      <c r="M108" s="635">
        <v>0</v>
      </c>
      <c r="N108" s="650">
        <f t="shared" si="12"/>
        <v>0</v>
      </c>
    </row>
    <row r="109" spans="1:14" x14ac:dyDescent="0.2">
      <c r="A109">
        <f t="shared" si="11"/>
        <v>5</v>
      </c>
      <c r="B109" s="451" t="str">
        <f>VLOOKUP(D109,'LA List'!$A$3:$B$470,2,0)</f>
        <v>E4603</v>
      </c>
      <c r="C109" s="451" t="str">
        <f t="shared" si="7"/>
        <v>E4603EZ5</v>
      </c>
      <c r="D109" s="273" t="s">
        <v>35</v>
      </c>
      <c r="E109" s="273" t="s">
        <v>1047</v>
      </c>
      <c r="F109" s="649">
        <v>16574</v>
      </c>
      <c r="G109" s="649">
        <v>16574</v>
      </c>
      <c r="H109" s="649">
        <v>17072</v>
      </c>
      <c r="I109" s="649">
        <f t="shared" si="8"/>
        <v>17463</v>
      </c>
      <c r="J109" s="650">
        <f t="shared" si="9"/>
        <v>17748</v>
      </c>
      <c r="K109" s="650">
        <f t="shared" si="10"/>
        <v>17748</v>
      </c>
      <c r="L109" s="650">
        <f t="shared" si="13"/>
        <v>17748</v>
      </c>
      <c r="M109" s="635">
        <v>0</v>
      </c>
      <c r="N109" s="650">
        <f t="shared" si="12"/>
        <v>0</v>
      </c>
    </row>
    <row r="110" spans="1:14" x14ac:dyDescent="0.2">
      <c r="A110">
        <f t="shared" si="11"/>
        <v>6</v>
      </c>
      <c r="B110" s="451" t="str">
        <f>VLOOKUP(D110,'LA List'!$A$3:$B$470,2,0)</f>
        <v>E4603</v>
      </c>
      <c r="C110" s="451" t="str">
        <f t="shared" si="7"/>
        <v>E4603EZ6</v>
      </c>
      <c r="D110" s="273" t="s">
        <v>35</v>
      </c>
      <c r="E110" s="273" t="s">
        <v>1048</v>
      </c>
      <c r="F110" s="649">
        <v>92812</v>
      </c>
      <c r="G110" s="649">
        <v>92812</v>
      </c>
      <c r="H110" s="649">
        <v>95600</v>
      </c>
      <c r="I110" s="649">
        <f t="shared" si="8"/>
        <v>97791</v>
      </c>
      <c r="J110" s="650">
        <f t="shared" si="9"/>
        <v>99384</v>
      </c>
      <c r="K110" s="650">
        <f t="shared" si="10"/>
        <v>99384</v>
      </c>
      <c r="L110" s="650">
        <f t="shared" si="13"/>
        <v>99384</v>
      </c>
      <c r="M110" s="635">
        <v>177637</v>
      </c>
      <c r="N110" s="650">
        <f t="shared" si="12"/>
        <v>177637</v>
      </c>
    </row>
    <row r="111" spans="1:14" x14ac:dyDescent="0.2">
      <c r="A111">
        <f t="shared" ref="A111" si="15">IF(D111=D110,A110+1,1)</f>
        <v>7</v>
      </c>
      <c r="B111" s="451" t="str">
        <f>VLOOKUP(D111,'LA List'!$A$3:$B$470,2,0)</f>
        <v>E4603</v>
      </c>
      <c r="C111" s="451" t="str">
        <f t="shared" ref="C111" si="16">CONCATENATE(B111,"EZ",A111)</f>
        <v>E4603EZ7</v>
      </c>
      <c r="D111" s="273" t="s">
        <v>35</v>
      </c>
      <c r="E111" s="273" t="s">
        <v>3369</v>
      </c>
      <c r="F111" s="649"/>
      <c r="G111" s="649"/>
      <c r="H111" s="649"/>
      <c r="I111" s="649"/>
      <c r="J111" s="650"/>
      <c r="K111" s="650"/>
      <c r="L111" s="650"/>
      <c r="M111" s="635"/>
      <c r="N111" s="650">
        <v>42270.923231984831</v>
      </c>
    </row>
    <row r="112" spans="1:14" x14ac:dyDescent="0.2">
      <c r="A112">
        <f>IF(D112=D110,A110+1,1)</f>
        <v>1</v>
      </c>
      <c r="B112" s="451" t="str">
        <f>VLOOKUP(D112,'LA List'!$A$3:$B$470,2,0)</f>
        <v>E1302</v>
      </c>
      <c r="C112" s="451" t="str">
        <f t="shared" si="7"/>
        <v>E1302EZ1</v>
      </c>
      <c r="D112" s="273" t="s">
        <v>37</v>
      </c>
      <c r="E112" s="273" t="s">
        <v>1049</v>
      </c>
      <c r="F112" s="649">
        <v>0</v>
      </c>
      <c r="G112" s="649">
        <v>0</v>
      </c>
      <c r="H112" s="649">
        <v>0</v>
      </c>
      <c r="I112" s="649">
        <f t="shared" si="8"/>
        <v>0</v>
      </c>
      <c r="J112" s="650">
        <f t="shared" si="9"/>
        <v>0</v>
      </c>
      <c r="K112" s="650">
        <f t="shared" si="10"/>
        <v>0</v>
      </c>
      <c r="L112" s="650">
        <f t="shared" si="13"/>
        <v>0</v>
      </c>
      <c r="M112" s="635">
        <v>450098</v>
      </c>
      <c r="N112" s="650">
        <f t="shared" si="12"/>
        <v>450098</v>
      </c>
    </row>
    <row r="113" spans="1:14" x14ac:dyDescent="0.2">
      <c r="A113">
        <f t="shared" si="11"/>
        <v>1</v>
      </c>
      <c r="B113" s="451" t="str">
        <f>VLOOKUP(D113,'LA List'!$A$3:$B$470,2,0)</f>
        <v>E5036</v>
      </c>
      <c r="C113" s="451" t="str">
        <f t="shared" si="7"/>
        <v>E5036EZ1</v>
      </c>
      <c r="D113" s="273" t="s">
        <v>39</v>
      </c>
      <c r="E113" s="273"/>
      <c r="F113" s="649" t="s">
        <v>1201</v>
      </c>
      <c r="G113" s="649" t="s">
        <v>1201</v>
      </c>
      <c r="H113" s="649" t="s">
        <v>1201</v>
      </c>
      <c r="I113" s="649" t="str">
        <f t="shared" si="8"/>
        <v/>
      </c>
      <c r="J113" s="650" t="str">
        <f t="shared" si="9"/>
        <v/>
      </c>
      <c r="K113" s="650" t="str">
        <f t="shared" si="10"/>
        <v/>
      </c>
      <c r="L113" s="650" t="str">
        <f t="shared" si="13"/>
        <v/>
      </c>
      <c r="M113" s="635" t="s">
        <v>1201</v>
      </c>
      <c r="N113" s="650" t="str">
        <f t="shared" si="12"/>
        <v/>
      </c>
    </row>
    <row r="114" spans="1:14" x14ac:dyDescent="0.2">
      <c r="A114">
        <f t="shared" si="11"/>
        <v>1</v>
      </c>
      <c r="B114" s="451" t="str">
        <f>VLOOKUP(D114,'LA List'!$A$3:$B$470,2,0)</f>
        <v>E0532</v>
      </c>
      <c r="C114" s="451" t="str">
        <f t="shared" si="7"/>
        <v>E0532EZ1</v>
      </c>
      <c r="D114" s="273" t="s">
        <v>41</v>
      </c>
      <c r="E114" s="273" t="s">
        <v>1050</v>
      </c>
      <c r="F114" s="649">
        <v>0</v>
      </c>
      <c r="G114" s="649">
        <v>195432</v>
      </c>
      <c r="H114" s="649">
        <v>201303</v>
      </c>
      <c r="I114" s="649">
        <f t="shared" si="8"/>
        <v>205916</v>
      </c>
      <c r="J114" s="650">
        <f t="shared" si="9"/>
        <v>209271</v>
      </c>
      <c r="K114" s="650">
        <f t="shared" si="10"/>
        <v>209271</v>
      </c>
      <c r="L114" s="650">
        <f t="shared" si="13"/>
        <v>209271</v>
      </c>
      <c r="M114" s="635">
        <v>227789</v>
      </c>
      <c r="N114" s="650">
        <f t="shared" si="12"/>
        <v>227789</v>
      </c>
    </row>
    <row r="115" spans="1:14" x14ac:dyDescent="0.2">
      <c r="A115">
        <f t="shared" si="11"/>
        <v>1</v>
      </c>
      <c r="B115" s="451" t="str">
        <f>VLOOKUP(D115,'LA List'!$A$3:$B$470,2,0)</f>
        <v>E1131</v>
      </c>
      <c r="C115" s="451" t="str">
        <f t="shared" si="7"/>
        <v>E1131EZ1</v>
      </c>
      <c r="D115" s="273" t="s">
        <v>43</v>
      </c>
      <c r="E115" s="273" t="s">
        <v>1051</v>
      </c>
      <c r="F115" s="649">
        <v>237466</v>
      </c>
      <c r="G115" s="649">
        <v>237466</v>
      </c>
      <c r="H115" s="649">
        <v>244600</v>
      </c>
      <c r="I115" s="649">
        <f t="shared" si="8"/>
        <v>250205</v>
      </c>
      <c r="J115" s="650">
        <f t="shared" si="9"/>
        <v>254282</v>
      </c>
      <c r="K115" s="650">
        <f t="shared" si="10"/>
        <v>254282</v>
      </c>
      <c r="L115" s="650">
        <f t="shared" si="13"/>
        <v>254282</v>
      </c>
      <c r="M115" s="635">
        <v>300501</v>
      </c>
      <c r="N115" s="650">
        <f t="shared" si="12"/>
        <v>300501</v>
      </c>
    </row>
    <row r="116" spans="1:14" x14ac:dyDescent="0.2">
      <c r="A116">
        <f t="shared" si="11"/>
        <v>2</v>
      </c>
      <c r="B116" s="451" t="str">
        <f>VLOOKUP(D116,'LA List'!$A$3:$B$470,2,0)</f>
        <v>E1131</v>
      </c>
      <c r="C116" s="451" t="str">
        <f t="shared" si="7"/>
        <v>E1131EZ2</v>
      </c>
      <c r="D116" s="273" t="s">
        <v>43</v>
      </c>
      <c r="E116" s="273" t="s">
        <v>1052</v>
      </c>
      <c r="F116" s="649">
        <v>401476</v>
      </c>
      <c r="G116" s="649">
        <v>401476</v>
      </c>
      <c r="H116" s="649">
        <v>413538</v>
      </c>
      <c r="I116" s="649">
        <f t="shared" si="8"/>
        <v>423015</v>
      </c>
      <c r="J116" s="650">
        <f t="shared" si="9"/>
        <v>429907</v>
      </c>
      <c r="K116" s="650">
        <f t="shared" si="10"/>
        <v>429907</v>
      </c>
      <c r="L116" s="650">
        <f t="shared" si="13"/>
        <v>429907</v>
      </c>
      <c r="M116" s="635">
        <v>508049</v>
      </c>
      <c r="N116" s="650">
        <f t="shared" si="12"/>
        <v>508049</v>
      </c>
    </row>
    <row r="117" spans="1:14" x14ac:dyDescent="0.2">
      <c r="A117">
        <f t="shared" si="11"/>
        <v>3</v>
      </c>
      <c r="B117" s="451" t="str">
        <f>VLOOKUP(D117,'LA List'!$A$3:$B$470,2,0)</f>
        <v>E1131</v>
      </c>
      <c r="C117" s="451" t="str">
        <f t="shared" si="7"/>
        <v>E1131EZ3</v>
      </c>
      <c r="D117" s="273" t="s">
        <v>43</v>
      </c>
      <c r="E117" s="273" t="s">
        <v>1053</v>
      </c>
      <c r="F117" s="649">
        <v>0</v>
      </c>
      <c r="G117" s="649">
        <v>0</v>
      </c>
      <c r="H117" s="649">
        <v>0</v>
      </c>
      <c r="I117" s="649">
        <f t="shared" si="8"/>
        <v>0</v>
      </c>
      <c r="J117" s="650">
        <f t="shared" si="9"/>
        <v>0</v>
      </c>
      <c r="K117" s="650">
        <f t="shared" si="10"/>
        <v>0</v>
      </c>
      <c r="L117" s="650">
        <f t="shared" si="13"/>
        <v>0</v>
      </c>
      <c r="M117" s="635">
        <v>0</v>
      </c>
      <c r="N117" s="650">
        <f t="shared" si="12"/>
        <v>0</v>
      </c>
    </row>
    <row r="118" spans="1:14" x14ac:dyDescent="0.2">
      <c r="A118">
        <f t="shared" si="11"/>
        <v>4</v>
      </c>
      <c r="B118" s="451" t="str">
        <f>VLOOKUP(D118,'LA List'!$A$3:$B$470,2,0)</f>
        <v>E1131</v>
      </c>
      <c r="C118" s="451" t="str">
        <f t="shared" si="7"/>
        <v>E1131EZ4</v>
      </c>
      <c r="D118" s="273" t="s">
        <v>43</v>
      </c>
      <c r="E118" s="273" t="s">
        <v>1054</v>
      </c>
      <c r="F118" s="649">
        <v>0</v>
      </c>
      <c r="G118" s="649">
        <v>0</v>
      </c>
      <c r="H118" s="649">
        <v>0</v>
      </c>
      <c r="I118" s="649">
        <f t="shared" si="8"/>
        <v>0</v>
      </c>
      <c r="J118" s="650">
        <f t="shared" si="9"/>
        <v>0</v>
      </c>
      <c r="K118" s="650">
        <f t="shared" si="10"/>
        <v>0</v>
      </c>
      <c r="L118" s="650">
        <f t="shared" si="13"/>
        <v>0</v>
      </c>
      <c r="M118" s="635">
        <v>0</v>
      </c>
      <c r="N118" s="650">
        <f t="shared" si="12"/>
        <v>0</v>
      </c>
    </row>
    <row r="119" spans="1:14" x14ac:dyDescent="0.2">
      <c r="A119">
        <f t="shared" si="11"/>
        <v>1</v>
      </c>
      <c r="B119" s="451" t="str">
        <f>VLOOKUP(D119,'LA List'!$A$3:$B$470,2,0)</f>
        <v>E1732</v>
      </c>
      <c r="C119" s="451" t="str">
        <f t="shared" si="7"/>
        <v>E1732EZ1</v>
      </c>
      <c r="D119" s="273" t="s">
        <v>45</v>
      </c>
      <c r="E119" s="273" t="s">
        <v>1055</v>
      </c>
      <c r="F119" s="649">
        <v>0</v>
      </c>
      <c r="G119" s="649">
        <v>0</v>
      </c>
      <c r="H119" s="649">
        <v>0</v>
      </c>
      <c r="I119" s="649">
        <f t="shared" si="8"/>
        <v>0</v>
      </c>
      <c r="J119" s="650">
        <f t="shared" si="9"/>
        <v>0</v>
      </c>
      <c r="K119" s="650">
        <f t="shared" si="10"/>
        <v>0</v>
      </c>
      <c r="L119" s="650">
        <f t="shared" si="13"/>
        <v>0</v>
      </c>
      <c r="M119" s="635">
        <v>219350</v>
      </c>
      <c r="N119" s="650">
        <f t="shared" si="12"/>
        <v>219350</v>
      </c>
    </row>
    <row r="120" spans="1:14" x14ac:dyDescent="0.2">
      <c r="A120">
        <f t="shared" si="11"/>
        <v>1</v>
      </c>
      <c r="B120" s="451" t="str">
        <f>VLOOKUP(D120,'LA List'!$A$3:$B$470,2,0)</f>
        <v>E1933</v>
      </c>
      <c r="C120" s="451" t="str">
        <f t="shared" si="7"/>
        <v>E1933EZ1</v>
      </c>
      <c r="D120" s="273" t="s">
        <v>47</v>
      </c>
      <c r="E120" s="273"/>
      <c r="F120" s="649" t="s">
        <v>1201</v>
      </c>
      <c r="G120" s="649" t="s">
        <v>1201</v>
      </c>
      <c r="H120" s="649" t="s">
        <v>1201</v>
      </c>
      <c r="I120" s="649" t="str">
        <f t="shared" si="8"/>
        <v/>
      </c>
      <c r="J120" s="650" t="str">
        <f t="shared" si="9"/>
        <v/>
      </c>
      <c r="K120" s="650" t="str">
        <f t="shared" si="10"/>
        <v/>
      </c>
      <c r="L120" s="650" t="str">
        <f t="shared" si="13"/>
        <v/>
      </c>
      <c r="M120" s="635" t="s">
        <v>1201</v>
      </c>
      <c r="N120" s="650" t="str">
        <f t="shared" si="12"/>
        <v/>
      </c>
    </row>
    <row r="121" spans="1:14" x14ac:dyDescent="0.2">
      <c r="A121">
        <f t="shared" si="11"/>
        <v>1</v>
      </c>
      <c r="B121" s="451" t="str">
        <f>VLOOKUP(D121,'LA List'!$A$3:$B$470,2,0)</f>
        <v>E2532</v>
      </c>
      <c r="C121" s="451" t="str">
        <f t="shared" si="7"/>
        <v>E2532EZ1</v>
      </c>
      <c r="D121" s="273" t="s">
        <v>49</v>
      </c>
      <c r="E121" s="273"/>
      <c r="F121" s="649" t="s">
        <v>1201</v>
      </c>
      <c r="G121" s="649" t="s">
        <v>1201</v>
      </c>
      <c r="H121" s="649" t="s">
        <v>1201</v>
      </c>
      <c r="I121" s="649" t="str">
        <f t="shared" si="8"/>
        <v/>
      </c>
      <c r="J121" s="650" t="str">
        <f t="shared" si="9"/>
        <v/>
      </c>
      <c r="K121" s="650" t="str">
        <f t="shared" si="10"/>
        <v/>
      </c>
      <c r="L121" s="650" t="str">
        <f t="shared" si="13"/>
        <v/>
      </c>
      <c r="M121" s="635" t="s">
        <v>1201</v>
      </c>
      <c r="N121" s="650" t="str">
        <f t="shared" si="12"/>
        <v/>
      </c>
    </row>
    <row r="122" spans="1:14" x14ac:dyDescent="0.2">
      <c r="A122">
        <f t="shared" si="11"/>
        <v>1</v>
      </c>
      <c r="B122" s="451" t="str">
        <f>VLOOKUP(D122,'LA List'!$A$3:$B$470,2,0)</f>
        <v>E2001</v>
      </c>
      <c r="C122" s="451" t="str">
        <f t="shared" si="7"/>
        <v>E2001EZ1</v>
      </c>
      <c r="D122" s="273" t="s">
        <v>51</v>
      </c>
      <c r="E122" s="273" t="s">
        <v>851</v>
      </c>
      <c r="F122" s="649">
        <v>0</v>
      </c>
      <c r="G122" s="649">
        <v>0</v>
      </c>
      <c r="H122" s="649">
        <v>0</v>
      </c>
      <c r="I122" s="649">
        <f t="shared" si="8"/>
        <v>0</v>
      </c>
      <c r="J122" s="650">
        <f t="shared" si="9"/>
        <v>0</v>
      </c>
      <c r="K122" s="650">
        <f t="shared" si="10"/>
        <v>0</v>
      </c>
      <c r="L122" s="650">
        <f t="shared" si="13"/>
        <v>0</v>
      </c>
      <c r="M122" s="635">
        <v>0</v>
      </c>
      <c r="N122" s="650">
        <f t="shared" si="12"/>
        <v>0</v>
      </c>
    </row>
    <row r="123" spans="1:14" x14ac:dyDescent="0.2">
      <c r="A123">
        <f t="shared" si="11"/>
        <v>2</v>
      </c>
      <c r="B123" s="451" t="str">
        <f>VLOOKUP(D123,'LA List'!$A$3:$B$470,2,0)</f>
        <v>E2001</v>
      </c>
      <c r="C123" s="451" t="str">
        <f t="shared" si="7"/>
        <v>E2001EZ2</v>
      </c>
      <c r="D123" s="273" t="s">
        <v>51</v>
      </c>
      <c r="E123" s="273" t="s">
        <v>852</v>
      </c>
      <c r="F123" s="649">
        <v>136350</v>
      </c>
      <c r="G123" s="649">
        <v>136350</v>
      </c>
      <c r="H123" s="649">
        <v>140446</v>
      </c>
      <c r="I123" s="649">
        <f t="shared" si="8"/>
        <v>143665</v>
      </c>
      <c r="J123" s="650">
        <f t="shared" si="9"/>
        <v>146006</v>
      </c>
      <c r="K123" s="650">
        <f t="shared" si="10"/>
        <v>146006</v>
      </c>
      <c r="L123" s="650">
        <f t="shared" si="13"/>
        <v>146006</v>
      </c>
      <c r="M123" s="635">
        <v>165165</v>
      </c>
      <c r="N123" s="650">
        <f t="shared" si="12"/>
        <v>165165</v>
      </c>
    </row>
    <row r="124" spans="1:14" x14ac:dyDescent="0.2">
      <c r="A124">
        <f t="shared" si="11"/>
        <v>3</v>
      </c>
      <c r="B124" s="451" t="str">
        <f>VLOOKUP(D124,'LA List'!$A$3:$B$470,2,0)</f>
        <v>E2001</v>
      </c>
      <c r="C124" s="451" t="str">
        <f t="shared" si="7"/>
        <v>E2001EZ3</v>
      </c>
      <c r="D124" s="273" t="s">
        <v>51</v>
      </c>
      <c r="E124" s="273" t="s">
        <v>1056</v>
      </c>
      <c r="F124" s="649">
        <v>0</v>
      </c>
      <c r="G124" s="649">
        <v>0</v>
      </c>
      <c r="H124" s="649">
        <v>0</v>
      </c>
      <c r="I124" s="649">
        <f t="shared" si="8"/>
        <v>0</v>
      </c>
      <c r="J124" s="650">
        <f t="shared" si="9"/>
        <v>0</v>
      </c>
      <c r="K124" s="650">
        <f t="shared" si="10"/>
        <v>0</v>
      </c>
      <c r="L124" s="650">
        <f t="shared" si="13"/>
        <v>0</v>
      </c>
      <c r="M124" s="635">
        <v>0</v>
      </c>
      <c r="N124" s="650">
        <f t="shared" si="12"/>
        <v>0</v>
      </c>
    </row>
    <row r="125" spans="1:14" x14ac:dyDescent="0.2">
      <c r="A125">
        <f t="shared" si="11"/>
        <v>4</v>
      </c>
      <c r="B125" s="451" t="str">
        <f>VLOOKUP(D125,'LA List'!$A$3:$B$470,2,0)</f>
        <v>E2001</v>
      </c>
      <c r="C125" s="451" t="str">
        <f t="shared" si="7"/>
        <v>E2001EZ4</v>
      </c>
      <c r="D125" s="273" t="s">
        <v>51</v>
      </c>
      <c r="E125" s="273" t="s">
        <v>1057</v>
      </c>
      <c r="F125" s="649">
        <v>0</v>
      </c>
      <c r="G125" s="649">
        <v>0</v>
      </c>
      <c r="H125" s="649">
        <v>0</v>
      </c>
      <c r="I125" s="649">
        <f t="shared" si="8"/>
        <v>0</v>
      </c>
      <c r="J125" s="650">
        <f t="shared" si="9"/>
        <v>0</v>
      </c>
      <c r="K125" s="650">
        <f t="shared" si="10"/>
        <v>0</v>
      </c>
      <c r="L125" s="650">
        <f t="shared" si="13"/>
        <v>0</v>
      </c>
      <c r="M125" s="635">
        <v>0</v>
      </c>
      <c r="N125" s="650">
        <f t="shared" si="12"/>
        <v>0</v>
      </c>
    </row>
    <row r="126" spans="1:14" x14ac:dyDescent="0.2">
      <c r="A126">
        <f t="shared" si="11"/>
        <v>5</v>
      </c>
      <c r="B126" s="451" t="str">
        <f>VLOOKUP(D126,'LA List'!$A$3:$B$470,2,0)</f>
        <v>E2001</v>
      </c>
      <c r="C126" s="451" t="str">
        <f t="shared" ref="C126:C193" si="17">CONCATENATE(B126,"EZ",A126)</f>
        <v>E2001EZ5</v>
      </c>
      <c r="D126" s="273" t="s">
        <v>51</v>
      </c>
      <c r="E126" s="273" t="s">
        <v>1058</v>
      </c>
      <c r="F126" s="649">
        <v>0</v>
      </c>
      <c r="G126" s="649">
        <v>0</v>
      </c>
      <c r="H126" s="649">
        <v>0</v>
      </c>
      <c r="I126" s="649">
        <f t="shared" si="8"/>
        <v>0</v>
      </c>
      <c r="J126" s="650">
        <f t="shared" si="9"/>
        <v>0</v>
      </c>
      <c r="K126" s="650">
        <f t="shared" si="10"/>
        <v>0</v>
      </c>
      <c r="L126" s="650">
        <f t="shared" si="13"/>
        <v>0</v>
      </c>
      <c r="M126" s="635">
        <v>0</v>
      </c>
      <c r="N126" s="650">
        <f t="shared" si="12"/>
        <v>0</v>
      </c>
    </row>
    <row r="127" spans="1:14" x14ac:dyDescent="0.2">
      <c r="A127">
        <f t="shared" si="11"/>
        <v>6</v>
      </c>
      <c r="B127" s="451" t="str">
        <f>VLOOKUP(D127,'LA List'!$A$3:$B$470,2,0)</f>
        <v>E2001</v>
      </c>
      <c r="C127" s="451" t="str">
        <f t="shared" si="17"/>
        <v>E2001EZ6</v>
      </c>
      <c r="D127" s="273" t="s">
        <v>51</v>
      </c>
      <c r="E127" s="273" t="s">
        <v>1059</v>
      </c>
      <c r="F127" s="649">
        <v>0</v>
      </c>
      <c r="G127" s="649">
        <v>0</v>
      </c>
      <c r="H127" s="649">
        <v>0</v>
      </c>
      <c r="I127" s="649">
        <f t="shared" si="8"/>
        <v>0</v>
      </c>
      <c r="J127" s="650">
        <f t="shared" si="9"/>
        <v>0</v>
      </c>
      <c r="K127" s="650">
        <f t="shared" si="10"/>
        <v>0</v>
      </c>
      <c r="L127" s="650">
        <f t="shared" si="13"/>
        <v>0</v>
      </c>
      <c r="M127" s="635">
        <v>0</v>
      </c>
      <c r="N127" s="650">
        <f t="shared" si="12"/>
        <v>0</v>
      </c>
    </row>
    <row r="128" spans="1:14" x14ac:dyDescent="0.2">
      <c r="A128">
        <f t="shared" si="11"/>
        <v>7</v>
      </c>
      <c r="B128" s="451" t="str">
        <f>VLOOKUP(D128,'LA List'!$A$3:$B$470,2,0)</f>
        <v>E2001</v>
      </c>
      <c r="C128" s="451" t="str">
        <f t="shared" si="17"/>
        <v>E2001EZ7</v>
      </c>
      <c r="D128" s="273" t="s">
        <v>51</v>
      </c>
      <c r="E128" s="273" t="s">
        <v>1060</v>
      </c>
      <c r="F128" s="649">
        <v>0</v>
      </c>
      <c r="G128" s="649">
        <v>0</v>
      </c>
      <c r="H128" s="649">
        <v>0</v>
      </c>
      <c r="I128" s="649">
        <f t="shared" ref="I128:I193" si="18">IF(H128="","",ROUND(H128*$I$1,0))</f>
        <v>0</v>
      </c>
      <c r="J128" s="650">
        <f t="shared" ref="J128:J193" si="19">IF(I128="","",ROUND(I128*$J$1,0))</f>
        <v>0</v>
      </c>
      <c r="K128" s="650">
        <f t="shared" si="10"/>
        <v>0</v>
      </c>
      <c r="L128" s="650">
        <f t="shared" si="13"/>
        <v>0</v>
      </c>
      <c r="M128" s="635">
        <v>0</v>
      </c>
      <c r="N128" s="650">
        <f t="shared" si="12"/>
        <v>0</v>
      </c>
    </row>
    <row r="129" spans="1:14" x14ac:dyDescent="0.2">
      <c r="A129">
        <f>IF(D129=D128,A128+1,1)</f>
        <v>8</v>
      </c>
      <c r="B129" s="451" t="str">
        <f>VLOOKUP(D129,'LA List'!$A$3:$B$470,2,0)</f>
        <v>E2001</v>
      </c>
      <c r="C129" s="451" t="str">
        <f>CONCATENATE(B129,"EZ",A129)</f>
        <v>E2001EZ8</v>
      </c>
      <c r="D129" s="544" t="s">
        <v>51</v>
      </c>
      <c r="E129" s="544" t="s">
        <v>3379</v>
      </c>
      <c r="F129" s="649"/>
      <c r="G129" s="649"/>
      <c r="H129" s="649"/>
      <c r="I129" s="649"/>
      <c r="J129" s="650"/>
      <c r="K129" s="650"/>
      <c r="L129" s="650"/>
      <c r="M129" s="635"/>
      <c r="N129" s="650">
        <v>0</v>
      </c>
    </row>
    <row r="130" spans="1:14" x14ac:dyDescent="0.2">
      <c r="A130">
        <f t="shared" ref="A130" si="20">IF(D130=D129,A129+1,1)</f>
        <v>9</v>
      </c>
      <c r="B130" s="451" t="str">
        <f>VLOOKUP(D130,'LA List'!$A$3:$B$470,2,0)</f>
        <v>E2001</v>
      </c>
      <c r="C130" s="451" t="str">
        <f t="shared" ref="C130" si="21">CONCATENATE(B130,"EZ",A130)</f>
        <v>E2001EZ9</v>
      </c>
      <c r="D130" s="544" t="s">
        <v>51</v>
      </c>
      <c r="E130" s="544" t="s">
        <v>3380</v>
      </c>
      <c r="F130" s="649"/>
      <c r="G130" s="649"/>
      <c r="H130" s="649"/>
      <c r="I130" s="649"/>
      <c r="J130" s="650"/>
      <c r="K130" s="650"/>
      <c r="L130" s="650"/>
      <c r="M130" s="635"/>
      <c r="N130" s="650">
        <v>425900.26171875</v>
      </c>
    </row>
    <row r="131" spans="1:14" x14ac:dyDescent="0.2">
      <c r="A131">
        <f>IF(D131=D128,A128+1,1)</f>
        <v>1</v>
      </c>
      <c r="B131" s="451" t="str">
        <f>VLOOKUP(D131,'LA List'!$A$3:$B$470,2,0)</f>
        <v>E3432</v>
      </c>
      <c r="C131" s="451" t="str">
        <f t="shared" si="17"/>
        <v>E3432EZ1</v>
      </c>
      <c r="D131" s="273" t="s">
        <v>55</v>
      </c>
      <c r="E131" s="273"/>
      <c r="F131" s="649" t="s">
        <v>1201</v>
      </c>
      <c r="G131" s="649" t="s">
        <v>1201</v>
      </c>
      <c r="H131" s="649" t="s">
        <v>1201</v>
      </c>
      <c r="I131" s="649" t="str">
        <f t="shared" si="18"/>
        <v/>
      </c>
      <c r="J131" s="650" t="str">
        <f t="shared" si="19"/>
        <v/>
      </c>
      <c r="K131" s="650" t="str">
        <f t="shared" ref="K131:K193" si="22">IF(J131="","",ROUND(J131*$K$1,0))</f>
        <v/>
      </c>
      <c r="L131" s="650" t="str">
        <f t="shared" si="13"/>
        <v/>
      </c>
      <c r="M131" s="635" t="s">
        <v>1201</v>
      </c>
      <c r="N131" s="650" t="str">
        <f t="shared" si="12"/>
        <v/>
      </c>
    </row>
    <row r="132" spans="1:14" s="273" customFormat="1" x14ac:dyDescent="0.2">
      <c r="A132">
        <f t="shared" si="11"/>
        <v>1</v>
      </c>
      <c r="B132" s="451" t="str">
        <f>VLOOKUP(D132,'LA List'!$A$3:$B$470,2,0)</f>
        <v>E3538</v>
      </c>
      <c r="C132" s="451" t="str">
        <f t="shared" ref="C132:C134" si="23">CONCATENATE(B132,"EZ",A132)</f>
        <v>E3538EZ1</v>
      </c>
      <c r="D132" s="544" t="s">
        <v>1223</v>
      </c>
      <c r="E132" s="273" t="s">
        <v>856</v>
      </c>
      <c r="F132" s="649">
        <v>0</v>
      </c>
      <c r="G132" s="649">
        <v>0</v>
      </c>
      <c r="H132" s="649">
        <v>0</v>
      </c>
      <c r="I132" s="649">
        <f t="shared" si="18"/>
        <v>0</v>
      </c>
      <c r="J132" s="650">
        <f t="shared" si="19"/>
        <v>0</v>
      </c>
      <c r="K132" s="650">
        <f t="shared" si="22"/>
        <v>0</v>
      </c>
      <c r="L132" s="650">
        <f t="shared" si="13"/>
        <v>0</v>
      </c>
      <c r="M132" s="635">
        <v>0</v>
      </c>
      <c r="N132" s="650">
        <f t="shared" si="12"/>
        <v>0</v>
      </c>
    </row>
    <row r="133" spans="1:14" s="273" customFormat="1" x14ac:dyDescent="0.2">
      <c r="A133">
        <f t="shared" si="11"/>
        <v>2</v>
      </c>
      <c r="B133" s="451" t="str">
        <f>VLOOKUP(D133,'LA List'!$A$3:$B$470,2,0)</f>
        <v>E3538</v>
      </c>
      <c r="C133" s="451" t="str">
        <f t="shared" si="23"/>
        <v>E3538EZ2</v>
      </c>
      <c r="D133" s="544" t="s">
        <v>1223</v>
      </c>
      <c r="E133" s="273" t="s">
        <v>1167</v>
      </c>
      <c r="F133" s="649">
        <v>13863</v>
      </c>
      <c r="G133" s="649">
        <v>13863</v>
      </c>
      <c r="H133" s="649">
        <v>14279</v>
      </c>
      <c r="I133" s="649">
        <f t="shared" si="18"/>
        <v>14606</v>
      </c>
      <c r="J133" s="650">
        <f t="shared" si="19"/>
        <v>14844</v>
      </c>
      <c r="K133" s="650">
        <f t="shared" si="22"/>
        <v>14844</v>
      </c>
      <c r="L133" s="650">
        <f t="shared" si="13"/>
        <v>14844</v>
      </c>
      <c r="M133" s="635">
        <v>14844</v>
      </c>
      <c r="N133" s="650">
        <f t="shared" si="12"/>
        <v>14844</v>
      </c>
    </row>
    <row r="134" spans="1:14" s="273" customFormat="1" x14ac:dyDescent="0.2">
      <c r="A134">
        <f t="shared" si="11"/>
        <v>3</v>
      </c>
      <c r="B134" s="451" t="str">
        <f>VLOOKUP(D134,'LA List'!$A$3:$B$470,2,0)</f>
        <v>E3538</v>
      </c>
      <c r="C134" s="451" t="str">
        <f t="shared" si="23"/>
        <v>E3538EZ3</v>
      </c>
      <c r="D134" s="544" t="s">
        <v>1223</v>
      </c>
      <c r="E134" s="273" t="s">
        <v>1168</v>
      </c>
      <c r="F134" s="649">
        <v>28979</v>
      </c>
      <c r="G134" s="649">
        <v>28979</v>
      </c>
      <c r="H134" s="649">
        <v>29850</v>
      </c>
      <c r="I134" s="649">
        <f t="shared" si="18"/>
        <v>30534</v>
      </c>
      <c r="J134" s="650">
        <f t="shared" si="19"/>
        <v>31031</v>
      </c>
      <c r="K134" s="650">
        <f t="shared" si="22"/>
        <v>31031</v>
      </c>
      <c r="L134" s="650">
        <f t="shared" si="13"/>
        <v>31031</v>
      </c>
      <c r="M134" s="635">
        <v>37090</v>
      </c>
      <c r="N134" s="650">
        <f t="shared" si="12"/>
        <v>37090</v>
      </c>
    </row>
    <row r="135" spans="1:14" s="273" customFormat="1" x14ac:dyDescent="0.2">
      <c r="A135">
        <f t="shared" ref="A135:A136" si="24">IF(D135=D134,A134+1,1)</f>
        <v>4</v>
      </c>
      <c r="B135" s="451" t="str">
        <f>VLOOKUP(D135,'LA List'!$A$3:$B$470,2,0)</f>
        <v>E3538</v>
      </c>
      <c r="C135" s="451" t="str">
        <f t="shared" ref="C135:C136" si="25">CONCATENATE(B135,"EZ",A135)</f>
        <v>E3538EZ4</v>
      </c>
      <c r="D135" s="544" t="s">
        <v>1223</v>
      </c>
      <c r="E135" s="544" t="s">
        <v>2436</v>
      </c>
      <c r="F135" s="649">
        <v>0</v>
      </c>
      <c r="G135" s="649">
        <v>0</v>
      </c>
      <c r="H135" s="649">
        <v>0</v>
      </c>
      <c r="I135" s="649">
        <v>0</v>
      </c>
      <c r="J135" s="650">
        <v>0</v>
      </c>
      <c r="K135" s="650">
        <v>0</v>
      </c>
      <c r="L135" s="650">
        <v>86372.47</v>
      </c>
      <c r="M135" s="635">
        <v>1000985</v>
      </c>
      <c r="N135" s="650">
        <f t="shared" si="12"/>
        <v>1000985</v>
      </c>
    </row>
    <row r="136" spans="1:14" x14ac:dyDescent="0.2">
      <c r="A136">
        <f t="shared" si="24"/>
        <v>1</v>
      </c>
      <c r="B136" s="451" t="str">
        <f>VLOOKUP(D136,'LA List'!$A$3:$B$470,2,0)</f>
        <v>E1432</v>
      </c>
      <c r="C136" s="451" t="str">
        <f t="shared" si="25"/>
        <v>E1432EZ1</v>
      </c>
      <c r="D136" s="273" t="s">
        <v>57</v>
      </c>
      <c r="E136" s="273"/>
      <c r="F136" s="649" t="s">
        <v>1201</v>
      </c>
      <c r="G136" s="649" t="s">
        <v>1201</v>
      </c>
      <c r="H136" s="649" t="s">
        <v>1201</v>
      </c>
      <c r="I136" s="649" t="str">
        <f t="shared" si="18"/>
        <v/>
      </c>
      <c r="J136" s="650" t="str">
        <f t="shared" si="19"/>
        <v/>
      </c>
      <c r="K136" s="650" t="str">
        <f t="shared" si="22"/>
        <v/>
      </c>
      <c r="L136" s="650" t="str">
        <f t="shared" si="13"/>
        <v/>
      </c>
      <c r="M136" s="635" t="s">
        <v>1201</v>
      </c>
      <c r="N136" s="650" t="str">
        <f t="shared" si="12"/>
        <v/>
      </c>
    </row>
    <row r="137" spans="1:14" x14ac:dyDescent="0.2">
      <c r="A137">
        <f t="shared" si="11"/>
        <v>1</v>
      </c>
      <c r="B137" s="451" t="str">
        <f>VLOOKUP(D137,'LA List'!$A$3:$B$470,2,0)</f>
        <v>E1733</v>
      </c>
      <c r="C137" s="451" t="str">
        <f t="shared" si="17"/>
        <v>E1733EZ1</v>
      </c>
      <c r="D137" s="273" t="s">
        <v>59</v>
      </c>
      <c r="E137" s="544" t="s">
        <v>2434</v>
      </c>
      <c r="F137" s="649">
        <v>0</v>
      </c>
      <c r="G137" s="649">
        <v>0</v>
      </c>
      <c r="H137" s="649">
        <v>0</v>
      </c>
      <c r="I137" s="649">
        <f t="shared" si="18"/>
        <v>0</v>
      </c>
      <c r="J137" s="650">
        <f t="shared" si="19"/>
        <v>0</v>
      </c>
      <c r="K137" s="650">
        <f t="shared" si="22"/>
        <v>0</v>
      </c>
      <c r="L137" s="650">
        <f t="shared" si="13"/>
        <v>0</v>
      </c>
      <c r="M137" s="635">
        <v>0</v>
      </c>
      <c r="N137" s="650">
        <f t="shared" ref="N137:N200" si="26">IF(M137="","",ROUND(M137*$N$1,0))</f>
        <v>0</v>
      </c>
    </row>
    <row r="138" spans="1:14" x14ac:dyDescent="0.2">
      <c r="A138">
        <f t="shared" si="11"/>
        <v>1</v>
      </c>
      <c r="B138" s="451" t="str">
        <f>VLOOKUP(D138,'LA List'!$A$3:$B$470,2,0)</f>
        <v>E3631</v>
      </c>
      <c r="C138" s="451" t="str">
        <f t="shared" si="17"/>
        <v>E3631EZ1</v>
      </c>
      <c r="D138" s="273" t="s">
        <v>61</v>
      </c>
      <c r="E138" s="273"/>
      <c r="F138" s="649" t="s">
        <v>1201</v>
      </c>
      <c r="G138" s="649" t="s">
        <v>1201</v>
      </c>
      <c r="H138" s="649" t="s">
        <v>1201</v>
      </c>
      <c r="I138" s="649" t="str">
        <f t="shared" si="18"/>
        <v/>
      </c>
      <c r="J138" s="650" t="str">
        <f t="shared" si="19"/>
        <v/>
      </c>
      <c r="K138" s="650" t="str">
        <f t="shared" si="22"/>
        <v/>
      </c>
      <c r="L138" s="650" t="str">
        <f t="shared" ref="L138:L199" si="27">IF(K138="","",ROUND(K138*$L$1,0))</f>
        <v/>
      </c>
      <c r="M138" s="635" t="s">
        <v>1201</v>
      </c>
      <c r="N138" s="650" t="str">
        <f t="shared" si="26"/>
        <v/>
      </c>
    </row>
    <row r="139" spans="1:14" x14ac:dyDescent="0.2">
      <c r="A139">
        <f t="shared" ref="A139:A203" si="28">IF(D139=D138,A138+1,1)</f>
        <v>1</v>
      </c>
      <c r="B139" s="451" t="str">
        <f>VLOOKUP(D139,'LA List'!$A$3:$B$470,2,0)</f>
        <v>E5037</v>
      </c>
      <c r="C139" s="451" t="str">
        <f t="shared" si="17"/>
        <v>E5037EZ1</v>
      </c>
      <c r="D139" s="273" t="s">
        <v>63</v>
      </c>
      <c r="E139" s="273"/>
      <c r="F139" s="649" t="s">
        <v>1201</v>
      </c>
      <c r="G139" s="649" t="s">
        <v>1201</v>
      </c>
      <c r="H139" s="649" t="s">
        <v>1201</v>
      </c>
      <c r="I139" s="649" t="str">
        <f t="shared" si="18"/>
        <v/>
      </c>
      <c r="J139" s="650" t="str">
        <f t="shared" si="19"/>
        <v/>
      </c>
      <c r="K139" s="650" t="str">
        <f t="shared" si="22"/>
        <v/>
      </c>
      <c r="L139" s="650" t="str">
        <f t="shared" si="27"/>
        <v/>
      </c>
      <c r="M139" s="635" t="s">
        <v>1201</v>
      </c>
      <c r="N139" s="650" t="str">
        <f t="shared" si="26"/>
        <v/>
      </c>
    </row>
    <row r="140" spans="1:14" x14ac:dyDescent="0.2">
      <c r="A140">
        <f t="shared" si="28"/>
        <v>1</v>
      </c>
      <c r="B140" s="451" t="str">
        <f>VLOOKUP(D140,'LA List'!$A$3:$B$470,2,0)</f>
        <v>E1537</v>
      </c>
      <c r="C140" s="451" t="str">
        <f t="shared" si="17"/>
        <v>E1537EZ1</v>
      </c>
      <c r="D140" s="273" t="s">
        <v>65</v>
      </c>
      <c r="E140" s="273"/>
      <c r="F140" s="649" t="s">
        <v>1201</v>
      </c>
      <c r="G140" s="649" t="s">
        <v>1201</v>
      </c>
      <c r="H140" s="649" t="s">
        <v>1201</v>
      </c>
      <c r="I140" s="649" t="str">
        <f t="shared" si="18"/>
        <v/>
      </c>
      <c r="J140" s="650" t="str">
        <f t="shared" si="19"/>
        <v/>
      </c>
      <c r="K140" s="650" t="str">
        <f t="shared" si="22"/>
        <v/>
      </c>
      <c r="L140" s="650" t="str">
        <f t="shared" si="27"/>
        <v/>
      </c>
      <c r="M140" s="635" t="s">
        <v>1201</v>
      </c>
      <c r="N140" s="650" t="str">
        <f t="shared" si="26"/>
        <v/>
      </c>
    </row>
    <row r="141" spans="1:14" x14ac:dyDescent="0.2">
      <c r="A141">
        <f t="shared" si="28"/>
        <v>1</v>
      </c>
      <c r="B141" s="451" t="str">
        <f>VLOOKUP(D141,'LA List'!$A$3:$B$470,2,0)</f>
        <v>E3632</v>
      </c>
      <c r="C141" s="451" t="str">
        <f t="shared" si="17"/>
        <v>E3632EZ1</v>
      </c>
      <c r="D141" s="273" t="s">
        <v>67</v>
      </c>
      <c r="E141" s="273"/>
      <c r="F141" s="649" t="s">
        <v>1201</v>
      </c>
      <c r="G141" s="649" t="s">
        <v>1201</v>
      </c>
      <c r="H141" s="649" t="s">
        <v>1201</v>
      </c>
      <c r="I141" s="649" t="str">
        <f t="shared" si="18"/>
        <v/>
      </c>
      <c r="J141" s="650" t="str">
        <f t="shared" si="19"/>
        <v/>
      </c>
      <c r="K141" s="650" t="str">
        <f t="shared" si="22"/>
        <v/>
      </c>
      <c r="L141" s="650" t="str">
        <f t="shared" si="27"/>
        <v/>
      </c>
      <c r="M141" s="635" t="s">
        <v>1201</v>
      </c>
      <c r="N141" s="650" t="str">
        <f t="shared" si="26"/>
        <v/>
      </c>
    </row>
    <row r="142" spans="1:14" x14ac:dyDescent="0.2">
      <c r="A142">
        <f t="shared" si="28"/>
        <v>1</v>
      </c>
      <c r="B142" s="451" t="str">
        <f>VLOOKUP(D142,'LA List'!$A$3:$B$470,2,0)</f>
        <v>E1036</v>
      </c>
      <c r="C142" s="451" t="str">
        <f t="shared" si="17"/>
        <v>E1036EZ1</v>
      </c>
      <c r="D142" s="273" t="s">
        <v>69</v>
      </c>
      <c r="E142" s="273"/>
      <c r="F142" s="649" t="s">
        <v>1201</v>
      </c>
      <c r="G142" s="649" t="s">
        <v>1201</v>
      </c>
      <c r="H142" s="649" t="s">
        <v>1201</v>
      </c>
      <c r="I142" s="649" t="str">
        <f t="shared" si="18"/>
        <v/>
      </c>
      <c r="J142" s="650" t="str">
        <f t="shared" si="19"/>
        <v/>
      </c>
      <c r="K142" s="650" t="str">
        <f t="shared" si="22"/>
        <v/>
      </c>
      <c r="L142" s="650" t="str">
        <f t="shared" si="27"/>
        <v/>
      </c>
      <c r="M142" s="635" t="s">
        <v>1201</v>
      </c>
      <c r="N142" s="650" t="str">
        <f t="shared" si="26"/>
        <v/>
      </c>
    </row>
    <row r="143" spans="1:14" x14ac:dyDescent="0.2">
      <c r="A143">
        <f t="shared" si="28"/>
        <v>1</v>
      </c>
      <c r="B143" s="451" t="str">
        <f>VLOOKUP(D143,'LA List'!$A$3:$B$470,2,0)</f>
        <v>E1132</v>
      </c>
      <c r="C143" s="451" t="str">
        <f t="shared" si="17"/>
        <v>E1132EZ1</v>
      </c>
      <c r="D143" s="273" t="s">
        <v>71</v>
      </c>
      <c r="E143" s="273"/>
      <c r="F143" s="649" t="s">
        <v>1201</v>
      </c>
      <c r="G143" s="649" t="s">
        <v>1201</v>
      </c>
      <c r="H143" s="649" t="s">
        <v>1201</v>
      </c>
      <c r="I143" s="649" t="str">
        <f t="shared" si="18"/>
        <v/>
      </c>
      <c r="J143" s="650" t="str">
        <f t="shared" si="19"/>
        <v/>
      </c>
      <c r="K143" s="650" t="str">
        <f t="shared" si="22"/>
        <v/>
      </c>
      <c r="L143" s="650" t="str">
        <f t="shared" si="27"/>
        <v/>
      </c>
      <c r="M143" s="635" t="s">
        <v>1201</v>
      </c>
      <c r="N143" s="650" t="str">
        <f t="shared" si="26"/>
        <v/>
      </c>
    </row>
    <row r="144" spans="1:14" x14ac:dyDescent="0.2">
      <c r="A144">
        <f t="shared" si="28"/>
        <v>1</v>
      </c>
      <c r="B144" s="451" t="str">
        <f>VLOOKUP(D144,'LA List'!$A$3:$B$470,2,0)</f>
        <v>E1734</v>
      </c>
      <c r="C144" s="451" t="str">
        <f t="shared" si="17"/>
        <v>E1734EZ1</v>
      </c>
      <c r="D144" s="273" t="s">
        <v>73</v>
      </c>
      <c r="E144" s="273" t="s">
        <v>853</v>
      </c>
      <c r="F144" s="649">
        <v>108208</v>
      </c>
      <c r="G144" s="649">
        <v>108208</v>
      </c>
      <c r="H144" s="649">
        <v>111459</v>
      </c>
      <c r="I144" s="649">
        <f t="shared" si="18"/>
        <v>114013</v>
      </c>
      <c r="J144" s="650">
        <f t="shared" si="19"/>
        <v>115871</v>
      </c>
      <c r="K144" s="650">
        <f t="shared" si="22"/>
        <v>115871</v>
      </c>
      <c r="L144" s="650">
        <f t="shared" si="27"/>
        <v>115871</v>
      </c>
      <c r="M144" s="635">
        <v>152498</v>
      </c>
      <c r="N144" s="650">
        <f t="shared" si="26"/>
        <v>152498</v>
      </c>
    </row>
    <row r="145" spans="1:14" x14ac:dyDescent="0.2">
      <c r="A145">
        <f t="shared" si="28"/>
        <v>1</v>
      </c>
      <c r="B145" s="451" t="str">
        <f>VLOOKUP(D145,'LA List'!$A$3:$B$470,2,0)</f>
        <v>E0533</v>
      </c>
      <c r="C145" s="451" t="str">
        <f t="shared" si="17"/>
        <v>E0533EZ1</v>
      </c>
      <c r="D145" s="273" t="s">
        <v>75</v>
      </c>
      <c r="E145" s="273"/>
      <c r="F145" s="649" t="s">
        <v>1201</v>
      </c>
      <c r="G145" s="649" t="s">
        <v>1201</v>
      </c>
      <c r="H145" s="649" t="s">
        <v>1201</v>
      </c>
      <c r="I145" s="649" t="str">
        <f t="shared" si="18"/>
        <v/>
      </c>
      <c r="J145" s="650" t="str">
        <f t="shared" si="19"/>
        <v/>
      </c>
      <c r="K145" s="650" t="str">
        <f t="shared" si="22"/>
        <v/>
      </c>
      <c r="L145" s="650" t="str">
        <f t="shared" si="27"/>
        <v/>
      </c>
      <c r="M145" s="635" t="s">
        <v>1201</v>
      </c>
      <c r="N145" s="650" t="str">
        <f t="shared" si="26"/>
        <v/>
      </c>
    </row>
    <row r="146" spans="1:14" x14ac:dyDescent="0.2">
      <c r="A146">
        <f t="shared" si="28"/>
        <v>1</v>
      </c>
      <c r="B146" s="451" t="str">
        <f>VLOOKUP(D146,'LA List'!$A$3:$B$470,2,0)</f>
        <v>E1633</v>
      </c>
      <c r="C146" s="451" t="str">
        <f t="shared" si="17"/>
        <v>E1633EZ1</v>
      </c>
      <c r="D146" s="273" t="s">
        <v>77</v>
      </c>
      <c r="E146" s="273"/>
      <c r="F146" s="649" t="s">
        <v>1201</v>
      </c>
      <c r="G146" s="649" t="s">
        <v>1201</v>
      </c>
      <c r="H146" s="649" t="s">
        <v>1201</v>
      </c>
      <c r="I146" s="649" t="str">
        <f t="shared" si="18"/>
        <v/>
      </c>
      <c r="J146" s="650" t="str">
        <f t="shared" si="19"/>
        <v/>
      </c>
      <c r="K146" s="650" t="str">
        <f t="shared" si="22"/>
        <v/>
      </c>
      <c r="L146" s="650" t="str">
        <f t="shared" si="27"/>
        <v/>
      </c>
      <c r="M146" s="635" t="s">
        <v>1201</v>
      </c>
      <c r="N146" s="650" t="str">
        <f t="shared" si="26"/>
        <v/>
      </c>
    </row>
    <row r="147" spans="1:14" x14ac:dyDescent="0.2">
      <c r="A147">
        <f t="shared" si="28"/>
        <v>1</v>
      </c>
      <c r="B147" s="451" t="str">
        <f>VLOOKUP(D147,'LA List'!$A$3:$B$470,2,0)</f>
        <v>E2335</v>
      </c>
      <c r="C147" s="451" t="str">
        <f t="shared" si="17"/>
        <v>E2335EZ1</v>
      </c>
      <c r="D147" s="273" t="s">
        <v>79</v>
      </c>
      <c r="E147" s="273" t="s">
        <v>854</v>
      </c>
      <c r="F147" s="649">
        <v>1993624</v>
      </c>
      <c r="G147" s="649">
        <v>1993624</v>
      </c>
      <c r="H147" s="649">
        <v>2053518</v>
      </c>
      <c r="I147" s="649">
        <f t="shared" si="18"/>
        <v>2100578</v>
      </c>
      <c r="J147" s="650">
        <f t="shared" si="19"/>
        <v>2134803</v>
      </c>
      <c r="K147" s="650">
        <f t="shared" si="22"/>
        <v>2134803</v>
      </c>
      <c r="L147" s="650">
        <f t="shared" si="27"/>
        <v>2134803</v>
      </c>
      <c r="M147" s="635">
        <v>2358454</v>
      </c>
      <c r="N147" s="650">
        <f t="shared" si="26"/>
        <v>2358454</v>
      </c>
    </row>
    <row r="148" spans="1:14" x14ac:dyDescent="0.2">
      <c r="A148">
        <f t="shared" si="28"/>
        <v>2</v>
      </c>
      <c r="B148" s="451" t="str">
        <f>VLOOKUP(D148,'LA List'!$A$3:$B$470,2,0)</f>
        <v>E2335</v>
      </c>
      <c r="C148" s="451" t="str">
        <f t="shared" si="17"/>
        <v>E2335EZ2</v>
      </c>
      <c r="D148" s="273" t="s">
        <v>79</v>
      </c>
      <c r="E148" s="273" t="s">
        <v>1013</v>
      </c>
      <c r="F148" s="649">
        <v>870000</v>
      </c>
      <c r="G148" s="649">
        <v>870000</v>
      </c>
      <c r="H148" s="649">
        <v>896137</v>
      </c>
      <c r="I148" s="649">
        <f t="shared" si="18"/>
        <v>916673</v>
      </c>
      <c r="J148" s="650">
        <f t="shared" si="19"/>
        <v>931609</v>
      </c>
      <c r="K148" s="650">
        <f t="shared" si="22"/>
        <v>931609</v>
      </c>
      <c r="L148" s="650">
        <f t="shared" si="27"/>
        <v>931609</v>
      </c>
      <c r="M148" s="635">
        <v>974213</v>
      </c>
      <c r="N148" s="650">
        <f t="shared" si="26"/>
        <v>974213</v>
      </c>
    </row>
    <row r="149" spans="1:14" x14ac:dyDescent="0.2">
      <c r="A149">
        <f t="shared" si="28"/>
        <v>1</v>
      </c>
      <c r="B149" s="451" t="str">
        <f>VLOOKUP(D149,'LA List'!$A$3:$B$470,2,0)</f>
        <v>E4501</v>
      </c>
      <c r="C149" s="451" t="str">
        <f t="shared" si="17"/>
        <v>E4501EZ1</v>
      </c>
      <c r="D149" s="273" t="s">
        <v>81</v>
      </c>
      <c r="E149" s="544" t="s">
        <v>1188</v>
      </c>
      <c r="F149" s="649">
        <v>1339272</v>
      </c>
      <c r="G149" s="649">
        <v>1339272</v>
      </c>
      <c r="H149" s="649">
        <v>1379508</v>
      </c>
      <c r="I149" s="649">
        <f t="shared" si="18"/>
        <v>1411122</v>
      </c>
      <c r="J149" s="650">
        <f t="shared" si="19"/>
        <v>1434114</v>
      </c>
      <c r="K149" s="650">
        <f t="shared" si="22"/>
        <v>1434114</v>
      </c>
      <c r="L149" s="650">
        <f t="shared" si="27"/>
        <v>1434114</v>
      </c>
      <c r="M149" s="635">
        <v>1480333</v>
      </c>
      <c r="N149" s="650">
        <f t="shared" si="26"/>
        <v>1480333</v>
      </c>
    </row>
    <row r="150" spans="1:14" x14ac:dyDescent="0.2">
      <c r="A150">
        <f t="shared" si="28"/>
        <v>2</v>
      </c>
      <c r="B150" s="451" t="str">
        <f>VLOOKUP(D150,'LA List'!$A$3:$B$470,2,0)</f>
        <v>E4501</v>
      </c>
      <c r="C150" s="451" t="str">
        <f t="shared" si="17"/>
        <v>E4501EZ2</v>
      </c>
      <c r="D150" s="273" t="s">
        <v>81</v>
      </c>
      <c r="E150" s="273" t="s">
        <v>1061</v>
      </c>
      <c r="F150" s="649">
        <v>0</v>
      </c>
      <c r="G150" s="649">
        <v>0</v>
      </c>
      <c r="H150" s="649">
        <v>0</v>
      </c>
      <c r="I150" s="649">
        <f t="shared" si="18"/>
        <v>0</v>
      </c>
      <c r="J150" s="650">
        <f t="shared" si="19"/>
        <v>0</v>
      </c>
      <c r="K150" s="650">
        <f t="shared" si="22"/>
        <v>0</v>
      </c>
      <c r="L150" s="650">
        <f t="shared" si="27"/>
        <v>0</v>
      </c>
      <c r="M150" s="635">
        <v>0</v>
      </c>
      <c r="N150" s="650">
        <f t="shared" si="26"/>
        <v>0</v>
      </c>
    </row>
    <row r="151" spans="1:14" x14ac:dyDescent="0.2">
      <c r="A151">
        <f t="shared" si="28"/>
        <v>1</v>
      </c>
      <c r="B151" s="451" t="str">
        <f>VLOOKUP(D151,'LA List'!$A$3:$B$470,2,0)</f>
        <v>E3034</v>
      </c>
      <c r="C151" s="451" t="str">
        <f t="shared" si="17"/>
        <v>E3034EZ1</v>
      </c>
      <c r="D151" s="273" t="s">
        <v>83</v>
      </c>
      <c r="E151" s="273"/>
      <c r="F151" s="649" t="s">
        <v>1201</v>
      </c>
      <c r="G151" s="649" t="s">
        <v>1201</v>
      </c>
      <c r="H151" s="649" t="s">
        <v>1201</v>
      </c>
      <c r="I151" s="649" t="str">
        <f t="shared" si="18"/>
        <v/>
      </c>
      <c r="J151" s="650" t="str">
        <f t="shared" si="19"/>
        <v/>
      </c>
      <c r="K151" s="650" t="str">
        <f t="shared" si="22"/>
        <v/>
      </c>
      <c r="L151" s="650" t="str">
        <f t="shared" si="27"/>
        <v/>
      </c>
      <c r="M151" s="635" t="s">
        <v>1201</v>
      </c>
      <c r="N151" s="650" t="str">
        <f t="shared" si="26"/>
        <v/>
      </c>
    </row>
    <row r="152" spans="1:14" x14ac:dyDescent="0.2">
      <c r="A152">
        <f t="shared" si="28"/>
        <v>1</v>
      </c>
      <c r="B152" s="451" t="str">
        <f>VLOOKUP(D152,'LA List'!$A$3:$B$470,2,0)</f>
        <v>E1634</v>
      </c>
      <c r="C152" s="451" t="str">
        <f t="shared" si="17"/>
        <v>E1634EZ1</v>
      </c>
      <c r="D152" s="273" t="s">
        <v>85</v>
      </c>
      <c r="E152" s="273"/>
      <c r="F152" s="649" t="s">
        <v>1201</v>
      </c>
      <c r="G152" s="649" t="s">
        <v>1201</v>
      </c>
      <c r="H152" s="649" t="s">
        <v>1201</v>
      </c>
      <c r="I152" s="649" t="str">
        <f t="shared" si="18"/>
        <v/>
      </c>
      <c r="J152" s="650" t="str">
        <f t="shared" si="19"/>
        <v/>
      </c>
      <c r="K152" s="650" t="str">
        <f t="shared" si="22"/>
        <v/>
      </c>
      <c r="L152" s="650" t="str">
        <f t="shared" si="27"/>
        <v/>
      </c>
      <c r="M152" s="635" t="s">
        <v>1201</v>
      </c>
      <c r="N152" s="650" t="str">
        <f t="shared" si="26"/>
        <v/>
      </c>
    </row>
    <row r="153" spans="1:14" x14ac:dyDescent="0.2">
      <c r="A153">
        <f t="shared" si="28"/>
        <v>1</v>
      </c>
      <c r="B153" s="451" t="str">
        <f>VLOOKUP(D153,'LA List'!$A$3:$B$470,2,0)</f>
        <v>E1735</v>
      </c>
      <c r="C153" s="451" t="str">
        <f t="shared" si="17"/>
        <v>E1735EZ1</v>
      </c>
      <c r="D153" s="273" t="s">
        <v>87</v>
      </c>
      <c r="E153" s="273" t="s">
        <v>853</v>
      </c>
      <c r="F153" s="649">
        <v>396937</v>
      </c>
      <c r="G153" s="649">
        <v>396937</v>
      </c>
      <c r="H153" s="649">
        <v>408862</v>
      </c>
      <c r="I153" s="649">
        <f t="shared" si="18"/>
        <v>418232</v>
      </c>
      <c r="J153" s="650">
        <f t="shared" si="19"/>
        <v>425046</v>
      </c>
      <c r="K153" s="650">
        <f t="shared" si="22"/>
        <v>425046</v>
      </c>
      <c r="L153" s="650">
        <f t="shared" si="27"/>
        <v>425046</v>
      </c>
      <c r="M153" s="635">
        <v>588887</v>
      </c>
      <c r="N153" s="650">
        <f t="shared" si="26"/>
        <v>588887</v>
      </c>
    </row>
    <row r="154" spans="1:14" x14ac:dyDescent="0.2">
      <c r="A154">
        <f t="shared" si="28"/>
        <v>1</v>
      </c>
      <c r="B154" s="451" t="str">
        <f>VLOOKUP(D154,'LA List'!$A$3:$B$470,2,0)</f>
        <v>E2236</v>
      </c>
      <c r="C154" s="451" t="str">
        <f t="shared" si="17"/>
        <v>E2236EZ1</v>
      </c>
      <c r="D154" s="273" t="s">
        <v>89</v>
      </c>
      <c r="E154" s="273" t="s">
        <v>1062</v>
      </c>
      <c r="F154" s="649">
        <v>0</v>
      </c>
      <c r="G154" s="649">
        <v>0</v>
      </c>
      <c r="H154" s="649">
        <v>0</v>
      </c>
      <c r="I154" s="649">
        <f t="shared" si="18"/>
        <v>0</v>
      </c>
      <c r="J154" s="650">
        <f t="shared" si="19"/>
        <v>0</v>
      </c>
      <c r="K154" s="650">
        <f t="shared" si="22"/>
        <v>0</v>
      </c>
      <c r="L154" s="650">
        <f t="shared" si="27"/>
        <v>0</v>
      </c>
      <c r="M154" s="635">
        <v>0</v>
      </c>
      <c r="N154" s="650">
        <f t="shared" si="26"/>
        <v>0</v>
      </c>
    </row>
    <row r="155" spans="1:14" x14ac:dyDescent="0.2">
      <c r="A155">
        <f t="shared" si="28"/>
        <v>2</v>
      </c>
      <c r="B155" s="451" t="str">
        <f>VLOOKUP(D155,'LA List'!$A$3:$B$470,2,0)</f>
        <v>E2236</v>
      </c>
      <c r="C155" s="451" t="str">
        <f t="shared" si="17"/>
        <v>E2236EZ2</v>
      </c>
      <c r="D155" s="273" t="s">
        <v>89</v>
      </c>
      <c r="E155" s="273" t="s">
        <v>1063</v>
      </c>
      <c r="F155" s="649">
        <v>0</v>
      </c>
      <c r="G155" s="649">
        <v>0</v>
      </c>
      <c r="H155" s="649">
        <v>0</v>
      </c>
      <c r="I155" s="649">
        <f t="shared" si="18"/>
        <v>0</v>
      </c>
      <c r="J155" s="650">
        <f t="shared" si="19"/>
        <v>0</v>
      </c>
      <c r="K155" s="650">
        <f t="shared" si="22"/>
        <v>0</v>
      </c>
      <c r="L155" s="650">
        <f t="shared" si="27"/>
        <v>0</v>
      </c>
      <c r="M155" s="635">
        <v>0</v>
      </c>
      <c r="N155" s="650">
        <f t="shared" si="26"/>
        <v>0</v>
      </c>
    </row>
    <row r="156" spans="1:14" x14ac:dyDescent="0.2">
      <c r="A156">
        <f t="shared" si="28"/>
        <v>3</v>
      </c>
      <c r="B156" s="451" t="str">
        <f>VLOOKUP(D156,'LA List'!$A$3:$B$470,2,0)</f>
        <v>E2236</v>
      </c>
      <c r="C156" s="451" t="str">
        <f t="shared" si="17"/>
        <v>E2236EZ3</v>
      </c>
      <c r="D156" s="273" t="s">
        <v>89</v>
      </c>
      <c r="E156" s="273" t="s">
        <v>1042</v>
      </c>
      <c r="F156" s="649">
        <v>0</v>
      </c>
      <c r="G156" s="649">
        <v>0</v>
      </c>
      <c r="H156" s="649">
        <v>0</v>
      </c>
      <c r="I156" s="649">
        <f t="shared" si="18"/>
        <v>0</v>
      </c>
      <c r="J156" s="650">
        <f t="shared" si="19"/>
        <v>0</v>
      </c>
      <c r="K156" s="650">
        <f t="shared" si="22"/>
        <v>0</v>
      </c>
      <c r="L156" s="650">
        <f t="shared" si="27"/>
        <v>0</v>
      </c>
      <c r="M156" s="635">
        <v>0</v>
      </c>
      <c r="N156" s="650">
        <f t="shared" si="26"/>
        <v>0</v>
      </c>
    </row>
    <row r="157" spans="1:14" x14ac:dyDescent="0.2">
      <c r="A157">
        <f t="shared" si="28"/>
        <v>1</v>
      </c>
      <c r="B157" s="451" t="str">
        <f>VLOOKUP(D157,'LA List'!$A$3:$B$470,2,0)</f>
        <v>E2633</v>
      </c>
      <c r="C157" s="451" t="str">
        <f t="shared" si="17"/>
        <v>E2633EZ1</v>
      </c>
      <c r="D157" s="273" t="s">
        <v>91</v>
      </c>
      <c r="E157" s="273" t="s">
        <v>856</v>
      </c>
      <c r="F157" s="649">
        <v>293707</v>
      </c>
      <c r="G157" s="649">
        <v>293707</v>
      </c>
      <c r="H157" s="649">
        <v>302531</v>
      </c>
      <c r="I157" s="649">
        <f t="shared" si="18"/>
        <v>309464</v>
      </c>
      <c r="J157" s="650">
        <f t="shared" si="19"/>
        <v>314506</v>
      </c>
      <c r="K157" s="650">
        <f t="shared" si="22"/>
        <v>314506</v>
      </c>
      <c r="L157" s="650">
        <f t="shared" si="27"/>
        <v>314506</v>
      </c>
      <c r="M157" s="635">
        <v>460446</v>
      </c>
      <c r="N157" s="650">
        <f t="shared" si="26"/>
        <v>460446</v>
      </c>
    </row>
    <row r="158" spans="1:14" x14ac:dyDescent="0.2">
      <c r="A158">
        <f t="shared" si="28"/>
        <v>2</v>
      </c>
      <c r="B158" s="451" t="str">
        <f>VLOOKUP(D158,'LA List'!$A$3:$B$470,2,0)</f>
        <v>E2633</v>
      </c>
      <c r="C158" s="451" t="str">
        <f t="shared" si="17"/>
        <v>E2633EZ2</v>
      </c>
      <c r="D158" s="273" t="s">
        <v>91</v>
      </c>
      <c r="E158" s="273" t="s">
        <v>1064</v>
      </c>
      <c r="F158" s="649">
        <v>0</v>
      </c>
      <c r="G158" s="649">
        <v>0</v>
      </c>
      <c r="H158" s="649">
        <v>0</v>
      </c>
      <c r="I158" s="649">
        <f t="shared" si="18"/>
        <v>0</v>
      </c>
      <c r="J158" s="650">
        <f t="shared" si="19"/>
        <v>0</v>
      </c>
      <c r="K158" s="650">
        <f t="shared" si="22"/>
        <v>0</v>
      </c>
      <c r="L158" s="650">
        <f t="shared" si="27"/>
        <v>0</v>
      </c>
      <c r="M158" s="635">
        <v>0</v>
      </c>
      <c r="N158" s="650">
        <f t="shared" si="26"/>
        <v>0</v>
      </c>
    </row>
    <row r="159" spans="1:14" x14ac:dyDescent="0.2">
      <c r="A159">
        <f t="shared" si="28"/>
        <v>3</v>
      </c>
      <c r="B159" s="451" t="str">
        <f>VLOOKUP(D159,'LA List'!$A$3:$B$470,2,0)</f>
        <v>E2633</v>
      </c>
      <c r="C159" s="451" t="str">
        <f t="shared" si="17"/>
        <v>E2633EZ3</v>
      </c>
      <c r="D159" s="273" t="s">
        <v>91</v>
      </c>
      <c r="E159" s="273" t="s">
        <v>1065</v>
      </c>
      <c r="F159" s="649">
        <v>6535</v>
      </c>
      <c r="G159" s="649">
        <v>6535</v>
      </c>
      <c r="H159" s="649">
        <v>6731</v>
      </c>
      <c r="I159" s="649">
        <f t="shared" si="18"/>
        <v>6885</v>
      </c>
      <c r="J159" s="650">
        <f t="shared" si="19"/>
        <v>6997</v>
      </c>
      <c r="K159" s="650">
        <f t="shared" si="22"/>
        <v>6997</v>
      </c>
      <c r="L159" s="650">
        <f t="shared" si="27"/>
        <v>6997</v>
      </c>
      <c r="M159" s="635">
        <v>0</v>
      </c>
      <c r="N159" s="650">
        <f t="shared" si="26"/>
        <v>0</v>
      </c>
    </row>
    <row r="160" spans="1:14" x14ac:dyDescent="0.2">
      <c r="A160">
        <f t="shared" si="28"/>
        <v>4</v>
      </c>
      <c r="B160" s="451" t="str">
        <f>VLOOKUP(D160,'LA List'!$A$3:$B$470,2,0)</f>
        <v>E2633</v>
      </c>
      <c r="C160" s="451" t="str">
        <f t="shared" si="17"/>
        <v>E2633EZ4</v>
      </c>
      <c r="D160" s="273" t="s">
        <v>91</v>
      </c>
      <c r="E160" s="273" t="s">
        <v>1066</v>
      </c>
      <c r="F160" s="649">
        <v>2709</v>
      </c>
      <c r="G160" s="649">
        <v>2709</v>
      </c>
      <c r="H160" s="649">
        <v>2790</v>
      </c>
      <c r="I160" s="649">
        <f t="shared" si="18"/>
        <v>2854</v>
      </c>
      <c r="J160" s="650">
        <f t="shared" si="19"/>
        <v>2901</v>
      </c>
      <c r="K160" s="650">
        <f t="shared" si="22"/>
        <v>2901</v>
      </c>
      <c r="L160" s="650">
        <f t="shared" si="27"/>
        <v>2901</v>
      </c>
      <c r="M160" s="635">
        <v>0</v>
      </c>
      <c r="N160" s="650">
        <f t="shared" si="26"/>
        <v>0</v>
      </c>
    </row>
    <row r="161" spans="1:14" x14ac:dyDescent="0.2">
      <c r="A161">
        <f t="shared" si="28"/>
        <v>5</v>
      </c>
      <c r="B161" s="451" t="str">
        <f>VLOOKUP(D161,'LA List'!$A$3:$B$470,2,0)</f>
        <v>E2633</v>
      </c>
      <c r="C161" s="451" t="str">
        <f t="shared" si="17"/>
        <v>E2633EZ5</v>
      </c>
      <c r="D161" s="273" t="s">
        <v>91</v>
      </c>
      <c r="E161" s="273" t="s">
        <v>1067</v>
      </c>
      <c r="F161" s="649">
        <v>2115</v>
      </c>
      <c r="G161" s="649">
        <v>2115</v>
      </c>
      <c r="H161" s="649">
        <v>2179</v>
      </c>
      <c r="I161" s="649">
        <f t="shared" si="18"/>
        <v>2229</v>
      </c>
      <c r="J161" s="650">
        <f t="shared" si="19"/>
        <v>2265</v>
      </c>
      <c r="K161" s="650">
        <f t="shared" si="22"/>
        <v>2265</v>
      </c>
      <c r="L161" s="650">
        <f t="shared" si="27"/>
        <v>2265</v>
      </c>
      <c r="M161" s="635">
        <v>0</v>
      </c>
      <c r="N161" s="650">
        <f t="shared" si="26"/>
        <v>0</v>
      </c>
    </row>
    <row r="162" spans="1:14" x14ac:dyDescent="0.2">
      <c r="A162">
        <f t="shared" si="28"/>
        <v>1</v>
      </c>
      <c r="B162" s="451" t="str">
        <f>VLOOKUP(D162,'LA List'!$A$3:$B$470,2,0)</f>
        <v>E5012</v>
      </c>
      <c r="C162" s="451" t="str">
        <f t="shared" si="17"/>
        <v>E5012EZ1</v>
      </c>
      <c r="D162" s="273" t="s">
        <v>93</v>
      </c>
      <c r="E162" s="273"/>
      <c r="F162" s="649" t="s">
        <v>1201</v>
      </c>
      <c r="G162" s="649" t="s">
        <v>1201</v>
      </c>
      <c r="H162" s="649" t="s">
        <v>1201</v>
      </c>
      <c r="I162" s="649" t="str">
        <f t="shared" si="18"/>
        <v/>
      </c>
      <c r="J162" s="650" t="str">
        <f t="shared" si="19"/>
        <v/>
      </c>
      <c r="K162" s="650" t="str">
        <f t="shared" si="22"/>
        <v/>
      </c>
      <c r="L162" s="650" t="str">
        <f t="shared" si="27"/>
        <v/>
      </c>
      <c r="M162" s="635" t="s">
        <v>1201</v>
      </c>
      <c r="N162" s="650" t="str">
        <f t="shared" si="26"/>
        <v/>
      </c>
    </row>
    <row r="163" spans="1:14" x14ac:dyDescent="0.2">
      <c r="A163">
        <f t="shared" si="28"/>
        <v>1</v>
      </c>
      <c r="B163" s="451" t="str">
        <f>VLOOKUP(D163,'LA List'!$A$3:$B$470,2,0)</f>
        <v>E3633</v>
      </c>
      <c r="C163" s="451" t="str">
        <f t="shared" si="17"/>
        <v>E3633EZ1</v>
      </c>
      <c r="D163" s="273" t="s">
        <v>95</v>
      </c>
      <c r="E163" s="273"/>
      <c r="F163" s="649" t="s">
        <v>1201</v>
      </c>
      <c r="G163" s="649" t="s">
        <v>1201</v>
      </c>
      <c r="H163" s="649" t="s">
        <v>1201</v>
      </c>
      <c r="I163" s="649" t="str">
        <f t="shared" si="18"/>
        <v/>
      </c>
      <c r="J163" s="650" t="str">
        <f t="shared" si="19"/>
        <v/>
      </c>
      <c r="K163" s="650" t="str">
        <f t="shared" si="22"/>
        <v/>
      </c>
      <c r="L163" s="650" t="str">
        <f t="shared" si="27"/>
        <v/>
      </c>
      <c r="M163" s="635" t="s">
        <v>1201</v>
      </c>
      <c r="N163" s="650" t="str">
        <f t="shared" si="26"/>
        <v/>
      </c>
    </row>
    <row r="164" spans="1:14" x14ac:dyDescent="0.2">
      <c r="A164">
        <f t="shared" si="28"/>
        <v>1</v>
      </c>
      <c r="B164" s="451" t="str">
        <f>VLOOKUP(D164,'LA List'!$A$3:$B$470,2,0)</f>
        <v>E5013</v>
      </c>
      <c r="C164" s="451" t="str">
        <f t="shared" si="17"/>
        <v>E5013EZ1</v>
      </c>
      <c r="D164" s="273" t="s">
        <v>97</v>
      </c>
      <c r="E164" s="273"/>
      <c r="F164" s="649" t="s">
        <v>1201</v>
      </c>
      <c r="G164" s="649" t="s">
        <v>1201</v>
      </c>
      <c r="H164" s="649" t="s">
        <v>1201</v>
      </c>
      <c r="I164" s="649" t="str">
        <f t="shared" si="18"/>
        <v/>
      </c>
      <c r="J164" s="650" t="str">
        <f t="shared" si="19"/>
        <v/>
      </c>
      <c r="K164" s="650" t="str">
        <f t="shared" si="22"/>
        <v/>
      </c>
      <c r="L164" s="650" t="str">
        <f t="shared" si="27"/>
        <v/>
      </c>
      <c r="M164" s="635" t="s">
        <v>1201</v>
      </c>
      <c r="N164" s="650" t="str">
        <f t="shared" si="26"/>
        <v/>
      </c>
    </row>
    <row r="165" spans="1:14" x14ac:dyDescent="0.2">
      <c r="A165">
        <f t="shared" si="28"/>
        <v>1</v>
      </c>
      <c r="B165" s="451" t="str">
        <f>VLOOKUP(D165,'LA List'!$A$3:$B$470,2,0)</f>
        <v>E0601</v>
      </c>
      <c r="C165" s="451" t="str">
        <f t="shared" si="17"/>
        <v>E0601EZ1</v>
      </c>
      <c r="D165" s="273" t="s">
        <v>99</v>
      </c>
      <c r="E165" s="273" t="s">
        <v>857</v>
      </c>
      <c r="F165" s="649">
        <v>32282</v>
      </c>
      <c r="G165" s="649">
        <v>32282</v>
      </c>
      <c r="H165" s="649">
        <v>33252</v>
      </c>
      <c r="I165" s="649">
        <f t="shared" si="18"/>
        <v>34014</v>
      </c>
      <c r="J165" s="650">
        <f t="shared" si="19"/>
        <v>34568</v>
      </c>
      <c r="K165" s="650">
        <f t="shared" si="22"/>
        <v>34568</v>
      </c>
      <c r="L165" s="650">
        <f t="shared" si="27"/>
        <v>34568</v>
      </c>
      <c r="M165" s="635">
        <v>34568</v>
      </c>
      <c r="N165" s="650">
        <f t="shared" si="26"/>
        <v>34568</v>
      </c>
    </row>
    <row r="166" spans="1:14" x14ac:dyDescent="0.2">
      <c r="A166">
        <f t="shared" ref="A166" si="29">IF(D166=D165,A165+1,1)</f>
        <v>2</v>
      </c>
      <c r="B166" s="451" t="str">
        <f>VLOOKUP(D166,'LA List'!$A$3:$B$470,2,0)</f>
        <v>E0601</v>
      </c>
      <c r="C166" s="451" t="str">
        <f t="shared" ref="C166" si="30">CONCATENATE(B166,"EZ",A166)</f>
        <v>E0601EZ2</v>
      </c>
      <c r="D166" s="273" t="s">
        <v>99</v>
      </c>
      <c r="E166" s="544" t="s">
        <v>2433</v>
      </c>
      <c r="F166" s="649">
        <v>0</v>
      </c>
      <c r="G166" s="649">
        <v>0</v>
      </c>
      <c r="H166" s="649">
        <v>0</v>
      </c>
      <c r="I166" s="649">
        <v>0</v>
      </c>
      <c r="J166" s="650">
        <v>0</v>
      </c>
      <c r="K166" s="650">
        <v>0</v>
      </c>
      <c r="L166" s="650">
        <v>0</v>
      </c>
      <c r="M166" s="635">
        <v>0</v>
      </c>
      <c r="N166" s="650">
        <f t="shared" si="26"/>
        <v>0</v>
      </c>
    </row>
    <row r="167" spans="1:14" x14ac:dyDescent="0.2">
      <c r="A167">
        <f>IF(D167=D165,A165+1,1)</f>
        <v>1</v>
      </c>
      <c r="B167" s="451" t="str">
        <f>VLOOKUP(D167,'LA List'!$A$3:$B$470,2,0)</f>
        <v>E5014</v>
      </c>
      <c r="C167" s="451" t="str">
        <f t="shared" si="17"/>
        <v>E5014EZ1</v>
      </c>
      <c r="D167" s="273" t="s">
        <v>101</v>
      </c>
      <c r="E167" s="273"/>
      <c r="F167" s="649" t="s">
        <v>1201</v>
      </c>
      <c r="G167" s="649" t="s">
        <v>1201</v>
      </c>
      <c r="H167" s="649" t="s">
        <v>1201</v>
      </c>
      <c r="I167" s="649" t="str">
        <f t="shared" si="18"/>
        <v/>
      </c>
      <c r="J167" s="650" t="str">
        <f t="shared" si="19"/>
        <v/>
      </c>
      <c r="K167" s="650" t="str">
        <f t="shared" si="22"/>
        <v/>
      </c>
      <c r="L167" s="650" t="str">
        <f t="shared" si="27"/>
        <v/>
      </c>
      <c r="M167" s="635" t="s">
        <v>1201</v>
      </c>
      <c r="N167" s="650" t="str">
        <f t="shared" si="26"/>
        <v/>
      </c>
    </row>
    <row r="168" spans="1:14" x14ac:dyDescent="0.2">
      <c r="A168">
        <f t="shared" si="28"/>
        <v>1</v>
      </c>
      <c r="B168" s="451" t="str">
        <f>VLOOKUP(D168,'LA List'!$A$3:$B$470,2,0)</f>
        <v>E2433</v>
      </c>
      <c r="C168" s="451" t="str">
        <f t="shared" si="17"/>
        <v>E2433EZ1</v>
      </c>
      <c r="D168" s="273" t="s">
        <v>103</v>
      </c>
      <c r="E168" s="273"/>
      <c r="F168" s="649" t="s">
        <v>1201</v>
      </c>
      <c r="G168" s="649" t="s">
        <v>1201</v>
      </c>
      <c r="H168" s="649" t="s">
        <v>1201</v>
      </c>
      <c r="I168" s="649" t="str">
        <f t="shared" si="18"/>
        <v/>
      </c>
      <c r="J168" s="650" t="str">
        <f t="shared" si="19"/>
        <v/>
      </c>
      <c r="K168" s="650" t="str">
        <f t="shared" si="22"/>
        <v/>
      </c>
      <c r="L168" s="650" t="str">
        <f t="shared" si="27"/>
        <v/>
      </c>
      <c r="M168" s="635" t="s">
        <v>1201</v>
      </c>
      <c r="N168" s="650" t="str">
        <f t="shared" si="26"/>
        <v/>
      </c>
    </row>
    <row r="169" spans="1:14" x14ac:dyDescent="0.2">
      <c r="A169">
        <f t="shared" si="28"/>
        <v>1</v>
      </c>
      <c r="B169" s="451" t="str">
        <f>VLOOKUP(D169,'LA List'!$A$3:$B$470,2,0)</f>
        <v>E5038</v>
      </c>
      <c r="C169" s="451" t="str">
        <f t="shared" si="17"/>
        <v>E5038EZ1</v>
      </c>
      <c r="D169" s="273" t="s">
        <v>105</v>
      </c>
      <c r="E169" s="273"/>
      <c r="F169" s="649" t="s">
        <v>1201</v>
      </c>
      <c r="G169" s="649" t="s">
        <v>1201</v>
      </c>
      <c r="H169" s="649" t="s">
        <v>1201</v>
      </c>
      <c r="I169" s="649" t="str">
        <f t="shared" si="18"/>
        <v/>
      </c>
      <c r="J169" s="650" t="str">
        <f t="shared" si="19"/>
        <v/>
      </c>
      <c r="K169" s="650" t="str">
        <f t="shared" si="22"/>
        <v/>
      </c>
      <c r="L169" s="650" t="str">
        <f t="shared" si="27"/>
        <v/>
      </c>
      <c r="M169" s="635" t="s">
        <v>1201</v>
      </c>
      <c r="N169" s="650" t="str">
        <f t="shared" si="26"/>
        <v/>
      </c>
    </row>
    <row r="170" spans="1:14" x14ac:dyDescent="0.2">
      <c r="A170">
        <f t="shared" si="28"/>
        <v>1</v>
      </c>
      <c r="B170" s="451" t="str">
        <f>VLOOKUP(D170,'LA List'!$A$3:$B$470,2,0)</f>
        <v>E1538</v>
      </c>
      <c r="C170" s="451" t="str">
        <f t="shared" si="17"/>
        <v>E1538EZ1</v>
      </c>
      <c r="D170" s="273" t="s">
        <v>107</v>
      </c>
      <c r="E170" s="273" t="s">
        <v>107</v>
      </c>
      <c r="F170" s="649">
        <v>3169844</v>
      </c>
      <c r="G170" s="649">
        <v>3169844</v>
      </c>
      <c r="H170" s="649">
        <v>3265075</v>
      </c>
      <c r="I170" s="649">
        <f t="shared" si="18"/>
        <v>3339900</v>
      </c>
      <c r="J170" s="650">
        <f t="shared" si="19"/>
        <v>3394318</v>
      </c>
      <c r="K170" s="650">
        <f t="shared" si="22"/>
        <v>3394318</v>
      </c>
      <c r="L170" s="650">
        <f t="shared" si="27"/>
        <v>3394318</v>
      </c>
      <c r="M170" s="635">
        <v>4349466</v>
      </c>
      <c r="N170" s="650">
        <f t="shared" si="26"/>
        <v>4349466</v>
      </c>
    </row>
    <row r="171" spans="1:14" x14ac:dyDescent="0.2">
      <c r="A171">
        <f t="shared" si="28"/>
        <v>1</v>
      </c>
      <c r="B171" s="451" t="str">
        <f>VLOOKUP(D171,'LA List'!$A$3:$B$470,2,0)</f>
        <v>E5039</v>
      </c>
      <c r="C171" s="451" t="str">
        <f t="shared" si="17"/>
        <v>E5039EZ1</v>
      </c>
      <c r="D171" s="273" t="s">
        <v>109</v>
      </c>
      <c r="E171" s="273"/>
      <c r="F171" s="649" t="s">
        <v>1201</v>
      </c>
      <c r="G171" s="649" t="s">
        <v>1201</v>
      </c>
      <c r="H171" s="649" t="s">
        <v>1201</v>
      </c>
      <c r="I171" s="649" t="str">
        <f t="shared" si="18"/>
        <v/>
      </c>
      <c r="J171" s="650" t="str">
        <f t="shared" si="19"/>
        <v/>
      </c>
      <c r="K171" s="650" t="str">
        <f t="shared" si="22"/>
        <v/>
      </c>
      <c r="L171" s="650" t="str">
        <f t="shared" si="27"/>
        <v/>
      </c>
      <c r="M171" s="635" t="s">
        <v>1201</v>
      </c>
      <c r="N171" s="650" t="str">
        <f t="shared" si="26"/>
        <v/>
      </c>
    </row>
    <row r="172" spans="1:14" x14ac:dyDescent="0.2">
      <c r="A172">
        <f t="shared" si="28"/>
        <v>1</v>
      </c>
      <c r="B172" s="451" t="str">
        <f>VLOOKUP(D172,'LA List'!$A$3:$B$470,2,0)</f>
        <v>E1736</v>
      </c>
      <c r="C172" s="451" t="str">
        <f t="shared" si="17"/>
        <v>E1736EZ1</v>
      </c>
      <c r="D172" s="273" t="s">
        <v>111</v>
      </c>
      <c r="E172" s="273"/>
      <c r="F172" s="649" t="s">
        <v>1201</v>
      </c>
      <c r="G172" s="649" t="s">
        <v>1201</v>
      </c>
      <c r="H172" s="649" t="s">
        <v>1201</v>
      </c>
      <c r="I172" s="649" t="str">
        <f t="shared" si="18"/>
        <v/>
      </c>
      <c r="J172" s="650" t="str">
        <f t="shared" si="19"/>
        <v/>
      </c>
      <c r="K172" s="650" t="str">
        <f t="shared" si="22"/>
        <v/>
      </c>
      <c r="L172" s="650" t="str">
        <f t="shared" si="27"/>
        <v/>
      </c>
      <c r="M172" s="635" t="s">
        <v>1201</v>
      </c>
      <c r="N172" s="650" t="str">
        <f t="shared" si="26"/>
        <v/>
      </c>
    </row>
    <row r="173" spans="1:14" x14ac:dyDescent="0.2">
      <c r="A173">
        <f t="shared" si="28"/>
        <v>1</v>
      </c>
      <c r="B173" s="451" t="str">
        <f>VLOOKUP(D173,'LA List'!$A$3:$B$470,2,0)</f>
        <v>E0701</v>
      </c>
      <c r="C173" s="451" t="str">
        <f t="shared" si="17"/>
        <v>E0701EZ1</v>
      </c>
      <c r="D173" s="273" t="s">
        <v>113</v>
      </c>
      <c r="E173" s="273" t="s">
        <v>858</v>
      </c>
      <c r="F173" s="649">
        <v>0</v>
      </c>
      <c r="G173" s="649">
        <v>0</v>
      </c>
      <c r="H173" s="649">
        <v>0</v>
      </c>
      <c r="I173" s="649">
        <f t="shared" si="18"/>
        <v>0</v>
      </c>
      <c r="J173" s="650">
        <f t="shared" si="19"/>
        <v>0</v>
      </c>
      <c r="K173" s="650">
        <f t="shared" si="22"/>
        <v>0</v>
      </c>
      <c r="L173" s="650">
        <f t="shared" si="27"/>
        <v>0</v>
      </c>
      <c r="M173" s="635">
        <v>0</v>
      </c>
      <c r="N173" s="650">
        <f t="shared" si="26"/>
        <v>0</v>
      </c>
    </row>
    <row r="174" spans="1:14" x14ac:dyDescent="0.2">
      <c r="A174">
        <f t="shared" si="28"/>
        <v>1</v>
      </c>
      <c r="B174" s="451" t="str">
        <f>VLOOKUP(D174,'LA List'!$A$3:$B$470,2,0)</f>
        <v>E1433</v>
      </c>
      <c r="C174" s="451" t="str">
        <f t="shared" si="17"/>
        <v>E1433EZ1</v>
      </c>
      <c r="D174" s="273" t="s">
        <v>115</v>
      </c>
      <c r="E174" s="273"/>
      <c r="F174" s="649" t="s">
        <v>1201</v>
      </c>
      <c r="G174" s="649" t="s">
        <v>1201</v>
      </c>
      <c r="H174" s="649" t="s">
        <v>1201</v>
      </c>
      <c r="I174" s="649" t="str">
        <f t="shared" si="18"/>
        <v/>
      </c>
      <c r="J174" s="650" t="str">
        <f t="shared" si="19"/>
        <v/>
      </c>
      <c r="K174" s="650" t="str">
        <f t="shared" si="22"/>
        <v/>
      </c>
      <c r="L174" s="650" t="str">
        <f t="shared" si="27"/>
        <v/>
      </c>
      <c r="M174" s="635" t="s">
        <v>1201</v>
      </c>
      <c r="N174" s="650" t="str">
        <f t="shared" si="26"/>
        <v/>
      </c>
    </row>
    <row r="175" spans="1:14" x14ac:dyDescent="0.2">
      <c r="A175">
        <f t="shared" si="28"/>
        <v>1</v>
      </c>
      <c r="B175" s="451" t="str">
        <f>VLOOKUP(D175,'LA List'!$A$3:$B$470,2,0)</f>
        <v>E1737</v>
      </c>
      <c r="C175" s="451" t="str">
        <f t="shared" si="17"/>
        <v>E1737EZ1</v>
      </c>
      <c r="D175" s="273" t="s">
        <v>117</v>
      </c>
      <c r="E175" s="544" t="s">
        <v>2434</v>
      </c>
      <c r="F175" s="649">
        <v>0</v>
      </c>
      <c r="G175" s="649">
        <v>0</v>
      </c>
      <c r="H175" s="649">
        <v>0</v>
      </c>
      <c r="I175" s="649">
        <f t="shared" si="18"/>
        <v>0</v>
      </c>
      <c r="J175" s="650">
        <f t="shared" si="19"/>
        <v>0</v>
      </c>
      <c r="K175" s="650">
        <f t="shared" si="22"/>
        <v>0</v>
      </c>
      <c r="L175" s="650">
        <f t="shared" si="27"/>
        <v>0</v>
      </c>
      <c r="M175" s="635">
        <v>2396500</v>
      </c>
      <c r="N175" s="650">
        <f t="shared" si="26"/>
        <v>2396500</v>
      </c>
    </row>
    <row r="176" spans="1:14" x14ac:dyDescent="0.2">
      <c r="A176">
        <f t="shared" si="28"/>
        <v>1</v>
      </c>
      <c r="B176" s="451" t="str">
        <f>VLOOKUP(D176,'LA List'!$A$3:$B$470,2,0)</f>
        <v>E5040</v>
      </c>
      <c r="C176" s="451" t="str">
        <f t="shared" si="17"/>
        <v>E5040EZ1</v>
      </c>
      <c r="D176" s="273" t="s">
        <v>119</v>
      </c>
      <c r="E176" s="273"/>
      <c r="F176" s="649" t="s">
        <v>1201</v>
      </c>
      <c r="G176" s="649" t="s">
        <v>1201</v>
      </c>
      <c r="H176" s="649" t="s">
        <v>1201</v>
      </c>
      <c r="I176" s="649" t="str">
        <f t="shared" si="18"/>
        <v/>
      </c>
      <c r="J176" s="650" t="str">
        <f t="shared" si="19"/>
        <v/>
      </c>
      <c r="K176" s="650" t="str">
        <f t="shared" si="22"/>
        <v/>
      </c>
      <c r="L176" s="650" t="str">
        <f t="shared" si="27"/>
        <v/>
      </c>
      <c r="M176" s="635" t="s">
        <v>1201</v>
      </c>
      <c r="N176" s="650" t="str">
        <f t="shared" si="26"/>
        <v/>
      </c>
    </row>
    <row r="177" spans="1:14" x14ac:dyDescent="0.2">
      <c r="A177">
        <f t="shared" si="28"/>
        <v>1</v>
      </c>
      <c r="B177" s="451" t="str">
        <f>VLOOKUP(D177,'LA List'!$A$3:$B$470,2,0)</f>
        <v>E1801</v>
      </c>
      <c r="C177" s="451" t="str">
        <f t="shared" si="17"/>
        <v>E1801EZ1</v>
      </c>
      <c r="D177" s="273" t="s">
        <v>121</v>
      </c>
      <c r="E177" s="273" t="s">
        <v>859</v>
      </c>
      <c r="F177" s="649">
        <v>237033</v>
      </c>
      <c r="G177" s="649">
        <v>237033</v>
      </c>
      <c r="H177" s="649">
        <v>244154</v>
      </c>
      <c r="I177" s="649">
        <f t="shared" si="18"/>
        <v>249749</v>
      </c>
      <c r="J177" s="650">
        <f t="shared" si="19"/>
        <v>253818</v>
      </c>
      <c r="K177" s="650">
        <f t="shared" si="22"/>
        <v>253818</v>
      </c>
      <c r="L177" s="650">
        <f t="shared" si="27"/>
        <v>253818</v>
      </c>
      <c r="M177" s="635">
        <v>300000</v>
      </c>
      <c r="N177" s="650">
        <f t="shared" si="26"/>
        <v>300000</v>
      </c>
    </row>
    <row r="178" spans="1:14" x14ac:dyDescent="0.2">
      <c r="A178">
        <f t="shared" si="28"/>
        <v>1</v>
      </c>
      <c r="B178" s="451" t="str">
        <f>VLOOKUP(D178,'LA List'!$A$3:$B$470,2,0)</f>
        <v>E1934</v>
      </c>
      <c r="C178" s="451" t="str">
        <f t="shared" si="17"/>
        <v>E1934EZ1</v>
      </c>
      <c r="D178" s="273" t="s">
        <v>123</v>
      </c>
      <c r="E178" s="273"/>
      <c r="F178" s="649" t="s">
        <v>1201</v>
      </c>
      <c r="G178" s="649" t="s">
        <v>1201</v>
      </c>
      <c r="H178" s="649" t="s">
        <v>1201</v>
      </c>
      <c r="I178" s="649" t="str">
        <f t="shared" si="18"/>
        <v/>
      </c>
      <c r="J178" s="650" t="str">
        <f t="shared" si="19"/>
        <v/>
      </c>
      <c r="K178" s="650" t="str">
        <f t="shared" si="22"/>
        <v/>
      </c>
      <c r="L178" s="650" t="str">
        <f t="shared" si="27"/>
        <v/>
      </c>
      <c r="M178" s="635" t="s">
        <v>1201</v>
      </c>
      <c r="N178" s="650" t="str">
        <f t="shared" si="26"/>
        <v/>
      </c>
    </row>
    <row r="179" spans="1:14" x14ac:dyDescent="0.2">
      <c r="A179">
        <f t="shared" si="28"/>
        <v>1</v>
      </c>
      <c r="B179" s="451" t="str">
        <f>VLOOKUP(D179,'LA List'!$A$3:$B$470,2,0)</f>
        <v>E1037</v>
      </c>
      <c r="C179" s="451" t="str">
        <f t="shared" si="17"/>
        <v>E1037EZ1</v>
      </c>
      <c r="D179" s="273" t="s">
        <v>125</v>
      </c>
      <c r="E179" s="273"/>
      <c r="F179" s="649" t="s">
        <v>1201</v>
      </c>
      <c r="G179" s="649" t="s">
        <v>1201</v>
      </c>
      <c r="H179" s="649" t="s">
        <v>1201</v>
      </c>
      <c r="I179" s="649" t="str">
        <f t="shared" si="18"/>
        <v/>
      </c>
      <c r="J179" s="650" t="str">
        <f t="shared" si="19"/>
        <v/>
      </c>
      <c r="K179" s="650" t="str">
        <f t="shared" si="22"/>
        <v/>
      </c>
      <c r="L179" s="650" t="str">
        <f t="shared" si="27"/>
        <v/>
      </c>
      <c r="M179" s="635" t="s">
        <v>1201</v>
      </c>
      <c r="N179" s="650" t="str">
        <f t="shared" si="26"/>
        <v/>
      </c>
    </row>
    <row r="180" spans="1:14" x14ac:dyDescent="0.2">
      <c r="A180">
        <f t="shared" si="28"/>
        <v>1</v>
      </c>
      <c r="B180" s="451" t="str">
        <f>VLOOKUP(D180,'LA List'!$A$3:$B$470,2,0)</f>
        <v>E5041</v>
      </c>
      <c r="C180" s="451" t="str">
        <f t="shared" si="17"/>
        <v>E5041EZ1</v>
      </c>
      <c r="D180" s="273" t="s">
        <v>127</v>
      </c>
      <c r="E180" s="273"/>
      <c r="F180" s="649" t="s">
        <v>1201</v>
      </c>
      <c r="G180" s="649" t="s">
        <v>1201</v>
      </c>
      <c r="H180" s="649" t="s">
        <v>1201</v>
      </c>
      <c r="I180" s="649" t="str">
        <f t="shared" si="18"/>
        <v/>
      </c>
      <c r="J180" s="650" t="str">
        <f t="shared" si="19"/>
        <v/>
      </c>
      <c r="K180" s="650" t="str">
        <f t="shared" si="22"/>
        <v/>
      </c>
      <c r="L180" s="650" t="str">
        <f t="shared" si="27"/>
        <v/>
      </c>
      <c r="M180" s="635" t="s">
        <v>1201</v>
      </c>
      <c r="N180" s="650" t="str">
        <f t="shared" si="26"/>
        <v/>
      </c>
    </row>
    <row r="181" spans="1:14" x14ac:dyDescent="0.2">
      <c r="A181">
        <f t="shared" si="28"/>
        <v>1</v>
      </c>
      <c r="B181" s="451" t="str">
        <f>VLOOKUP(D181,'LA List'!$A$3:$B$470,2,0)</f>
        <v>E2434</v>
      </c>
      <c r="C181" s="451" t="str">
        <f t="shared" si="17"/>
        <v>E2434EZ1</v>
      </c>
      <c r="D181" s="273" t="s">
        <v>129</v>
      </c>
      <c r="E181" s="273" t="s">
        <v>860</v>
      </c>
      <c r="F181" s="649">
        <v>843916</v>
      </c>
      <c r="G181" s="649">
        <v>843916</v>
      </c>
      <c r="H181" s="649">
        <v>869270</v>
      </c>
      <c r="I181" s="649">
        <f t="shared" si="18"/>
        <v>889191</v>
      </c>
      <c r="J181" s="650">
        <f t="shared" si="19"/>
        <v>903679</v>
      </c>
      <c r="K181" s="650">
        <f t="shared" si="22"/>
        <v>903679</v>
      </c>
      <c r="L181" s="650">
        <f t="shared" si="27"/>
        <v>903679</v>
      </c>
      <c r="M181" s="635">
        <v>1154319</v>
      </c>
      <c r="N181" s="650">
        <f t="shared" si="26"/>
        <v>1154319</v>
      </c>
    </row>
    <row r="182" spans="1:14" x14ac:dyDescent="0.2">
      <c r="A182">
        <f t="shared" si="28"/>
        <v>2</v>
      </c>
      <c r="B182" s="451" t="str">
        <f>VLOOKUP(D182,'LA List'!$A$3:$B$470,2,0)</f>
        <v>E2434</v>
      </c>
      <c r="C182" s="451" t="str">
        <f t="shared" si="17"/>
        <v>E2434EZ2</v>
      </c>
      <c r="D182" s="273" t="s">
        <v>129</v>
      </c>
      <c r="E182" s="273" t="s">
        <v>949</v>
      </c>
      <c r="F182" s="649">
        <v>0</v>
      </c>
      <c r="G182" s="649">
        <v>0</v>
      </c>
      <c r="H182" s="649">
        <v>0</v>
      </c>
      <c r="I182" s="649">
        <f t="shared" si="18"/>
        <v>0</v>
      </c>
      <c r="J182" s="650">
        <f t="shared" si="19"/>
        <v>0</v>
      </c>
      <c r="K182" s="650">
        <f t="shared" si="22"/>
        <v>0</v>
      </c>
      <c r="L182" s="650">
        <f t="shared" si="27"/>
        <v>0</v>
      </c>
      <c r="M182" s="635">
        <v>0</v>
      </c>
      <c r="N182" s="650">
        <f t="shared" si="26"/>
        <v>0</v>
      </c>
    </row>
    <row r="183" spans="1:14" x14ac:dyDescent="0.2">
      <c r="A183">
        <f t="shared" si="28"/>
        <v>1</v>
      </c>
      <c r="B183" s="451" t="str">
        <f>VLOOKUP(D183,'LA List'!$A$3:$B$470,2,0)</f>
        <v>E3835</v>
      </c>
      <c r="C183" s="451" t="str">
        <f t="shared" si="17"/>
        <v>E3835EZ1</v>
      </c>
      <c r="D183" s="273" t="s">
        <v>131</v>
      </c>
      <c r="E183" s="273"/>
      <c r="F183" s="649" t="s">
        <v>1201</v>
      </c>
      <c r="G183" s="649" t="s">
        <v>1201</v>
      </c>
      <c r="H183" s="649" t="s">
        <v>1201</v>
      </c>
      <c r="I183" s="649" t="str">
        <f t="shared" si="18"/>
        <v/>
      </c>
      <c r="J183" s="650" t="str">
        <f t="shared" si="19"/>
        <v/>
      </c>
      <c r="K183" s="650" t="str">
        <f t="shared" si="22"/>
        <v/>
      </c>
      <c r="L183" s="650" t="str">
        <f t="shared" si="27"/>
        <v/>
      </c>
      <c r="M183" s="635" t="s">
        <v>1201</v>
      </c>
      <c r="N183" s="650" t="str">
        <f t="shared" si="26"/>
        <v/>
      </c>
    </row>
    <row r="184" spans="1:14" x14ac:dyDescent="0.2">
      <c r="A184">
        <f t="shared" si="28"/>
        <v>1</v>
      </c>
      <c r="B184" s="451" t="str">
        <f>VLOOKUP(D184,'LA List'!$A$3:$B$470,2,0)</f>
        <v>E5042</v>
      </c>
      <c r="C184" s="451" t="str">
        <f t="shared" si="17"/>
        <v>E5042EZ1</v>
      </c>
      <c r="D184" s="273" t="s">
        <v>133</v>
      </c>
      <c r="E184" s="273"/>
      <c r="F184" s="649" t="s">
        <v>1201</v>
      </c>
      <c r="G184" s="649" t="s">
        <v>1201</v>
      </c>
      <c r="H184" s="649" t="s">
        <v>1201</v>
      </c>
      <c r="I184" s="649" t="str">
        <f t="shared" si="18"/>
        <v/>
      </c>
      <c r="J184" s="650" t="str">
        <f t="shared" si="19"/>
        <v/>
      </c>
      <c r="K184" s="650" t="str">
        <f t="shared" si="22"/>
        <v/>
      </c>
      <c r="L184" s="650" t="str">
        <f t="shared" si="27"/>
        <v/>
      </c>
      <c r="M184" s="635" t="s">
        <v>1201</v>
      </c>
      <c r="N184" s="650" t="str">
        <f t="shared" si="26"/>
        <v/>
      </c>
    </row>
    <row r="185" spans="1:14" x14ac:dyDescent="0.2">
      <c r="A185">
        <f t="shared" si="28"/>
        <v>1</v>
      </c>
      <c r="B185" s="451" t="str">
        <f>VLOOKUP(D185,'LA List'!$A$3:$B$470,2,0)</f>
        <v>E0551</v>
      </c>
      <c r="C185" s="451" t="str">
        <f t="shared" si="17"/>
        <v>E0551EZ1</v>
      </c>
      <c r="D185" s="273" t="s">
        <v>135</v>
      </c>
      <c r="E185" s="273" t="s">
        <v>861</v>
      </c>
      <c r="F185" s="649">
        <v>735767</v>
      </c>
      <c r="G185" s="649">
        <v>735767</v>
      </c>
      <c r="H185" s="649">
        <v>757872</v>
      </c>
      <c r="I185" s="649">
        <f t="shared" si="18"/>
        <v>775240</v>
      </c>
      <c r="J185" s="650">
        <f t="shared" si="19"/>
        <v>787871</v>
      </c>
      <c r="K185" s="650">
        <f t="shared" si="22"/>
        <v>787871</v>
      </c>
      <c r="L185" s="650">
        <f t="shared" si="27"/>
        <v>787871</v>
      </c>
      <c r="M185" s="635">
        <v>1006270</v>
      </c>
      <c r="N185" s="650">
        <f t="shared" si="26"/>
        <v>1006270</v>
      </c>
    </row>
    <row r="186" spans="1:14" x14ac:dyDescent="0.2">
      <c r="A186">
        <f t="shared" si="28"/>
        <v>1</v>
      </c>
      <c r="B186" s="451" t="str">
        <f>VLOOKUP(D186,'LA List'!$A$3:$B$470,2,0)</f>
        <v>E2336</v>
      </c>
      <c r="C186" s="451" t="str">
        <f t="shared" si="17"/>
        <v>E2336EZ1</v>
      </c>
      <c r="D186" s="273" t="s">
        <v>137</v>
      </c>
      <c r="E186" s="273"/>
      <c r="F186" s="649" t="s">
        <v>1201</v>
      </c>
      <c r="G186" s="649" t="s">
        <v>1201</v>
      </c>
      <c r="H186" s="649" t="s">
        <v>1201</v>
      </c>
      <c r="I186" s="649" t="str">
        <f t="shared" si="18"/>
        <v/>
      </c>
      <c r="J186" s="650" t="str">
        <f t="shared" si="19"/>
        <v/>
      </c>
      <c r="K186" s="650" t="str">
        <f t="shared" si="22"/>
        <v/>
      </c>
      <c r="L186" s="650" t="str">
        <f t="shared" si="27"/>
        <v/>
      </c>
      <c r="M186" s="635" t="s">
        <v>1201</v>
      </c>
      <c r="N186" s="650" t="str">
        <f t="shared" si="26"/>
        <v/>
      </c>
    </row>
    <row r="187" spans="1:14" x14ac:dyDescent="0.2">
      <c r="A187">
        <f t="shared" si="28"/>
        <v>1</v>
      </c>
      <c r="B187" s="451" t="str">
        <f>VLOOKUP(D187,'LA List'!$A$3:$B$470,2,0)</f>
        <v>E3533</v>
      </c>
      <c r="C187" s="451" t="str">
        <f t="shared" si="17"/>
        <v>E3533EZ1</v>
      </c>
      <c r="D187" s="273" t="s">
        <v>139</v>
      </c>
      <c r="E187" s="273" t="s">
        <v>1068</v>
      </c>
      <c r="F187" s="649">
        <v>0</v>
      </c>
      <c r="G187" s="649">
        <v>0</v>
      </c>
      <c r="H187" s="649">
        <v>0</v>
      </c>
      <c r="I187" s="649">
        <f t="shared" si="18"/>
        <v>0</v>
      </c>
      <c r="J187" s="650">
        <f t="shared" si="19"/>
        <v>0</v>
      </c>
      <c r="K187" s="650">
        <f t="shared" si="22"/>
        <v>0</v>
      </c>
      <c r="L187" s="650">
        <f t="shared" si="27"/>
        <v>0</v>
      </c>
      <c r="M187" s="635">
        <v>0</v>
      </c>
      <c r="N187" s="650">
        <f t="shared" si="26"/>
        <v>0</v>
      </c>
    </row>
    <row r="188" spans="1:14" x14ac:dyDescent="0.2">
      <c r="A188">
        <f t="shared" si="28"/>
        <v>2</v>
      </c>
      <c r="B188" s="451" t="str">
        <f>VLOOKUP(D188,'LA List'!$A$3:$B$470,2,0)</f>
        <v>E3533</v>
      </c>
      <c r="C188" s="451" t="str">
        <f t="shared" si="17"/>
        <v>E3533EZ2</v>
      </c>
      <c r="D188" s="273" t="s">
        <v>139</v>
      </c>
      <c r="E188" s="273" t="s">
        <v>1069</v>
      </c>
      <c r="F188" s="649">
        <v>192558</v>
      </c>
      <c r="G188" s="649">
        <v>192558</v>
      </c>
      <c r="H188" s="649">
        <v>198343</v>
      </c>
      <c r="I188" s="649">
        <f t="shared" si="18"/>
        <v>202888</v>
      </c>
      <c r="J188" s="650">
        <f t="shared" si="19"/>
        <v>206194</v>
      </c>
      <c r="K188" s="650">
        <f t="shared" si="22"/>
        <v>206194</v>
      </c>
      <c r="L188" s="650">
        <f t="shared" si="27"/>
        <v>206194</v>
      </c>
      <c r="M188" s="635">
        <v>201633</v>
      </c>
      <c r="N188" s="650">
        <f t="shared" si="26"/>
        <v>201633</v>
      </c>
    </row>
    <row r="189" spans="1:14" x14ac:dyDescent="0.2">
      <c r="A189">
        <f t="shared" si="28"/>
        <v>3</v>
      </c>
      <c r="B189" s="451" t="str">
        <f>VLOOKUP(D189,'LA List'!$A$3:$B$470,2,0)</f>
        <v>E3533</v>
      </c>
      <c r="C189" s="451" t="str">
        <f t="shared" si="17"/>
        <v>E3533EZ3</v>
      </c>
      <c r="D189" s="273" t="s">
        <v>139</v>
      </c>
      <c r="E189" s="273" t="s">
        <v>1070</v>
      </c>
      <c r="F189" s="649">
        <v>0</v>
      </c>
      <c r="G189" s="649">
        <v>0</v>
      </c>
      <c r="H189" s="649">
        <v>0</v>
      </c>
      <c r="I189" s="649">
        <f t="shared" si="18"/>
        <v>0</v>
      </c>
      <c r="J189" s="650">
        <f t="shared" si="19"/>
        <v>0</v>
      </c>
      <c r="K189" s="650">
        <f t="shared" si="22"/>
        <v>0</v>
      </c>
      <c r="L189" s="650">
        <f t="shared" si="27"/>
        <v>0</v>
      </c>
      <c r="M189" s="635">
        <v>0</v>
      </c>
      <c r="N189" s="650">
        <f t="shared" si="26"/>
        <v>0</v>
      </c>
    </row>
    <row r="190" spans="1:14" x14ac:dyDescent="0.2">
      <c r="A190">
        <f t="shared" si="28"/>
        <v>1</v>
      </c>
      <c r="B190" s="451" t="str">
        <f>VLOOKUP(D190,'LA List'!$A$3:$B$470,2,0)</f>
        <v>E2101</v>
      </c>
      <c r="C190" s="451" t="str">
        <f t="shared" si="17"/>
        <v>E2101EZ1</v>
      </c>
      <c r="D190" s="273" t="s">
        <v>141</v>
      </c>
      <c r="E190" s="273"/>
      <c r="F190" s="649" t="s">
        <v>1201</v>
      </c>
      <c r="G190" s="649" t="s">
        <v>1201</v>
      </c>
      <c r="H190" s="649" t="s">
        <v>1201</v>
      </c>
      <c r="I190" s="649" t="str">
        <f t="shared" si="18"/>
        <v/>
      </c>
      <c r="J190" s="650" t="str">
        <f t="shared" si="19"/>
        <v/>
      </c>
      <c r="K190" s="650" t="str">
        <f t="shared" si="22"/>
        <v/>
      </c>
      <c r="L190" s="650" t="str">
        <f t="shared" si="27"/>
        <v/>
      </c>
      <c r="M190" s="635" t="s">
        <v>1201</v>
      </c>
      <c r="N190" s="650" t="str">
        <f t="shared" si="26"/>
        <v/>
      </c>
    </row>
    <row r="191" spans="1:14" x14ac:dyDescent="0.2">
      <c r="A191">
        <f t="shared" si="28"/>
        <v>1</v>
      </c>
      <c r="B191" s="451" t="str">
        <f>VLOOKUP(D191,'LA List'!$A$3:$B$470,2,0)</f>
        <v>E4001</v>
      </c>
      <c r="C191" s="451" t="str">
        <f t="shared" si="17"/>
        <v>E4001EZ1</v>
      </c>
      <c r="D191" s="273" t="s">
        <v>143</v>
      </c>
      <c r="E191" s="273"/>
      <c r="F191" s="649" t="s">
        <v>1201</v>
      </c>
      <c r="G191" s="649" t="s">
        <v>1201</v>
      </c>
      <c r="H191" s="649" t="s">
        <v>1201</v>
      </c>
      <c r="I191" s="649" t="str">
        <f t="shared" si="18"/>
        <v/>
      </c>
      <c r="J191" s="650" t="str">
        <f t="shared" si="19"/>
        <v/>
      </c>
      <c r="K191" s="650" t="str">
        <f t="shared" si="22"/>
        <v/>
      </c>
      <c r="L191" s="650" t="str">
        <f t="shared" si="27"/>
        <v/>
      </c>
      <c r="M191" s="635" t="s">
        <v>1201</v>
      </c>
      <c r="N191" s="650" t="str">
        <f t="shared" si="26"/>
        <v/>
      </c>
    </row>
    <row r="192" spans="1:14" x14ac:dyDescent="0.2">
      <c r="A192">
        <f t="shared" si="28"/>
        <v>1</v>
      </c>
      <c r="B192" s="451" t="str">
        <f>VLOOKUP(D192,'LA List'!$A$3:$B$470,2,0)</f>
        <v>E5015</v>
      </c>
      <c r="C192" s="451" t="str">
        <f t="shared" si="17"/>
        <v>E5015EZ1</v>
      </c>
      <c r="D192" s="273" t="s">
        <v>145</v>
      </c>
      <c r="E192" s="273"/>
      <c r="F192" s="649" t="s">
        <v>1201</v>
      </c>
      <c r="G192" s="649" t="s">
        <v>1201</v>
      </c>
      <c r="H192" s="649" t="s">
        <v>1201</v>
      </c>
      <c r="I192" s="649" t="str">
        <f t="shared" si="18"/>
        <v/>
      </c>
      <c r="J192" s="650" t="str">
        <f t="shared" si="19"/>
        <v/>
      </c>
      <c r="K192" s="650" t="str">
        <f t="shared" si="22"/>
        <v/>
      </c>
      <c r="L192" s="650" t="str">
        <f t="shared" si="27"/>
        <v/>
      </c>
      <c r="M192" s="635" t="s">
        <v>1201</v>
      </c>
      <c r="N192" s="650" t="str">
        <f t="shared" si="26"/>
        <v/>
      </c>
    </row>
    <row r="193" spans="1:14" x14ac:dyDescent="0.2">
      <c r="A193">
        <f t="shared" si="28"/>
        <v>1</v>
      </c>
      <c r="B193" s="451" t="str">
        <f>VLOOKUP(D193,'LA List'!$A$3:$B$470,2,0)</f>
        <v>E5016</v>
      </c>
      <c r="C193" s="451" t="str">
        <f t="shared" si="17"/>
        <v>E5016EZ1</v>
      </c>
      <c r="D193" s="273" t="s">
        <v>147</v>
      </c>
      <c r="E193" s="273"/>
      <c r="F193" s="649" t="s">
        <v>1201</v>
      </c>
      <c r="G193" s="649" t="s">
        <v>1201</v>
      </c>
      <c r="H193" s="649" t="s">
        <v>1201</v>
      </c>
      <c r="I193" s="649" t="str">
        <f t="shared" si="18"/>
        <v/>
      </c>
      <c r="J193" s="650" t="str">
        <f t="shared" si="19"/>
        <v/>
      </c>
      <c r="K193" s="650" t="str">
        <f t="shared" si="22"/>
        <v/>
      </c>
      <c r="L193" s="650" t="str">
        <f t="shared" si="27"/>
        <v/>
      </c>
      <c r="M193" s="635" t="s">
        <v>1201</v>
      </c>
      <c r="N193" s="650" t="str">
        <f t="shared" si="26"/>
        <v/>
      </c>
    </row>
    <row r="194" spans="1:14" x14ac:dyDescent="0.2">
      <c r="A194">
        <f t="shared" si="28"/>
        <v>1</v>
      </c>
      <c r="B194" s="451" t="str">
        <f>VLOOKUP(D194,'LA List'!$A$3:$B$470,2,0)</f>
        <v>E2634</v>
      </c>
      <c r="C194" s="451" t="str">
        <f t="shared" ref="C194:C259" si="31">CONCATENATE(B194,"EZ",A194)</f>
        <v>E2634EZ1</v>
      </c>
      <c r="D194" s="273" t="s">
        <v>149</v>
      </c>
      <c r="E194" s="273" t="s">
        <v>1071</v>
      </c>
      <c r="F194" s="649">
        <v>0</v>
      </c>
      <c r="G194" s="649">
        <v>0</v>
      </c>
      <c r="H194" s="649">
        <v>0</v>
      </c>
      <c r="I194" s="649">
        <f t="shared" ref="I194:I259" si="32">IF(H194="","",ROUND(H194*$I$1,0))</f>
        <v>0</v>
      </c>
      <c r="J194" s="650">
        <f t="shared" ref="J194:J259" si="33">IF(I194="","",ROUND(I194*$J$1,0))</f>
        <v>0</v>
      </c>
      <c r="K194" s="650">
        <f t="shared" ref="K194:K260" si="34">IF(J194="","",ROUND(J194*$K$1,0))</f>
        <v>0</v>
      </c>
      <c r="L194" s="650">
        <f t="shared" si="27"/>
        <v>0</v>
      </c>
      <c r="M194" s="635">
        <v>0</v>
      </c>
      <c r="N194" s="650">
        <f t="shared" si="26"/>
        <v>0</v>
      </c>
    </row>
    <row r="195" spans="1:14" x14ac:dyDescent="0.2">
      <c r="A195">
        <f t="shared" si="28"/>
        <v>1</v>
      </c>
      <c r="B195" s="451" t="str">
        <f>VLOOKUP(D195,'LA List'!$A$3:$B$470,2,0)</f>
        <v>E2002</v>
      </c>
      <c r="C195" s="451" t="str">
        <f t="shared" si="31"/>
        <v>E2002EZ1</v>
      </c>
      <c r="D195" s="273" t="s">
        <v>151</v>
      </c>
      <c r="E195" s="273" t="s">
        <v>851</v>
      </c>
      <c r="F195" s="649">
        <v>0</v>
      </c>
      <c r="G195" s="649">
        <v>0</v>
      </c>
      <c r="H195" s="649">
        <v>0</v>
      </c>
      <c r="I195" s="649">
        <f t="shared" si="32"/>
        <v>0</v>
      </c>
      <c r="J195" s="650">
        <f t="shared" si="33"/>
        <v>0</v>
      </c>
      <c r="K195" s="650">
        <f t="shared" si="34"/>
        <v>0</v>
      </c>
      <c r="L195" s="650">
        <f t="shared" si="27"/>
        <v>0</v>
      </c>
      <c r="M195" s="635">
        <v>0</v>
      </c>
      <c r="N195" s="650">
        <f t="shared" si="26"/>
        <v>0</v>
      </c>
    </row>
    <row r="196" spans="1:14" x14ac:dyDescent="0.2">
      <c r="A196">
        <f t="shared" si="28"/>
        <v>2</v>
      </c>
      <c r="B196" s="451" t="str">
        <f>VLOOKUP(D196,'LA List'!$A$3:$B$470,2,0)</f>
        <v>E2002</v>
      </c>
      <c r="C196" s="451" t="str">
        <f t="shared" si="31"/>
        <v>E2002EZ2</v>
      </c>
      <c r="D196" s="273" t="s">
        <v>151</v>
      </c>
      <c r="E196" s="273" t="s">
        <v>852</v>
      </c>
      <c r="F196" s="649">
        <v>163232</v>
      </c>
      <c r="G196" s="649">
        <v>163232</v>
      </c>
      <c r="H196" s="649">
        <v>168136</v>
      </c>
      <c r="I196" s="649">
        <f t="shared" si="32"/>
        <v>171989</v>
      </c>
      <c r="J196" s="650">
        <f t="shared" si="33"/>
        <v>174791</v>
      </c>
      <c r="K196" s="650">
        <f t="shared" si="34"/>
        <v>174791</v>
      </c>
      <c r="L196" s="650">
        <f t="shared" si="27"/>
        <v>174791</v>
      </c>
      <c r="M196" s="635">
        <v>185278</v>
      </c>
      <c r="N196" s="650">
        <f t="shared" si="26"/>
        <v>185278</v>
      </c>
    </row>
    <row r="197" spans="1:14" x14ac:dyDescent="0.2">
      <c r="A197">
        <f t="shared" si="28"/>
        <v>3</v>
      </c>
      <c r="B197" s="451" t="str">
        <f>VLOOKUP(D197,'LA List'!$A$3:$B$470,2,0)</f>
        <v>E2002</v>
      </c>
      <c r="C197" s="451" t="str">
        <f t="shared" si="31"/>
        <v>E2002EZ3</v>
      </c>
      <c r="D197" s="273" t="s">
        <v>151</v>
      </c>
      <c r="E197" s="273" t="s">
        <v>1072</v>
      </c>
      <c r="F197" s="649">
        <v>0</v>
      </c>
      <c r="G197" s="649">
        <v>0</v>
      </c>
      <c r="H197" s="649">
        <v>0</v>
      </c>
      <c r="I197" s="649">
        <f t="shared" si="32"/>
        <v>0</v>
      </c>
      <c r="J197" s="650">
        <f t="shared" si="33"/>
        <v>0</v>
      </c>
      <c r="K197" s="650">
        <f t="shared" si="34"/>
        <v>0</v>
      </c>
      <c r="L197" s="650">
        <f t="shared" si="27"/>
        <v>0</v>
      </c>
      <c r="M197" s="635">
        <v>0</v>
      </c>
      <c r="N197" s="650">
        <f t="shared" si="26"/>
        <v>0</v>
      </c>
    </row>
    <row r="198" spans="1:14" x14ac:dyDescent="0.2">
      <c r="A198">
        <f t="shared" si="28"/>
        <v>4</v>
      </c>
      <c r="B198" s="451" t="str">
        <f>VLOOKUP(D198,'LA List'!$A$3:$B$470,2,0)</f>
        <v>E2002</v>
      </c>
      <c r="C198" s="451" t="str">
        <f t="shared" si="31"/>
        <v>E2002EZ4</v>
      </c>
      <c r="D198" s="273" t="s">
        <v>151</v>
      </c>
      <c r="E198" s="273" t="s">
        <v>1073</v>
      </c>
      <c r="F198" s="649">
        <v>0</v>
      </c>
      <c r="G198" s="649">
        <v>0</v>
      </c>
      <c r="H198" s="649">
        <v>0</v>
      </c>
      <c r="I198" s="649">
        <f t="shared" si="32"/>
        <v>0</v>
      </c>
      <c r="J198" s="650">
        <f t="shared" si="33"/>
        <v>0</v>
      </c>
      <c r="K198" s="650">
        <f t="shared" si="34"/>
        <v>0</v>
      </c>
      <c r="L198" s="650">
        <f t="shared" si="27"/>
        <v>0</v>
      </c>
      <c r="M198" s="635">
        <v>0</v>
      </c>
      <c r="N198" s="650">
        <f t="shared" si="26"/>
        <v>0</v>
      </c>
    </row>
    <row r="199" spans="1:14" x14ac:dyDescent="0.2">
      <c r="A199">
        <f t="shared" si="28"/>
        <v>5</v>
      </c>
      <c r="B199" s="451" t="str">
        <f>VLOOKUP(D199,'LA List'!$A$3:$B$470,2,0)</f>
        <v>E2002</v>
      </c>
      <c r="C199" s="451" t="str">
        <f t="shared" si="31"/>
        <v>E2002EZ5</v>
      </c>
      <c r="D199" s="273" t="s">
        <v>151</v>
      </c>
      <c r="E199" s="273" t="s">
        <v>1074</v>
      </c>
      <c r="F199" s="649">
        <v>0</v>
      </c>
      <c r="G199" s="649">
        <v>0</v>
      </c>
      <c r="H199" s="649">
        <v>0</v>
      </c>
      <c r="I199" s="649">
        <f t="shared" si="32"/>
        <v>0</v>
      </c>
      <c r="J199" s="650">
        <f t="shared" si="33"/>
        <v>0</v>
      </c>
      <c r="K199" s="650">
        <f t="shared" si="34"/>
        <v>0</v>
      </c>
      <c r="L199" s="650">
        <f t="shared" si="27"/>
        <v>0</v>
      </c>
      <c r="M199" s="635">
        <v>0</v>
      </c>
      <c r="N199" s="650">
        <f t="shared" si="26"/>
        <v>0</v>
      </c>
    </row>
    <row r="200" spans="1:14" x14ac:dyDescent="0.2">
      <c r="A200">
        <f t="shared" si="28"/>
        <v>6</v>
      </c>
      <c r="B200" s="451" t="str">
        <f>VLOOKUP(D200,'LA List'!$A$3:$B$470,2,0)</f>
        <v>E2002</v>
      </c>
      <c r="C200" s="451" t="str">
        <f t="shared" si="31"/>
        <v>E2002EZ6</v>
      </c>
      <c r="D200" s="273" t="s">
        <v>151</v>
      </c>
      <c r="E200" s="273" t="s">
        <v>1075</v>
      </c>
      <c r="F200" s="649">
        <v>16969</v>
      </c>
      <c r="G200" s="649">
        <v>16969</v>
      </c>
      <c r="H200" s="649">
        <v>17479</v>
      </c>
      <c r="I200" s="649">
        <f t="shared" si="32"/>
        <v>17880</v>
      </c>
      <c r="J200" s="650">
        <f t="shared" si="33"/>
        <v>18171</v>
      </c>
      <c r="K200" s="650">
        <f t="shared" si="34"/>
        <v>18171</v>
      </c>
      <c r="L200" s="650">
        <f t="shared" ref="L200:L266" si="35">IF(K200="","",ROUND(K200*$L$1,0))</f>
        <v>18171</v>
      </c>
      <c r="M200" s="635">
        <v>19261</v>
      </c>
      <c r="N200" s="650">
        <f t="shared" si="26"/>
        <v>19261</v>
      </c>
    </row>
    <row r="201" spans="1:14" x14ac:dyDescent="0.2">
      <c r="A201">
        <f t="shared" si="28"/>
        <v>7</v>
      </c>
      <c r="B201" s="451" t="str">
        <f>VLOOKUP(D201,'LA List'!$A$3:$B$470,2,0)</f>
        <v>E2002</v>
      </c>
      <c r="C201" s="451" t="str">
        <f t="shared" si="31"/>
        <v>E2002EZ7</v>
      </c>
      <c r="D201" s="273" t="s">
        <v>151</v>
      </c>
      <c r="E201" s="273" t="s">
        <v>1076</v>
      </c>
      <c r="F201" s="649">
        <v>0</v>
      </c>
      <c r="G201" s="649">
        <v>0</v>
      </c>
      <c r="H201" s="649">
        <v>0</v>
      </c>
      <c r="I201" s="649">
        <f t="shared" si="32"/>
        <v>0</v>
      </c>
      <c r="J201" s="650">
        <f t="shared" si="33"/>
        <v>0</v>
      </c>
      <c r="K201" s="650">
        <f t="shared" si="34"/>
        <v>0</v>
      </c>
      <c r="L201" s="650">
        <f t="shared" si="35"/>
        <v>0</v>
      </c>
      <c r="M201" s="635">
        <v>0</v>
      </c>
      <c r="N201" s="650">
        <f t="shared" ref="N201:N266" si="36">IF(M201="","",ROUND(M201*$N$1,0))</f>
        <v>0</v>
      </c>
    </row>
    <row r="202" spans="1:14" x14ac:dyDescent="0.2">
      <c r="A202">
        <f t="shared" si="28"/>
        <v>8</v>
      </c>
      <c r="B202" s="451" t="str">
        <f>VLOOKUP(D202,'LA List'!$A$3:$B$470,2,0)</f>
        <v>E2002</v>
      </c>
      <c r="C202" s="451" t="str">
        <f t="shared" si="31"/>
        <v>E2002EZ8</v>
      </c>
      <c r="D202" s="273" t="s">
        <v>151</v>
      </c>
      <c r="E202" s="273" t="s">
        <v>1077</v>
      </c>
      <c r="F202" s="649">
        <v>3328</v>
      </c>
      <c r="G202" s="649">
        <v>3328</v>
      </c>
      <c r="H202" s="649">
        <v>3428</v>
      </c>
      <c r="I202" s="649">
        <f t="shared" si="32"/>
        <v>3507</v>
      </c>
      <c r="J202" s="650">
        <f t="shared" si="33"/>
        <v>3564</v>
      </c>
      <c r="K202" s="650">
        <f t="shared" si="34"/>
        <v>3564</v>
      </c>
      <c r="L202" s="650">
        <f t="shared" si="35"/>
        <v>3564</v>
      </c>
      <c r="M202" s="635">
        <v>3777</v>
      </c>
      <c r="N202" s="650">
        <f t="shared" si="36"/>
        <v>3777</v>
      </c>
    </row>
    <row r="203" spans="1:14" x14ac:dyDescent="0.2">
      <c r="A203">
        <f t="shared" si="28"/>
        <v>9</v>
      </c>
      <c r="B203" s="451" t="str">
        <f>VLOOKUP(D203,'LA List'!$A$3:$B$470,2,0)</f>
        <v>E2002</v>
      </c>
      <c r="C203" s="451" t="str">
        <f t="shared" si="31"/>
        <v>E2002EZ9</v>
      </c>
      <c r="D203" s="273" t="s">
        <v>151</v>
      </c>
      <c r="E203" s="273" t="s">
        <v>1078</v>
      </c>
      <c r="F203" s="649">
        <v>31212</v>
      </c>
      <c r="G203" s="649">
        <v>31212</v>
      </c>
      <c r="H203" s="649">
        <v>32150</v>
      </c>
      <c r="I203" s="649">
        <f t="shared" si="32"/>
        <v>32887</v>
      </c>
      <c r="J203" s="650">
        <f t="shared" si="33"/>
        <v>33423</v>
      </c>
      <c r="K203" s="650">
        <f t="shared" si="34"/>
        <v>33423</v>
      </c>
      <c r="L203" s="650">
        <f t="shared" si="35"/>
        <v>33423</v>
      </c>
      <c r="M203" s="635">
        <v>35428</v>
      </c>
      <c r="N203" s="650">
        <f t="shared" si="36"/>
        <v>35428</v>
      </c>
    </row>
    <row r="204" spans="1:14" x14ac:dyDescent="0.2">
      <c r="A204">
        <f t="shared" ref="A204:A271" si="37">IF(D204=D203,A203+1,1)</f>
        <v>10</v>
      </c>
      <c r="B204" s="451" t="str">
        <f>VLOOKUP(D204,'LA List'!$A$3:$B$470,2,0)</f>
        <v>E2002</v>
      </c>
      <c r="C204" s="451" t="str">
        <f t="shared" si="31"/>
        <v>E2002EZ10</v>
      </c>
      <c r="D204" s="273" t="s">
        <v>151</v>
      </c>
      <c r="E204" s="273" t="s">
        <v>1079</v>
      </c>
      <c r="F204" s="649">
        <v>5842</v>
      </c>
      <c r="G204" s="649">
        <v>5842</v>
      </c>
      <c r="H204" s="649">
        <v>6018</v>
      </c>
      <c r="I204" s="649">
        <f t="shared" si="32"/>
        <v>6156</v>
      </c>
      <c r="J204" s="650">
        <f t="shared" si="33"/>
        <v>6256</v>
      </c>
      <c r="K204" s="650">
        <f t="shared" si="34"/>
        <v>6256</v>
      </c>
      <c r="L204" s="650">
        <f t="shared" si="35"/>
        <v>6256</v>
      </c>
      <c r="M204" s="635">
        <v>6631</v>
      </c>
      <c r="N204" s="650">
        <f t="shared" si="36"/>
        <v>6631</v>
      </c>
    </row>
    <row r="205" spans="1:14" x14ac:dyDescent="0.2">
      <c r="A205">
        <f t="shared" si="37"/>
        <v>11</v>
      </c>
      <c r="B205" s="451" t="str">
        <f>VLOOKUP(D205,'LA List'!$A$3:$B$470,2,0)</f>
        <v>E2002</v>
      </c>
      <c r="C205" s="451" t="str">
        <f t="shared" si="31"/>
        <v>E2002EZ11</v>
      </c>
      <c r="D205" s="273" t="s">
        <v>151</v>
      </c>
      <c r="E205" s="273" t="s">
        <v>1080</v>
      </c>
      <c r="F205" s="649">
        <v>7456</v>
      </c>
      <c r="G205" s="649">
        <v>7456</v>
      </c>
      <c r="H205" s="649">
        <v>7680</v>
      </c>
      <c r="I205" s="649">
        <f t="shared" si="32"/>
        <v>7856</v>
      </c>
      <c r="J205" s="650">
        <f t="shared" si="33"/>
        <v>7984</v>
      </c>
      <c r="K205" s="650">
        <f t="shared" si="34"/>
        <v>7984</v>
      </c>
      <c r="L205" s="650">
        <f t="shared" si="35"/>
        <v>7984</v>
      </c>
      <c r="M205" s="635">
        <v>8463</v>
      </c>
      <c r="N205" s="650">
        <f t="shared" si="36"/>
        <v>8463</v>
      </c>
    </row>
    <row r="206" spans="1:14" x14ac:dyDescent="0.2">
      <c r="A206">
        <f t="shared" si="37"/>
        <v>12</v>
      </c>
      <c r="B206" s="451" t="str">
        <f>VLOOKUP(D206,'LA List'!$A$3:$B$470,2,0)</f>
        <v>E2002</v>
      </c>
      <c r="C206" s="451" t="str">
        <f t="shared" si="31"/>
        <v>E2002EZ12</v>
      </c>
      <c r="D206" s="273" t="s">
        <v>151</v>
      </c>
      <c r="E206" s="273" t="s">
        <v>1081</v>
      </c>
      <c r="F206" s="649">
        <v>3448</v>
      </c>
      <c r="G206" s="649">
        <v>3448</v>
      </c>
      <c r="H206" s="649">
        <v>3552</v>
      </c>
      <c r="I206" s="649">
        <f t="shared" si="32"/>
        <v>3633</v>
      </c>
      <c r="J206" s="650">
        <f t="shared" si="33"/>
        <v>3692</v>
      </c>
      <c r="K206" s="650">
        <f t="shared" si="34"/>
        <v>3692</v>
      </c>
      <c r="L206" s="650">
        <f t="shared" si="35"/>
        <v>3692</v>
      </c>
      <c r="M206" s="635">
        <v>3914</v>
      </c>
      <c r="N206" s="650">
        <f t="shared" si="36"/>
        <v>3914</v>
      </c>
    </row>
    <row r="207" spans="1:14" x14ac:dyDescent="0.2">
      <c r="A207">
        <f t="shared" si="37"/>
        <v>13</v>
      </c>
      <c r="B207" s="451" t="str">
        <f>VLOOKUP(D207,'LA List'!$A$3:$B$470,2,0)</f>
        <v>E2002</v>
      </c>
      <c r="C207" s="451" t="str">
        <f t="shared" si="31"/>
        <v>E2002EZ13</v>
      </c>
      <c r="D207" s="273" t="s">
        <v>151</v>
      </c>
      <c r="E207" s="273" t="s">
        <v>1082</v>
      </c>
      <c r="F207" s="649">
        <v>18771</v>
      </c>
      <c r="G207" s="649">
        <v>18771</v>
      </c>
      <c r="H207" s="649">
        <v>19335</v>
      </c>
      <c r="I207" s="649">
        <f t="shared" si="32"/>
        <v>19778</v>
      </c>
      <c r="J207" s="650">
        <f t="shared" si="33"/>
        <v>20100</v>
      </c>
      <c r="K207" s="650">
        <f t="shared" si="34"/>
        <v>20100</v>
      </c>
      <c r="L207" s="650">
        <f t="shared" si="35"/>
        <v>20100</v>
      </c>
      <c r="M207" s="635">
        <v>31306</v>
      </c>
      <c r="N207" s="650">
        <f t="shared" si="36"/>
        <v>31306</v>
      </c>
    </row>
    <row r="208" spans="1:14" x14ac:dyDescent="0.2">
      <c r="A208">
        <f t="shared" si="37"/>
        <v>14</v>
      </c>
      <c r="B208" s="451" t="str">
        <f>VLOOKUP(D208,'LA List'!$A$3:$B$470,2,0)</f>
        <v>E2002</v>
      </c>
      <c r="C208" s="451" t="str">
        <f t="shared" si="31"/>
        <v>E2002EZ14</v>
      </c>
      <c r="D208" s="273" t="s">
        <v>151</v>
      </c>
      <c r="E208" s="273" t="s">
        <v>1083</v>
      </c>
      <c r="F208" s="649">
        <v>0</v>
      </c>
      <c r="G208" s="649">
        <v>0</v>
      </c>
      <c r="H208" s="649">
        <v>0</v>
      </c>
      <c r="I208" s="649">
        <f t="shared" si="32"/>
        <v>0</v>
      </c>
      <c r="J208" s="650">
        <f t="shared" si="33"/>
        <v>0</v>
      </c>
      <c r="K208" s="650">
        <f t="shared" si="34"/>
        <v>0</v>
      </c>
      <c r="L208" s="650">
        <f t="shared" si="35"/>
        <v>0</v>
      </c>
      <c r="M208" s="635">
        <v>0</v>
      </c>
      <c r="N208" s="650">
        <f t="shared" si="36"/>
        <v>0</v>
      </c>
    </row>
    <row r="209" spans="1:14" x14ac:dyDescent="0.2">
      <c r="A209">
        <f t="shared" si="37"/>
        <v>15</v>
      </c>
      <c r="B209" s="451" t="str">
        <f>VLOOKUP(D209,'LA List'!$A$3:$B$470,2,0)</f>
        <v>E2002</v>
      </c>
      <c r="C209" s="451" t="str">
        <f t="shared" si="31"/>
        <v>E2002EZ15</v>
      </c>
      <c r="D209" s="273" t="s">
        <v>151</v>
      </c>
      <c r="E209" s="273" t="s">
        <v>1084</v>
      </c>
      <c r="F209" s="649">
        <v>4730</v>
      </c>
      <c r="G209" s="649">
        <v>4730</v>
      </c>
      <c r="H209" s="649">
        <v>4872</v>
      </c>
      <c r="I209" s="649">
        <f t="shared" si="32"/>
        <v>4984</v>
      </c>
      <c r="J209" s="650">
        <f t="shared" si="33"/>
        <v>5065</v>
      </c>
      <c r="K209" s="650">
        <f t="shared" si="34"/>
        <v>5065</v>
      </c>
      <c r="L209" s="650">
        <f t="shared" si="35"/>
        <v>5065</v>
      </c>
      <c r="M209" s="635">
        <v>5369</v>
      </c>
      <c r="N209" s="650">
        <f t="shared" si="36"/>
        <v>5369</v>
      </c>
    </row>
    <row r="210" spans="1:14" x14ac:dyDescent="0.2">
      <c r="A210">
        <f t="shared" si="37"/>
        <v>16</v>
      </c>
      <c r="B210" s="451" t="str">
        <f>VLOOKUP(D210,'LA List'!$A$3:$B$470,2,0)</f>
        <v>E2002</v>
      </c>
      <c r="C210" s="451" t="str">
        <f t="shared" si="31"/>
        <v>E2002EZ16</v>
      </c>
      <c r="D210" s="273" t="s">
        <v>151</v>
      </c>
      <c r="E210" s="273" t="s">
        <v>1085</v>
      </c>
      <c r="F210" s="649">
        <v>7698</v>
      </c>
      <c r="G210" s="649">
        <v>7698</v>
      </c>
      <c r="H210" s="649">
        <v>7929</v>
      </c>
      <c r="I210" s="649">
        <f t="shared" si="32"/>
        <v>8111</v>
      </c>
      <c r="J210" s="650">
        <f t="shared" si="33"/>
        <v>8243</v>
      </c>
      <c r="K210" s="650">
        <f t="shared" si="34"/>
        <v>8243</v>
      </c>
      <c r="L210" s="650">
        <f t="shared" si="35"/>
        <v>8243</v>
      </c>
      <c r="M210" s="635">
        <v>8738</v>
      </c>
      <c r="N210" s="650">
        <f t="shared" si="36"/>
        <v>8738</v>
      </c>
    </row>
    <row r="211" spans="1:14" x14ac:dyDescent="0.2">
      <c r="A211">
        <f t="shared" si="37"/>
        <v>17</v>
      </c>
      <c r="B211" s="451" t="str">
        <f>VLOOKUP(D211,'LA List'!$A$3:$B$470,2,0)</f>
        <v>E2002</v>
      </c>
      <c r="C211" s="451" t="str">
        <f t="shared" si="31"/>
        <v>E2002EZ17</v>
      </c>
      <c r="D211" s="273" t="s">
        <v>151</v>
      </c>
      <c r="E211" s="273" t="s">
        <v>1086</v>
      </c>
      <c r="F211" s="649">
        <v>0</v>
      </c>
      <c r="G211" s="649">
        <v>0</v>
      </c>
      <c r="H211" s="649">
        <v>0</v>
      </c>
      <c r="I211" s="649">
        <f t="shared" si="32"/>
        <v>0</v>
      </c>
      <c r="J211" s="650">
        <f t="shared" si="33"/>
        <v>0</v>
      </c>
      <c r="K211" s="650">
        <f t="shared" si="34"/>
        <v>0</v>
      </c>
      <c r="L211" s="650">
        <f t="shared" si="35"/>
        <v>0</v>
      </c>
      <c r="M211" s="635">
        <v>0</v>
      </c>
      <c r="N211" s="650">
        <f t="shared" si="36"/>
        <v>0</v>
      </c>
    </row>
    <row r="212" spans="1:14" x14ac:dyDescent="0.2">
      <c r="A212">
        <f t="shared" si="37"/>
        <v>18</v>
      </c>
      <c r="B212" s="451" t="str">
        <f>VLOOKUP(D212,'LA List'!$A$3:$B$470,2,0)</f>
        <v>E2002</v>
      </c>
      <c r="C212" s="451" t="str">
        <f t="shared" si="31"/>
        <v>E2002EZ18</v>
      </c>
      <c r="D212" s="273" t="s">
        <v>151</v>
      </c>
      <c r="E212" s="273" t="s">
        <v>1087</v>
      </c>
      <c r="F212" s="649">
        <v>0</v>
      </c>
      <c r="G212" s="649">
        <v>0</v>
      </c>
      <c r="H212" s="649">
        <v>0</v>
      </c>
      <c r="I212" s="649">
        <f t="shared" si="32"/>
        <v>0</v>
      </c>
      <c r="J212" s="650">
        <f t="shared" si="33"/>
        <v>0</v>
      </c>
      <c r="K212" s="650">
        <f t="shared" si="34"/>
        <v>0</v>
      </c>
      <c r="L212" s="650">
        <f t="shared" si="35"/>
        <v>0</v>
      </c>
      <c r="M212" s="635">
        <v>0</v>
      </c>
      <c r="N212" s="650">
        <f t="shared" si="36"/>
        <v>0</v>
      </c>
    </row>
    <row r="213" spans="1:14" x14ac:dyDescent="0.2">
      <c r="A213">
        <f t="shared" si="37"/>
        <v>19</v>
      </c>
      <c r="B213" s="451" t="str">
        <f>VLOOKUP(D213,'LA List'!$A$3:$B$470,2,0)</f>
        <v>E2002</v>
      </c>
      <c r="C213" s="451" t="str">
        <f t="shared" si="31"/>
        <v>E2002EZ19</v>
      </c>
      <c r="D213" s="273" t="s">
        <v>151</v>
      </c>
      <c r="E213" s="273" t="s">
        <v>1088</v>
      </c>
      <c r="F213" s="649">
        <v>21006</v>
      </c>
      <c r="G213" s="649">
        <v>21006</v>
      </c>
      <c r="H213" s="649">
        <v>21637</v>
      </c>
      <c r="I213" s="649">
        <f t="shared" si="32"/>
        <v>22133</v>
      </c>
      <c r="J213" s="650">
        <f t="shared" si="33"/>
        <v>22494</v>
      </c>
      <c r="K213" s="650">
        <f t="shared" si="34"/>
        <v>22494</v>
      </c>
      <c r="L213" s="650">
        <f t="shared" si="35"/>
        <v>22494</v>
      </c>
      <c r="M213" s="635">
        <v>23844</v>
      </c>
      <c r="N213" s="650">
        <f t="shared" si="36"/>
        <v>23844</v>
      </c>
    </row>
    <row r="214" spans="1:14" x14ac:dyDescent="0.2">
      <c r="A214">
        <f t="shared" si="37"/>
        <v>20</v>
      </c>
      <c r="B214" s="451" t="str">
        <f>VLOOKUP(D214,'LA List'!$A$3:$B$470,2,0)</f>
        <v>E2002</v>
      </c>
      <c r="C214" s="451" t="str">
        <f t="shared" si="31"/>
        <v>E2002EZ20</v>
      </c>
      <c r="D214" s="273" t="s">
        <v>151</v>
      </c>
      <c r="E214" s="273" t="s">
        <v>1089</v>
      </c>
      <c r="F214" s="649">
        <v>3262</v>
      </c>
      <c r="G214" s="649">
        <v>3262</v>
      </c>
      <c r="H214" s="649">
        <v>3360</v>
      </c>
      <c r="I214" s="649">
        <f t="shared" si="32"/>
        <v>3437</v>
      </c>
      <c r="J214" s="650">
        <f t="shared" si="33"/>
        <v>3493</v>
      </c>
      <c r="K214" s="650">
        <f t="shared" si="34"/>
        <v>3493</v>
      </c>
      <c r="L214" s="650">
        <f t="shared" si="35"/>
        <v>3493</v>
      </c>
      <c r="M214" s="635">
        <v>3703</v>
      </c>
      <c r="N214" s="650">
        <f t="shared" si="36"/>
        <v>3703</v>
      </c>
    </row>
    <row r="215" spans="1:14" x14ac:dyDescent="0.2">
      <c r="A215">
        <f t="shared" si="37"/>
        <v>21</v>
      </c>
      <c r="B215" s="451" t="str">
        <f>VLOOKUP(D215,'LA List'!$A$3:$B$470,2,0)</f>
        <v>E2002</v>
      </c>
      <c r="C215" s="451" t="str">
        <f t="shared" si="31"/>
        <v>E2002EZ21</v>
      </c>
      <c r="D215" s="273" t="s">
        <v>151</v>
      </c>
      <c r="E215" s="273" t="s">
        <v>1090</v>
      </c>
      <c r="F215" s="649">
        <v>47520</v>
      </c>
      <c r="G215" s="649">
        <v>47520</v>
      </c>
      <c r="H215" s="649">
        <v>48948</v>
      </c>
      <c r="I215" s="649">
        <f t="shared" si="32"/>
        <v>50070</v>
      </c>
      <c r="J215" s="650">
        <f t="shared" si="33"/>
        <v>50886</v>
      </c>
      <c r="K215" s="650">
        <f t="shared" si="34"/>
        <v>50886</v>
      </c>
      <c r="L215" s="650">
        <f t="shared" si="35"/>
        <v>50886</v>
      </c>
      <c r="M215" s="635">
        <v>53939</v>
      </c>
      <c r="N215" s="650">
        <f t="shared" si="36"/>
        <v>53939</v>
      </c>
    </row>
    <row r="216" spans="1:14" x14ac:dyDescent="0.2">
      <c r="A216">
        <f t="shared" si="37"/>
        <v>22</v>
      </c>
      <c r="B216" s="451" t="str">
        <f>VLOOKUP(D216,'LA List'!$A$3:$B$470,2,0)</f>
        <v>E2002</v>
      </c>
      <c r="C216" s="451" t="str">
        <f t="shared" si="31"/>
        <v>E2002EZ22</v>
      </c>
      <c r="D216" s="273" t="s">
        <v>151</v>
      </c>
      <c r="E216" s="273" t="s">
        <v>1091</v>
      </c>
      <c r="F216" s="649">
        <v>0</v>
      </c>
      <c r="G216" s="649">
        <v>0</v>
      </c>
      <c r="H216" s="649">
        <v>0</v>
      </c>
      <c r="I216" s="649">
        <f t="shared" si="32"/>
        <v>0</v>
      </c>
      <c r="J216" s="650">
        <f t="shared" si="33"/>
        <v>0</v>
      </c>
      <c r="K216" s="650">
        <f t="shared" si="34"/>
        <v>0</v>
      </c>
      <c r="L216" s="650">
        <f t="shared" si="35"/>
        <v>0</v>
      </c>
      <c r="M216" s="635">
        <v>0</v>
      </c>
      <c r="N216" s="650">
        <f t="shared" si="36"/>
        <v>0</v>
      </c>
    </row>
    <row r="217" spans="1:14" x14ac:dyDescent="0.2">
      <c r="A217">
        <f t="shared" ref="A217" si="38">IF(D217=D216,A216+1,1)</f>
        <v>23</v>
      </c>
      <c r="B217" s="451" t="str">
        <f>VLOOKUP(D217,'LA List'!$A$3:$B$470,2,0)</f>
        <v>E2002</v>
      </c>
      <c r="C217" s="451" t="str">
        <f t="shared" ref="C217" si="39">CONCATENATE(B217,"EZ",A217)</f>
        <v>E2002EZ23</v>
      </c>
      <c r="D217" s="273" t="s">
        <v>151</v>
      </c>
      <c r="E217" s="544" t="s">
        <v>3381</v>
      </c>
      <c r="F217" s="649">
        <v>0</v>
      </c>
      <c r="G217" s="649">
        <v>0</v>
      </c>
      <c r="H217" s="649">
        <v>0</v>
      </c>
      <c r="I217" s="649">
        <v>0</v>
      </c>
      <c r="J217" s="650">
        <v>0</v>
      </c>
      <c r="K217" s="650">
        <v>0</v>
      </c>
      <c r="L217" s="650">
        <v>2232320</v>
      </c>
      <c r="M217" s="635">
        <v>2366037</v>
      </c>
      <c r="N217" s="650">
        <f t="shared" si="36"/>
        <v>2366037</v>
      </c>
    </row>
    <row r="218" spans="1:14" x14ac:dyDescent="0.2">
      <c r="A218">
        <f>IF(D218=D216,A216+1,1)</f>
        <v>1</v>
      </c>
      <c r="B218" s="451" t="str">
        <f>VLOOKUP(D218,'LA List'!$A$3:$B$470,2,0)</f>
        <v>E5043</v>
      </c>
      <c r="C218" s="451" t="str">
        <f t="shared" si="31"/>
        <v>E5043EZ1</v>
      </c>
      <c r="D218" s="273" t="s">
        <v>153</v>
      </c>
      <c r="E218" s="273"/>
      <c r="F218" s="649" t="s">
        <v>1201</v>
      </c>
      <c r="G218" s="649" t="s">
        <v>1201</v>
      </c>
      <c r="H218" s="649" t="s">
        <v>1201</v>
      </c>
      <c r="I218" s="649" t="str">
        <f t="shared" si="32"/>
        <v/>
      </c>
      <c r="J218" s="650" t="str">
        <f t="shared" si="33"/>
        <v/>
      </c>
      <c r="K218" s="650" t="str">
        <f t="shared" si="34"/>
        <v/>
      </c>
      <c r="L218" s="650" t="str">
        <f t="shared" si="35"/>
        <v/>
      </c>
      <c r="M218" s="635" t="s">
        <v>1201</v>
      </c>
      <c r="N218" s="650" t="str">
        <f t="shared" si="36"/>
        <v/>
      </c>
    </row>
    <row r="219" spans="1:14" x14ac:dyDescent="0.2">
      <c r="A219">
        <f t="shared" si="37"/>
        <v>1</v>
      </c>
      <c r="B219" s="451" t="str">
        <f>VLOOKUP(D219,'LA List'!$A$3:$B$470,2,0)</f>
        <v>E4703</v>
      </c>
      <c r="C219" s="451" t="str">
        <f t="shared" si="31"/>
        <v>E4703EZ1</v>
      </c>
      <c r="D219" s="273" t="s">
        <v>155</v>
      </c>
      <c r="E219" s="273" t="s">
        <v>1092</v>
      </c>
      <c r="F219" s="649">
        <v>0</v>
      </c>
      <c r="G219" s="649">
        <v>0</v>
      </c>
      <c r="H219" s="649">
        <v>0</v>
      </c>
      <c r="I219" s="649">
        <f t="shared" si="32"/>
        <v>0</v>
      </c>
      <c r="J219" s="650">
        <f t="shared" si="33"/>
        <v>0</v>
      </c>
      <c r="K219" s="650">
        <f t="shared" si="34"/>
        <v>0</v>
      </c>
      <c r="L219" s="650">
        <f t="shared" si="35"/>
        <v>0</v>
      </c>
      <c r="M219" s="635">
        <v>0</v>
      </c>
      <c r="N219" s="650">
        <f t="shared" si="36"/>
        <v>0</v>
      </c>
    </row>
    <row r="220" spans="1:14" x14ac:dyDescent="0.2">
      <c r="A220">
        <f t="shared" si="37"/>
        <v>2</v>
      </c>
      <c r="B220" s="451" t="str">
        <f>VLOOKUP(D220,'LA List'!$A$3:$B$470,2,0)</f>
        <v>E4703</v>
      </c>
      <c r="C220" s="451" t="str">
        <f t="shared" si="31"/>
        <v>E4703EZ2</v>
      </c>
      <c r="D220" s="273" t="s">
        <v>155</v>
      </c>
      <c r="E220" s="273" t="s">
        <v>1093</v>
      </c>
      <c r="F220" s="649">
        <v>0</v>
      </c>
      <c r="G220" s="649">
        <v>0</v>
      </c>
      <c r="H220" s="649">
        <v>0</v>
      </c>
      <c r="I220" s="649">
        <f t="shared" si="32"/>
        <v>0</v>
      </c>
      <c r="J220" s="650">
        <f t="shared" si="33"/>
        <v>0</v>
      </c>
      <c r="K220" s="650">
        <f t="shared" si="34"/>
        <v>0</v>
      </c>
      <c r="L220" s="650">
        <f t="shared" si="35"/>
        <v>0</v>
      </c>
      <c r="M220" s="635">
        <v>0</v>
      </c>
      <c r="N220" s="650">
        <f t="shared" si="36"/>
        <v>0</v>
      </c>
    </row>
    <row r="221" spans="1:14" x14ac:dyDescent="0.2">
      <c r="A221">
        <f t="shared" si="37"/>
        <v>3</v>
      </c>
      <c r="B221" s="451" t="str">
        <f>VLOOKUP(D221,'LA List'!$A$3:$B$470,2,0)</f>
        <v>E4703</v>
      </c>
      <c r="C221" s="451" t="str">
        <f t="shared" si="31"/>
        <v>E4703EZ3</v>
      </c>
      <c r="D221" s="273" t="s">
        <v>155</v>
      </c>
      <c r="E221" s="273" t="s">
        <v>1094</v>
      </c>
      <c r="F221" s="649">
        <v>0</v>
      </c>
      <c r="G221" s="649">
        <v>0</v>
      </c>
      <c r="H221" s="649">
        <v>0</v>
      </c>
      <c r="I221" s="649">
        <f t="shared" si="32"/>
        <v>0</v>
      </c>
      <c r="J221" s="650">
        <f t="shared" si="33"/>
        <v>0</v>
      </c>
      <c r="K221" s="650">
        <f t="shared" si="34"/>
        <v>0</v>
      </c>
      <c r="L221" s="650">
        <f t="shared" si="35"/>
        <v>0</v>
      </c>
      <c r="M221" s="635">
        <v>0</v>
      </c>
      <c r="N221" s="650">
        <f t="shared" si="36"/>
        <v>0</v>
      </c>
    </row>
    <row r="222" spans="1:14" x14ac:dyDescent="0.2">
      <c r="A222">
        <f t="shared" si="37"/>
        <v>1</v>
      </c>
      <c r="B222" s="451" t="str">
        <f>VLOOKUP(D222,'LA List'!$A$3:$B$470,2,0)</f>
        <v>E4301</v>
      </c>
      <c r="C222" s="451" t="str">
        <f t="shared" si="31"/>
        <v>E4301EZ1</v>
      </c>
      <c r="D222" s="273" t="s">
        <v>157</v>
      </c>
      <c r="E222" s="273"/>
      <c r="F222" s="649" t="s">
        <v>1201</v>
      </c>
      <c r="G222" s="649" t="s">
        <v>1201</v>
      </c>
      <c r="H222" s="649" t="s">
        <v>1201</v>
      </c>
      <c r="I222" s="649" t="str">
        <f t="shared" si="32"/>
        <v/>
      </c>
      <c r="J222" s="650" t="str">
        <f t="shared" si="33"/>
        <v/>
      </c>
      <c r="K222" s="650" t="str">
        <f t="shared" si="34"/>
        <v/>
      </c>
      <c r="L222" s="650" t="str">
        <f t="shared" si="35"/>
        <v/>
      </c>
      <c r="M222" s="635" t="s">
        <v>1201</v>
      </c>
      <c r="N222" s="650" t="str">
        <f t="shared" si="36"/>
        <v/>
      </c>
    </row>
    <row r="223" spans="1:14" x14ac:dyDescent="0.2">
      <c r="A223">
        <f t="shared" si="37"/>
        <v>1</v>
      </c>
      <c r="B223" s="451" t="str">
        <f>VLOOKUP(D223,'LA List'!$A$3:$B$470,2,0)</f>
        <v>E5017</v>
      </c>
      <c r="C223" s="451" t="str">
        <f t="shared" si="31"/>
        <v>E5017EZ1</v>
      </c>
      <c r="D223" s="273" t="s">
        <v>159</v>
      </c>
      <c r="E223" s="273" t="s">
        <v>954</v>
      </c>
      <c r="F223" s="649">
        <v>1605555</v>
      </c>
      <c r="G223" s="649">
        <v>1605555</v>
      </c>
      <c r="H223" s="649">
        <v>1653791</v>
      </c>
      <c r="I223" s="649">
        <f t="shared" si="32"/>
        <v>1691690</v>
      </c>
      <c r="J223" s="650">
        <f t="shared" si="33"/>
        <v>1719253</v>
      </c>
      <c r="K223" s="650">
        <f t="shared" si="34"/>
        <v>1719253</v>
      </c>
      <c r="L223" s="650">
        <f t="shared" si="35"/>
        <v>1719253</v>
      </c>
      <c r="M223" s="635">
        <v>1466410</v>
      </c>
      <c r="N223" s="650">
        <f t="shared" si="36"/>
        <v>1466410</v>
      </c>
    </row>
    <row r="224" spans="1:14" x14ac:dyDescent="0.2">
      <c r="A224">
        <f t="shared" si="37"/>
        <v>1</v>
      </c>
      <c r="B224" s="451" t="str">
        <f>VLOOKUP(D224,'LA List'!$A$3:$B$470,2,0)</f>
        <v>E2337</v>
      </c>
      <c r="C224" s="451" t="str">
        <f t="shared" si="31"/>
        <v>E2337EZ1</v>
      </c>
      <c r="D224" s="273" t="s">
        <v>161</v>
      </c>
      <c r="E224" s="273"/>
      <c r="F224" s="649" t="s">
        <v>1201</v>
      </c>
      <c r="G224" s="649" t="s">
        <v>1201</v>
      </c>
      <c r="H224" s="649" t="s">
        <v>1201</v>
      </c>
      <c r="I224" s="649" t="str">
        <f t="shared" si="32"/>
        <v/>
      </c>
      <c r="J224" s="650" t="str">
        <f t="shared" si="33"/>
        <v/>
      </c>
      <c r="K224" s="650" t="str">
        <f t="shared" si="34"/>
        <v/>
      </c>
      <c r="L224" s="650" t="str">
        <f t="shared" si="35"/>
        <v/>
      </c>
      <c r="M224" s="635" t="s">
        <v>1201</v>
      </c>
      <c r="N224" s="650" t="str">
        <f t="shared" si="36"/>
        <v/>
      </c>
    </row>
    <row r="225" spans="1:14" x14ac:dyDescent="0.2">
      <c r="A225">
        <f t="shared" si="37"/>
        <v>1</v>
      </c>
      <c r="B225" s="451" t="str">
        <f>VLOOKUP(D225,'LA List'!$A$3:$B$470,2,0)</f>
        <v>E4704</v>
      </c>
      <c r="C225" s="451" t="str">
        <f t="shared" si="31"/>
        <v>E4704EZ1</v>
      </c>
      <c r="D225" s="273" t="s">
        <v>163</v>
      </c>
      <c r="E225" s="273" t="s">
        <v>862</v>
      </c>
      <c r="F225" s="649">
        <v>982004</v>
      </c>
      <c r="G225" s="649">
        <v>982004</v>
      </c>
      <c r="H225" s="649">
        <v>1011506</v>
      </c>
      <c r="I225" s="649">
        <f t="shared" si="32"/>
        <v>1034686</v>
      </c>
      <c r="J225" s="650">
        <f t="shared" si="33"/>
        <v>1051544</v>
      </c>
      <c r="K225" s="650">
        <f t="shared" si="34"/>
        <v>1051544</v>
      </c>
      <c r="L225" s="650">
        <f t="shared" si="35"/>
        <v>1051544</v>
      </c>
      <c r="M225" s="635">
        <v>1402322</v>
      </c>
      <c r="N225" s="650">
        <f t="shared" si="36"/>
        <v>1402322</v>
      </c>
    </row>
    <row r="226" spans="1:14" x14ac:dyDescent="0.2">
      <c r="A226">
        <f t="shared" si="37"/>
        <v>1</v>
      </c>
      <c r="B226" s="451" t="str">
        <f>VLOOKUP(D226,'LA List'!$A$3:$B$470,2,0)</f>
        <v>E2401</v>
      </c>
      <c r="C226" s="451" t="str">
        <f t="shared" si="31"/>
        <v>E2401EZ1</v>
      </c>
      <c r="D226" s="273" t="s">
        <v>165</v>
      </c>
      <c r="E226" s="273" t="s">
        <v>1095</v>
      </c>
      <c r="F226" s="649">
        <v>2334075</v>
      </c>
      <c r="G226" s="649">
        <v>2334075</v>
      </c>
      <c r="H226" s="649">
        <v>2404197</v>
      </c>
      <c r="I226" s="649">
        <f t="shared" si="32"/>
        <v>2459293</v>
      </c>
      <c r="J226" s="650">
        <f t="shared" si="33"/>
        <v>2499363</v>
      </c>
      <c r="K226" s="650">
        <f t="shared" si="34"/>
        <v>2499363</v>
      </c>
      <c r="L226" s="650">
        <f t="shared" si="35"/>
        <v>2499363</v>
      </c>
      <c r="M226" s="635">
        <v>2761219</v>
      </c>
      <c r="N226" s="650">
        <f t="shared" si="36"/>
        <v>2761219</v>
      </c>
    </row>
    <row r="227" spans="1:14" x14ac:dyDescent="0.2">
      <c r="A227">
        <f t="shared" si="37"/>
        <v>1</v>
      </c>
      <c r="B227" s="451" t="str">
        <f>VLOOKUP(D227,'LA List'!$A$3:$B$470,2,0)</f>
        <v>E1435</v>
      </c>
      <c r="C227" s="451" t="str">
        <f t="shared" si="31"/>
        <v>E1435EZ1</v>
      </c>
      <c r="D227" s="273" t="s">
        <v>167</v>
      </c>
      <c r="E227" s="273" t="s">
        <v>1096</v>
      </c>
      <c r="F227" s="649">
        <v>249858</v>
      </c>
      <c r="G227" s="649">
        <v>249858</v>
      </c>
      <c r="H227" s="649">
        <v>257364</v>
      </c>
      <c r="I227" s="649">
        <f t="shared" si="32"/>
        <v>263262</v>
      </c>
      <c r="J227" s="650">
        <f t="shared" si="33"/>
        <v>267551</v>
      </c>
      <c r="K227" s="650">
        <f t="shared" si="34"/>
        <v>267551</v>
      </c>
      <c r="L227" s="650">
        <f t="shared" si="35"/>
        <v>267551</v>
      </c>
      <c r="M227" s="635">
        <v>178538</v>
      </c>
      <c r="N227" s="650">
        <f t="shared" si="36"/>
        <v>178538</v>
      </c>
    </row>
    <row r="228" spans="1:14" x14ac:dyDescent="0.2">
      <c r="A228">
        <f t="shared" si="37"/>
        <v>2</v>
      </c>
      <c r="B228" s="451" t="str">
        <f>VLOOKUP(D228,'LA List'!$A$3:$B$470,2,0)</f>
        <v>E1435</v>
      </c>
      <c r="C228" s="451" t="str">
        <f t="shared" si="31"/>
        <v>E1435EZ2</v>
      </c>
      <c r="D228" s="273" t="s">
        <v>167</v>
      </c>
      <c r="E228" s="273" t="s">
        <v>1097</v>
      </c>
      <c r="F228" s="649">
        <v>0</v>
      </c>
      <c r="G228" s="649">
        <v>0</v>
      </c>
      <c r="H228" s="649">
        <v>0</v>
      </c>
      <c r="I228" s="649">
        <f t="shared" si="32"/>
        <v>0</v>
      </c>
      <c r="J228" s="650">
        <f t="shared" si="33"/>
        <v>0</v>
      </c>
      <c r="K228" s="650">
        <f t="shared" si="34"/>
        <v>0</v>
      </c>
      <c r="L228" s="650">
        <f t="shared" si="35"/>
        <v>0</v>
      </c>
      <c r="M228" s="635">
        <v>0</v>
      </c>
      <c r="N228" s="650">
        <f t="shared" si="36"/>
        <v>0</v>
      </c>
    </row>
    <row r="229" spans="1:14" x14ac:dyDescent="0.2">
      <c r="A229">
        <f t="shared" si="37"/>
        <v>3</v>
      </c>
      <c r="B229" s="451" t="str">
        <f>VLOOKUP(D229,'LA List'!$A$3:$B$470,2,0)</f>
        <v>E1435</v>
      </c>
      <c r="C229" s="451" t="str">
        <f t="shared" si="31"/>
        <v>E1435EZ3</v>
      </c>
      <c r="D229" s="273" t="s">
        <v>167</v>
      </c>
      <c r="E229" s="273" t="s">
        <v>1098</v>
      </c>
      <c r="F229" s="649">
        <v>0</v>
      </c>
      <c r="G229" s="649">
        <v>0</v>
      </c>
      <c r="H229" s="649">
        <v>0</v>
      </c>
      <c r="I229" s="649">
        <f t="shared" si="32"/>
        <v>0</v>
      </c>
      <c r="J229" s="650">
        <f t="shared" si="33"/>
        <v>0</v>
      </c>
      <c r="K229" s="650">
        <f t="shared" si="34"/>
        <v>0</v>
      </c>
      <c r="L229" s="650">
        <f t="shared" si="35"/>
        <v>0</v>
      </c>
      <c r="M229" s="635">
        <v>0</v>
      </c>
      <c r="N229" s="650">
        <f t="shared" si="36"/>
        <v>0</v>
      </c>
    </row>
    <row r="230" spans="1:14" x14ac:dyDescent="0.2">
      <c r="A230">
        <f t="shared" si="37"/>
        <v>4</v>
      </c>
      <c r="B230" s="451" t="str">
        <f>VLOOKUP(D230,'LA List'!$A$3:$B$470,2,0)</f>
        <v>E1435</v>
      </c>
      <c r="C230" s="451" t="str">
        <f t="shared" si="31"/>
        <v>E1435EZ4</v>
      </c>
      <c r="D230" s="273" t="s">
        <v>167</v>
      </c>
      <c r="E230" s="273" t="s">
        <v>1099</v>
      </c>
      <c r="F230" s="649">
        <v>169680</v>
      </c>
      <c r="G230" s="649">
        <v>169680</v>
      </c>
      <c r="H230" s="649">
        <v>174778</v>
      </c>
      <c r="I230" s="649">
        <f t="shared" si="32"/>
        <v>178783</v>
      </c>
      <c r="J230" s="650">
        <f t="shared" si="33"/>
        <v>181696</v>
      </c>
      <c r="K230" s="650">
        <f t="shared" si="34"/>
        <v>181696</v>
      </c>
      <c r="L230" s="650">
        <f t="shared" si="35"/>
        <v>181696</v>
      </c>
      <c r="M230" s="635">
        <v>225551</v>
      </c>
      <c r="N230" s="650">
        <f t="shared" si="36"/>
        <v>225551</v>
      </c>
    </row>
    <row r="231" spans="1:14" x14ac:dyDescent="0.2">
      <c r="A231">
        <f t="shared" si="37"/>
        <v>5</v>
      </c>
      <c r="B231" s="451" t="str">
        <f>VLOOKUP(D231,'LA List'!$A$3:$B$470,2,0)</f>
        <v>E1435</v>
      </c>
      <c r="C231" s="451" t="str">
        <f t="shared" si="31"/>
        <v>E1435EZ5</v>
      </c>
      <c r="D231" s="273" t="s">
        <v>167</v>
      </c>
      <c r="E231" s="273" t="s">
        <v>1100</v>
      </c>
      <c r="F231" s="649">
        <v>1291</v>
      </c>
      <c r="G231" s="649">
        <v>1291</v>
      </c>
      <c r="H231" s="649">
        <v>1330</v>
      </c>
      <c r="I231" s="649">
        <f t="shared" si="32"/>
        <v>1360</v>
      </c>
      <c r="J231" s="650">
        <f t="shared" si="33"/>
        <v>1382</v>
      </c>
      <c r="K231" s="650">
        <f t="shared" si="34"/>
        <v>1382</v>
      </c>
      <c r="L231" s="650">
        <f t="shared" si="35"/>
        <v>1382</v>
      </c>
      <c r="M231" s="635">
        <v>1479</v>
      </c>
      <c r="N231" s="650">
        <f t="shared" si="36"/>
        <v>1479</v>
      </c>
    </row>
    <row r="232" spans="1:14" x14ac:dyDescent="0.2">
      <c r="A232">
        <f t="shared" si="37"/>
        <v>6</v>
      </c>
      <c r="B232" s="451" t="str">
        <f>VLOOKUP(D232,'LA List'!$A$3:$B$470,2,0)</f>
        <v>E1435</v>
      </c>
      <c r="C232" s="451" t="str">
        <f t="shared" si="31"/>
        <v>E1435EZ6</v>
      </c>
      <c r="D232" s="273" t="s">
        <v>167</v>
      </c>
      <c r="E232" s="273" t="s">
        <v>1101</v>
      </c>
      <c r="F232" s="649">
        <v>61903</v>
      </c>
      <c r="G232" s="649">
        <v>61903</v>
      </c>
      <c r="H232" s="649">
        <v>63763</v>
      </c>
      <c r="I232" s="649">
        <f t="shared" si="32"/>
        <v>65224</v>
      </c>
      <c r="J232" s="650">
        <f t="shared" si="33"/>
        <v>66287</v>
      </c>
      <c r="K232" s="650">
        <f t="shared" si="34"/>
        <v>66287</v>
      </c>
      <c r="L232" s="650">
        <f t="shared" si="35"/>
        <v>66287</v>
      </c>
      <c r="M232" s="635">
        <v>82380</v>
      </c>
      <c r="N232" s="650">
        <f t="shared" si="36"/>
        <v>82380</v>
      </c>
    </row>
    <row r="233" spans="1:14" x14ac:dyDescent="0.2">
      <c r="A233">
        <f t="shared" si="37"/>
        <v>7</v>
      </c>
      <c r="B233" s="451" t="str">
        <f>VLOOKUP(D233,'LA List'!$A$3:$B$470,2,0)</f>
        <v>E1435</v>
      </c>
      <c r="C233" s="451" t="str">
        <f t="shared" si="31"/>
        <v>E1435EZ7</v>
      </c>
      <c r="D233" s="273" t="s">
        <v>167</v>
      </c>
      <c r="E233" s="273" t="s">
        <v>1102</v>
      </c>
      <c r="F233" s="649">
        <v>290163</v>
      </c>
      <c r="G233" s="649">
        <v>290163</v>
      </c>
      <c r="H233" s="649">
        <v>298880</v>
      </c>
      <c r="I233" s="649">
        <f t="shared" si="32"/>
        <v>305729</v>
      </c>
      <c r="J233" s="650">
        <f t="shared" si="33"/>
        <v>310710</v>
      </c>
      <c r="K233" s="650">
        <f t="shared" si="34"/>
        <v>310710</v>
      </c>
      <c r="L233" s="650">
        <f t="shared" si="35"/>
        <v>310710</v>
      </c>
      <c r="M233" s="635">
        <v>25103</v>
      </c>
      <c r="N233" s="650">
        <f t="shared" si="36"/>
        <v>25103</v>
      </c>
    </row>
    <row r="234" spans="1:14" x14ac:dyDescent="0.2">
      <c r="A234">
        <f t="shared" si="37"/>
        <v>8</v>
      </c>
      <c r="B234" s="451" t="str">
        <f>VLOOKUP(D234,'LA List'!$A$3:$B$470,2,0)</f>
        <v>E1435</v>
      </c>
      <c r="C234" s="451" t="str">
        <f t="shared" si="31"/>
        <v>E1435EZ8</v>
      </c>
      <c r="D234" s="273" t="s">
        <v>167</v>
      </c>
      <c r="E234" s="273" t="s">
        <v>1103</v>
      </c>
      <c r="F234" s="649">
        <v>1226456</v>
      </c>
      <c r="G234" s="649">
        <v>1226456</v>
      </c>
      <c r="H234" s="649">
        <v>1263302</v>
      </c>
      <c r="I234" s="649">
        <f t="shared" si="32"/>
        <v>1292253</v>
      </c>
      <c r="J234" s="650">
        <f t="shared" si="33"/>
        <v>1313308</v>
      </c>
      <c r="K234" s="650">
        <f t="shared" si="34"/>
        <v>1313308</v>
      </c>
      <c r="L234" s="650">
        <f t="shared" si="35"/>
        <v>1313308</v>
      </c>
      <c r="M234" s="635">
        <v>1974290</v>
      </c>
      <c r="N234" s="650">
        <f t="shared" si="36"/>
        <v>1974290</v>
      </c>
    </row>
    <row r="235" spans="1:14" x14ac:dyDescent="0.2">
      <c r="A235">
        <f t="shared" si="37"/>
        <v>1</v>
      </c>
      <c r="B235" s="451" t="str">
        <f>VLOOKUP(D235,'LA List'!$A$3:$B$470,2,0)</f>
        <v>E5018</v>
      </c>
      <c r="C235" s="451" t="str">
        <f t="shared" si="31"/>
        <v>E5018EZ1</v>
      </c>
      <c r="D235" s="273" t="s">
        <v>169</v>
      </c>
      <c r="E235" s="273"/>
      <c r="F235" s="649" t="s">
        <v>1201</v>
      </c>
      <c r="G235" s="649" t="s">
        <v>1201</v>
      </c>
      <c r="H235" s="649" t="s">
        <v>1201</v>
      </c>
      <c r="I235" s="649" t="str">
        <f t="shared" si="32"/>
        <v/>
      </c>
      <c r="J235" s="650" t="str">
        <f t="shared" si="33"/>
        <v/>
      </c>
      <c r="K235" s="650" t="str">
        <f t="shared" si="34"/>
        <v/>
      </c>
      <c r="L235" s="650" t="str">
        <f t="shared" si="35"/>
        <v/>
      </c>
      <c r="M235" s="635" t="s">
        <v>1201</v>
      </c>
      <c r="N235" s="650" t="str">
        <f t="shared" si="36"/>
        <v/>
      </c>
    </row>
    <row r="236" spans="1:14" x14ac:dyDescent="0.2">
      <c r="A236">
        <f t="shared" si="37"/>
        <v>1</v>
      </c>
      <c r="B236" s="451" t="str">
        <f>VLOOKUP(D236,'LA List'!$A$3:$B$470,2,0)</f>
        <v>E3433</v>
      </c>
      <c r="C236" s="451" t="str">
        <f t="shared" si="31"/>
        <v>E3433EZ1</v>
      </c>
      <c r="D236" s="273" t="s">
        <v>171</v>
      </c>
      <c r="E236" s="273"/>
      <c r="F236" s="649" t="s">
        <v>1201</v>
      </c>
      <c r="G236" s="649" t="s">
        <v>1201</v>
      </c>
      <c r="H236" s="649" t="s">
        <v>1201</v>
      </c>
      <c r="I236" s="649" t="str">
        <f t="shared" si="32"/>
        <v/>
      </c>
      <c r="J236" s="650" t="str">
        <f t="shared" si="33"/>
        <v/>
      </c>
      <c r="K236" s="650" t="str">
        <f t="shared" si="34"/>
        <v/>
      </c>
      <c r="L236" s="650" t="str">
        <f t="shared" si="35"/>
        <v/>
      </c>
      <c r="M236" s="635" t="s">
        <v>1201</v>
      </c>
      <c r="N236" s="650" t="str">
        <f t="shared" si="36"/>
        <v/>
      </c>
    </row>
    <row r="237" spans="1:14" x14ac:dyDescent="0.2">
      <c r="A237">
        <f t="shared" si="37"/>
        <v>1</v>
      </c>
      <c r="B237" s="451" t="str">
        <f>VLOOKUP(D237,'LA List'!$A$3:$B$470,2,0)</f>
        <v>E2533</v>
      </c>
      <c r="C237" s="451" t="str">
        <f t="shared" si="31"/>
        <v>E2533EZ1</v>
      </c>
      <c r="D237" s="273" t="s">
        <v>173</v>
      </c>
      <c r="E237" s="273"/>
      <c r="F237" s="649" t="s">
        <v>1201</v>
      </c>
      <c r="G237" s="649" t="s">
        <v>1201</v>
      </c>
      <c r="H237" s="649" t="s">
        <v>1201</v>
      </c>
      <c r="I237" s="649" t="str">
        <f t="shared" si="32"/>
        <v/>
      </c>
      <c r="J237" s="650" t="str">
        <f t="shared" si="33"/>
        <v/>
      </c>
      <c r="K237" s="650" t="str">
        <f t="shared" si="34"/>
        <v/>
      </c>
      <c r="L237" s="650" t="str">
        <f t="shared" si="35"/>
        <v/>
      </c>
      <c r="M237" s="635" t="s">
        <v>1201</v>
      </c>
      <c r="N237" s="650" t="str">
        <f t="shared" si="36"/>
        <v/>
      </c>
    </row>
    <row r="238" spans="1:14" x14ac:dyDescent="0.2">
      <c r="A238">
        <f t="shared" si="37"/>
        <v>1</v>
      </c>
      <c r="B238" s="451" t="str">
        <f>VLOOKUP(D238,'LA List'!$A$3:$B$470,2,0)</f>
        <v>E4302</v>
      </c>
      <c r="C238" s="451" t="str">
        <f t="shared" si="31"/>
        <v>E4302EZ1</v>
      </c>
      <c r="D238" s="273" t="s">
        <v>175</v>
      </c>
      <c r="E238" s="273" t="s">
        <v>863</v>
      </c>
      <c r="F238" s="649">
        <v>3434396</v>
      </c>
      <c r="G238" s="649">
        <v>3434396</v>
      </c>
      <c r="H238" s="649">
        <v>3537575</v>
      </c>
      <c r="I238" s="649">
        <f t="shared" si="32"/>
        <v>3618644</v>
      </c>
      <c r="J238" s="650">
        <f t="shared" si="33"/>
        <v>3677604</v>
      </c>
      <c r="K238" s="650">
        <f t="shared" si="34"/>
        <v>3677604</v>
      </c>
      <c r="L238" s="650">
        <f t="shared" si="35"/>
        <v>3677604</v>
      </c>
      <c r="M238" s="635">
        <v>3677604</v>
      </c>
      <c r="N238" s="650">
        <f t="shared" si="36"/>
        <v>3677604</v>
      </c>
    </row>
    <row r="239" spans="1:14" x14ac:dyDescent="0.2">
      <c r="A239">
        <f t="shared" si="37"/>
        <v>2</v>
      </c>
      <c r="B239" s="451" t="str">
        <f>VLOOKUP(D239,'LA List'!$A$3:$B$470,2,0)</f>
        <v>E4302</v>
      </c>
      <c r="C239" s="451" t="str">
        <f t="shared" si="31"/>
        <v>E4302EZ2</v>
      </c>
      <c r="D239" s="273" t="s">
        <v>175</v>
      </c>
      <c r="E239" s="273" t="s">
        <v>864</v>
      </c>
      <c r="F239" s="649">
        <v>29424797</v>
      </c>
      <c r="G239" s="649">
        <v>29424797</v>
      </c>
      <c r="H239" s="649">
        <v>30308804</v>
      </c>
      <c r="I239" s="649">
        <f t="shared" si="32"/>
        <v>31003381</v>
      </c>
      <c r="J239" s="650">
        <f t="shared" si="33"/>
        <v>31508528</v>
      </c>
      <c r="K239" s="650">
        <f t="shared" si="34"/>
        <v>31508528</v>
      </c>
      <c r="L239" s="650">
        <f t="shared" si="35"/>
        <v>31508528</v>
      </c>
      <c r="M239" s="635">
        <v>31508528</v>
      </c>
      <c r="N239" s="650">
        <f t="shared" si="36"/>
        <v>31508528</v>
      </c>
    </row>
    <row r="240" spans="1:14" x14ac:dyDescent="0.2">
      <c r="A240">
        <f t="shared" si="37"/>
        <v>1</v>
      </c>
      <c r="B240" s="451" t="str">
        <f>VLOOKUP(D240,'LA List'!$A$3:$B$470,2,0)</f>
        <v>E0201</v>
      </c>
      <c r="C240" s="451" t="str">
        <f t="shared" si="31"/>
        <v>E0201EZ1</v>
      </c>
      <c r="D240" s="273" t="s">
        <v>177</v>
      </c>
      <c r="E240" s="273" t="s">
        <v>1104</v>
      </c>
      <c r="F240" s="649">
        <v>4525992</v>
      </c>
      <c r="G240" s="649">
        <v>4525992</v>
      </c>
      <c r="H240" s="649">
        <v>4661966</v>
      </c>
      <c r="I240" s="649">
        <f t="shared" si="32"/>
        <v>4768803</v>
      </c>
      <c r="J240" s="650">
        <f t="shared" si="33"/>
        <v>4846502</v>
      </c>
      <c r="K240" s="650">
        <f t="shared" si="34"/>
        <v>4846502</v>
      </c>
      <c r="L240" s="650">
        <f t="shared" si="35"/>
        <v>4846502</v>
      </c>
      <c r="M240" s="635">
        <v>5544581</v>
      </c>
      <c r="N240" s="650">
        <f t="shared" si="36"/>
        <v>5544581</v>
      </c>
    </row>
    <row r="241" spans="1:14" x14ac:dyDescent="0.2">
      <c r="A241">
        <f t="shared" si="37"/>
        <v>1</v>
      </c>
      <c r="B241" s="451" t="str">
        <f>VLOOKUP(D241,'LA List'!$A$3:$B$470,2,0)</f>
        <v>E2237</v>
      </c>
      <c r="C241" s="451" t="str">
        <f t="shared" si="31"/>
        <v>E2237EZ1</v>
      </c>
      <c r="D241" s="273" t="s">
        <v>179</v>
      </c>
      <c r="E241" s="273" t="s">
        <v>1105</v>
      </c>
      <c r="F241" s="649">
        <v>0</v>
      </c>
      <c r="G241" s="649">
        <v>0</v>
      </c>
      <c r="H241" s="649">
        <v>0</v>
      </c>
      <c r="I241" s="649">
        <f t="shared" si="32"/>
        <v>0</v>
      </c>
      <c r="J241" s="650">
        <f t="shared" si="33"/>
        <v>0</v>
      </c>
      <c r="K241" s="650">
        <f t="shared" si="34"/>
        <v>0</v>
      </c>
      <c r="L241" s="650">
        <f t="shared" si="35"/>
        <v>0</v>
      </c>
      <c r="M241" s="635">
        <v>1</v>
      </c>
      <c r="N241" s="650">
        <f t="shared" si="36"/>
        <v>1</v>
      </c>
    </row>
    <row r="242" spans="1:14" x14ac:dyDescent="0.2">
      <c r="A242">
        <f t="shared" si="37"/>
        <v>1</v>
      </c>
      <c r="B242" s="451" t="str">
        <f>VLOOKUP(D242,'LA List'!$A$3:$B$470,2,0)</f>
        <v>E1539</v>
      </c>
      <c r="C242" s="451" t="str">
        <f t="shared" si="31"/>
        <v>E1539EZ1</v>
      </c>
      <c r="D242" s="273" t="s">
        <v>181</v>
      </c>
      <c r="E242" s="273"/>
      <c r="F242" s="649" t="s">
        <v>1201</v>
      </c>
      <c r="G242" s="649" t="s">
        <v>1201</v>
      </c>
      <c r="H242" s="649" t="s">
        <v>1201</v>
      </c>
      <c r="I242" s="649" t="str">
        <f t="shared" si="32"/>
        <v/>
      </c>
      <c r="J242" s="650" t="str">
        <f t="shared" si="33"/>
        <v/>
      </c>
      <c r="K242" s="650" t="str">
        <f t="shared" si="34"/>
        <v/>
      </c>
      <c r="L242" s="650" t="str">
        <f t="shared" si="35"/>
        <v/>
      </c>
      <c r="M242" s="635" t="s">
        <v>1201</v>
      </c>
      <c r="N242" s="650" t="str">
        <f t="shared" si="36"/>
        <v/>
      </c>
    </row>
    <row r="243" spans="1:14" x14ac:dyDescent="0.2">
      <c r="A243">
        <f t="shared" si="37"/>
        <v>1</v>
      </c>
      <c r="B243" s="451" t="str">
        <f>VLOOKUP(D243,'LA List'!$A$3:$B$470,2,0)</f>
        <v>E1851</v>
      </c>
      <c r="C243" s="451" t="str">
        <f t="shared" si="31"/>
        <v>E1851EZ1</v>
      </c>
      <c r="D243" s="273" t="s">
        <v>183</v>
      </c>
      <c r="E243" s="273"/>
      <c r="F243" s="649" t="s">
        <v>1201</v>
      </c>
      <c r="G243" s="649" t="s">
        <v>1201</v>
      </c>
      <c r="H243" s="649" t="s">
        <v>1201</v>
      </c>
      <c r="I243" s="649" t="str">
        <f t="shared" si="32"/>
        <v/>
      </c>
      <c r="J243" s="650" t="str">
        <f t="shared" si="33"/>
        <v/>
      </c>
      <c r="K243" s="650" t="str">
        <f t="shared" si="34"/>
        <v/>
      </c>
      <c r="L243" s="650" t="str">
        <f t="shared" si="35"/>
        <v/>
      </c>
      <c r="M243" s="635" t="s">
        <v>1201</v>
      </c>
      <c r="N243" s="650" t="str">
        <f t="shared" si="36"/>
        <v/>
      </c>
    </row>
    <row r="244" spans="1:14" x14ac:dyDescent="0.2">
      <c r="A244">
        <f t="shared" si="37"/>
        <v>1</v>
      </c>
      <c r="B244" s="451" t="str">
        <f>VLOOKUP(D244,'LA List'!$A$3:$B$470,2,0)</f>
        <v>E4203</v>
      </c>
      <c r="C244" s="451" t="str">
        <f t="shared" si="31"/>
        <v>E4203EZ1</v>
      </c>
      <c r="D244" s="273" t="s">
        <v>185</v>
      </c>
      <c r="E244" s="273" t="s">
        <v>1106</v>
      </c>
      <c r="F244" s="649">
        <v>5378269</v>
      </c>
      <c r="G244" s="649">
        <v>5378269</v>
      </c>
      <c r="H244" s="649">
        <v>5539848</v>
      </c>
      <c r="I244" s="649">
        <f t="shared" si="32"/>
        <v>5666803</v>
      </c>
      <c r="J244" s="650">
        <f t="shared" si="33"/>
        <v>5759134</v>
      </c>
      <c r="K244" s="650">
        <f t="shared" si="34"/>
        <v>5759134</v>
      </c>
      <c r="L244" s="650">
        <f t="shared" si="35"/>
        <v>5759134</v>
      </c>
      <c r="M244" s="635">
        <v>7499070</v>
      </c>
      <c r="N244" s="650">
        <f t="shared" si="36"/>
        <v>7499070</v>
      </c>
    </row>
    <row r="245" spans="1:14" x14ac:dyDescent="0.2">
      <c r="A245">
        <f t="shared" si="37"/>
        <v>2</v>
      </c>
      <c r="B245" s="451" t="str">
        <f>VLOOKUP(D245,'LA List'!$A$3:$B$470,2,0)</f>
        <v>E4203</v>
      </c>
      <c r="C245" s="451" t="str">
        <f t="shared" si="31"/>
        <v>E4203EZ2</v>
      </c>
      <c r="D245" s="273" t="s">
        <v>185</v>
      </c>
      <c r="E245" s="273" t="s">
        <v>1107</v>
      </c>
      <c r="F245" s="649">
        <v>731916</v>
      </c>
      <c r="G245" s="649">
        <v>731916</v>
      </c>
      <c r="H245" s="649">
        <v>753905</v>
      </c>
      <c r="I245" s="649">
        <f t="shared" si="32"/>
        <v>771182</v>
      </c>
      <c r="J245" s="650">
        <f t="shared" si="33"/>
        <v>783747</v>
      </c>
      <c r="K245" s="650">
        <f t="shared" si="34"/>
        <v>783747</v>
      </c>
      <c r="L245" s="650">
        <f t="shared" si="35"/>
        <v>783747</v>
      </c>
      <c r="M245" s="635">
        <v>935933</v>
      </c>
      <c r="N245" s="650">
        <f t="shared" si="36"/>
        <v>935933</v>
      </c>
    </row>
    <row r="246" spans="1:14" x14ac:dyDescent="0.2">
      <c r="A246">
        <f t="shared" si="37"/>
        <v>3</v>
      </c>
      <c r="B246" s="451" t="str">
        <f>VLOOKUP(D246,'LA List'!$A$3:$B$470,2,0)</f>
        <v>E4203</v>
      </c>
      <c r="C246" s="451" t="str">
        <f t="shared" si="31"/>
        <v>E4203EZ3</v>
      </c>
      <c r="D246" s="273" t="s">
        <v>185</v>
      </c>
      <c r="E246" s="273" t="s">
        <v>1108</v>
      </c>
      <c r="F246" s="649">
        <v>4953780</v>
      </c>
      <c r="G246" s="649">
        <v>4953780</v>
      </c>
      <c r="H246" s="649">
        <v>5102606</v>
      </c>
      <c r="I246" s="649">
        <f t="shared" si="32"/>
        <v>5219541</v>
      </c>
      <c r="J246" s="650">
        <f t="shared" si="33"/>
        <v>5304584</v>
      </c>
      <c r="K246" s="650">
        <f t="shared" si="34"/>
        <v>5304584</v>
      </c>
      <c r="L246" s="650">
        <f t="shared" si="35"/>
        <v>5304584</v>
      </c>
      <c r="M246" s="635">
        <v>6490726</v>
      </c>
      <c r="N246" s="650">
        <f t="shared" si="36"/>
        <v>6490726</v>
      </c>
    </row>
    <row r="247" spans="1:14" x14ac:dyDescent="0.2">
      <c r="A247">
        <f t="shared" si="37"/>
        <v>4</v>
      </c>
      <c r="B247" s="451" t="str">
        <f>VLOOKUP(D247,'LA List'!$A$3:$B$470,2,0)</f>
        <v>E4203</v>
      </c>
      <c r="C247" s="451" t="str">
        <f t="shared" si="31"/>
        <v>E4203EZ4</v>
      </c>
      <c r="D247" s="273" t="s">
        <v>185</v>
      </c>
      <c r="E247" s="273" t="s">
        <v>1189</v>
      </c>
      <c r="F247" s="649">
        <v>688519</v>
      </c>
      <c r="G247" s="649">
        <v>688519</v>
      </c>
      <c r="H247" s="649">
        <v>709204</v>
      </c>
      <c r="I247" s="649">
        <f t="shared" si="32"/>
        <v>725457</v>
      </c>
      <c r="J247" s="650">
        <f t="shared" si="33"/>
        <v>737277</v>
      </c>
      <c r="K247" s="650">
        <f t="shared" si="34"/>
        <v>737277</v>
      </c>
      <c r="L247" s="650">
        <f t="shared" si="35"/>
        <v>737277</v>
      </c>
      <c r="M247" s="635">
        <v>1024334</v>
      </c>
      <c r="N247" s="650">
        <f t="shared" si="36"/>
        <v>1024334</v>
      </c>
    </row>
    <row r="248" spans="1:14" x14ac:dyDescent="0.2">
      <c r="A248">
        <f t="shared" ref="A248:A249" si="40">IF(D248=D247,A247+1,1)</f>
        <v>5</v>
      </c>
      <c r="B248" s="451" t="str">
        <f>VLOOKUP(D248,'LA List'!$A$3:$B$470,2,0)</f>
        <v>E4203</v>
      </c>
      <c r="C248" s="451" t="str">
        <f t="shared" ref="C248:C249" si="41">CONCATENATE(B248,"EZ",A248)</f>
        <v>E4203EZ5</v>
      </c>
      <c r="D248" s="273" t="s">
        <v>185</v>
      </c>
      <c r="E248" s="273" t="s">
        <v>3370</v>
      </c>
      <c r="F248" s="649"/>
      <c r="G248" s="649"/>
      <c r="H248" s="649"/>
      <c r="I248" s="649"/>
      <c r="J248" s="650"/>
      <c r="K248" s="650"/>
      <c r="L248" s="650"/>
      <c r="M248" s="635"/>
      <c r="N248" s="650">
        <v>16703077.370265592</v>
      </c>
    </row>
    <row r="249" spans="1:14" x14ac:dyDescent="0.2">
      <c r="A249">
        <f t="shared" si="40"/>
        <v>6</v>
      </c>
      <c r="B249" s="451" t="str">
        <f>VLOOKUP(D249,'LA List'!$A$3:$B$470,2,0)</f>
        <v>E4203</v>
      </c>
      <c r="C249" s="451" t="str">
        <f t="shared" si="41"/>
        <v>E4203EZ6</v>
      </c>
      <c r="D249" s="273" t="s">
        <v>185</v>
      </c>
      <c r="E249" s="273" t="s">
        <v>3371</v>
      </c>
      <c r="F249" s="649"/>
      <c r="G249" s="649"/>
      <c r="H249" s="649"/>
      <c r="I249" s="649"/>
      <c r="J249" s="650"/>
      <c r="K249" s="650"/>
      <c r="L249" s="650"/>
      <c r="M249" s="635"/>
      <c r="N249" s="650">
        <v>22464354.198375072</v>
      </c>
    </row>
    <row r="250" spans="1:14" x14ac:dyDescent="0.2">
      <c r="A250">
        <f>IF(D250=D247,A247+1,1)</f>
        <v>1</v>
      </c>
      <c r="B250" s="451" t="str">
        <f>VLOOKUP(D250,'LA List'!$A$3:$B$470,2,0)</f>
        <v>E3035</v>
      </c>
      <c r="C250" s="451" t="str">
        <f t="shared" si="31"/>
        <v>E3035EZ1</v>
      </c>
      <c r="D250" s="273" t="s">
        <v>187</v>
      </c>
      <c r="E250" s="273"/>
      <c r="F250" s="649" t="s">
        <v>1201</v>
      </c>
      <c r="G250" s="649" t="s">
        <v>1201</v>
      </c>
      <c r="H250" s="649" t="s">
        <v>1201</v>
      </c>
      <c r="I250" s="649" t="str">
        <f t="shared" si="32"/>
        <v/>
      </c>
      <c r="J250" s="650" t="str">
        <f t="shared" si="33"/>
        <v/>
      </c>
      <c r="K250" s="650" t="str">
        <f t="shared" si="34"/>
        <v/>
      </c>
      <c r="L250" s="650" t="str">
        <f t="shared" si="35"/>
        <v/>
      </c>
      <c r="M250" s="635" t="s">
        <v>1201</v>
      </c>
      <c r="N250" s="650" t="str">
        <f t="shared" si="36"/>
        <v/>
      </c>
    </row>
    <row r="251" spans="1:14" x14ac:dyDescent="0.2">
      <c r="A251">
        <f t="shared" si="37"/>
        <v>1</v>
      </c>
      <c r="B251" s="451" t="str">
        <f>VLOOKUP(D251,'LA List'!$A$3:$B$470,2,0)</f>
        <v>E2201</v>
      </c>
      <c r="C251" s="451" t="str">
        <f t="shared" si="31"/>
        <v>E2201EZ1</v>
      </c>
      <c r="D251" s="273" t="s">
        <v>189</v>
      </c>
      <c r="E251" s="273" t="s">
        <v>1109</v>
      </c>
      <c r="F251" s="649">
        <v>10890</v>
      </c>
      <c r="G251" s="649">
        <v>10890</v>
      </c>
      <c r="H251" s="649">
        <v>11217</v>
      </c>
      <c r="I251" s="649">
        <f t="shared" si="32"/>
        <v>11474</v>
      </c>
      <c r="J251" s="650">
        <f t="shared" si="33"/>
        <v>11661</v>
      </c>
      <c r="K251" s="650">
        <f t="shared" si="34"/>
        <v>11661</v>
      </c>
      <c r="L251" s="650">
        <f t="shared" si="35"/>
        <v>11661</v>
      </c>
      <c r="M251" s="635">
        <v>16342</v>
      </c>
      <c r="N251" s="650">
        <f t="shared" si="36"/>
        <v>16342</v>
      </c>
    </row>
    <row r="252" spans="1:14" x14ac:dyDescent="0.2">
      <c r="A252">
        <f t="shared" si="37"/>
        <v>1</v>
      </c>
      <c r="B252" s="451" t="str">
        <f>VLOOKUP(D252,'LA List'!$A$3:$B$470,2,0)</f>
        <v>E2436</v>
      </c>
      <c r="C252" s="451" t="str">
        <f t="shared" si="31"/>
        <v>E2436EZ1</v>
      </c>
      <c r="D252" s="273" t="s">
        <v>191</v>
      </c>
      <c r="E252" s="273"/>
      <c r="F252" s="649" t="s">
        <v>1201</v>
      </c>
      <c r="G252" s="649" t="s">
        <v>1201</v>
      </c>
      <c r="H252" s="649" t="s">
        <v>1201</v>
      </c>
      <c r="I252" s="649" t="str">
        <f t="shared" si="32"/>
        <v/>
      </c>
      <c r="J252" s="650" t="str">
        <f t="shared" si="33"/>
        <v/>
      </c>
      <c r="K252" s="650" t="str">
        <f t="shared" si="34"/>
        <v/>
      </c>
      <c r="L252" s="650" t="str">
        <f t="shared" si="35"/>
        <v/>
      </c>
      <c r="M252" s="635" t="s">
        <v>1201</v>
      </c>
      <c r="N252" s="650" t="str">
        <f t="shared" si="36"/>
        <v/>
      </c>
    </row>
    <row r="253" spans="1:14" x14ac:dyDescent="0.2">
      <c r="A253">
        <f t="shared" si="37"/>
        <v>1</v>
      </c>
      <c r="B253" s="451" t="str">
        <f>VLOOKUP(D253,'LA List'!$A$3:$B$470,2,0)</f>
        <v>E5044</v>
      </c>
      <c r="C253" s="451" t="str">
        <f t="shared" si="31"/>
        <v>E5044EZ1</v>
      </c>
      <c r="D253" s="273" t="s">
        <v>193</v>
      </c>
      <c r="E253" s="273"/>
      <c r="F253" s="649" t="s">
        <v>1201</v>
      </c>
      <c r="G253" s="649" t="s">
        <v>1201</v>
      </c>
      <c r="H253" s="649" t="s">
        <v>1201</v>
      </c>
      <c r="I253" s="649" t="str">
        <f t="shared" si="32"/>
        <v/>
      </c>
      <c r="J253" s="650" t="str">
        <f t="shared" si="33"/>
        <v/>
      </c>
      <c r="K253" s="650" t="str">
        <f t="shared" si="34"/>
        <v/>
      </c>
      <c r="L253" s="650" t="str">
        <f t="shared" si="35"/>
        <v/>
      </c>
      <c r="M253" s="635" t="s">
        <v>1201</v>
      </c>
      <c r="N253" s="650" t="str">
        <f t="shared" si="36"/>
        <v/>
      </c>
    </row>
    <row r="254" spans="1:14" x14ac:dyDescent="0.2">
      <c r="A254">
        <f t="shared" si="37"/>
        <v>1</v>
      </c>
      <c r="B254" s="451" t="str">
        <f>VLOOKUP(D254,'LA List'!$A$3:$B$470,2,0)</f>
        <v>E1133</v>
      </c>
      <c r="C254" s="451" t="str">
        <f t="shared" si="31"/>
        <v>E1133EZ1</v>
      </c>
      <c r="D254" s="273" t="s">
        <v>195</v>
      </c>
      <c r="E254" s="273"/>
      <c r="F254" s="649" t="s">
        <v>1201</v>
      </c>
      <c r="G254" s="649" t="s">
        <v>1201</v>
      </c>
      <c r="H254" s="649" t="s">
        <v>1201</v>
      </c>
      <c r="I254" s="649" t="str">
        <f t="shared" si="32"/>
        <v/>
      </c>
      <c r="J254" s="650" t="str">
        <f t="shared" si="33"/>
        <v/>
      </c>
      <c r="K254" s="650" t="str">
        <f t="shared" si="34"/>
        <v/>
      </c>
      <c r="L254" s="650" t="str">
        <f t="shared" si="35"/>
        <v/>
      </c>
      <c r="M254" s="635" t="s">
        <v>1201</v>
      </c>
      <c r="N254" s="650" t="str">
        <f t="shared" si="36"/>
        <v/>
      </c>
    </row>
    <row r="255" spans="1:14" x14ac:dyDescent="0.2">
      <c r="A255">
        <f t="shared" si="37"/>
        <v>1</v>
      </c>
      <c r="B255" s="451" t="str">
        <f>VLOOKUP(D255,'LA List'!$A$3:$B$470,2,0)</f>
        <v>E3534</v>
      </c>
      <c r="C255" s="451" t="str">
        <f t="shared" si="31"/>
        <v>E3534EZ1</v>
      </c>
      <c r="D255" s="273" t="s">
        <v>197</v>
      </c>
      <c r="E255" s="273" t="s">
        <v>1111</v>
      </c>
      <c r="F255" s="649">
        <v>0</v>
      </c>
      <c r="G255" s="649">
        <v>0</v>
      </c>
      <c r="H255" s="649">
        <v>0</v>
      </c>
      <c r="I255" s="649">
        <f t="shared" si="32"/>
        <v>0</v>
      </c>
      <c r="J255" s="650">
        <f t="shared" si="33"/>
        <v>0</v>
      </c>
      <c r="K255" s="650">
        <f t="shared" si="34"/>
        <v>0</v>
      </c>
      <c r="L255" s="650">
        <f t="shared" si="35"/>
        <v>0</v>
      </c>
      <c r="M255" s="635">
        <v>0</v>
      </c>
      <c r="N255" s="650">
        <f t="shared" si="36"/>
        <v>0</v>
      </c>
    </row>
    <row r="256" spans="1:14" x14ac:dyDescent="0.2">
      <c r="A256">
        <f t="shared" ref="A256:A257" si="42">IF(D256=D255,A255+1,1)</f>
        <v>2</v>
      </c>
      <c r="B256" s="451" t="str">
        <f>VLOOKUP(D256,'LA List'!$A$3:$B$470,2,0)</f>
        <v>E3534</v>
      </c>
      <c r="C256" s="451" t="str">
        <f t="shared" ref="C256:C257" si="43">CONCATENATE(B256,"EZ",A256)</f>
        <v>E3534EZ2</v>
      </c>
      <c r="D256" s="273" t="s">
        <v>197</v>
      </c>
      <c r="E256" s="544" t="s">
        <v>2436</v>
      </c>
      <c r="F256" s="649">
        <v>0</v>
      </c>
      <c r="G256" s="649">
        <v>0</v>
      </c>
      <c r="H256" s="649">
        <v>0</v>
      </c>
      <c r="I256" s="649">
        <v>0</v>
      </c>
      <c r="J256" s="650">
        <v>0</v>
      </c>
      <c r="K256" s="650">
        <v>0</v>
      </c>
      <c r="L256" s="650">
        <v>0</v>
      </c>
      <c r="M256" s="635">
        <v>0</v>
      </c>
      <c r="N256" s="650">
        <f t="shared" si="36"/>
        <v>0</v>
      </c>
    </row>
    <row r="257" spans="1:14" x14ac:dyDescent="0.2">
      <c r="A257">
        <f t="shared" si="42"/>
        <v>1</v>
      </c>
      <c r="B257" s="451" t="str">
        <f>VLOOKUP(D257,'LA List'!$A$3:$B$470,2,0)</f>
        <v>E3836</v>
      </c>
      <c r="C257" s="451" t="str">
        <f t="shared" si="43"/>
        <v>E3836EZ1</v>
      </c>
      <c r="D257" s="273" t="s">
        <v>199</v>
      </c>
      <c r="E257" s="273"/>
      <c r="F257" s="649" t="s">
        <v>1201</v>
      </c>
      <c r="G257" s="649" t="s">
        <v>1201</v>
      </c>
      <c r="H257" s="649" t="s">
        <v>1201</v>
      </c>
      <c r="I257" s="649" t="str">
        <f t="shared" si="32"/>
        <v/>
      </c>
      <c r="J257" s="650" t="str">
        <f t="shared" si="33"/>
        <v/>
      </c>
      <c r="K257" s="650" t="str">
        <f t="shared" si="34"/>
        <v/>
      </c>
      <c r="L257" s="650" t="str">
        <f t="shared" si="35"/>
        <v/>
      </c>
      <c r="M257" s="635" t="s">
        <v>1201</v>
      </c>
      <c r="N257" s="650" t="str">
        <f t="shared" si="36"/>
        <v/>
      </c>
    </row>
    <row r="258" spans="1:14" x14ac:dyDescent="0.2">
      <c r="A258">
        <f t="shared" si="37"/>
        <v>1</v>
      </c>
      <c r="B258" s="451" t="str">
        <f>VLOOKUP(D258,'LA List'!$A$3:$B$470,2,0)</f>
        <v>E0702</v>
      </c>
      <c r="C258" s="451" t="str">
        <f t="shared" si="31"/>
        <v>E0702EZ1</v>
      </c>
      <c r="D258" s="273" t="s">
        <v>201</v>
      </c>
      <c r="E258" s="273" t="s">
        <v>858</v>
      </c>
      <c r="F258" s="649">
        <v>0</v>
      </c>
      <c r="G258" s="649">
        <v>0</v>
      </c>
      <c r="H258" s="649">
        <v>0</v>
      </c>
      <c r="I258" s="649">
        <f t="shared" si="32"/>
        <v>0</v>
      </c>
      <c r="J258" s="650">
        <f t="shared" si="33"/>
        <v>0</v>
      </c>
      <c r="K258" s="650">
        <f t="shared" si="34"/>
        <v>0</v>
      </c>
      <c r="L258" s="650">
        <f t="shared" si="35"/>
        <v>0</v>
      </c>
      <c r="M258" s="635">
        <v>0</v>
      </c>
      <c r="N258" s="650">
        <f t="shared" si="36"/>
        <v>0</v>
      </c>
    </row>
    <row r="259" spans="1:14" x14ac:dyDescent="0.2">
      <c r="A259">
        <f t="shared" si="37"/>
        <v>2</v>
      </c>
      <c r="B259" s="451" t="str">
        <f>VLOOKUP(D259,'LA List'!$A$3:$B$470,2,0)</f>
        <v>E0702</v>
      </c>
      <c r="C259" s="451" t="str">
        <f t="shared" si="31"/>
        <v>E0702EZ2</v>
      </c>
      <c r="D259" s="273" t="s">
        <v>201</v>
      </c>
      <c r="E259" s="273" t="s">
        <v>1112</v>
      </c>
      <c r="F259" s="649">
        <v>2781145</v>
      </c>
      <c r="G259" s="649">
        <v>2781145</v>
      </c>
      <c r="H259" s="649">
        <v>2864699</v>
      </c>
      <c r="I259" s="649">
        <f t="shared" si="32"/>
        <v>2930348</v>
      </c>
      <c r="J259" s="650">
        <f t="shared" si="33"/>
        <v>2978093</v>
      </c>
      <c r="K259" s="650">
        <f t="shared" si="34"/>
        <v>2978093</v>
      </c>
      <c r="L259" s="650">
        <f t="shared" si="35"/>
        <v>2978093</v>
      </c>
      <c r="M259" s="635">
        <v>2449017</v>
      </c>
      <c r="N259" s="650">
        <f t="shared" si="36"/>
        <v>2449017</v>
      </c>
    </row>
    <row r="260" spans="1:14" x14ac:dyDescent="0.2">
      <c r="A260">
        <f t="shared" si="37"/>
        <v>1</v>
      </c>
      <c r="B260" s="451" t="str">
        <f>VLOOKUP(D260,'LA List'!$A$3:$B$470,2,0)</f>
        <v>E0401</v>
      </c>
      <c r="C260" s="451" t="str">
        <f t="shared" ref="C260:C325" si="44">CONCATENATE(B260,"EZ",A260)</f>
        <v>E0401EZ1</v>
      </c>
      <c r="D260" s="273" t="s">
        <v>203</v>
      </c>
      <c r="E260" s="273"/>
      <c r="F260" s="649" t="s">
        <v>1201</v>
      </c>
      <c r="G260" s="649" t="s">
        <v>1201</v>
      </c>
      <c r="H260" s="649" t="s">
        <v>1201</v>
      </c>
      <c r="I260" s="649" t="str">
        <f t="shared" ref="I260:I327" si="45">IF(H260="","",ROUND(H260*$I$1,0))</f>
        <v/>
      </c>
      <c r="J260" s="650" t="str">
        <f t="shared" ref="J260:J327" si="46">IF(I260="","",ROUND(I260*$J$1,0))</f>
        <v/>
      </c>
      <c r="K260" s="650" t="str">
        <f t="shared" si="34"/>
        <v/>
      </c>
      <c r="L260" s="650" t="str">
        <f t="shared" si="35"/>
        <v/>
      </c>
      <c r="M260" s="635" t="s">
        <v>1201</v>
      </c>
      <c r="N260" s="650" t="str">
        <f t="shared" si="36"/>
        <v/>
      </c>
    </row>
    <row r="261" spans="1:14" x14ac:dyDescent="0.2">
      <c r="A261">
        <f t="shared" si="37"/>
        <v>1</v>
      </c>
      <c r="B261" s="451" t="str">
        <f>VLOOKUP(D261,'LA List'!$A$3:$B$470,2,0)</f>
        <v>E3634</v>
      </c>
      <c r="C261" s="451" t="str">
        <f t="shared" si="44"/>
        <v>E3634EZ1</v>
      </c>
      <c r="D261" s="273" t="s">
        <v>205</v>
      </c>
      <c r="E261" s="273"/>
      <c r="F261" s="649" t="s">
        <v>1201</v>
      </c>
      <c r="G261" s="649" t="s">
        <v>1201</v>
      </c>
      <c r="H261" s="649" t="s">
        <v>1201</v>
      </c>
      <c r="I261" s="649" t="str">
        <f t="shared" si="45"/>
        <v/>
      </c>
      <c r="J261" s="650" t="str">
        <f t="shared" si="46"/>
        <v/>
      </c>
      <c r="K261" s="650" t="str">
        <f t="shared" ref="K261:K327" si="47">IF(J261="","",ROUND(J261*$K$1,0))</f>
        <v/>
      </c>
      <c r="L261" s="650" t="str">
        <f t="shared" si="35"/>
        <v/>
      </c>
      <c r="M261" s="635" t="s">
        <v>1201</v>
      </c>
      <c r="N261" s="650" t="str">
        <f t="shared" si="36"/>
        <v/>
      </c>
    </row>
    <row r="262" spans="1:14" x14ac:dyDescent="0.2">
      <c r="A262">
        <f t="shared" si="37"/>
        <v>1</v>
      </c>
      <c r="B262" s="451" t="str">
        <f>VLOOKUP(D262,'LA List'!$A$3:$B$470,2,0)</f>
        <v>E1738</v>
      </c>
      <c r="C262" s="451" t="str">
        <f t="shared" si="44"/>
        <v>E1738EZ1</v>
      </c>
      <c r="D262" s="273" t="s">
        <v>207</v>
      </c>
      <c r="E262" s="544" t="s">
        <v>2434</v>
      </c>
      <c r="F262" s="649">
        <v>0</v>
      </c>
      <c r="G262" s="649">
        <v>0</v>
      </c>
      <c r="H262" s="649">
        <v>0</v>
      </c>
      <c r="I262" s="649">
        <v>0</v>
      </c>
      <c r="J262" s="650">
        <v>0</v>
      </c>
      <c r="K262" s="650">
        <v>0</v>
      </c>
      <c r="L262" s="650">
        <v>2194853</v>
      </c>
      <c r="M262" s="635">
        <v>2450317</v>
      </c>
      <c r="N262" s="650">
        <f t="shared" si="36"/>
        <v>2450317</v>
      </c>
    </row>
    <row r="263" spans="1:14" x14ac:dyDescent="0.2">
      <c r="A263">
        <f t="shared" si="37"/>
        <v>1</v>
      </c>
      <c r="B263" s="451" t="str">
        <f>VLOOKUP(D263,'LA List'!$A$3:$B$470,2,0)</f>
        <v>E3036</v>
      </c>
      <c r="C263" s="451" t="str">
        <f t="shared" si="44"/>
        <v>E3036EZ1</v>
      </c>
      <c r="D263" s="273" t="s">
        <v>209</v>
      </c>
      <c r="E263" s="273"/>
      <c r="F263" s="649" t="s">
        <v>1201</v>
      </c>
      <c r="G263" s="649" t="s">
        <v>1201</v>
      </c>
      <c r="H263" s="649" t="s">
        <v>1201</v>
      </c>
      <c r="I263" s="649" t="str">
        <f t="shared" si="45"/>
        <v/>
      </c>
      <c r="J263" s="650" t="str">
        <f t="shared" si="46"/>
        <v/>
      </c>
      <c r="K263" s="650" t="str">
        <f t="shared" si="47"/>
        <v/>
      </c>
      <c r="L263" s="650" t="str">
        <f t="shared" si="35"/>
        <v/>
      </c>
      <c r="M263" s="635" t="s">
        <v>1201</v>
      </c>
      <c r="N263" s="650" t="str">
        <f t="shared" si="36"/>
        <v/>
      </c>
    </row>
    <row r="264" spans="1:14" x14ac:dyDescent="0.2">
      <c r="A264">
        <f t="shared" si="37"/>
        <v>1</v>
      </c>
      <c r="B264" s="451" t="str">
        <f>VLOOKUP(D264,'LA List'!$A$3:$B$470,2,0)</f>
        <v>E4502</v>
      </c>
      <c r="C264" s="451" t="str">
        <f t="shared" si="44"/>
        <v>E4502EZ1</v>
      </c>
      <c r="D264" s="273" t="s">
        <v>952</v>
      </c>
      <c r="E264" s="273" t="s">
        <v>865</v>
      </c>
      <c r="F264" s="649">
        <v>85221</v>
      </c>
      <c r="G264" s="649">
        <v>85221</v>
      </c>
      <c r="H264" s="649">
        <v>87781</v>
      </c>
      <c r="I264" s="649">
        <f t="shared" si="45"/>
        <v>89793</v>
      </c>
      <c r="J264" s="650">
        <f t="shared" si="46"/>
        <v>91256</v>
      </c>
      <c r="K264" s="650">
        <f t="shared" si="47"/>
        <v>91256</v>
      </c>
      <c r="L264" s="650">
        <f t="shared" si="35"/>
        <v>91256</v>
      </c>
      <c r="M264" s="635">
        <v>110048</v>
      </c>
      <c r="N264" s="650">
        <f t="shared" si="36"/>
        <v>110048</v>
      </c>
    </row>
    <row r="265" spans="1:14" x14ac:dyDescent="0.2">
      <c r="A265">
        <f t="shared" si="37"/>
        <v>2</v>
      </c>
      <c r="B265" s="451" t="str">
        <f>VLOOKUP(D265,'LA List'!$A$3:$B$470,2,0)</f>
        <v>E4502</v>
      </c>
      <c r="C265" s="451" t="str">
        <f t="shared" si="44"/>
        <v>E4502EZ2</v>
      </c>
      <c r="D265" s="273" t="s">
        <v>952</v>
      </c>
      <c r="E265" s="273" t="s">
        <v>855</v>
      </c>
      <c r="F265" s="649">
        <v>5183149</v>
      </c>
      <c r="G265" s="649">
        <v>5183149</v>
      </c>
      <c r="H265" s="649">
        <v>5338866</v>
      </c>
      <c r="I265" s="649">
        <f t="shared" si="45"/>
        <v>5461215</v>
      </c>
      <c r="J265" s="650">
        <f t="shared" si="46"/>
        <v>5550196</v>
      </c>
      <c r="K265" s="650">
        <f t="shared" si="47"/>
        <v>5550196</v>
      </c>
      <c r="L265" s="650">
        <f t="shared" si="35"/>
        <v>5550196</v>
      </c>
      <c r="M265" s="635">
        <v>5839874</v>
      </c>
      <c r="N265" s="650">
        <f t="shared" si="36"/>
        <v>5839874</v>
      </c>
    </row>
    <row r="266" spans="1:14" x14ac:dyDescent="0.2">
      <c r="A266">
        <f t="shared" si="37"/>
        <v>3</v>
      </c>
      <c r="B266" s="451" t="str">
        <f>VLOOKUP(D266,'LA List'!$A$3:$B$470,2,0)</f>
        <v>E4502</v>
      </c>
      <c r="C266" s="451" t="str">
        <f t="shared" si="44"/>
        <v>E4502EZ3</v>
      </c>
      <c r="D266" s="273" t="s">
        <v>952</v>
      </c>
      <c r="E266" s="273" t="s">
        <v>1114</v>
      </c>
      <c r="F266" s="649">
        <v>0</v>
      </c>
      <c r="G266" s="649">
        <v>0</v>
      </c>
      <c r="H266" s="649">
        <v>0</v>
      </c>
      <c r="I266" s="649">
        <f t="shared" si="45"/>
        <v>0</v>
      </c>
      <c r="J266" s="650">
        <f t="shared" si="46"/>
        <v>0</v>
      </c>
      <c r="K266" s="650">
        <f t="shared" si="47"/>
        <v>0</v>
      </c>
      <c r="L266" s="650">
        <f t="shared" si="35"/>
        <v>0</v>
      </c>
      <c r="M266" s="635">
        <v>0</v>
      </c>
      <c r="N266" s="650">
        <f t="shared" si="36"/>
        <v>0</v>
      </c>
    </row>
    <row r="267" spans="1:14" x14ac:dyDescent="0.2">
      <c r="A267">
        <f t="shared" si="37"/>
        <v>4</v>
      </c>
      <c r="B267" s="451" t="str">
        <f>VLOOKUP(D267,'LA List'!$A$3:$B$470,2,0)</f>
        <v>E4502</v>
      </c>
      <c r="C267" s="451" t="str">
        <f t="shared" si="44"/>
        <v>E4502EZ4</v>
      </c>
      <c r="D267" s="273" t="s">
        <v>952</v>
      </c>
      <c r="E267" s="273" t="s">
        <v>1115</v>
      </c>
      <c r="F267" s="649">
        <v>0</v>
      </c>
      <c r="G267" s="649">
        <v>0</v>
      </c>
      <c r="H267" s="649">
        <v>0</v>
      </c>
      <c r="I267" s="649">
        <f t="shared" si="45"/>
        <v>0</v>
      </c>
      <c r="J267" s="650">
        <f t="shared" si="46"/>
        <v>0</v>
      </c>
      <c r="K267" s="650">
        <f t="shared" si="47"/>
        <v>0</v>
      </c>
      <c r="L267" s="650">
        <f t="shared" ref="L267:L333" si="48">IF(K267="","",ROUND(K267*$L$1,0))</f>
        <v>0</v>
      </c>
      <c r="M267" s="635">
        <v>0</v>
      </c>
      <c r="N267" s="650">
        <f t="shared" ref="N267:N329" si="49">IF(M267="","",ROUND(M267*$N$1,0))</f>
        <v>0</v>
      </c>
    </row>
    <row r="268" spans="1:14" x14ac:dyDescent="0.2">
      <c r="A268">
        <f t="shared" si="37"/>
        <v>1</v>
      </c>
      <c r="B268" s="451" t="str">
        <f>VLOOKUP(D268,'LA List'!$A$3:$B$470,2,0)</f>
        <v>E3434</v>
      </c>
      <c r="C268" s="451" t="str">
        <f t="shared" si="44"/>
        <v>E3434EZ1</v>
      </c>
      <c r="D268" s="273" t="s">
        <v>213</v>
      </c>
      <c r="E268" s="273" t="s">
        <v>1113</v>
      </c>
      <c r="F268" s="649">
        <v>0</v>
      </c>
      <c r="G268" s="649">
        <v>0</v>
      </c>
      <c r="H268" s="649">
        <v>0</v>
      </c>
      <c r="I268" s="649">
        <f t="shared" si="45"/>
        <v>0</v>
      </c>
      <c r="J268" s="650">
        <f t="shared" si="46"/>
        <v>0</v>
      </c>
      <c r="K268" s="650">
        <f t="shared" si="47"/>
        <v>0</v>
      </c>
      <c r="L268" s="650">
        <f t="shared" si="48"/>
        <v>0</v>
      </c>
      <c r="M268" s="635">
        <v>0</v>
      </c>
      <c r="N268" s="650">
        <f t="shared" si="49"/>
        <v>0</v>
      </c>
    </row>
    <row r="269" spans="1:14" x14ac:dyDescent="0.2">
      <c r="A269">
        <f t="shared" si="37"/>
        <v>1</v>
      </c>
      <c r="B269" s="451" t="str">
        <f>VLOOKUP(D269,'LA List'!$A$3:$B$470,2,0)</f>
        <v>E5045</v>
      </c>
      <c r="C269" s="451" t="str">
        <f t="shared" si="44"/>
        <v>E5045EZ1</v>
      </c>
      <c r="D269" s="273" t="s">
        <v>215</v>
      </c>
      <c r="E269" s="273" t="s">
        <v>866</v>
      </c>
      <c r="F269" s="649">
        <v>230835</v>
      </c>
      <c r="G269" s="649">
        <v>230835</v>
      </c>
      <c r="H269" s="649">
        <v>237770</v>
      </c>
      <c r="I269" s="649">
        <f t="shared" si="45"/>
        <v>243219</v>
      </c>
      <c r="J269" s="650">
        <f t="shared" si="46"/>
        <v>247182</v>
      </c>
      <c r="K269" s="650">
        <f t="shared" si="47"/>
        <v>247182</v>
      </c>
      <c r="L269" s="650">
        <f t="shared" si="48"/>
        <v>247182</v>
      </c>
      <c r="M269" s="635">
        <v>308907</v>
      </c>
      <c r="N269" s="650">
        <f t="shared" si="49"/>
        <v>308907</v>
      </c>
    </row>
    <row r="270" spans="1:14" x14ac:dyDescent="0.2">
      <c r="A270">
        <f t="shared" si="37"/>
        <v>1</v>
      </c>
      <c r="B270" s="451" t="str">
        <f>VLOOKUP(D270,'LA List'!$A$3:$B$470,2,0)</f>
        <v>E1134</v>
      </c>
      <c r="C270" s="451" t="str">
        <f t="shared" si="44"/>
        <v>E1134EZ1</v>
      </c>
      <c r="D270" s="273" t="s">
        <v>217</v>
      </c>
      <c r="E270" s="273"/>
      <c r="F270" s="649" t="s">
        <v>1201</v>
      </c>
      <c r="G270" s="649" t="s">
        <v>1201</v>
      </c>
      <c r="H270" s="649" t="s">
        <v>1201</v>
      </c>
      <c r="I270" s="649" t="str">
        <f t="shared" si="45"/>
        <v/>
      </c>
      <c r="J270" s="650" t="str">
        <f t="shared" si="46"/>
        <v/>
      </c>
      <c r="K270" s="650" t="str">
        <f t="shared" si="47"/>
        <v/>
      </c>
      <c r="L270" s="650" t="str">
        <f t="shared" si="48"/>
        <v/>
      </c>
      <c r="M270" s="635" t="s">
        <v>1201</v>
      </c>
      <c r="N270" s="650" t="str">
        <f t="shared" si="49"/>
        <v/>
      </c>
    </row>
    <row r="271" spans="1:14" x14ac:dyDescent="0.2">
      <c r="A271">
        <f t="shared" si="37"/>
        <v>1</v>
      </c>
      <c r="B271" s="451" t="str">
        <f>VLOOKUP(D271,'LA List'!$A$3:$B$470,2,0)</f>
        <v>E1038</v>
      </c>
      <c r="C271" s="451" t="str">
        <f t="shared" si="44"/>
        <v>E1038EZ1</v>
      </c>
      <c r="D271" s="273" t="s">
        <v>219</v>
      </c>
      <c r="E271" s="273"/>
      <c r="F271" s="649" t="s">
        <v>1201</v>
      </c>
      <c r="G271" s="649" t="s">
        <v>1201</v>
      </c>
      <c r="H271" s="649" t="s">
        <v>1201</v>
      </c>
      <c r="I271" s="649" t="str">
        <f t="shared" si="45"/>
        <v/>
      </c>
      <c r="J271" s="650" t="str">
        <f t="shared" si="46"/>
        <v/>
      </c>
      <c r="K271" s="650" t="str">
        <f t="shared" si="47"/>
        <v/>
      </c>
      <c r="L271" s="650" t="str">
        <f t="shared" si="48"/>
        <v/>
      </c>
      <c r="M271" s="635" t="s">
        <v>1201</v>
      </c>
      <c r="N271" s="650" t="str">
        <f t="shared" si="49"/>
        <v/>
      </c>
    </row>
    <row r="272" spans="1:14" x14ac:dyDescent="0.2">
      <c r="A272">
        <f t="shared" ref="A272:A342" si="50">IF(D272=D271,A271+1,1)</f>
        <v>1</v>
      </c>
      <c r="B272" s="451" t="str">
        <f>VLOOKUP(D272,'LA List'!$A$3:$B$470,2,0)</f>
        <v>E2003</v>
      </c>
      <c r="C272" s="451" t="str">
        <f t="shared" si="44"/>
        <v>E2003EZ1</v>
      </c>
      <c r="D272" s="273" t="s">
        <v>221</v>
      </c>
      <c r="E272" s="273" t="s">
        <v>851</v>
      </c>
      <c r="F272" s="649">
        <v>0</v>
      </c>
      <c r="G272" s="649">
        <v>0</v>
      </c>
      <c r="H272" s="649">
        <v>0</v>
      </c>
      <c r="I272" s="649">
        <f t="shared" si="45"/>
        <v>0</v>
      </c>
      <c r="J272" s="650">
        <f t="shared" si="46"/>
        <v>0</v>
      </c>
      <c r="K272" s="650">
        <f t="shared" si="47"/>
        <v>0</v>
      </c>
      <c r="L272" s="650">
        <f t="shared" si="48"/>
        <v>0</v>
      </c>
      <c r="M272" s="635">
        <v>1</v>
      </c>
      <c r="N272" s="650">
        <f t="shared" si="49"/>
        <v>1</v>
      </c>
    </row>
    <row r="273" spans="1:14" x14ac:dyDescent="0.2">
      <c r="A273">
        <f t="shared" si="50"/>
        <v>2</v>
      </c>
      <c r="B273" s="451" t="str">
        <f>VLOOKUP(D273,'LA List'!$A$3:$B$470,2,0)</f>
        <v>E2003</v>
      </c>
      <c r="C273" s="451" t="str">
        <f t="shared" si="44"/>
        <v>E2003EZ2</v>
      </c>
      <c r="D273" s="273" t="s">
        <v>221</v>
      </c>
      <c r="E273" s="273" t="s">
        <v>852</v>
      </c>
      <c r="F273" s="649">
        <v>0</v>
      </c>
      <c r="G273" s="649">
        <v>0</v>
      </c>
      <c r="H273" s="649">
        <v>0</v>
      </c>
      <c r="I273" s="649">
        <f t="shared" si="45"/>
        <v>0</v>
      </c>
      <c r="J273" s="650">
        <f t="shared" si="46"/>
        <v>0</v>
      </c>
      <c r="K273" s="650">
        <f t="shared" si="47"/>
        <v>0</v>
      </c>
      <c r="L273" s="650">
        <f t="shared" si="48"/>
        <v>0</v>
      </c>
      <c r="M273" s="635">
        <v>0</v>
      </c>
      <c r="N273" s="650">
        <f t="shared" si="49"/>
        <v>0</v>
      </c>
    </row>
    <row r="274" spans="1:14" x14ac:dyDescent="0.2">
      <c r="A274">
        <f t="shared" si="50"/>
        <v>3</v>
      </c>
      <c r="B274" s="451" t="str">
        <f>VLOOKUP(D274,'LA List'!$A$3:$B$470,2,0)</f>
        <v>E2003</v>
      </c>
      <c r="C274" s="451" t="str">
        <f t="shared" si="44"/>
        <v>E2003EZ3</v>
      </c>
      <c r="D274" s="273" t="s">
        <v>221</v>
      </c>
      <c r="E274" s="273" t="s">
        <v>1116</v>
      </c>
      <c r="F274" s="649">
        <v>0</v>
      </c>
      <c r="G274" s="649">
        <v>0</v>
      </c>
      <c r="H274" s="649">
        <v>0</v>
      </c>
      <c r="I274" s="649">
        <f t="shared" si="45"/>
        <v>0</v>
      </c>
      <c r="J274" s="650">
        <f t="shared" si="46"/>
        <v>0</v>
      </c>
      <c r="K274" s="650">
        <f t="shared" si="47"/>
        <v>0</v>
      </c>
      <c r="L274" s="650">
        <f t="shared" si="48"/>
        <v>0</v>
      </c>
      <c r="M274" s="635">
        <v>0</v>
      </c>
      <c r="N274" s="650">
        <f t="shared" si="49"/>
        <v>0</v>
      </c>
    </row>
    <row r="275" spans="1:14" x14ac:dyDescent="0.2">
      <c r="A275">
        <f t="shared" si="50"/>
        <v>4</v>
      </c>
      <c r="B275" s="451" t="str">
        <f>VLOOKUP(D275,'LA List'!$A$3:$B$470,2,0)</f>
        <v>E2003</v>
      </c>
      <c r="C275" s="451" t="str">
        <f t="shared" si="44"/>
        <v>E2003EZ4</v>
      </c>
      <c r="D275" s="273" t="s">
        <v>221</v>
      </c>
      <c r="E275" s="273" t="s">
        <v>1117</v>
      </c>
      <c r="F275" s="649">
        <v>0</v>
      </c>
      <c r="G275" s="649">
        <v>0</v>
      </c>
      <c r="H275" s="649">
        <v>0</v>
      </c>
      <c r="I275" s="649">
        <f t="shared" si="45"/>
        <v>0</v>
      </c>
      <c r="J275" s="650">
        <f t="shared" si="46"/>
        <v>0</v>
      </c>
      <c r="K275" s="650">
        <f t="shared" si="47"/>
        <v>0</v>
      </c>
      <c r="L275" s="650">
        <f t="shared" si="48"/>
        <v>0</v>
      </c>
      <c r="M275" s="635">
        <v>1</v>
      </c>
      <c r="N275" s="650">
        <f t="shared" si="49"/>
        <v>1</v>
      </c>
    </row>
    <row r="276" spans="1:14" x14ac:dyDescent="0.2">
      <c r="A276">
        <f t="shared" si="50"/>
        <v>5</v>
      </c>
      <c r="B276" s="451" t="str">
        <f>VLOOKUP(D276,'LA List'!$A$3:$B$470,2,0)</f>
        <v>E2003</v>
      </c>
      <c r="C276" s="451" t="str">
        <f t="shared" si="44"/>
        <v>E2003EZ5</v>
      </c>
      <c r="D276" s="273" t="s">
        <v>221</v>
      </c>
      <c r="E276" s="273" t="s">
        <v>1118</v>
      </c>
      <c r="F276" s="649">
        <v>0</v>
      </c>
      <c r="G276" s="649">
        <v>0</v>
      </c>
      <c r="H276" s="649">
        <v>0</v>
      </c>
      <c r="I276" s="649">
        <f t="shared" si="45"/>
        <v>0</v>
      </c>
      <c r="J276" s="650">
        <f t="shared" si="46"/>
        <v>0</v>
      </c>
      <c r="K276" s="650">
        <f t="shared" si="47"/>
        <v>0</v>
      </c>
      <c r="L276" s="650">
        <f t="shared" si="48"/>
        <v>0</v>
      </c>
      <c r="M276" s="635">
        <v>0</v>
      </c>
      <c r="N276" s="650">
        <f t="shared" si="49"/>
        <v>0</v>
      </c>
    </row>
    <row r="277" spans="1:14" x14ac:dyDescent="0.2">
      <c r="A277">
        <f t="shared" si="50"/>
        <v>6</v>
      </c>
      <c r="B277" s="451" t="str">
        <f>VLOOKUP(D277,'LA List'!$A$3:$B$470,2,0)</f>
        <v>E2003</v>
      </c>
      <c r="C277" s="451" t="str">
        <f t="shared" si="44"/>
        <v>E2003EZ6</v>
      </c>
      <c r="D277" s="273" t="s">
        <v>221</v>
      </c>
      <c r="E277" s="273" t="s">
        <v>1119</v>
      </c>
      <c r="F277" s="649">
        <v>0</v>
      </c>
      <c r="G277" s="649">
        <v>0</v>
      </c>
      <c r="H277" s="649">
        <v>0</v>
      </c>
      <c r="I277" s="649">
        <f t="shared" si="45"/>
        <v>0</v>
      </c>
      <c r="J277" s="650">
        <f t="shared" si="46"/>
        <v>0</v>
      </c>
      <c r="K277" s="650">
        <f t="shared" si="47"/>
        <v>0</v>
      </c>
      <c r="L277" s="650">
        <f t="shared" si="48"/>
        <v>0</v>
      </c>
      <c r="M277" s="635">
        <v>1</v>
      </c>
      <c r="N277" s="650">
        <f t="shared" si="49"/>
        <v>1</v>
      </c>
    </row>
    <row r="278" spans="1:14" x14ac:dyDescent="0.2">
      <c r="A278">
        <f t="shared" si="50"/>
        <v>7</v>
      </c>
      <c r="B278" s="451" t="str">
        <f>VLOOKUP(D278,'LA List'!$A$3:$B$470,2,0)</f>
        <v>E2003</v>
      </c>
      <c r="C278" s="451" t="str">
        <f t="shared" si="44"/>
        <v>E2003EZ7</v>
      </c>
      <c r="D278" s="273" t="s">
        <v>221</v>
      </c>
      <c r="E278" s="273" t="s">
        <v>1120</v>
      </c>
      <c r="F278" s="649">
        <v>0</v>
      </c>
      <c r="G278" s="649">
        <v>0</v>
      </c>
      <c r="H278" s="649">
        <v>0</v>
      </c>
      <c r="I278" s="649">
        <f t="shared" si="45"/>
        <v>0</v>
      </c>
      <c r="J278" s="650">
        <f t="shared" si="46"/>
        <v>0</v>
      </c>
      <c r="K278" s="650">
        <f t="shared" si="47"/>
        <v>0</v>
      </c>
      <c r="L278" s="650">
        <f t="shared" si="48"/>
        <v>0</v>
      </c>
      <c r="M278" s="635">
        <v>0</v>
      </c>
      <c r="N278" s="650">
        <f t="shared" si="49"/>
        <v>0</v>
      </c>
    </row>
    <row r="279" spans="1:14" x14ac:dyDescent="0.2">
      <c r="A279">
        <f t="shared" si="50"/>
        <v>8</v>
      </c>
      <c r="B279" s="451" t="str">
        <f>VLOOKUP(D279,'LA List'!$A$3:$B$470,2,0)</f>
        <v>E2003</v>
      </c>
      <c r="C279" s="451" t="str">
        <f t="shared" si="44"/>
        <v>E2003EZ8</v>
      </c>
      <c r="D279" s="273" t="s">
        <v>221</v>
      </c>
      <c r="E279" s="273" t="s">
        <v>1121</v>
      </c>
      <c r="F279" s="649">
        <v>0</v>
      </c>
      <c r="G279" s="649">
        <v>0</v>
      </c>
      <c r="H279" s="649">
        <v>0</v>
      </c>
      <c r="I279" s="649">
        <f t="shared" si="45"/>
        <v>0</v>
      </c>
      <c r="J279" s="650">
        <f t="shared" si="46"/>
        <v>0</v>
      </c>
      <c r="K279" s="650">
        <f t="shared" si="47"/>
        <v>0</v>
      </c>
      <c r="L279" s="650">
        <f t="shared" si="48"/>
        <v>0</v>
      </c>
      <c r="M279" s="635">
        <v>0</v>
      </c>
      <c r="N279" s="650">
        <f t="shared" si="49"/>
        <v>0</v>
      </c>
    </row>
    <row r="280" spans="1:14" x14ac:dyDescent="0.2">
      <c r="A280">
        <f t="shared" si="50"/>
        <v>1</v>
      </c>
      <c r="B280" s="451" t="str">
        <f>VLOOKUP(D280,'LA List'!$A$3:$B$470,2,0)</f>
        <v>E1935</v>
      </c>
      <c r="C280" s="451" t="str">
        <f t="shared" si="44"/>
        <v>E1935EZ1</v>
      </c>
      <c r="D280" s="273" t="s">
        <v>223</v>
      </c>
      <c r="E280" s="273"/>
      <c r="F280" s="649" t="s">
        <v>1201</v>
      </c>
      <c r="G280" s="649" t="s">
        <v>1201</v>
      </c>
      <c r="H280" s="649" t="s">
        <v>1201</v>
      </c>
      <c r="I280" s="649" t="str">
        <f t="shared" si="45"/>
        <v/>
      </c>
      <c r="J280" s="650" t="str">
        <f t="shared" si="46"/>
        <v/>
      </c>
      <c r="K280" s="650" t="str">
        <f t="shared" si="47"/>
        <v/>
      </c>
      <c r="L280" s="650" t="str">
        <f t="shared" si="48"/>
        <v/>
      </c>
      <c r="M280" s="635" t="s">
        <v>1201</v>
      </c>
      <c r="N280" s="650" t="str">
        <f t="shared" si="49"/>
        <v/>
      </c>
    </row>
    <row r="281" spans="1:14" x14ac:dyDescent="0.2">
      <c r="A281">
        <f t="shared" si="50"/>
        <v>1</v>
      </c>
      <c r="B281" s="451" t="str">
        <f>VLOOKUP(D281,'LA List'!$A$3:$B$470,2,0)</f>
        <v>E2534</v>
      </c>
      <c r="C281" s="451" t="str">
        <f t="shared" si="44"/>
        <v>E2534EZ1</v>
      </c>
      <c r="D281" s="273" t="s">
        <v>225</v>
      </c>
      <c r="E281" s="273"/>
      <c r="F281" s="649" t="s">
        <v>1201</v>
      </c>
      <c r="G281" s="649" t="s">
        <v>1201</v>
      </c>
      <c r="H281" s="649" t="s">
        <v>1201</v>
      </c>
      <c r="I281" s="649" t="str">
        <f t="shared" si="45"/>
        <v/>
      </c>
      <c r="J281" s="650" t="str">
        <f t="shared" si="46"/>
        <v/>
      </c>
      <c r="K281" s="650" t="str">
        <f t="shared" si="47"/>
        <v/>
      </c>
      <c r="L281" s="650" t="str">
        <f t="shared" si="48"/>
        <v/>
      </c>
      <c r="M281" s="635" t="s">
        <v>1201</v>
      </c>
      <c r="N281" s="650" t="str">
        <f t="shared" si="49"/>
        <v/>
      </c>
    </row>
    <row r="282" spans="1:14" x14ac:dyDescent="0.2">
      <c r="A282">
        <f t="shared" si="50"/>
        <v>1</v>
      </c>
      <c r="B282" s="451" t="str">
        <f>VLOOKUP(D282,'LA List'!$A$3:$B$470,2,0)</f>
        <v>E2004</v>
      </c>
      <c r="C282" s="451" t="str">
        <f t="shared" si="44"/>
        <v>E2004EZ1</v>
      </c>
      <c r="D282" s="273" t="s">
        <v>227</v>
      </c>
      <c r="E282" s="273" t="s">
        <v>852</v>
      </c>
      <c r="F282" s="649">
        <v>899022</v>
      </c>
      <c r="G282" s="649">
        <v>899022</v>
      </c>
      <c r="H282" s="649">
        <v>926031</v>
      </c>
      <c r="I282" s="649">
        <f t="shared" si="45"/>
        <v>947253</v>
      </c>
      <c r="J282" s="650">
        <f t="shared" si="46"/>
        <v>962687</v>
      </c>
      <c r="K282" s="650">
        <f t="shared" si="47"/>
        <v>962687</v>
      </c>
      <c r="L282" s="650">
        <f t="shared" si="48"/>
        <v>962687</v>
      </c>
      <c r="M282" s="635">
        <v>1136281</v>
      </c>
      <c r="N282" s="650">
        <f t="shared" si="49"/>
        <v>1136281</v>
      </c>
    </row>
    <row r="283" spans="1:14" x14ac:dyDescent="0.2">
      <c r="A283">
        <f t="shared" si="50"/>
        <v>2</v>
      </c>
      <c r="B283" s="451" t="str">
        <f>VLOOKUP(D283,'LA List'!$A$3:$B$470,2,0)</f>
        <v>E2004</v>
      </c>
      <c r="C283" s="451" t="str">
        <f t="shared" si="44"/>
        <v>E2004EZ2</v>
      </c>
      <c r="D283" s="273" t="s">
        <v>227</v>
      </c>
      <c r="E283" s="273" t="s">
        <v>1122</v>
      </c>
      <c r="F283" s="649">
        <v>892897</v>
      </c>
      <c r="G283" s="649">
        <v>17957</v>
      </c>
      <c r="H283" s="649">
        <v>18496</v>
      </c>
      <c r="I283" s="649">
        <f t="shared" si="45"/>
        <v>18920</v>
      </c>
      <c r="J283" s="650">
        <f t="shared" si="46"/>
        <v>19228</v>
      </c>
      <c r="K283" s="650">
        <f t="shared" si="47"/>
        <v>19228</v>
      </c>
      <c r="L283" s="650">
        <f t="shared" si="48"/>
        <v>19228</v>
      </c>
      <c r="M283" s="635">
        <v>16160</v>
      </c>
      <c r="N283" s="650">
        <f t="shared" si="49"/>
        <v>16160</v>
      </c>
    </row>
    <row r="284" spans="1:14" x14ac:dyDescent="0.2">
      <c r="A284">
        <f t="shared" ref="A284" si="51">IF(D284=D283,A283+1,1)</f>
        <v>3</v>
      </c>
      <c r="B284" s="451" t="str">
        <f>VLOOKUP(D284,'LA List'!$A$3:$B$470,2,0)</f>
        <v>E2004</v>
      </c>
      <c r="C284" s="451" t="str">
        <f t="shared" ref="C284" si="52">CONCATENATE(B284,"EZ",A284)</f>
        <v>E2004EZ3</v>
      </c>
      <c r="D284" s="273" t="s">
        <v>227</v>
      </c>
      <c r="E284" s="544" t="s">
        <v>2438</v>
      </c>
      <c r="F284" s="649">
        <v>0</v>
      </c>
      <c r="G284" s="649">
        <v>0</v>
      </c>
      <c r="H284" s="649">
        <v>0</v>
      </c>
      <c r="I284" s="649">
        <v>0</v>
      </c>
      <c r="J284" s="650">
        <v>0</v>
      </c>
      <c r="K284" s="650">
        <v>0</v>
      </c>
      <c r="L284" s="650">
        <v>109531.26</v>
      </c>
      <c r="M284" s="635">
        <v>23694</v>
      </c>
      <c r="N284" s="650">
        <v>22207</v>
      </c>
    </row>
    <row r="285" spans="1:14" x14ac:dyDescent="0.2">
      <c r="A285">
        <f>IF(D285=D283,A283+1,1)</f>
        <v>1</v>
      </c>
      <c r="B285" s="451" t="str">
        <f>VLOOKUP(D285,'LA List'!$A$3:$B$470,2,0)</f>
        <v>E2635</v>
      </c>
      <c r="C285" s="451" t="str">
        <f t="shared" si="44"/>
        <v>E2635EZ1</v>
      </c>
      <c r="D285" s="273" t="s">
        <v>229</v>
      </c>
      <c r="E285" s="273" t="s">
        <v>1123</v>
      </c>
      <c r="F285" s="649">
        <v>0</v>
      </c>
      <c r="G285" s="649">
        <v>0</v>
      </c>
      <c r="H285" s="649">
        <v>0</v>
      </c>
      <c r="I285" s="649">
        <f t="shared" si="45"/>
        <v>0</v>
      </c>
      <c r="J285" s="650">
        <f t="shared" si="46"/>
        <v>0</v>
      </c>
      <c r="K285" s="650">
        <f t="shared" si="47"/>
        <v>0</v>
      </c>
      <c r="L285" s="650">
        <f t="shared" si="48"/>
        <v>0</v>
      </c>
      <c r="M285" s="635">
        <v>0</v>
      </c>
      <c r="N285" s="650">
        <f t="shared" si="49"/>
        <v>0</v>
      </c>
    </row>
    <row r="286" spans="1:14" x14ac:dyDescent="0.2">
      <c r="A286">
        <f t="shared" si="50"/>
        <v>2</v>
      </c>
      <c r="B286" s="451" t="str">
        <f>VLOOKUP(D286,'LA List'!$A$3:$B$470,2,0)</f>
        <v>E2635</v>
      </c>
      <c r="C286" s="451" t="str">
        <f t="shared" si="44"/>
        <v>E2635EZ2</v>
      </c>
      <c r="D286" s="273" t="s">
        <v>229</v>
      </c>
      <c r="E286" s="273" t="s">
        <v>1124</v>
      </c>
      <c r="F286" s="649">
        <v>0</v>
      </c>
      <c r="G286" s="649">
        <v>0</v>
      </c>
      <c r="H286" s="649">
        <v>0</v>
      </c>
      <c r="I286" s="649">
        <f t="shared" si="45"/>
        <v>0</v>
      </c>
      <c r="J286" s="650">
        <f t="shared" si="46"/>
        <v>0</v>
      </c>
      <c r="K286" s="650">
        <f t="shared" si="47"/>
        <v>0</v>
      </c>
      <c r="L286" s="650">
        <f t="shared" si="48"/>
        <v>0</v>
      </c>
      <c r="M286" s="635">
        <v>0</v>
      </c>
      <c r="N286" s="650">
        <f t="shared" si="49"/>
        <v>0</v>
      </c>
    </row>
    <row r="287" spans="1:14" x14ac:dyDescent="0.2">
      <c r="A287">
        <f t="shared" si="50"/>
        <v>1</v>
      </c>
      <c r="B287" s="887" t="str">
        <f>VLOOKUP(D287,'LA List'!$A$3:$B$470,2,0)</f>
        <v>E2801</v>
      </c>
      <c r="C287" s="887" t="str">
        <f t="shared" ref="C287" si="53">CONCATENATE(B287,"EZ",A287)</f>
        <v>E2801EZ1</v>
      </c>
      <c r="D287" s="770" t="s">
        <v>1336</v>
      </c>
      <c r="E287" s="354"/>
      <c r="F287" s="888" t="s">
        <v>1201</v>
      </c>
      <c r="G287" s="888" t="s">
        <v>1201</v>
      </c>
      <c r="H287" s="888" t="s">
        <v>1201</v>
      </c>
      <c r="I287" s="888" t="str">
        <f t="shared" ref="I287" si="54">IF(H287="","",ROUND(H287*$I$1,0))</f>
        <v/>
      </c>
      <c r="J287" s="888" t="str">
        <f t="shared" ref="J287" si="55">IF(I287="","",ROUND(I287*$J$1,0))</f>
        <v/>
      </c>
      <c r="K287" s="888" t="str">
        <f t="shared" si="47"/>
        <v/>
      </c>
      <c r="L287" s="650" t="str">
        <f t="shared" si="48"/>
        <v/>
      </c>
      <c r="M287" s="635" t="s">
        <v>1201</v>
      </c>
      <c r="N287" s="650" t="str">
        <f t="shared" si="49"/>
        <v/>
      </c>
    </row>
    <row r="288" spans="1:14" x14ac:dyDescent="0.2">
      <c r="A288">
        <f t="shared" si="50"/>
        <v>1</v>
      </c>
      <c r="B288" s="451" t="str">
        <f>VLOOKUP(D288,'LA List'!$A$3:$B$470,2,0)</f>
        <v>E0104</v>
      </c>
      <c r="C288" s="451" t="str">
        <f t="shared" si="44"/>
        <v>E0104EZ1</v>
      </c>
      <c r="D288" s="273" t="s">
        <v>231</v>
      </c>
      <c r="E288" s="273" t="s">
        <v>846</v>
      </c>
      <c r="F288" s="649">
        <v>184016</v>
      </c>
      <c r="G288" s="649">
        <v>184016</v>
      </c>
      <c r="H288" s="649">
        <v>189544</v>
      </c>
      <c r="I288" s="649">
        <f t="shared" si="45"/>
        <v>193888</v>
      </c>
      <c r="J288" s="650">
        <f t="shared" si="46"/>
        <v>197047</v>
      </c>
      <c r="K288" s="650">
        <f t="shared" si="47"/>
        <v>197047</v>
      </c>
      <c r="L288" s="650">
        <f t="shared" si="48"/>
        <v>197047</v>
      </c>
      <c r="M288" s="635">
        <v>250536</v>
      </c>
      <c r="N288" s="650">
        <f t="shared" si="49"/>
        <v>250536</v>
      </c>
    </row>
    <row r="289" spans="1:14" x14ac:dyDescent="0.2">
      <c r="A289">
        <f t="shared" si="50"/>
        <v>1</v>
      </c>
      <c r="B289" s="451" t="str">
        <f>VLOOKUP(D289,'LA List'!$A$3:$B$470,2,0)</f>
        <v>E4503</v>
      </c>
      <c r="C289" s="451" t="str">
        <f t="shared" si="44"/>
        <v>E4503EZ1</v>
      </c>
      <c r="D289" s="273" t="s">
        <v>233</v>
      </c>
      <c r="E289" s="273" t="s">
        <v>867</v>
      </c>
      <c r="F289" s="649">
        <v>582378</v>
      </c>
      <c r="G289" s="649">
        <v>582378</v>
      </c>
      <c r="H289" s="649">
        <v>599874</v>
      </c>
      <c r="I289" s="649">
        <f t="shared" si="45"/>
        <v>613621</v>
      </c>
      <c r="J289" s="650">
        <f t="shared" si="46"/>
        <v>623619</v>
      </c>
      <c r="K289" s="650">
        <f t="shared" si="47"/>
        <v>623619</v>
      </c>
      <c r="L289" s="650">
        <f t="shared" si="48"/>
        <v>623619</v>
      </c>
      <c r="M289" s="635">
        <v>636654</v>
      </c>
      <c r="N289" s="650">
        <f t="shared" si="49"/>
        <v>636654</v>
      </c>
    </row>
    <row r="290" spans="1:14" x14ac:dyDescent="0.2">
      <c r="A290">
        <f t="shared" si="50"/>
        <v>1</v>
      </c>
      <c r="B290" s="451" t="str">
        <f>VLOOKUP(D290,'LA List'!$A$3:$B$470,2,0)</f>
        <v>E3731</v>
      </c>
      <c r="C290" s="451" t="str">
        <f t="shared" si="44"/>
        <v>E3731EZ1</v>
      </c>
      <c r="D290" s="273" t="s">
        <v>235</v>
      </c>
      <c r="E290" s="273"/>
      <c r="F290" s="649" t="s">
        <v>1201</v>
      </c>
      <c r="G290" s="649" t="s">
        <v>1201</v>
      </c>
      <c r="H290" s="649" t="s">
        <v>1201</v>
      </c>
      <c r="I290" s="649" t="str">
        <f t="shared" si="45"/>
        <v/>
      </c>
      <c r="J290" s="650" t="str">
        <f t="shared" si="46"/>
        <v/>
      </c>
      <c r="K290" s="650" t="str">
        <f t="shared" si="47"/>
        <v/>
      </c>
      <c r="L290" s="650" t="str">
        <f t="shared" si="48"/>
        <v/>
      </c>
      <c r="M290" s="635" t="s">
        <v>1201</v>
      </c>
      <c r="N290" s="650" t="str">
        <f t="shared" si="49"/>
        <v/>
      </c>
    </row>
    <row r="291" spans="1:14" x14ac:dyDescent="0.2">
      <c r="A291">
        <f t="shared" si="50"/>
        <v>1</v>
      </c>
      <c r="B291" s="451" t="str">
        <f>VLOOKUP(D291,'LA List'!$A$3:$B$470,2,0)</f>
        <v>E2437</v>
      </c>
      <c r="C291" s="451" t="str">
        <f t="shared" si="44"/>
        <v>E2437EZ1</v>
      </c>
      <c r="D291" s="273" t="s">
        <v>248</v>
      </c>
      <c r="E291" s="544" t="s">
        <v>2435</v>
      </c>
      <c r="F291" s="649">
        <v>0</v>
      </c>
      <c r="G291" s="649">
        <v>0</v>
      </c>
      <c r="H291" s="649">
        <v>0</v>
      </c>
      <c r="I291" s="649">
        <f t="shared" si="45"/>
        <v>0</v>
      </c>
      <c r="J291" s="650">
        <f t="shared" si="46"/>
        <v>0</v>
      </c>
      <c r="K291" s="650">
        <f t="shared" si="47"/>
        <v>0</v>
      </c>
      <c r="L291" s="650">
        <f t="shared" si="48"/>
        <v>0</v>
      </c>
      <c r="M291" s="635">
        <v>1104705</v>
      </c>
      <c r="N291" s="650">
        <f t="shared" si="49"/>
        <v>1104705</v>
      </c>
    </row>
    <row r="292" spans="1:14" x14ac:dyDescent="0.2">
      <c r="A292">
        <f t="shared" si="50"/>
        <v>1</v>
      </c>
      <c r="B292" s="451" t="str">
        <f>VLOOKUP(D292,'LA List'!$A$3:$B$470,2,0)</f>
        <v>E2702</v>
      </c>
      <c r="C292" s="451" t="str">
        <f t="shared" ref="C292" si="56">CONCATENATE(B292,"EZ",A292)</f>
        <v>E2702EZ1</v>
      </c>
      <c r="D292" s="544" t="s">
        <v>633</v>
      </c>
      <c r="E292" s="273"/>
      <c r="F292" s="649"/>
      <c r="G292" s="649"/>
      <c r="H292" s="649"/>
      <c r="I292" s="649"/>
      <c r="J292" s="650"/>
      <c r="K292" s="650"/>
      <c r="L292" s="650"/>
      <c r="M292" s="635" t="s">
        <v>1201</v>
      </c>
      <c r="N292" s="650" t="str">
        <f t="shared" si="49"/>
        <v/>
      </c>
    </row>
    <row r="293" spans="1:14" x14ac:dyDescent="0.2">
      <c r="A293">
        <f t="shared" si="50"/>
        <v>1</v>
      </c>
      <c r="B293" s="451" t="str">
        <f>VLOOKUP(D293,'LA List'!$A$3:$B$470,2,0)</f>
        <v>E2901</v>
      </c>
      <c r="C293" s="451" t="str">
        <f t="shared" si="44"/>
        <v>E2901EZ1</v>
      </c>
      <c r="D293" s="273" t="s">
        <v>250</v>
      </c>
      <c r="E293" s="273" t="s">
        <v>869</v>
      </c>
      <c r="F293" s="649">
        <v>14511</v>
      </c>
      <c r="G293" s="649">
        <v>14511</v>
      </c>
      <c r="H293" s="649">
        <v>14947</v>
      </c>
      <c r="I293" s="649">
        <f t="shared" si="45"/>
        <v>15290</v>
      </c>
      <c r="J293" s="650">
        <f t="shared" si="46"/>
        <v>15539</v>
      </c>
      <c r="K293" s="650">
        <f t="shared" si="47"/>
        <v>15539</v>
      </c>
      <c r="L293" s="650">
        <f t="shared" si="48"/>
        <v>15539</v>
      </c>
      <c r="M293" s="635">
        <v>17246</v>
      </c>
      <c r="N293" s="650">
        <f t="shared" si="49"/>
        <v>17246</v>
      </c>
    </row>
    <row r="294" spans="1:14" x14ac:dyDescent="0.2">
      <c r="A294">
        <f t="shared" si="50"/>
        <v>2</v>
      </c>
      <c r="B294" s="451" t="str">
        <f>VLOOKUP(D294,'LA List'!$A$3:$B$470,2,0)</f>
        <v>E2901</v>
      </c>
      <c r="C294" s="451" t="str">
        <f t="shared" si="44"/>
        <v>E2901EZ2</v>
      </c>
      <c r="D294" s="273" t="s">
        <v>250</v>
      </c>
      <c r="E294" s="273" t="s">
        <v>1125</v>
      </c>
      <c r="F294" s="649">
        <v>0</v>
      </c>
      <c r="G294" s="649">
        <v>0</v>
      </c>
      <c r="H294" s="649">
        <v>0</v>
      </c>
      <c r="I294" s="649">
        <f t="shared" si="45"/>
        <v>0</v>
      </c>
      <c r="J294" s="650">
        <f t="shared" si="46"/>
        <v>0</v>
      </c>
      <c r="K294" s="650">
        <f t="shared" si="47"/>
        <v>0</v>
      </c>
      <c r="L294" s="650">
        <f t="shared" si="48"/>
        <v>0</v>
      </c>
      <c r="M294" s="635">
        <v>0</v>
      </c>
      <c r="N294" s="650">
        <f t="shared" si="49"/>
        <v>0</v>
      </c>
    </row>
    <row r="295" spans="1:14" x14ac:dyDescent="0.2">
      <c r="A295">
        <f t="shared" si="50"/>
        <v>3</v>
      </c>
      <c r="B295" s="451" t="str">
        <f>VLOOKUP(D295,'LA List'!$A$3:$B$470,2,0)</f>
        <v>E2901</v>
      </c>
      <c r="C295" s="451" t="str">
        <f t="shared" si="44"/>
        <v>E2901EZ3</v>
      </c>
      <c r="D295" s="273" t="s">
        <v>250</v>
      </c>
      <c r="E295" s="273" t="s">
        <v>1126</v>
      </c>
      <c r="F295" s="649">
        <v>0</v>
      </c>
      <c r="G295" s="649">
        <v>0</v>
      </c>
      <c r="H295" s="649">
        <v>0</v>
      </c>
      <c r="I295" s="649">
        <f t="shared" si="45"/>
        <v>0</v>
      </c>
      <c r="J295" s="650">
        <f t="shared" si="46"/>
        <v>0</v>
      </c>
      <c r="K295" s="650">
        <f t="shared" si="47"/>
        <v>0</v>
      </c>
      <c r="L295" s="650">
        <f t="shared" si="48"/>
        <v>0</v>
      </c>
      <c r="M295" s="635">
        <v>0</v>
      </c>
      <c r="N295" s="650">
        <f t="shared" si="49"/>
        <v>0</v>
      </c>
    </row>
    <row r="296" spans="1:14" x14ac:dyDescent="0.2">
      <c r="A296">
        <f t="shared" si="50"/>
        <v>4</v>
      </c>
      <c r="B296" s="451" t="str">
        <f>VLOOKUP(D296,'LA List'!$A$3:$B$470,2,0)</f>
        <v>E2901</v>
      </c>
      <c r="C296" s="451" t="str">
        <f t="shared" si="44"/>
        <v>E2901EZ4</v>
      </c>
      <c r="D296" s="273" t="s">
        <v>250</v>
      </c>
      <c r="E296" s="273" t="s">
        <v>1127</v>
      </c>
      <c r="F296" s="649">
        <v>19858</v>
      </c>
      <c r="G296" s="649">
        <v>19858</v>
      </c>
      <c r="H296" s="649">
        <v>20455</v>
      </c>
      <c r="I296" s="649">
        <f t="shared" si="45"/>
        <v>20924</v>
      </c>
      <c r="J296" s="650">
        <f t="shared" si="46"/>
        <v>21265</v>
      </c>
      <c r="K296" s="650">
        <f t="shared" si="47"/>
        <v>21265</v>
      </c>
      <c r="L296" s="650">
        <f t="shared" si="48"/>
        <v>21265</v>
      </c>
      <c r="M296" s="635">
        <v>23364</v>
      </c>
      <c r="N296" s="650">
        <f t="shared" si="49"/>
        <v>23364</v>
      </c>
    </row>
    <row r="297" spans="1:14" x14ac:dyDescent="0.2">
      <c r="A297">
        <f t="shared" ref="A297" si="57">IF(D297=D296,A296+1,1)</f>
        <v>5</v>
      </c>
      <c r="B297" s="451" t="str">
        <f>VLOOKUP(D297,'LA List'!$A$3:$B$470,2,0)</f>
        <v>E2901</v>
      </c>
      <c r="C297" s="451" t="str">
        <f t="shared" ref="C297" si="58">CONCATENATE(B297,"EZ",A297)</f>
        <v>E2901EZ5</v>
      </c>
      <c r="D297" s="273" t="s">
        <v>250</v>
      </c>
      <c r="E297" s="273" t="s">
        <v>3372</v>
      </c>
      <c r="F297" s="649"/>
      <c r="G297" s="649"/>
      <c r="H297" s="649"/>
      <c r="I297" s="649"/>
      <c r="J297" s="650"/>
      <c r="K297" s="650"/>
      <c r="L297" s="650"/>
      <c r="M297" s="635"/>
      <c r="N297" s="650">
        <v>131069</v>
      </c>
    </row>
    <row r="298" spans="1:14" x14ac:dyDescent="0.2">
      <c r="A298">
        <f>IF(D298=D296,A296+1,1)</f>
        <v>1</v>
      </c>
      <c r="B298" s="451" t="str">
        <f>VLOOKUP(D298,'LA List'!$A$3:$B$470,2,0)</f>
        <v>E2636</v>
      </c>
      <c r="C298" s="451" t="str">
        <f t="shared" si="44"/>
        <v>E2636EZ1</v>
      </c>
      <c r="D298" s="273" t="s">
        <v>252</v>
      </c>
      <c r="E298" s="273"/>
      <c r="F298" s="649" t="s">
        <v>1201</v>
      </c>
      <c r="G298" s="649" t="s">
        <v>1201</v>
      </c>
      <c r="H298" s="649" t="s">
        <v>1201</v>
      </c>
      <c r="I298" s="649" t="str">
        <f t="shared" si="45"/>
        <v/>
      </c>
      <c r="J298" s="650" t="str">
        <f t="shared" si="46"/>
        <v/>
      </c>
      <c r="K298" s="650" t="str">
        <f t="shared" si="47"/>
        <v/>
      </c>
      <c r="L298" s="650" t="str">
        <f t="shared" si="48"/>
        <v/>
      </c>
      <c r="M298" s="635" t="s">
        <v>1201</v>
      </c>
      <c r="N298" s="650" t="str">
        <f t="shared" si="49"/>
        <v/>
      </c>
    </row>
    <row r="299" spans="1:14" x14ac:dyDescent="0.2">
      <c r="A299">
        <f t="shared" si="50"/>
        <v>1</v>
      </c>
      <c r="B299" s="451" t="str">
        <f>VLOOKUP(D299,'LA List'!$A$3:$B$470,2,0)</f>
        <v>E3001</v>
      </c>
      <c r="C299" s="451" t="str">
        <f t="shared" si="44"/>
        <v>E3001EZ1</v>
      </c>
      <c r="D299" s="273" t="s">
        <v>254</v>
      </c>
      <c r="E299" s="273" t="s">
        <v>870</v>
      </c>
      <c r="F299" s="649">
        <v>3980501</v>
      </c>
      <c r="G299" s="649">
        <v>3980501</v>
      </c>
      <c r="H299" s="649">
        <v>4100087</v>
      </c>
      <c r="I299" s="649">
        <f t="shared" si="45"/>
        <v>4194047</v>
      </c>
      <c r="J299" s="650">
        <f t="shared" si="46"/>
        <v>4262382</v>
      </c>
      <c r="K299" s="650">
        <f t="shared" si="47"/>
        <v>4262382</v>
      </c>
      <c r="L299" s="650">
        <f t="shared" si="48"/>
        <v>4262382</v>
      </c>
      <c r="M299" s="635">
        <v>4564154</v>
      </c>
      <c r="N299" s="650">
        <f t="shared" si="49"/>
        <v>4564154</v>
      </c>
    </row>
    <row r="300" spans="1:14" x14ac:dyDescent="0.2">
      <c r="A300">
        <f t="shared" si="50"/>
        <v>2</v>
      </c>
      <c r="B300" s="451" t="str">
        <f>VLOOKUP(D300,'LA List'!$A$3:$B$470,2,0)</f>
        <v>E3001</v>
      </c>
      <c r="C300" s="451" t="str">
        <f t="shared" si="44"/>
        <v>E3001EZ2</v>
      </c>
      <c r="D300" s="273" t="s">
        <v>254</v>
      </c>
      <c r="E300" s="273" t="s">
        <v>871</v>
      </c>
      <c r="F300" s="649">
        <v>6955778</v>
      </c>
      <c r="G300" s="649">
        <v>6955778</v>
      </c>
      <c r="H300" s="649">
        <v>7164750</v>
      </c>
      <c r="I300" s="649">
        <f t="shared" si="45"/>
        <v>7328942</v>
      </c>
      <c r="J300" s="650">
        <f t="shared" si="46"/>
        <v>7448354</v>
      </c>
      <c r="K300" s="650">
        <f t="shared" si="47"/>
        <v>7448354</v>
      </c>
      <c r="L300" s="650">
        <f t="shared" si="48"/>
        <v>7448354</v>
      </c>
      <c r="M300" s="635">
        <v>7757493</v>
      </c>
      <c r="N300" s="650">
        <f t="shared" si="49"/>
        <v>7757493</v>
      </c>
    </row>
    <row r="301" spans="1:14" x14ac:dyDescent="0.2">
      <c r="A301">
        <f t="shared" si="50"/>
        <v>1</v>
      </c>
      <c r="B301" s="451" t="str">
        <f>VLOOKUP(D301,'LA List'!$A$3:$B$470,2,0)</f>
        <v>E3732</v>
      </c>
      <c r="C301" s="451" t="str">
        <f t="shared" si="44"/>
        <v>E3732EZ1</v>
      </c>
      <c r="D301" s="273" t="s">
        <v>256</v>
      </c>
      <c r="E301" s="273"/>
      <c r="F301" s="649" t="s">
        <v>1201</v>
      </c>
      <c r="G301" s="649" t="s">
        <v>1201</v>
      </c>
      <c r="H301" s="649" t="s">
        <v>1201</v>
      </c>
      <c r="I301" s="649" t="str">
        <f t="shared" si="45"/>
        <v/>
      </c>
      <c r="J301" s="650" t="str">
        <f t="shared" si="46"/>
        <v/>
      </c>
      <c r="K301" s="650" t="str">
        <f t="shared" si="47"/>
        <v/>
      </c>
      <c r="L301" s="650" t="str">
        <f t="shared" si="48"/>
        <v/>
      </c>
      <c r="M301" s="635" t="s">
        <v>1201</v>
      </c>
      <c r="N301" s="650" t="str">
        <f t="shared" si="49"/>
        <v/>
      </c>
    </row>
    <row r="302" spans="1:14" x14ac:dyDescent="0.2">
      <c r="A302">
        <f t="shared" si="50"/>
        <v>1</v>
      </c>
      <c r="B302" s="451" t="str">
        <f>VLOOKUP(D302,'LA List'!$A$3:$B$470,2,0)</f>
        <v>E2438</v>
      </c>
      <c r="C302" s="451" t="str">
        <f t="shared" si="44"/>
        <v>E2438EZ1</v>
      </c>
      <c r="D302" s="273" t="s">
        <v>258</v>
      </c>
      <c r="E302" s="273"/>
      <c r="F302" s="649" t="s">
        <v>1201</v>
      </c>
      <c r="G302" s="649" t="s">
        <v>1201</v>
      </c>
      <c r="H302" s="649" t="s">
        <v>1201</v>
      </c>
      <c r="I302" s="649" t="str">
        <f t="shared" si="45"/>
        <v/>
      </c>
      <c r="J302" s="650" t="str">
        <f t="shared" si="46"/>
        <v/>
      </c>
      <c r="K302" s="650" t="str">
        <f t="shared" si="47"/>
        <v/>
      </c>
      <c r="L302" s="650" t="str">
        <f t="shared" si="48"/>
        <v/>
      </c>
      <c r="M302" s="635" t="s">
        <v>1201</v>
      </c>
      <c r="N302" s="650" t="str">
        <f t="shared" si="49"/>
        <v/>
      </c>
    </row>
    <row r="303" spans="1:14" x14ac:dyDescent="0.2">
      <c r="A303">
        <f t="shared" si="50"/>
        <v>1</v>
      </c>
      <c r="B303" s="451" t="str">
        <f>VLOOKUP(D303,'LA List'!$A$3:$B$470,2,0)</f>
        <v>E4204</v>
      </c>
      <c r="C303" s="451" t="str">
        <f t="shared" si="44"/>
        <v>E4204EZ1</v>
      </c>
      <c r="D303" s="273" t="s">
        <v>260</v>
      </c>
      <c r="E303" s="273"/>
      <c r="F303" s="649" t="s">
        <v>1201</v>
      </c>
      <c r="G303" s="649" t="s">
        <v>1201</v>
      </c>
      <c r="H303" s="649" t="s">
        <v>1201</v>
      </c>
      <c r="I303" s="649" t="str">
        <f t="shared" si="45"/>
        <v/>
      </c>
      <c r="J303" s="650" t="str">
        <f t="shared" si="46"/>
        <v/>
      </c>
      <c r="K303" s="650" t="str">
        <f t="shared" si="47"/>
        <v/>
      </c>
      <c r="L303" s="650" t="str">
        <f t="shared" si="48"/>
        <v/>
      </c>
      <c r="M303" s="635" t="s">
        <v>1201</v>
      </c>
      <c r="N303" s="650" t="str">
        <f t="shared" si="49"/>
        <v/>
      </c>
    </row>
    <row r="304" spans="1:14" x14ac:dyDescent="0.2">
      <c r="A304">
        <f t="shared" si="50"/>
        <v>1</v>
      </c>
      <c r="B304" s="451" t="str">
        <f>VLOOKUP(D304,'LA List'!$A$3:$B$470,2,0)</f>
        <v>E3132</v>
      </c>
      <c r="C304" s="451" t="str">
        <f t="shared" si="44"/>
        <v>E3132EZ1</v>
      </c>
      <c r="D304" s="273" t="s">
        <v>262</v>
      </c>
      <c r="E304" s="273"/>
      <c r="F304" s="649" t="s">
        <v>1201</v>
      </c>
      <c r="G304" s="649" t="s">
        <v>1201</v>
      </c>
      <c r="H304" s="649" t="s">
        <v>1201</v>
      </c>
      <c r="I304" s="649" t="str">
        <f t="shared" si="45"/>
        <v/>
      </c>
      <c r="J304" s="650" t="str">
        <f t="shared" si="46"/>
        <v/>
      </c>
      <c r="K304" s="650" t="str">
        <f t="shared" si="47"/>
        <v/>
      </c>
      <c r="L304" s="650" t="str">
        <f t="shared" si="48"/>
        <v/>
      </c>
      <c r="M304" s="635" t="s">
        <v>1201</v>
      </c>
      <c r="N304" s="650" t="str">
        <f t="shared" si="49"/>
        <v/>
      </c>
    </row>
    <row r="305" spans="1:14" x14ac:dyDescent="0.2">
      <c r="A305">
        <f t="shared" si="50"/>
        <v>1</v>
      </c>
      <c r="B305" s="451" t="str">
        <f>VLOOKUP(D305,'LA List'!$A$3:$B$470,2,0)</f>
        <v>E2338</v>
      </c>
      <c r="C305" s="451" t="str">
        <f t="shared" si="44"/>
        <v>E2338EZ1</v>
      </c>
      <c r="D305" s="273" t="s">
        <v>264</v>
      </c>
      <c r="E305" s="273"/>
      <c r="F305" s="649" t="s">
        <v>1201</v>
      </c>
      <c r="G305" s="649" t="s">
        <v>1201</v>
      </c>
      <c r="H305" s="649" t="s">
        <v>1201</v>
      </c>
      <c r="I305" s="649" t="str">
        <f t="shared" si="45"/>
        <v/>
      </c>
      <c r="J305" s="650" t="str">
        <f t="shared" si="46"/>
        <v/>
      </c>
      <c r="K305" s="650" t="str">
        <f t="shared" si="47"/>
        <v/>
      </c>
      <c r="L305" s="650" t="str">
        <f t="shared" si="48"/>
        <v/>
      </c>
      <c r="M305" s="635" t="s">
        <v>1201</v>
      </c>
      <c r="N305" s="650" t="str">
        <f t="shared" si="49"/>
        <v/>
      </c>
    </row>
    <row r="306" spans="1:14" x14ac:dyDescent="0.2">
      <c r="A306">
        <f t="shared" si="50"/>
        <v>1</v>
      </c>
      <c r="B306" s="451" t="str">
        <f>VLOOKUP(D306,'LA List'!$A$3:$B$470,2,0)</f>
        <v>E0501</v>
      </c>
      <c r="C306" s="451" t="str">
        <f t="shared" si="44"/>
        <v>E0501EZ1</v>
      </c>
      <c r="D306" s="273" t="s">
        <v>266</v>
      </c>
      <c r="E306" s="273"/>
      <c r="F306" s="649" t="s">
        <v>1201</v>
      </c>
      <c r="G306" s="649" t="s">
        <v>1201</v>
      </c>
      <c r="H306" s="649" t="s">
        <v>1201</v>
      </c>
      <c r="I306" s="649" t="str">
        <f t="shared" si="45"/>
        <v/>
      </c>
      <c r="J306" s="650" t="str">
        <f t="shared" si="46"/>
        <v/>
      </c>
      <c r="K306" s="650" t="str">
        <f t="shared" si="47"/>
        <v/>
      </c>
      <c r="L306" s="650" t="str">
        <f t="shared" si="48"/>
        <v/>
      </c>
      <c r="M306" s="635" t="s">
        <v>1201</v>
      </c>
      <c r="N306" s="650" t="str">
        <f t="shared" si="49"/>
        <v/>
      </c>
    </row>
    <row r="307" spans="1:14" x14ac:dyDescent="0.2">
      <c r="A307">
        <f t="shared" si="50"/>
        <v>1</v>
      </c>
      <c r="B307" s="451" t="str">
        <f>VLOOKUP(D307,'LA List'!$A$3:$B$470,2,0)</f>
        <v>E1101</v>
      </c>
      <c r="C307" s="451" t="str">
        <f t="shared" si="44"/>
        <v>E1101EZ1</v>
      </c>
      <c r="D307" s="273" t="s">
        <v>268</v>
      </c>
      <c r="E307" s="273" t="s">
        <v>1128</v>
      </c>
      <c r="F307" s="649">
        <v>528465</v>
      </c>
      <c r="G307" s="649">
        <v>528465</v>
      </c>
      <c r="H307" s="649">
        <v>544342</v>
      </c>
      <c r="I307" s="649">
        <f t="shared" si="45"/>
        <v>556817</v>
      </c>
      <c r="J307" s="650">
        <f t="shared" si="46"/>
        <v>565889</v>
      </c>
      <c r="K307" s="650">
        <f t="shared" si="47"/>
        <v>565889</v>
      </c>
      <c r="L307" s="650">
        <f t="shared" si="48"/>
        <v>565889</v>
      </c>
      <c r="M307" s="635">
        <v>550351</v>
      </c>
      <c r="N307" s="650">
        <f t="shared" si="49"/>
        <v>550351</v>
      </c>
    </row>
    <row r="308" spans="1:14" x14ac:dyDescent="0.2">
      <c r="A308">
        <f t="shared" ref="A308" si="59">IF(D308=D307,A307+1,1)</f>
        <v>2</v>
      </c>
      <c r="B308" s="451" t="str">
        <f>VLOOKUP(D308,'LA List'!$A$3:$B$470,2,0)</f>
        <v>E1101</v>
      </c>
      <c r="C308" s="451" t="str">
        <f t="shared" ref="C308" si="60">CONCATENATE(B308,"EZ",A308)</f>
        <v>E1101EZ2</v>
      </c>
      <c r="D308" s="544" t="s">
        <v>268</v>
      </c>
      <c r="E308" s="544" t="s">
        <v>2437</v>
      </c>
      <c r="F308" s="649">
        <v>0</v>
      </c>
      <c r="G308" s="649">
        <v>0</v>
      </c>
      <c r="H308" s="649">
        <v>0</v>
      </c>
      <c r="I308" s="649">
        <v>0</v>
      </c>
      <c r="J308" s="650">
        <v>0</v>
      </c>
      <c r="K308" s="650">
        <v>0</v>
      </c>
      <c r="L308" s="650">
        <v>0</v>
      </c>
      <c r="M308" s="635">
        <v>0</v>
      </c>
      <c r="N308" s="650">
        <f t="shared" si="49"/>
        <v>0</v>
      </c>
    </row>
    <row r="309" spans="1:14" x14ac:dyDescent="0.2">
      <c r="A309">
        <f>IF(D309=D307,A307+1,1)</f>
        <v>1</v>
      </c>
      <c r="B309" s="451" t="str">
        <f>VLOOKUP(D309,'LA List'!$A$3:$B$470,2,0)</f>
        <v>E1701</v>
      </c>
      <c r="C309" s="451" t="str">
        <f t="shared" si="44"/>
        <v>E1701EZ1</v>
      </c>
      <c r="D309" s="273" t="s">
        <v>270</v>
      </c>
      <c r="E309" s="273"/>
      <c r="F309" s="649" t="s">
        <v>1201</v>
      </c>
      <c r="G309" s="649" t="s">
        <v>1201</v>
      </c>
      <c r="H309" s="649" t="s">
        <v>1201</v>
      </c>
      <c r="I309" s="649" t="str">
        <f t="shared" si="45"/>
        <v/>
      </c>
      <c r="J309" s="650" t="str">
        <f t="shared" si="46"/>
        <v/>
      </c>
      <c r="K309" s="650" t="str">
        <f t="shared" si="47"/>
        <v/>
      </c>
      <c r="L309" s="650" t="str">
        <f t="shared" si="48"/>
        <v/>
      </c>
      <c r="M309" s="635" t="s">
        <v>1201</v>
      </c>
      <c r="N309" s="650" t="str">
        <f t="shared" si="49"/>
        <v/>
      </c>
    </row>
    <row r="310" spans="1:14" x14ac:dyDescent="0.2">
      <c r="A310">
        <f t="shared" si="50"/>
        <v>1</v>
      </c>
      <c r="B310" s="451" t="str">
        <f>VLOOKUP(D310,'LA List'!$A$3:$B$470,2,0)</f>
        <v>E2339</v>
      </c>
      <c r="C310" s="451" t="str">
        <f t="shared" si="44"/>
        <v>E2339EZ1</v>
      </c>
      <c r="D310" s="273" t="s">
        <v>272</v>
      </c>
      <c r="E310" s="273"/>
      <c r="F310" s="649" t="s">
        <v>1201</v>
      </c>
      <c r="G310" s="649" t="s">
        <v>1201</v>
      </c>
      <c r="H310" s="649" t="s">
        <v>1201</v>
      </c>
      <c r="I310" s="649" t="str">
        <f t="shared" si="45"/>
        <v/>
      </c>
      <c r="J310" s="650" t="str">
        <f t="shared" si="46"/>
        <v/>
      </c>
      <c r="K310" s="650" t="str">
        <f t="shared" si="47"/>
        <v/>
      </c>
      <c r="L310" s="650" t="str">
        <f t="shared" si="48"/>
        <v/>
      </c>
      <c r="M310" s="635" t="s">
        <v>1201</v>
      </c>
      <c r="N310" s="650" t="str">
        <f t="shared" si="49"/>
        <v/>
      </c>
    </row>
    <row r="311" spans="1:14" x14ac:dyDescent="0.2">
      <c r="A311">
        <f t="shared" si="50"/>
        <v>1</v>
      </c>
      <c r="B311" s="451" t="str">
        <f>VLOOKUP(D311,'LA List'!$A$3:$B$470,2,0)</f>
        <v>E0303</v>
      </c>
      <c r="C311" s="451" t="str">
        <f t="shared" si="44"/>
        <v>E0303EZ1</v>
      </c>
      <c r="D311" s="273" t="s">
        <v>274</v>
      </c>
      <c r="E311" s="273"/>
      <c r="F311" s="649" t="s">
        <v>1201</v>
      </c>
      <c r="G311" s="649" t="s">
        <v>1201</v>
      </c>
      <c r="H311" s="649" t="s">
        <v>1201</v>
      </c>
      <c r="I311" s="649" t="str">
        <f t="shared" si="45"/>
        <v/>
      </c>
      <c r="J311" s="650" t="str">
        <f t="shared" si="46"/>
        <v/>
      </c>
      <c r="K311" s="650" t="str">
        <f t="shared" si="47"/>
        <v/>
      </c>
      <c r="L311" s="650" t="str">
        <f t="shared" si="48"/>
        <v/>
      </c>
      <c r="M311" s="635" t="s">
        <v>1201</v>
      </c>
      <c r="N311" s="650" t="str">
        <f t="shared" si="49"/>
        <v/>
      </c>
    </row>
    <row r="312" spans="1:14" x14ac:dyDescent="0.2">
      <c r="A312">
        <f t="shared" si="50"/>
        <v>1</v>
      </c>
      <c r="B312" s="451" t="str">
        <f>VLOOKUP(D312,'LA List'!$A$3:$B$470,2,0)</f>
        <v>E5046</v>
      </c>
      <c r="C312" s="451" t="str">
        <f t="shared" si="44"/>
        <v>E5046EZ1</v>
      </c>
      <c r="D312" s="273" t="s">
        <v>276</v>
      </c>
      <c r="E312" s="273"/>
      <c r="F312" s="649" t="s">
        <v>1201</v>
      </c>
      <c r="G312" s="649" t="s">
        <v>1201</v>
      </c>
      <c r="H312" s="649" t="s">
        <v>1201</v>
      </c>
      <c r="I312" s="649" t="str">
        <f t="shared" si="45"/>
        <v/>
      </c>
      <c r="J312" s="650" t="str">
        <f t="shared" si="46"/>
        <v/>
      </c>
      <c r="K312" s="650" t="str">
        <f t="shared" si="47"/>
        <v/>
      </c>
      <c r="L312" s="650" t="str">
        <f t="shared" si="48"/>
        <v/>
      </c>
      <c r="M312" s="635" t="s">
        <v>1201</v>
      </c>
      <c r="N312" s="650" t="str">
        <f t="shared" si="49"/>
        <v/>
      </c>
    </row>
    <row r="313" spans="1:14" x14ac:dyDescent="0.2">
      <c r="A313">
        <f t="shared" si="50"/>
        <v>1</v>
      </c>
      <c r="B313" s="451" t="str">
        <f>VLOOKUP(D313,'LA List'!$A$3:$B$470,2,0)</f>
        <v>E0703</v>
      </c>
      <c r="C313" s="451" t="str">
        <f t="shared" si="44"/>
        <v>E0703EZ1</v>
      </c>
      <c r="D313" s="273" t="s">
        <v>278</v>
      </c>
      <c r="E313" s="273" t="s">
        <v>858</v>
      </c>
      <c r="F313" s="649">
        <v>0</v>
      </c>
      <c r="G313" s="649">
        <v>0</v>
      </c>
      <c r="H313" s="649">
        <v>0</v>
      </c>
      <c r="I313" s="649">
        <f t="shared" si="45"/>
        <v>0</v>
      </c>
      <c r="J313" s="650">
        <f t="shared" si="46"/>
        <v>0</v>
      </c>
      <c r="K313" s="650">
        <f t="shared" si="47"/>
        <v>0</v>
      </c>
      <c r="L313" s="650">
        <f t="shared" si="48"/>
        <v>0</v>
      </c>
      <c r="M313" s="635">
        <v>0</v>
      </c>
      <c r="N313" s="650">
        <f t="shared" si="49"/>
        <v>0</v>
      </c>
    </row>
    <row r="314" spans="1:14" x14ac:dyDescent="0.2">
      <c r="A314">
        <f t="shared" si="50"/>
        <v>2</v>
      </c>
      <c r="B314" s="451" t="str">
        <f>VLOOKUP(D314,'LA List'!$A$3:$B$470,2,0)</f>
        <v>E0703</v>
      </c>
      <c r="C314" s="451" t="str">
        <f t="shared" si="44"/>
        <v>E0703EZ2</v>
      </c>
      <c r="D314" s="273" t="s">
        <v>278</v>
      </c>
      <c r="E314" s="544" t="s">
        <v>2283</v>
      </c>
      <c r="F314" s="649">
        <v>0</v>
      </c>
      <c r="G314" s="649">
        <v>0</v>
      </c>
      <c r="H314" s="649">
        <v>0</v>
      </c>
      <c r="I314" s="649">
        <v>0</v>
      </c>
      <c r="J314" s="649">
        <f t="shared" si="46"/>
        <v>0</v>
      </c>
      <c r="K314" s="649">
        <v>6927193</v>
      </c>
      <c r="L314" s="650">
        <f t="shared" si="48"/>
        <v>6927193</v>
      </c>
      <c r="M314" s="635">
        <v>9178891</v>
      </c>
      <c r="N314" s="650">
        <f t="shared" si="49"/>
        <v>9178891</v>
      </c>
    </row>
    <row r="315" spans="1:14" x14ac:dyDescent="0.2">
      <c r="A315">
        <f t="shared" ref="A315" si="61">IF(D315=D314,A314+1,1)</f>
        <v>3</v>
      </c>
      <c r="B315" s="451" t="str">
        <f>VLOOKUP(D315,'LA List'!$A$3:$B$470,2,0)</f>
        <v>E0703</v>
      </c>
      <c r="C315" s="451" t="str">
        <f t="shared" ref="C315" si="62">CONCATENATE(B315,"EZ",A315)</f>
        <v>E0703EZ3</v>
      </c>
      <c r="D315" s="273" t="s">
        <v>278</v>
      </c>
      <c r="E315" s="544" t="s">
        <v>2439</v>
      </c>
      <c r="F315" s="649">
        <v>0</v>
      </c>
      <c r="G315" s="649">
        <v>0</v>
      </c>
      <c r="H315" s="649">
        <v>0</v>
      </c>
      <c r="I315" s="649">
        <v>0</v>
      </c>
      <c r="J315" s="649">
        <v>0</v>
      </c>
      <c r="K315" s="649">
        <v>0</v>
      </c>
      <c r="L315" s="650">
        <v>0</v>
      </c>
      <c r="M315" s="635">
        <v>0</v>
      </c>
      <c r="N315" s="650">
        <f t="shared" si="49"/>
        <v>0</v>
      </c>
    </row>
    <row r="316" spans="1:14" x14ac:dyDescent="0.2">
      <c r="A316">
        <f>IF(D316=D314,A314+1,1)</f>
        <v>1</v>
      </c>
      <c r="B316" s="451" t="str">
        <f>VLOOKUP(D316,'LA List'!$A$3:$B$470,2,0)</f>
        <v>E1835</v>
      </c>
      <c r="C316" s="451" t="str">
        <f t="shared" si="44"/>
        <v>E1835EZ1</v>
      </c>
      <c r="D316" s="273" t="s">
        <v>280</v>
      </c>
      <c r="E316" s="273"/>
      <c r="F316" s="649" t="s">
        <v>1201</v>
      </c>
      <c r="G316" s="649" t="s">
        <v>1201</v>
      </c>
      <c r="H316" s="649" t="s">
        <v>1201</v>
      </c>
      <c r="I316" s="649" t="str">
        <f t="shared" si="45"/>
        <v/>
      </c>
      <c r="J316" s="650" t="str">
        <f t="shared" si="46"/>
        <v/>
      </c>
      <c r="K316" s="650" t="str">
        <f t="shared" si="47"/>
        <v/>
      </c>
      <c r="L316" s="650" t="str">
        <f t="shared" si="48"/>
        <v/>
      </c>
      <c r="M316" s="635" t="s">
        <v>1201</v>
      </c>
      <c r="N316" s="650" t="str">
        <f t="shared" si="49"/>
        <v/>
      </c>
    </row>
    <row r="317" spans="1:14" x14ac:dyDescent="0.2">
      <c r="A317">
        <f t="shared" si="50"/>
        <v>1</v>
      </c>
      <c r="B317" s="451" t="str">
        <f>VLOOKUP(D317,'LA List'!$A$3:$B$470,2,0)</f>
        <v>E3635</v>
      </c>
      <c r="C317" s="451" t="str">
        <f t="shared" si="44"/>
        <v>E3635EZ1</v>
      </c>
      <c r="D317" s="273" t="s">
        <v>282</v>
      </c>
      <c r="E317" s="273"/>
      <c r="F317" s="649" t="s">
        <v>1201</v>
      </c>
      <c r="G317" s="649" t="s">
        <v>1201</v>
      </c>
      <c r="H317" s="649" t="s">
        <v>1201</v>
      </c>
      <c r="I317" s="649" t="str">
        <f t="shared" si="45"/>
        <v/>
      </c>
      <c r="J317" s="650" t="str">
        <f t="shared" si="46"/>
        <v/>
      </c>
      <c r="K317" s="650" t="str">
        <f t="shared" si="47"/>
        <v/>
      </c>
      <c r="L317" s="650" t="str">
        <f t="shared" si="48"/>
        <v/>
      </c>
      <c r="M317" s="635" t="s">
        <v>1201</v>
      </c>
      <c r="N317" s="650" t="str">
        <f t="shared" si="49"/>
        <v/>
      </c>
    </row>
    <row r="318" spans="1:14" x14ac:dyDescent="0.2">
      <c r="A318">
        <f t="shared" si="50"/>
        <v>1</v>
      </c>
      <c r="B318" s="451" t="str">
        <f>VLOOKUP(D318,'LA List'!$A$3:$B$470,2,0)</f>
        <v>E2340</v>
      </c>
      <c r="C318" s="451" t="str">
        <f t="shared" si="44"/>
        <v>E2340EZ1</v>
      </c>
      <c r="D318" s="273" t="s">
        <v>284</v>
      </c>
      <c r="E318" s="273" t="s">
        <v>854</v>
      </c>
      <c r="F318" s="649">
        <v>1840050</v>
      </c>
      <c r="G318" s="649">
        <v>1840050</v>
      </c>
      <c r="H318" s="649">
        <v>1895330</v>
      </c>
      <c r="I318" s="649">
        <f t="shared" si="45"/>
        <v>1938765</v>
      </c>
      <c r="J318" s="650">
        <f t="shared" si="46"/>
        <v>1970354</v>
      </c>
      <c r="K318" s="650">
        <f t="shared" si="47"/>
        <v>1970354</v>
      </c>
      <c r="L318" s="650">
        <f t="shared" si="48"/>
        <v>1970354</v>
      </c>
      <c r="M318" s="635">
        <v>2168472</v>
      </c>
      <c r="N318" s="650">
        <f t="shared" si="49"/>
        <v>2168472</v>
      </c>
    </row>
    <row r="319" spans="1:14" x14ac:dyDescent="0.2">
      <c r="A319">
        <f t="shared" si="50"/>
        <v>1</v>
      </c>
      <c r="B319" s="451" t="str">
        <f>VLOOKUP(D319,'LA List'!$A$3:$B$470,2,0)</f>
        <v>E5047</v>
      </c>
      <c r="C319" s="451" t="str">
        <f t="shared" si="44"/>
        <v>E5047EZ1</v>
      </c>
      <c r="D319" s="273" t="s">
        <v>286</v>
      </c>
      <c r="E319" s="273"/>
      <c r="F319" s="649" t="s">
        <v>1201</v>
      </c>
      <c r="G319" s="649" t="s">
        <v>1201</v>
      </c>
      <c r="H319" s="649" t="s">
        <v>1201</v>
      </c>
      <c r="I319" s="649" t="str">
        <f t="shared" si="45"/>
        <v/>
      </c>
      <c r="J319" s="650" t="str">
        <f t="shared" si="46"/>
        <v/>
      </c>
      <c r="K319" s="650" t="str">
        <f t="shared" si="47"/>
        <v/>
      </c>
      <c r="L319" s="650" t="str">
        <f t="shared" si="48"/>
        <v/>
      </c>
      <c r="M319" s="635" t="s">
        <v>1201</v>
      </c>
      <c r="N319" s="650" t="str">
        <f t="shared" si="49"/>
        <v/>
      </c>
    </row>
    <row r="320" spans="1:14" x14ac:dyDescent="0.2">
      <c r="A320">
        <f t="shared" si="50"/>
        <v>1</v>
      </c>
      <c r="B320" s="451" t="str">
        <f>VLOOKUP(D320,'LA List'!$A$3:$B$470,2,0)</f>
        <v>E4205</v>
      </c>
      <c r="C320" s="451" t="str">
        <f t="shared" si="44"/>
        <v>E4205EZ1</v>
      </c>
      <c r="D320" s="273" t="s">
        <v>288</v>
      </c>
      <c r="E320" s="273" t="s">
        <v>3366</v>
      </c>
      <c r="F320" s="649" t="s">
        <v>1201</v>
      </c>
      <c r="G320" s="649" t="s">
        <v>1201</v>
      </c>
      <c r="H320" s="649" t="s">
        <v>1201</v>
      </c>
      <c r="I320" s="649" t="str">
        <f t="shared" si="45"/>
        <v/>
      </c>
      <c r="J320" s="650" t="str">
        <f t="shared" si="46"/>
        <v/>
      </c>
      <c r="K320" s="650" t="str">
        <f t="shared" si="47"/>
        <v/>
      </c>
      <c r="L320" s="650" t="str">
        <f t="shared" si="48"/>
        <v/>
      </c>
      <c r="M320" s="635" t="s">
        <v>1201</v>
      </c>
      <c r="N320" s="650">
        <v>0</v>
      </c>
    </row>
    <row r="321" spans="1:14" x14ac:dyDescent="0.2">
      <c r="A321">
        <f t="shared" si="50"/>
        <v>1</v>
      </c>
      <c r="B321" s="451" t="str">
        <f>VLOOKUP(D321,'LA List'!$A$3:$B$470,2,0)</f>
        <v>E1540</v>
      </c>
      <c r="C321" s="451" t="str">
        <f t="shared" si="44"/>
        <v>E1540EZ1</v>
      </c>
      <c r="D321" s="273" t="s">
        <v>290</v>
      </c>
      <c r="E321" s="273"/>
      <c r="F321" s="649" t="s">
        <v>1201</v>
      </c>
      <c r="G321" s="649" t="s">
        <v>1201</v>
      </c>
      <c r="H321" s="649" t="s">
        <v>1201</v>
      </c>
      <c r="I321" s="649" t="str">
        <f t="shared" si="45"/>
        <v/>
      </c>
      <c r="J321" s="650" t="str">
        <f t="shared" si="46"/>
        <v/>
      </c>
      <c r="K321" s="650" t="str">
        <f t="shared" si="47"/>
        <v/>
      </c>
      <c r="L321" s="650" t="str">
        <f t="shared" si="48"/>
        <v/>
      </c>
      <c r="M321" s="635" t="s">
        <v>1201</v>
      </c>
      <c r="N321" s="650" t="str">
        <f t="shared" si="49"/>
        <v/>
      </c>
    </row>
    <row r="322" spans="1:14" x14ac:dyDescent="0.2">
      <c r="A322">
        <f t="shared" si="50"/>
        <v>1</v>
      </c>
      <c r="B322" s="451" t="str">
        <f>VLOOKUP(D322,'LA List'!$A$3:$B$470,2,0)</f>
        <v>E2341</v>
      </c>
      <c r="C322" s="451" t="str">
        <f t="shared" si="44"/>
        <v>E2341EZ1</v>
      </c>
      <c r="D322" s="273" t="s">
        <v>292</v>
      </c>
      <c r="E322" s="273"/>
      <c r="F322" s="649" t="s">
        <v>1201</v>
      </c>
      <c r="G322" s="649" t="s">
        <v>1201</v>
      </c>
      <c r="H322" s="649" t="s">
        <v>1201</v>
      </c>
      <c r="I322" s="649" t="str">
        <f t="shared" si="45"/>
        <v/>
      </c>
      <c r="J322" s="650" t="str">
        <f t="shared" si="46"/>
        <v/>
      </c>
      <c r="K322" s="650" t="str">
        <f t="shared" si="47"/>
        <v/>
      </c>
      <c r="L322" s="650" t="str">
        <f t="shared" si="48"/>
        <v/>
      </c>
      <c r="M322" s="635" t="s">
        <v>1201</v>
      </c>
      <c r="N322" s="650" t="str">
        <f t="shared" si="49"/>
        <v/>
      </c>
    </row>
    <row r="323" spans="1:14" x14ac:dyDescent="0.2">
      <c r="A323">
        <f t="shared" si="50"/>
        <v>1</v>
      </c>
      <c r="B323" s="451" t="str">
        <f>VLOOKUP(D323,'LA List'!$A$3:$B$470,2,0)</f>
        <v>E1436</v>
      </c>
      <c r="C323" s="451" t="str">
        <f t="shared" si="44"/>
        <v>E1436EZ1</v>
      </c>
      <c r="D323" s="273" t="s">
        <v>294</v>
      </c>
      <c r="E323" s="273"/>
      <c r="F323" s="649" t="s">
        <v>1201</v>
      </c>
      <c r="G323" s="649" t="s">
        <v>1201</v>
      </c>
      <c r="H323" s="649" t="s">
        <v>1201</v>
      </c>
      <c r="I323" s="649" t="str">
        <f t="shared" si="45"/>
        <v/>
      </c>
      <c r="J323" s="650" t="str">
        <f t="shared" si="46"/>
        <v/>
      </c>
      <c r="K323" s="650" t="str">
        <f t="shared" si="47"/>
        <v/>
      </c>
      <c r="L323" s="650" t="str">
        <f t="shared" si="48"/>
        <v/>
      </c>
      <c r="M323" s="635" t="s">
        <v>1201</v>
      </c>
      <c r="N323" s="650" t="str">
        <f t="shared" si="49"/>
        <v/>
      </c>
    </row>
    <row r="324" spans="1:14" x14ac:dyDescent="0.2">
      <c r="A324">
        <f t="shared" si="50"/>
        <v>1</v>
      </c>
      <c r="B324" s="451" t="str">
        <f>VLOOKUP(D324,'LA List'!$A$3:$B$470,2,0)</f>
        <v>E4403</v>
      </c>
      <c r="C324" s="451" t="str">
        <f t="shared" si="44"/>
        <v>E4403EZ1</v>
      </c>
      <c r="D324" s="273" t="s">
        <v>296</v>
      </c>
      <c r="E324" s="273" t="s">
        <v>849</v>
      </c>
      <c r="F324" s="649">
        <v>321615</v>
      </c>
      <c r="G324" s="649">
        <v>321615</v>
      </c>
      <c r="H324" s="649">
        <v>331277</v>
      </c>
      <c r="I324" s="649">
        <f t="shared" si="45"/>
        <v>338869</v>
      </c>
      <c r="J324" s="650">
        <f t="shared" si="46"/>
        <v>344390</v>
      </c>
      <c r="K324" s="650">
        <f t="shared" si="47"/>
        <v>344390</v>
      </c>
      <c r="L324" s="650">
        <f t="shared" si="48"/>
        <v>344390</v>
      </c>
      <c r="M324" s="635">
        <v>414276</v>
      </c>
      <c r="N324" s="650">
        <f t="shared" si="49"/>
        <v>414276</v>
      </c>
    </row>
    <row r="325" spans="1:14" x14ac:dyDescent="0.2">
      <c r="A325">
        <f t="shared" si="50"/>
        <v>1</v>
      </c>
      <c r="B325" s="451" t="str">
        <f>VLOOKUP(D325,'LA List'!$A$3:$B$470,2,0)</f>
        <v>E3733</v>
      </c>
      <c r="C325" s="451" t="str">
        <f t="shared" si="44"/>
        <v>E3733EZ1</v>
      </c>
      <c r="D325" s="273" t="s">
        <v>298</v>
      </c>
      <c r="E325" s="273"/>
      <c r="F325" s="649" t="s">
        <v>1201</v>
      </c>
      <c r="G325" s="649" t="s">
        <v>1201</v>
      </c>
      <c r="H325" s="649" t="s">
        <v>1201</v>
      </c>
      <c r="I325" s="649" t="str">
        <f t="shared" si="45"/>
        <v/>
      </c>
      <c r="J325" s="650" t="str">
        <f t="shared" si="46"/>
        <v/>
      </c>
      <c r="K325" s="650" t="str">
        <f t="shared" si="47"/>
        <v/>
      </c>
      <c r="L325" s="650" t="str">
        <f t="shared" si="48"/>
        <v/>
      </c>
      <c r="M325" s="635" t="s">
        <v>1201</v>
      </c>
      <c r="N325" s="650" t="str">
        <f t="shared" si="49"/>
        <v/>
      </c>
    </row>
    <row r="326" spans="1:14" x14ac:dyDescent="0.2">
      <c r="A326">
        <f t="shared" si="50"/>
        <v>1</v>
      </c>
      <c r="B326" s="451" t="str">
        <f>VLOOKUP(D326,'LA List'!$A$3:$B$470,2,0)</f>
        <v>E3636</v>
      </c>
      <c r="C326" s="451" t="str">
        <f t="shared" ref="C326:C384" si="63">CONCATENATE(B326,"EZ",A326)</f>
        <v>E3636EZ1</v>
      </c>
      <c r="D326" s="273" t="s">
        <v>300</v>
      </c>
      <c r="E326" s="273" t="s">
        <v>1130</v>
      </c>
      <c r="F326" s="649">
        <v>602682</v>
      </c>
      <c r="G326" s="649">
        <v>602682</v>
      </c>
      <c r="H326" s="649">
        <v>620788</v>
      </c>
      <c r="I326" s="649">
        <f t="shared" si="45"/>
        <v>635014</v>
      </c>
      <c r="J326" s="650">
        <f t="shared" si="46"/>
        <v>645360</v>
      </c>
      <c r="K326" s="650">
        <f t="shared" si="47"/>
        <v>645360</v>
      </c>
      <c r="L326" s="650">
        <f t="shared" si="48"/>
        <v>645360</v>
      </c>
      <c r="M326" s="635">
        <v>795116</v>
      </c>
      <c r="N326" s="650">
        <f t="shared" si="49"/>
        <v>795116</v>
      </c>
    </row>
    <row r="327" spans="1:14" x14ac:dyDescent="0.2">
      <c r="A327">
        <f t="shared" si="50"/>
        <v>1</v>
      </c>
      <c r="B327" s="451" t="str">
        <f>VLOOKUP(D327,'LA List'!$A$3:$B$470,2,0)</f>
        <v>E3038</v>
      </c>
      <c r="C327" s="451" t="str">
        <f t="shared" si="63"/>
        <v>E3038EZ1</v>
      </c>
      <c r="D327" s="273" t="s">
        <v>302</v>
      </c>
      <c r="E327" s="544" t="s">
        <v>2435</v>
      </c>
      <c r="F327" s="649">
        <v>0</v>
      </c>
      <c r="G327" s="649">
        <v>0</v>
      </c>
      <c r="H327" s="649">
        <v>0</v>
      </c>
      <c r="I327" s="649">
        <f t="shared" si="45"/>
        <v>0</v>
      </c>
      <c r="J327" s="650">
        <f t="shared" si="46"/>
        <v>0</v>
      </c>
      <c r="K327" s="650">
        <f t="shared" si="47"/>
        <v>0</v>
      </c>
      <c r="L327" s="650">
        <f t="shared" si="48"/>
        <v>0</v>
      </c>
      <c r="M327" s="635">
        <v>0</v>
      </c>
      <c r="N327" s="650">
        <f t="shared" si="49"/>
        <v>0</v>
      </c>
    </row>
    <row r="328" spans="1:14" x14ac:dyDescent="0.2">
      <c r="A328">
        <f t="shared" si="50"/>
        <v>1</v>
      </c>
      <c r="B328" s="451" t="str">
        <f>VLOOKUP(D328,'LA List'!$A$3:$B$470,2,0)</f>
        <v>E1740</v>
      </c>
      <c r="C328" s="451" t="str">
        <f t="shared" si="63"/>
        <v>E1740EZ1</v>
      </c>
      <c r="D328" s="273" t="s">
        <v>304</v>
      </c>
      <c r="E328" s="273"/>
      <c r="F328" s="649" t="s">
        <v>1201</v>
      </c>
      <c r="G328" s="649" t="s">
        <v>1201</v>
      </c>
      <c r="H328" s="649" t="s">
        <v>1201</v>
      </c>
      <c r="I328" s="649" t="str">
        <f t="shared" ref="I328:I389" si="64">IF(H328="","",ROUND(H328*$I$1,0))</f>
        <v/>
      </c>
      <c r="J328" s="650" t="str">
        <f t="shared" ref="J328:J389" si="65">IF(I328="","",ROUND(I328*$J$1,0))</f>
        <v/>
      </c>
      <c r="K328" s="650" t="str">
        <f t="shared" ref="K328:K390" si="66">IF(J328="","",ROUND(J328*$K$1,0))</f>
        <v/>
      </c>
      <c r="L328" s="650" t="str">
        <f t="shared" si="48"/>
        <v/>
      </c>
      <c r="M328" s="635" t="s">
        <v>1201</v>
      </c>
      <c r="N328" s="650" t="str">
        <f t="shared" si="49"/>
        <v/>
      </c>
    </row>
    <row r="329" spans="1:14" x14ac:dyDescent="0.2">
      <c r="A329">
        <f t="shared" si="50"/>
        <v>1</v>
      </c>
      <c r="B329" s="451" t="str">
        <f>VLOOKUP(D329,'LA List'!$A$3:$B$470,2,0)</f>
        <v>E2402</v>
      </c>
      <c r="C329" s="451" t="str">
        <f t="shared" si="63"/>
        <v>E2402EZ1</v>
      </c>
      <c r="D329" s="273" t="s">
        <v>306</v>
      </c>
      <c r="E329" s="273"/>
      <c r="F329" s="649" t="s">
        <v>1201</v>
      </c>
      <c r="G329" s="649" t="s">
        <v>1201</v>
      </c>
      <c r="H329" s="649" t="s">
        <v>1201</v>
      </c>
      <c r="I329" s="649" t="str">
        <f t="shared" si="64"/>
        <v/>
      </c>
      <c r="J329" s="650" t="str">
        <f t="shared" si="65"/>
        <v/>
      </c>
      <c r="K329" s="650" t="str">
        <f t="shared" si="66"/>
        <v/>
      </c>
      <c r="L329" s="650" t="str">
        <f t="shared" si="48"/>
        <v/>
      </c>
      <c r="M329" s="635" t="s">
        <v>1201</v>
      </c>
      <c r="N329" s="650" t="str">
        <f t="shared" si="49"/>
        <v/>
      </c>
    </row>
    <row r="330" spans="1:14" x14ac:dyDescent="0.2">
      <c r="A330">
        <f t="shared" si="50"/>
        <v>1</v>
      </c>
      <c r="B330" s="451" t="str">
        <f>VLOOKUP(D330,'LA List'!$A$3:$B$470,2,0)</f>
        <v>E4206</v>
      </c>
      <c r="C330" s="451" t="str">
        <f t="shared" si="63"/>
        <v>E4206EZ1</v>
      </c>
      <c r="D330" s="273" t="s">
        <v>308</v>
      </c>
      <c r="E330" s="273" t="s">
        <v>3371</v>
      </c>
      <c r="F330" s="649" t="s">
        <v>1201</v>
      </c>
      <c r="G330" s="649" t="s">
        <v>1201</v>
      </c>
      <c r="H330" s="649" t="s">
        <v>1201</v>
      </c>
      <c r="I330" s="649" t="str">
        <f t="shared" si="64"/>
        <v/>
      </c>
      <c r="J330" s="650" t="str">
        <f t="shared" si="65"/>
        <v/>
      </c>
      <c r="K330" s="650" t="str">
        <f t="shared" si="66"/>
        <v/>
      </c>
      <c r="L330" s="650" t="str">
        <f t="shared" si="48"/>
        <v/>
      </c>
      <c r="M330" s="635" t="s">
        <v>1201</v>
      </c>
      <c r="N330" s="650">
        <v>2280639.59375</v>
      </c>
    </row>
    <row r="331" spans="1:14" x14ac:dyDescent="0.2">
      <c r="A331">
        <f t="shared" ref="A331:A332" si="67">IF(D331=D330,A330+1,1)</f>
        <v>2</v>
      </c>
      <c r="B331" s="451" t="str">
        <f>VLOOKUP(D331,'LA List'!$A$3:$B$470,2,0)</f>
        <v>E4206</v>
      </c>
      <c r="C331" s="451" t="str">
        <f t="shared" ref="C331:C332" si="68">CONCATENATE(B331,"EZ",A331)</f>
        <v>E4206EZ2</v>
      </c>
      <c r="D331" s="273" t="s">
        <v>308</v>
      </c>
      <c r="E331" s="273" t="s">
        <v>3373</v>
      </c>
      <c r="F331" s="649"/>
      <c r="G331" s="649"/>
      <c r="H331" s="649"/>
      <c r="I331" s="649"/>
      <c r="J331" s="650"/>
      <c r="K331" s="650"/>
      <c r="L331" s="650"/>
      <c r="M331" s="635"/>
      <c r="N331" s="650">
        <v>24916674.16015625</v>
      </c>
    </row>
    <row r="332" spans="1:14" x14ac:dyDescent="0.2">
      <c r="A332">
        <f t="shared" si="67"/>
        <v>3</v>
      </c>
      <c r="B332" s="451" t="str">
        <f>VLOOKUP(D332,'LA List'!$A$3:$B$470,2,0)</f>
        <v>E4206</v>
      </c>
      <c r="C332" s="451" t="str">
        <f t="shared" si="68"/>
        <v>E4206EZ3</v>
      </c>
      <c r="D332" s="273" t="s">
        <v>308</v>
      </c>
      <c r="E332" s="273" t="s">
        <v>3374</v>
      </c>
      <c r="F332" s="649"/>
      <c r="G332" s="649"/>
      <c r="H332" s="649"/>
      <c r="I332" s="649"/>
      <c r="J332" s="650"/>
      <c r="K332" s="650"/>
      <c r="L332" s="650"/>
      <c r="M332" s="635"/>
      <c r="N332" s="650">
        <v>4007364.609375</v>
      </c>
    </row>
    <row r="333" spans="1:14" x14ac:dyDescent="0.2">
      <c r="A333">
        <f>IF(D333=D330,A330+1,1)</f>
        <v>1</v>
      </c>
      <c r="B333" s="451" t="str">
        <f>VLOOKUP(D333,'LA List'!$A$3:$B$470,2,0)</f>
        <v>E4604</v>
      </c>
      <c r="C333" s="451" t="str">
        <f t="shared" si="63"/>
        <v>E4604EZ1</v>
      </c>
      <c r="D333" s="273" t="s">
        <v>310</v>
      </c>
      <c r="E333" s="273" t="s">
        <v>3369</v>
      </c>
      <c r="F333" s="649" t="s">
        <v>1201</v>
      </c>
      <c r="G333" s="649" t="s">
        <v>1201</v>
      </c>
      <c r="H333" s="649" t="s">
        <v>1201</v>
      </c>
      <c r="I333" s="649" t="str">
        <f t="shared" si="64"/>
        <v/>
      </c>
      <c r="J333" s="650" t="str">
        <f t="shared" si="65"/>
        <v/>
      </c>
      <c r="K333" s="650" t="str">
        <f t="shared" si="66"/>
        <v/>
      </c>
      <c r="L333" s="650" t="str">
        <f t="shared" si="48"/>
        <v/>
      </c>
      <c r="M333" s="635" t="s">
        <v>1201</v>
      </c>
      <c r="N333" s="650">
        <v>469633.7442578125</v>
      </c>
    </row>
    <row r="334" spans="1:14" x14ac:dyDescent="0.2">
      <c r="A334">
        <f t="shared" si="50"/>
        <v>1</v>
      </c>
      <c r="B334" s="451" t="str">
        <f>VLOOKUP(D334,'LA List'!$A$3:$B$470,2,0)</f>
        <v>E4304</v>
      </c>
      <c r="C334" s="451" t="str">
        <f t="shared" si="63"/>
        <v>E4304EZ1</v>
      </c>
      <c r="D334" s="273" t="s">
        <v>312</v>
      </c>
      <c r="E334" s="273"/>
      <c r="F334" s="649" t="s">
        <v>1201</v>
      </c>
      <c r="G334" s="649" t="s">
        <v>1201</v>
      </c>
      <c r="H334" s="649" t="s">
        <v>1201</v>
      </c>
      <c r="I334" s="649" t="str">
        <f t="shared" si="64"/>
        <v/>
      </c>
      <c r="J334" s="650" t="str">
        <f t="shared" si="65"/>
        <v/>
      </c>
      <c r="K334" s="650" t="str">
        <f t="shared" si="66"/>
        <v/>
      </c>
      <c r="L334" s="650" t="str">
        <f t="shared" ref="L334:L396" si="69">IF(K334="","",ROUND(K334*$L$1,0))</f>
        <v/>
      </c>
      <c r="M334" s="635" t="s">
        <v>1201</v>
      </c>
      <c r="N334" s="650" t="str">
        <f t="shared" ref="N334:N401" si="70">IF(M334="","",ROUND(M334*$N$1,0))</f>
        <v/>
      </c>
    </row>
    <row r="335" spans="1:14" x14ac:dyDescent="0.2">
      <c r="A335">
        <f t="shared" si="50"/>
        <v>1</v>
      </c>
      <c r="B335" s="451" t="str">
        <f>VLOOKUP(D335,'LA List'!$A$3:$B$470,2,0)</f>
        <v>E2239</v>
      </c>
      <c r="C335" s="451" t="str">
        <f t="shared" si="63"/>
        <v>E2239EZ1</v>
      </c>
      <c r="D335" s="273" t="s">
        <v>314</v>
      </c>
      <c r="E335" s="273"/>
      <c r="F335" s="649" t="s">
        <v>1201</v>
      </c>
      <c r="G335" s="649" t="s">
        <v>1201</v>
      </c>
      <c r="H335" s="649" t="s">
        <v>1201</v>
      </c>
      <c r="I335" s="649" t="str">
        <f t="shared" si="64"/>
        <v/>
      </c>
      <c r="J335" s="650" t="str">
        <f t="shared" si="65"/>
        <v/>
      </c>
      <c r="K335" s="650" t="str">
        <f t="shared" si="66"/>
        <v/>
      </c>
      <c r="L335" s="650" t="str">
        <f t="shared" si="69"/>
        <v/>
      </c>
      <c r="M335" s="635" t="s">
        <v>1201</v>
      </c>
      <c r="N335" s="650" t="str">
        <f t="shared" si="70"/>
        <v/>
      </c>
    </row>
    <row r="336" spans="1:14" x14ac:dyDescent="0.2">
      <c r="A336">
        <f t="shared" si="50"/>
        <v>1</v>
      </c>
      <c r="B336" s="451" t="str">
        <f>VLOOKUP(D336,'LA List'!$A$3:$B$470,2,0)</f>
        <v>E4404</v>
      </c>
      <c r="C336" s="451" t="str">
        <f t="shared" si="63"/>
        <v>E4404EZ1</v>
      </c>
      <c r="D336" s="273" t="s">
        <v>316</v>
      </c>
      <c r="E336" s="273" t="s">
        <v>849</v>
      </c>
      <c r="F336" s="649">
        <v>1708539</v>
      </c>
      <c r="G336" s="649">
        <v>1708539</v>
      </c>
      <c r="H336" s="649">
        <v>1759868</v>
      </c>
      <c r="I336" s="649">
        <f t="shared" si="64"/>
        <v>1800198</v>
      </c>
      <c r="J336" s="650">
        <f t="shared" si="65"/>
        <v>1829529</v>
      </c>
      <c r="K336" s="650">
        <f t="shared" si="66"/>
        <v>1829529</v>
      </c>
      <c r="L336" s="650">
        <f t="shared" si="69"/>
        <v>1829529</v>
      </c>
      <c r="M336" s="635">
        <v>2520547</v>
      </c>
      <c r="N336" s="650">
        <f t="shared" si="70"/>
        <v>2520547</v>
      </c>
    </row>
    <row r="337" spans="1:14" x14ac:dyDescent="0.2">
      <c r="A337">
        <f t="shared" si="50"/>
        <v>2</v>
      </c>
      <c r="B337" s="451" t="str">
        <f>VLOOKUP(D337,'LA List'!$A$3:$B$470,2,0)</f>
        <v>E4404</v>
      </c>
      <c r="C337" s="451" t="str">
        <f t="shared" si="63"/>
        <v>E4404EZ2</v>
      </c>
      <c r="D337" s="273" t="s">
        <v>316</v>
      </c>
      <c r="E337" s="273" t="s">
        <v>855</v>
      </c>
      <c r="F337" s="649">
        <v>1604725</v>
      </c>
      <c r="G337" s="649">
        <v>1604725</v>
      </c>
      <c r="H337" s="649">
        <v>1652936</v>
      </c>
      <c r="I337" s="649">
        <f t="shared" si="64"/>
        <v>1690816</v>
      </c>
      <c r="J337" s="650">
        <f t="shared" si="65"/>
        <v>1718365</v>
      </c>
      <c r="K337" s="650">
        <f t="shared" si="66"/>
        <v>1718365</v>
      </c>
      <c r="L337" s="650">
        <f t="shared" si="69"/>
        <v>1718365</v>
      </c>
      <c r="M337" s="635">
        <v>1665601</v>
      </c>
      <c r="N337" s="650">
        <f t="shared" si="70"/>
        <v>1665601</v>
      </c>
    </row>
    <row r="338" spans="1:14" x14ac:dyDescent="0.2">
      <c r="A338">
        <f t="shared" ref="A338" si="71">IF(D338=D337,A337+1,1)</f>
        <v>3</v>
      </c>
      <c r="B338" s="451" t="str">
        <f>VLOOKUP(D338,'LA List'!$A$3:$B$470,2,0)</f>
        <v>E4404</v>
      </c>
      <c r="C338" s="451" t="str">
        <f t="shared" ref="C338" si="72">CONCATENATE(B338,"EZ",A338)</f>
        <v>E4404EZ3</v>
      </c>
      <c r="D338" s="273" t="s">
        <v>316</v>
      </c>
      <c r="E338" s="273" t="s">
        <v>3375</v>
      </c>
      <c r="F338" s="649"/>
      <c r="G338" s="649"/>
      <c r="H338" s="649"/>
      <c r="I338" s="649"/>
      <c r="J338" s="650"/>
      <c r="K338" s="650"/>
      <c r="L338" s="650"/>
      <c r="M338" s="635"/>
      <c r="N338" s="650">
        <v>3498088.0625</v>
      </c>
    </row>
    <row r="339" spans="1:14" x14ac:dyDescent="0.2">
      <c r="A339">
        <f>IF(D339=D337,A337+1,1)</f>
        <v>1</v>
      </c>
      <c r="B339" s="451" t="str">
        <f>VLOOKUP(D339,'LA List'!$A$3:$B$470,2,0)</f>
        <v>E2240</v>
      </c>
      <c r="C339" s="451" t="str">
        <f t="shared" si="63"/>
        <v>E2240EZ1</v>
      </c>
      <c r="D339" s="273" t="s">
        <v>318</v>
      </c>
      <c r="E339" s="273"/>
      <c r="F339" s="649" t="s">
        <v>1201</v>
      </c>
      <c r="G339" s="649" t="s">
        <v>1201</v>
      </c>
      <c r="H339" s="649" t="s">
        <v>1201</v>
      </c>
      <c r="I339" s="649" t="str">
        <f t="shared" si="64"/>
        <v/>
      </c>
      <c r="J339" s="650" t="str">
        <f t="shared" si="65"/>
        <v/>
      </c>
      <c r="K339" s="650" t="str">
        <f t="shared" si="66"/>
        <v/>
      </c>
      <c r="L339" s="650" t="str">
        <f t="shared" si="69"/>
        <v/>
      </c>
      <c r="M339" s="635" t="s">
        <v>1201</v>
      </c>
      <c r="N339" s="650" t="str">
        <f t="shared" si="70"/>
        <v/>
      </c>
    </row>
    <row r="340" spans="1:14" x14ac:dyDescent="0.2">
      <c r="A340">
        <f t="shared" si="50"/>
        <v>1</v>
      </c>
      <c r="B340" s="451" t="str">
        <f>VLOOKUP(D340,'LA List'!$A$3:$B$470,2,0)</f>
        <v>E3202</v>
      </c>
      <c r="C340" s="451" t="str">
        <f t="shared" si="63"/>
        <v>E3202EZ1</v>
      </c>
      <c r="D340" s="273" t="s">
        <v>320</v>
      </c>
      <c r="E340" s="273"/>
      <c r="F340" s="649" t="s">
        <v>1201</v>
      </c>
      <c r="G340" s="649" t="s">
        <v>1201</v>
      </c>
      <c r="H340" s="649" t="s">
        <v>1201</v>
      </c>
      <c r="I340" s="649" t="str">
        <f t="shared" si="64"/>
        <v/>
      </c>
      <c r="J340" s="650" t="str">
        <f t="shared" si="65"/>
        <v/>
      </c>
      <c r="K340" s="650" t="str">
        <f t="shared" si="66"/>
        <v/>
      </c>
      <c r="L340" s="650" t="str">
        <f t="shared" si="69"/>
        <v/>
      </c>
      <c r="M340" s="635" t="s">
        <v>1201</v>
      </c>
      <c r="N340" s="650" t="str">
        <f t="shared" si="70"/>
        <v/>
      </c>
    </row>
    <row r="341" spans="1:14" x14ac:dyDescent="0.2">
      <c r="A341">
        <f t="shared" si="50"/>
        <v>1</v>
      </c>
      <c r="B341" s="451" t="str">
        <f>VLOOKUP(D341,'LA List'!$A$3:$B$470,2,0)</f>
        <v>E0304</v>
      </c>
      <c r="C341" s="451" t="str">
        <f t="shared" si="63"/>
        <v>E0304EZ1</v>
      </c>
      <c r="D341" s="273" t="s">
        <v>322</v>
      </c>
      <c r="E341" s="273"/>
      <c r="F341" s="649" t="s">
        <v>1201</v>
      </c>
      <c r="G341" s="649" t="s">
        <v>1201</v>
      </c>
      <c r="H341" s="649" t="s">
        <v>1201</v>
      </c>
      <c r="I341" s="649" t="str">
        <f t="shared" si="64"/>
        <v/>
      </c>
      <c r="J341" s="650" t="str">
        <f t="shared" si="65"/>
        <v/>
      </c>
      <c r="K341" s="650" t="str">
        <f t="shared" si="66"/>
        <v/>
      </c>
      <c r="L341" s="650" t="str">
        <f t="shared" si="69"/>
        <v/>
      </c>
      <c r="M341" s="635" t="s">
        <v>1201</v>
      </c>
      <c r="N341" s="650" t="str">
        <f t="shared" si="70"/>
        <v/>
      </c>
    </row>
    <row r="342" spans="1:14" x14ac:dyDescent="0.2">
      <c r="A342">
        <f t="shared" si="50"/>
        <v>1</v>
      </c>
      <c r="B342" s="451" t="str">
        <f>VLOOKUP(D342,'LA List'!$A$3:$B$470,2,0)</f>
        <v>E4605</v>
      </c>
      <c r="C342" s="451" t="str">
        <f t="shared" si="63"/>
        <v>E4605EZ1</v>
      </c>
      <c r="D342" s="273" t="s">
        <v>324</v>
      </c>
      <c r="E342" s="273" t="s">
        <v>3365</v>
      </c>
      <c r="F342" s="649" t="s">
        <v>1201</v>
      </c>
      <c r="G342" s="649" t="s">
        <v>1201</v>
      </c>
      <c r="H342" s="649" t="s">
        <v>1201</v>
      </c>
      <c r="I342" s="649" t="str">
        <f t="shared" si="64"/>
        <v/>
      </c>
      <c r="J342" s="650" t="str">
        <f t="shared" si="65"/>
        <v/>
      </c>
      <c r="K342" s="650" t="str">
        <f t="shared" si="66"/>
        <v/>
      </c>
      <c r="L342" s="650" t="str">
        <f t="shared" si="69"/>
        <v/>
      </c>
      <c r="M342" s="635" t="s">
        <v>1201</v>
      </c>
      <c r="N342" s="650">
        <v>267152.23828125</v>
      </c>
    </row>
    <row r="343" spans="1:14" s="273" customFormat="1" x14ac:dyDescent="0.2">
      <c r="A343">
        <f t="shared" ref="A343:A411" si="73">IF(D343=D342,A342+1,1)</f>
        <v>1</v>
      </c>
      <c r="B343" s="451" t="str">
        <f>VLOOKUP(D343,'LA List'!$A$3:$B$470,2,0)</f>
        <v>E3301</v>
      </c>
      <c r="C343" s="451" t="str">
        <f t="shared" ref="C343" si="74">CONCATENATE(B343,"EZ",A343)</f>
        <v>E3301EZ1</v>
      </c>
      <c r="D343" s="544" t="s">
        <v>647</v>
      </c>
      <c r="E343" s="273" t="s">
        <v>1131</v>
      </c>
      <c r="F343" s="649">
        <v>20741</v>
      </c>
      <c r="G343" s="649">
        <v>20741</v>
      </c>
      <c r="H343" s="649">
        <v>21364</v>
      </c>
      <c r="I343" s="649">
        <f t="shared" ref="I343" si="75">IF(H343="","",ROUND(H343*$I$1,0))</f>
        <v>21854</v>
      </c>
      <c r="J343" s="650">
        <f t="shared" ref="J343" si="76">IF(I343="","",ROUND(I343*$J$1,0))</f>
        <v>22210</v>
      </c>
      <c r="K343" s="650">
        <f t="shared" ref="K343" si="77">IF(J343="","",ROUND(J343*$K$1,0))</f>
        <v>22210</v>
      </c>
      <c r="L343" s="650">
        <f t="shared" si="69"/>
        <v>22210</v>
      </c>
      <c r="M343" s="635">
        <v>26880</v>
      </c>
      <c r="N343" s="650">
        <f t="shared" si="70"/>
        <v>26880</v>
      </c>
    </row>
    <row r="344" spans="1:14" x14ac:dyDescent="0.2">
      <c r="A344">
        <f t="shared" si="73"/>
        <v>1</v>
      </c>
      <c r="B344" s="451" t="str">
        <f>VLOOKUP(D344,'LA List'!$A$3:$B$470,2,0)</f>
        <v>E0536</v>
      </c>
      <c r="C344" s="451" t="str">
        <f t="shared" si="63"/>
        <v>E0536EZ1</v>
      </c>
      <c r="D344" s="273" t="s">
        <v>326</v>
      </c>
      <c r="E344" s="273" t="s">
        <v>1132</v>
      </c>
      <c r="F344" s="649">
        <v>0</v>
      </c>
      <c r="G344" s="649">
        <v>0</v>
      </c>
      <c r="H344" s="649">
        <v>0</v>
      </c>
      <c r="I344" s="649">
        <f t="shared" si="64"/>
        <v>0</v>
      </c>
      <c r="J344" s="650">
        <f t="shared" si="65"/>
        <v>0</v>
      </c>
      <c r="K344" s="650">
        <f t="shared" si="66"/>
        <v>0</v>
      </c>
      <c r="L344" s="650">
        <f t="shared" si="69"/>
        <v>0</v>
      </c>
      <c r="M344" s="635">
        <v>0</v>
      </c>
      <c r="N344" s="650">
        <f t="shared" si="70"/>
        <v>0</v>
      </c>
    </row>
    <row r="345" spans="1:14" x14ac:dyDescent="0.2">
      <c r="A345">
        <f t="shared" si="73"/>
        <v>2</v>
      </c>
      <c r="B345" s="451" t="str">
        <f>VLOOKUP(D345,'LA List'!$A$3:$B$470,2,0)</f>
        <v>E0536</v>
      </c>
      <c r="C345" s="451" t="str">
        <f t="shared" si="63"/>
        <v>E0536EZ2</v>
      </c>
      <c r="D345" s="273" t="s">
        <v>326</v>
      </c>
      <c r="E345" s="273" t="s">
        <v>1133</v>
      </c>
      <c r="F345" s="649">
        <v>0</v>
      </c>
      <c r="G345" s="649">
        <v>0</v>
      </c>
      <c r="H345" s="649">
        <v>0</v>
      </c>
      <c r="I345" s="649">
        <f t="shared" si="64"/>
        <v>0</v>
      </c>
      <c r="J345" s="650">
        <f t="shared" si="65"/>
        <v>0</v>
      </c>
      <c r="K345" s="650">
        <f t="shared" si="66"/>
        <v>0</v>
      </c>
      <c r="L345" s="650">
        <f t="shared" si="69"/>
        <v>0</v>
      </c>
      <c r="M345" s="635">
        <v>0</v>
      </c>
      <c r="N345" s="650">
        <f t="shared" si="70"/>
        <v>0</v>
      </c>
    </row>
    <row r="346" spans="1:14" x14ac:dyDescent="0.2">
      <c r="A346">
        <f t="shared" si="73"/>
        <v>3</v>
      </c>
      <c r="B346" s="451" t="str">
        <f>VLOOKUP(D346,'LA List'!$A$3:$B$470,2,0)</f>
        <v>E0536</v>
      </c>
      <c r="C346" s="451" t="str">
        <f t="shared" si="63"/>
        <v>E0536EZ3</v>
      </c>
      <c r="D346" s="273" t="s">
        <v>326</v>
      </c>
      <c r="E346" s="273" t="s">
        <v>1134</v>
      </c>
      <c r="F346" s="649">
        <v>0</v>
      </c>
      <c r="G346" s="649">
        <v>0</v>
      </c>
      <c r="H346" s="649">
        <v>0</v>
      </c>
      <c r="I346" s="649">
        <f t="shared" si="64"/>
        <v>0</v>
      </c>
      <c r="J346" s="650">
        <f t="shared" si="65"/>
        <v>0</v>
      </c>
      <c r="K346" s="650">
        <f t="shared" si="66"/>
        <v>0</v>
      </c>
      <c r="L346" s="650">
        <f t="shared" si="69"/>
        <v>0</v>
      </c>
      <c r="M346" s="635">
        <v>0</v>
      </c>
      <c r="N346" s="650">
        <f t="shared" si="70"/>
        <v>0</v>
      </c>
    </row>
    <row r="347" spans="1:14" x14ac:dyDescent="0.2">
      <c r="A347">
        <f t="shared" si="73"/>
        <v>1</v>
      </c>
      <c r="B347" s="451" t="str">
        <f>VLOOKUP(D347,'LA List'!$A$3:$B$470,2,0)</f>
        <v>E1039</v>
      </c>
      <c r="C347" s="451" t="str">
        <f t="shared" si="63"/>
        <v>E1039EZ1</v>
      </c>
      <c r="D347" s="273" t="s">
        <v>328</v>
      </c>
      <c r="E347" s="544" t="s">
        <v>2435</v>
      </c>
      <c r="F347" s="649">
        <v>0</v>
      </c>
      <c r="G347" s="649">
        <v>0</v>
      </c>
      <c r="H347" s="649">
        <v>0</v>
      </c>
      <c r="I347" s="649">
        <v>0</v>
      </c>
      <c r="J347" s="650">
        <v>0</v>
      </c>
      <c r="K347" s="650">
        <v>0</v>
      </c>
      <c r="L347" s="650">
        <v>21457</v>
      </c>
      <c r="M347" s="635">
        <v>22330</v>
      </c>
      <c r="N347" s="650">
        <f t="shared" si="70"/>
        <v>22330</v>
      </c>
    </row>
    <row r="348" spans="1:14" x14ac:dyDescent="0.2">
      <c r="A348">
        <f t="shared" si="73"/>
        <v>1</v>
      </c>
      <c r="B348" s="451" t="str">
        <f>VLOOKUP(D348,'LA List'!$A$3:$B$470,2,0)</f>
        <v>E0103</v>
      </c>
      <c r="C348" s="451" t="str">
        <f t="shared" si="63"/>
        <v>E0103EZ1</v>
      </c>
      <c r="D348" s="273" t="s">
        <v>330</v>
      </c>
      <c r="E348" s="273" t="s">
        <v>846</v>
      </c>
      <c r="F348" s="649">
        <v>693418</v>
      </c>
      <c r="G348" s="649">
        <v>693418</v>
      </c>
      <c r="H348" s="649">
        <v>714250</v>
      </c>
      <c r="I348" s="649">
        <f t="shared" si="64"/>
        <v>730618</v>
      </c>
      <c r="J348" s="650">
        <f t="shared" si="65"/>
        <v>742522</v>
      </c>
      <c r="K348" s="650">
        <f t="shared" si="66"/>
        <v>742522</v>
      </c>
      <c r="L348" s="650">
        <f t="shared" si="69"/>
        <v>742522</v>
      </c>
      <c r="M348" s="635">
        <v>887637</v>
      </c>
      <c r="N348" s="650">
        <f t="shared" si="70"/>
        <v>887637</v>
      </c>
    </row>
    <row r="349" spans="1:14" x14ac:dyDescent="0.2">
      <c r="A349">
        <f t="shared" si="73"/>
        <v>1</v>
      </c>
      <c r="B349" s="451" t="str">
        <f>VLOOKUP(D349,'LA List'!$A$3:$B$470,2,0)</f>
        <v>E1136</v>
      </c>
      <c r="C349" s="451" t="str">
        <f t="shared" si="63"/>
        <v>E1136EZ1</v>
      </c>
      <c r="D349" s="273" t="s">
        <v>332</v>
      </c>
      <c r="E349" s="544" t="s">
        <v>2437</v>
      </c>
      <c r="F349" s="649">
        <v>0</v>
      </c>
      <c r="G349" s="649">
        <v>0</v>
      </c>
      <c r="H349" s="649">
        <v>0</v>
      </c>
      <c r="I349" s="649">
        <v>0</v>
      </c>
      <c r="J349" s="650">
        <v>0</v>
      </c>
      <c r="K349" s="650">
        <v>0</v>
      </c>
      <c r="L349" s="650">
        <v>0</v>
      </c>
      <c r="M349" s="635">
        <v>0</v>
      </c>
      <c r="N349" s="650">
        <f t="shared" si="70"/>
        <v>0</v>
      </c>
    </row>
    <row r="350" spans="1:14" x14ac:dyDescent="0.2">
      <c r="A350">
        <f t="shared" si="73"/>
        <v>1</v>
      </c>
      <c r="B350" s="451" t="str">
        <f>VLOOKUP(D350,'LA List'!$A$3:$B$470,2,0)</f>
        <v>E2535</v>
      </c>
      <c r="C350" s="451" t="str">
        <f t="shared" si="63"/>
        <v>E2535EZ1</v>
      </c>
      <c r="D350" s="273" t="s">
        <v>334</v>
      </c>
      <c r="E350" s="273"/>
      <c r="F350" s="649" t="s">
        <v>1201</v>
      </c>
      <c r="G350" s="649" t="s">
        <v>1201</v>
      </c>
      <c r="H350" s="649" t="s">
        <v>1201</v>
      </c>
      <c r="I350" s="649" t="str">
        <f t="shared" si="64"/>
        <v/>
      </c>
      <c r="J350" s="650" t="str">
        <f t="shared" si="65"/>
        <v/>
      </c>
      <c r="K350" s="650" t="str">
        <f t="shared" si="66"/>
        <v/>
      </c>
      <c r="L350" s="650" t="str">
        <f t="shared" si="69"/>
        <v/>
      </c>
      <c r="M350" s="635" t="s">
        <v>1201</v>
      </c>
      <c r="N350" s="650" t="str">
        <f t="shared" si="70"/>
        <v/>
      </c>
    </row>
    <row r="351" spans="1:14" x14ac:dyDescent="0.2">
      <c r="A351">
        <f t="shared" si="73"/>
        <v>1</v>
      </c>
      <c r="B351" s="451" t="str">
        <f>VLOOKUP(D351,'LA List'!$A$3:$B$470,2,0)</f>
        <v>E2536</v>
      </c>
      <c r="C351" s="451" t="str">
        <f t="shared" si="63"/>
        <v>E2536EZ1</v>
      </c>
      <c r="D351" s="273" t="s">
        <v>336</v>
      </c>
      <c r="E351" s="273"/>
      <c r="F351" s="649" t="s">
        <v>1201</v>
      </c>
      <c r="G351" s="649" t="s">
        <v>1201</v>
      </c>
      <c r="H351" s="649" t="s">
        <v>1201</v>
      </c>
      <c r="I351" s="649" t="str">
        <f t="shared" si="64"/>
        <v/>
      </c>
      <c r="J351" s="650" t="str">
        <f t="shared" si="65"/>
        <v/>
      </c>
      <c r="K351" s="650" t="str">
        <f t="shared" si="66"/>
        <v/>
      </c>
      <c r="L351" s="650" t="str">
        <f t="shared" si="69"/>
        <v/>
      </c>
      <c r="M351" s="635" t="s">
        <v>1201</v>
      </c>
      <c r="N351" s="650" t="str">
        <f t="shared" si="70"/>
        <v/>
      </c>
    </row>
    <row r="352" spans="1:14" x14ac:dyDescent="0.2">
      <c r="A352">
        <f t="shared" si="73"/>
        <v>1</v>
      </c>
      <c r="B352" s="451" t="str">
        <f>VLOOKUP(D352,'LA List'!$A$3:$B$470,2,0)</f>
        <v>E2637</v>
      </c>
      <c r="C352" s="451" t="str">
        <f t="shared" si="63"/>
        <v>E2637EZ1</v>
      </c>
      <c r="D352" s="273" t="s">
        <v>338</v>
      </c>
      <c r="E352" s="273" t="s">
        <v>1135</v>
      </c>
      <c r="F352" s="649">
        <v>197644</v>
      </c>
      <c r="G352" s="649">
        <v>197644</v>
      </c>
      <c r="H352" s="649">
        <v>203582</v>
      </c>
      <c r="I352" s="649">
        <f t="shared" si="64"/>
        <v>208247</v>
      </c>
      <c r="J352" s="650">
        <f t="shared" si="65"/>
        <v>211640</v>
      </c>
      <c r="K352" s="650">
        <f t="shared" si="66"/>
        <v>211640</v>
      </c>
      <c r="L352" s="650">
        <f t="shared" si="69"/>
        <v>211640</v>
      </c>
      <c r="M352" s="635">
        <v>202967</v>
      </c>
      <c r="N352" s="650">
        <f t="shared" si="70"/>
        <v>202967</v>
      </c>
    </row>
    <row r="353" spans="1:14" x14ac:dyDescent="0.2">
      <c r="A353">
        <f t="shared" si="73"/>
        <v>1</v>
      </c>
      <c r="B353" s="451" t="str">
        <f>VLOOKUP(D353,'LA List'!$A$3:$B$470,2,0)</f>
        <v>E3133</v>
      </c>
      <c r="C353" s="451" t="str">
        <f t="shared" si="63"/>
        <v>E3133EZ1</v>
      </c>
      <c r="D353" s="273" t="s">
        <v>340</v>
      </c>
      <c r="E353" s="273" t="s">
        <v>1136</v>
      </c>
      <c r="F353" s="649">
        <v>0</v>
      </c>
      <c r="G353" s="649">
        <v>0</v>
      </c>
      <c r="H353" s="649">
        <v>0</v>
      </c>
      <c r="I353" s="649">
        <f t="shared" si="64"/>
        <v>0</v>
      </c>
      <c r="J353" s="650">
        <f t="shared" si="65"/>
        <v>0</v>
      </c>
      <c r="K353" s="650">
        <f t="shared" si="66"/>
        <v>0</v>
      </c>
      <c r="L353" s="650">
        <f t="shared" si="69"/>
        <v>0</v>
      </c>
      <c r="M353" s="635">
        <v>0</v>
      </c>
      <c r="N353" s="650">
        <f t="shared" si="70"/>
        <v>0</v>
      </c>
    </row>
    <row r="354" spans="1:14" x14ac:dyDescent="0.2">
      <c r="A354">
        <f t="shared" si="73"/>
        <v>2</v>
      </c>
      <c r="B354" s="451" t="str">
        <f>VLOOKUP(D354,'LA List'!$A$3:$B$470,2,0)</f>
        <v>E3133</v>
      </c>
      <c r="C354" s="451" t="str">
        <f t="shared" si="63"/>
        <v>E3133EZ2</v>
      </c>
      <c r="D354" s="273" t="s">
        <v>340</v>
      </c>
      <c r="E354" s="273" t="s">
        <v>1137</v>
      </c>
      <c r="F354" s="649">
        <v>43554</v>
      </c>
      <c r="G354" s="649">
        <v>43554</v>
      </c>
      <c r="H354" s="649">
        <v>44862</v>
      </c>
      <c r="I354" s="649">
        <f t="shared" si="64"/>
        <v>45890</v>
      </c>
      <c r="J354" s="650">
        <f t="shared" si="65"/>
        <v>46638</v>
      </c>
      <c r="K354" s="650">
        <f t="shared" si="66"/>
        <v>46638</v>
      </c>
      <c r="L354" s="650">
        <f t="shared" si="69"/>
        <v>46638</v>
      </c>
      <c r="M354" s="635">
        <v>57913</v>
      </c>
      <c r="N354" s="650">
        <f t="shared" si="70"/>
        <v>57913</v>
      </c>
    </row>
    <row r="355" spans="1:14" x14ac:dyDescent="0.2">
      <c r="A355">
        <f t="shared" si="73"/>
        <v>3</v>
      </c>
      <c r="B355" s="451" t="str">
        <f>VLOOKUP(D355,'LA List'!$A$3:$B$470,2,0)</f>
        <v>E3133</v>
      </c>
      <c r="C355" s="451" t="str">
        <f t="shared" si="63"/>
        <v>E3133EZ3</v>
      </c>
      <c r="D355" s="273" t="s">
        <v>340</v>
      </c>
      <c r="E355" s="273" t="s">
        <v>1138</v>
      </c>
      <c r="F355" s="649">
        <v>0</v>
      </c>
      <c r="G355" s="649">
        <v>0</v>
      </c>
      <c r="H355" s="649">
        <v>0</v>
      </c>
      <c r="I355" s="649">
        <f t="shared" si="64"/>
        <v>0</v>
      </c>
      <c r="J355" s="650">
        <f t="shared" si="65"/>
        <v>0</v>
      </c>
      <c r="K355" s="650">
        <f t="shared" si="66"/>
        <v>0</v>
      </c>
      <c r="L355" s="650">
        <f t="shared" si="69"/>
        <v>0</v>
      </c>
      <c r="M355" s="635">
        <v>0</v>
      </c>
      <c r="N355" s="650">
        <f t="shared" si="70"/>
        <v>0</v>
      </c>
    </row>
    <row r="356" spans="1:14" x14ac:dyDescent="0.2">
      <c r="A356">
        <f t="shared" si="73"/>
        <v>4</v>
      </c>
      <c r="B356" s="451" t="str">
        <f>VLOOKUP(D356,'LA List'!$A$3:$B$470,2,0)</f>
        <v>E3133</v>
      </c>
      <c r="C356" s="451" t="str">
        <f t="shared" si="63"/>
        <v>E3133EZ4</v>
      </c>
      <c r="D356" s="273" t="s">
        <v>340</v>
      </c>
      <c r="E356" s="273" t="s">
        <v>1139</v>
      </c>
      <c r="F356" s="649">
        <v>139361</v>
      </c>
      <c r="G356" s="649">
        <v>139361</v>
      </c>
      <c r="H356" s="649">
        <v>143548</v>
      </c>
      <c r="I356" s="649">
        <f t="shared" si="64"/>
        <v>146838</v>
      </c>
      <c r="J356" s="650">
        <f t="shared" si="65"/>
        <v>149230</v>
      </c>
      <c r="K356" s="650">
        <f t="shared" si="66"/>
        <v>149230</v>
      </c>
      <c r="L356" s="650">
        <f t="shared" si="69"/>
        <v>149230</v>
      </c>
      <c r="M356" s="635">
        <v>189841</v>
      </c>
      <c r="N356" s="650">
        <f t="shared" si="70"/>
        <v>189841</v>
      </c>
    </row>
    <row r="357" spans="1:14" x14ac:dyDescent="0.2">
      <c r="A357">
        <f t="shared" si="73"/>
        <v>1</v>
      </c>
      <c r="B357" s="451" t="str">
        <f>VLOOKUP(D357,'LA List'!$A$3:$B$470,2,0)</f>
        <v>E2342</v>
      </c>
      <c r="C357" s="451" t="str">
        <f t="shared" si="63"/>
        <v>E2342EZ1</v>
      </c>
      <c r="D357" s="273" t="s">
        <v>342</v>
      </c>
      <c r="E357" s="273" t="s">
        <v>854</v>
      </c>
      <c r="F357" s="649">
        <v>0</v>
      </c>
      <c r="G357" s="649">
        <v>0</v>
      </c>
      <c r="H357" s="649">
        <v>0</v>
      </c>
      <c r="I357" s="649">
        <f t="shared" si="64"/>
        <v>0</v>
      </c>
      <c r="J357" s="650">
        <f t="shared" si="65"/>
        <v>0</v>
      </c>
      <c r="K357" s="650">
        <f t="shared" si="66"/>
        <v>0</v>
      </c>
      <c r="L357" s="650">
        <f t="shared" si="69"/>
        <v>0</v>
      </c>
      <c r="M357" s="635">
        <v>0</v>
      </c>
      <c r="N357" s="650">
        <f t="shared" si="70"/>
        <v>0</v>
      </c>
    </row>
    <row r="358" spans="1:14" x14ac:dyDescent="0.2">
      <c r="A358">
        <f t="shared" si="73"/>
        <v>1</v>
      </c>
      <c r="B358" s="451" t="str">
        <f>VLOOKUP(D358,'LA List'!$A$3:$B$470,2,0)</f>
        <v>E3435</v>
      </c>
      <c r="C358" s="451" t="str">
        <f t="shared" si="63"/>
        <v>E3435EZ1</v>
      </c>
      <c r="D358" s="273" t="s">
        <v>344</v>
      </c>
      <c r="E358" s="273" t="s">
        <v>872</v>
      </c>
      <c r="F358" s="649">
        <v>0</v>
      </c>
      <c r="G358" s="649">
        <v>0</v>
      </c>
      <c r="H358" s="649">
        <v>0</v>
      </c>
      <c r="I358" s="649">
        <f t="shared" si="64"/>
        <v>0</v>
      </c>
      <c r="J358" s="650">
        <f t="shared" si="65"/>
        <v>0</v>
      </c>
      <c r="K358" s="650">
        <f t="shared" si="66"/>
        <v>0</v>
      </c>
      <c r="L358" s="650">
        <f t="shared" si="69"/>
        <v>0</v>
      </c>
      <c r="M358" s="635">
        <v>0</v>
      </c>
      <c r="N358" s="650">
        <f t="shared" si="70"/>
        <v>0</v>
      </c>
    </row>
    <row r="359" spans="1:14" x14ac:dyDescent="0.2">
      <c r="A359">
        <f t="shared" si="73"/>
        <v>1</v>
      </c>
      <c r="B359" s="451" t="str">
        <f>VLOOKUP(D359,'LA List'!$A$3:$B$470,2,0)</f>
        <v>E4504</v>
      </c>
      <c r="C359" s="451" t="str">
        <f t="shared" si="63"/>
        <v>E4504EZ1</v>
      </c>
      <c r="D359" s="273" t="s">
        <v>346</v>
      </c>
      <c r="E359" s="273" t="s">
        <v>1140</v>
      </c>
      <c r="F359" s="649">
        <v>0</v>
      </c>
      <c r="G359" s="649">
        <v>0</v>
      </c>
      <c r="H359" s="649">
        <v>0</v>
      </c>
      <c r="I359" s="649">
        <f t="shared" si="64"/>
        <v>0</v>
      </c>
      <c r="J359" s="650">
        <f t="shared" si="65"/>
        <v>0</v>
      </c>
      <c r="K359" s="650">
        <f t="shared" si="66"/>
        <v>0</v>
      </c>
      <c r="L359" s="650">
        <f t="shared" si="69"/>
        <v>0</v>
      </c>
      <c r="M359" s="635">
        <v>0</v>
      </c>
      <c r="N359" s="650">
        <f t="shared" si="70"/>
        <v>0</v>
      </c>
    </row>
    <row r="360" spans="1:14" x14ac:dyDescent="0.2">
      <c r="A360">
        <f t="shared" si="73"/>
        <v>2</v>
      </c>
      <c r="B360" s="451" t="str">
        <f>VLOOKUP(D360,'LA List'!$A$3:$B$470,2,0)</f>
        <v>E4504</v>
      </c>
      <c r="C360" s="451" t="str">
        <f t="shared" si="63"/>
        <v>E4504EZ2</v>
      </c>
      <c r="D360" s="273" t="s">
        <v>346</v>
      </c>
      <c r="E360" s="273" t="s">
        <v>1141</v>
      </c>
      <c r="F360" s="649">
        <v>0</v>
      </c>
      <c r="G360" s="649">
        <v>0</v>
      </c>
      <c r="H360" s="649">
        <v>0</v>
      </c>
      <c r="I360" s="649">
        <f t="shared" si="64"/>
        <v>0</v>
      </c>
      <c r="J360" s="650">
        <f t="shared" si="65"/>
        <v>0</v>
      </c>
      <c r="K360" s="650">
        <f t="shared" si="66"/>
        <v>0</v>
      </c>
      <c r="L360" s="650">
        <f t="shared" si="69"/>
        <v>0</v>
      </c>
      <c r="M360" s="635">
        <v>0</v>
      </c>
      <c r="N360" s="650">
        <f t="shared" si="70"/>
        <v>0</v>
      </c>
    </row>
    <row r="361" spans="1:14" x14ac:dyDescent="0.2">
      <c r="A361">
        <f t="shared" ref="A361" si="78">IF(D361=D360,A360+1,1)</f>
        <v>3</v>
      </c>
      <c r="B361" s="451" t="str">
        <f>VLOOKUP(D361,'LA List'!$A$3:$B$470,2,0)</f>
        <v>E4504</v>
      </c>
      <c r="C361" s="451" t="str">
        <f t="shared" ref="C361" si="79">CONCATENATE(B361,"EZ",A361)</f>
        <v>E4504EZ3</v>
      </c>
      <c r="D361" s="273" t="s">
        <v>346</v>
      </c>
      <c r="E361" s="273" t="s">
        <v>3388</v>
      </c>
      <c r="F361" s="649"/>
      <c r="G361" s="649"/>
      <c r="H361" s="649"/>
      <c r="I361" s="649"/>
      <c r="J361" s="650"/>
      <c r="K361" s="650"/>
      <c r="L361" s="650"/>
      <c r="M361" s="635"/>
      <c r="N361" s="650">
        <v>0</v>
      </c>
    </row>
    <row r="362" spans="1:14" x14ac:dyDescent="0.2">
      <c r="A362">
        <f>IF(D362=D360,A360+1,1)</f>
        <v>1</v>
      </c>
      <c r="B362" s="451" t="str">
        <f>VLOOKUP(D362,'LA List'!$A$3:$B$470,2,0)</f>
        <v>E1702</v>
      </c>
      <c r="C362" s="451" t="str">
        <f t="shared" si="63"/>
        <v>E1702EZ1</v>
      </c>
      <c r="D362" s="273" t="s">
        <v>348</v>
      </c>
      <c r="E362" s="544" t="s">
        <v>2434</v>
      </c>
      <c r="F362" s="649">
        <v>0</v>
      </c>
      <c r="G362" s="649">
        <v>0</v>
      </c>
      <c r="H362" s="649">
        <v>0</v>
      </c>
      <c r="I362" s="649">
        <v>0</v>
      </c>
      <c r="J362" s="650">
        <v>0</v>
      </c>
      <c r="K362" s="650">
        <f t="shared" si="66"/>
        <v>0</v>
      </c>
      <c r="L362" s="650">
        <v>542114</v>
      </c>
      <c r="M362" s="635">
        <v>770158</v>
      </c>
      <c r="N362" s="650">
        <f t="shared" si="70"/>
        <v>770158</v>
      </c>
    </row>
    <row r="363" spans="1:14" x14ac:dyDescent="0.2">
      <c r="A363">
        <f t="shared" si="73"/>
        <v>1</v>
      </c>
      <c r="B363" s="451" t="str">
        <f>VLOOKUP(D363,'LA List'!$A$3:$B$470,2,0)</f>
        <v>E1501</v>
      </c>
      <c r="C363" s="451" t="str">
        <f t="shared" si="63"/>
        <v>E1501EZ1</v>
      </c>
      <c r="D363" s="273" t="s">
        <v>350</v>
      </c>
      <c r="E363" s="273"/>
      <c r="F363" s="649" t="s">
        <v>1201</v>
      </c>
      <c r="G363" s="649" t="s">
        <v>1201</v>
      </c>
      <c r="H363" s="649" t="s">
        <v>1201</v>
      </c>
      <c r="I363" s="649" t="str">
        <f t="shared" si="64"/>
        <v/>
      </c>
      <c r="J363" s="650" t="str">
        <f t="shared" si="65"/>
        <v/>
      </c>
      <c r="K363" s="650" t="str">
        <f t="shared" si="66"/>
        <v/>
      </c>
      <c r="L363" s="650" t="str">
        <f t="shared" si="69"/>
        <v/>
      </c>
      <c r="M363" s="635" t="s">
        <v>1201</v>
      </c>
      <c r="N363" s="650" t="str">
        <f t="shared" si="70"/>
        <v/>
      </c>
    </row>
    <row r="364" spans="1:14" x14ac:dyDescent="0.2">
      <c r="A364">
        <f t="shared" si="73"/>
        <v>1</v>
      </c>
      <c r="B364" s="451" t="str">
        <f>VLOOKUP(D364,'LA List'!$A$3:$B$470,2,0)</f>
        <v>E5019</v>
      </c>
      <c r="C364" s="451" t="str">
        <f t="shared" si="63"/>
        <v>E5019EZ1</v>
      </c>
      <c r="D364" s="273" t="s">
        <v>352</v>
      </c>
      <c r="E364" s="273"/>
      <c r="F364" s="649" t="s">
        <v>1201</v>
      </c>
      <c r="G364" s="649" t="s">
        <v>1201</v>
      </c>
      <c r="H364" s="649" t="s">
        <v>1201</v>
      </c>
      <c r="I364" s="649" t="str">
        <f t="shared" si="64"/>
        <v/>
      </c>
      <c r="J364" s="650" t="str">
        <f t="shared" si="65"/>
        <v/>
      </c>
      <c r="K364" s="650" t="str">
        <f t="shared" si="66"/>
        <v/>
      </c>
      <c r="L364" s="650" t="str">
        <f t="shared" si="69"/>
        <v/>
      </c>
      <c r="M364" s="635" t="s">
        <v>1201</v>
      </c>
      <c r="N364" s="650" t="str">
        <f t="shared" si="70"/>
        <v/>
      </c>
    </row>
    <row r="365" spans="1:14" x14ac:dyDescent="0.2">
      <c r="A365">
        <f t="shared" si="73"/>
        <v>1</v>
      </c>
      <c r="B365" s="451" t="str">
        <f>VLOOKUP(D365,'LA List'!$A$3:$B$470,2,0)</f>
        <v>E3637</v>
      </c>
      <c r="C365" s="451" t="str">
        <f t="shared" si="63"/>
        <v>E3637EZ1</v>
      </c>
      <c r="D365" s="273" t="s">
        <v>354</v>
      </c>
      <c r="E365" s="273"/>
      <c r="F365" s="649" t="s">
        <v>1201</v>
      </c>
      <c r="G365" s="649" t="s">
        <v>1201</v>
      </c>
      <c r="H365" s="649" t="s">
        <v>1201</v>
      </c>
      <c r="I365" s="649" t="str">
        <f t="shared" si="64"/>
        <v/>
      </c>
      <c r="J365" s="650" t="str">
        <f t="shared" si="65"/>
        <v/>
      </c>
      <c r="K365" s="650" t="str">
        <f t="shared" si="66"/>
        <v/>
      </c>
      <c r="L365" s="650" t="str">
        <f t="shared" si="69"/>
        <v/>
      </c>
      <c r="M365" s="635" t="s">
        <v>1201</v>
      </c>
      <c r="N365" s="650" t="str">
        <f t="shared" si="70"/>
        <v/>
      </c>
    </row>
    <row r="366" spans="1:14" x14ac:dyDescent="0.2">
      <c r="A366">
        <f t="shared" si="73"/>
        <v>1</v>
      </c>
      <c r="B366" s="451" t="str">
        <f>VLOOKUP(D366,'LA List'!$A$3:$B$470,2,0)</f>
        <v>E1936</v>
      </c>
      <c r="C366" s="451" t="str">
        <f t="shared" si="63"/>
        <v>E1936EZ1</v>
      </c>
      <c r="D366" s="273" t="s">
        <v>356</v>
      </c>
      <c r="E366" s="273" t="s">
        <v>1142</v>
      </c>
      <c r="F366" s="649">
        <v>40656</v>
      </c>
      <c r="G366" s="649">
        <v>40656</v>
      </c>
      <c r="H366" s="649">
        <v>41877</v>
      </c>
      <c r="I366" s="649">
        <f t="shared" si="64"/>
        <v>42837</v>
      </c>
      <c r="J366" s="650">
        <f t="shared" si="65"/>
        <v>43535</v>
      </c>
      <c r="K366" s="650">
        <f t="shared" si="66"/>
        <v>43535</v>
      </c>
      <c r="L366" s="650">
        <f t="shared" si="69"/>
        <v>43535</v>
      </c>
      <c r="M366" s="635">
        <v>100000</v>
      </c>
      <c r="N366" s="650">
        <f t="shared" si="70"/>
        <v>100000</v>
      </c>
    </row>
    <row r="367" spans="1:14" x14ac:dyDescent="0.2">
      <c r="A367">
        <f t="shared" si="73"/>
        <v>2</v>
      </c>
      <c r="B367" s="451" t="str">
        <f>VLOOKUP(D367,'LA List'!$A$3:$B$470,2,0)</f>
        <v>E1936</v>
      </c>
      <c r="C367" s="451" t="str">
        <f t="shared" si="63"/>
        <v>E1936EZ2</v>
      </c>
      <c r="D367" s="273" t="s">
        <v>356</v>
      </c>
      <c r="E367" s="273" t="s">
        <v>1143</v>
      </c>
      <c r="F367" s="649">
        <v>865737</v>
      </c>
      <c r="G367" s="649">
        <v>865737</v>
      </c>
      <c r="H367" s="649">
        <v>891746</v>
      </c>
      <c r="I367" s="649">
        <f t="shared" si="64"/>
        <v>912182</v>
      </c>
      <c r="J367" s="650">
        <f t="shared" si="65"/>
        <v>927044</v>
      </c>
      <c r="K367" s="650">
        <f t="shared" si="66"/>
        <v>927044</v>
      </c>
      <c r="L367" s="650">
        <f t="shared" si="69"/>
        <v>927044</v>
      </c>
      <c r="M367" s="635">
        <v>400000</v>
      </c>
      <c r="N367" s="650">
        <f t="shared" si="70"/>
        <v>400000</v>
      </c>
    </row>
    <row r="368" spans="1:14" x14ac:dyDescent="0.2">
      <c r="A368">
        <f t="shared" si="73"/>
        <v>3</v>
      </c>
      <c r="B368" s="451" t="str">
        <f>VLOOKUP(D368,'LA List'!$A$3:$B$470,2,0)</f>
        <v>E1936</v>
      </c>
      <c r="C368" s="451" t="str">
        <f t="shared" si="63"/>
        <v>E1936EZ3</v>
      </c>
      <c r="D368" s="273" t="s">
        <v>356</v>
      </c>
      <c r="E368" s="273" t="s">
        <v>1144</v>
      </c>
      <c r="F368" s="649">
        <v>90719</v>
      </c>
      <c r="G368" s="649">
        <v>90719</v>
      </c>
      <c r="H368" s="649">
        <v>93444</v>
      </c>
      <c r="I368" s="649">
        <f t="shared" si="64"/>
        <v>95585</v>
      </c>
      <c r="J368" s="650">
        <f t="shared" si="65"/>
        <v>97142</v>
      </c>
      <c r="K368" s="650">
        <f t="shared" si="66"/>
        <v>97142</v>
      </c>
      <c r="L368" s="650">
        <f t="shared" si="69"/>
        <v>97142</v>
      </c>
      <c r="M368" s="635">
        <v>700000</v>
      </c>
      <c r="N368" s="650">
        <f t="shared" si="70"/>
        <v>700000</v>
      </c>
    </row>
    <row r="369" spans="1:14" x14ac:dyDescent="0.2">
      <c r="A369">
        <f t="shared" si="73"/>
        <v>1</v>
      </c>
      <c r="B369" s="451" t="str">
        <f>VLOOKUP(D369,'LA List'!$A$3:$B$470,2,0)</f>
        <v>E4303</v>
      </c>
      <c r="C369" s="451" t="str">
        <f t="shared" si="63"/>
        <v>E4303EZ1</v>
      </c>
      <c r="D369" s="273" t="s">
        <v>358</v>
      </c>
      <c r="E369" s="544" t="s">
        <v>2433</v>
      </c>
      <c r="F369" s="649">
        <v>0</v>
      </c>
      <c r="G369" s="649">
        <v>0</v>
      </c>
      <c r="H369" s="649">
        <v>0</v>
      </c>
      <c r="I369" s="649">
        <v>0</v>
      </c>
      <c r="J369" s="650">
        <v>0</v>
      </c>
      <c r="K369" s="650">
        <v>0</v>
      </c>
      <c r="L369" s="650">
        <v>0</v>
      </c>
      <c r="M369" s="635">
        <v>0</v>
      </c>
      <c r="N369" s="650">
        <f t="shared" si="70"/>
        <v>0</v>
      </c>
    </row>
    <row r="370" spans="1:14" x14ac:dyDescent="0.2">
      <c r="A370">
        <f t="shared" ref="A370" si="80">IF(D370=D369,A369+1,1)</f>
        <v>2</v>
      </c>
      <c r="B370" s="451" t="str">
        <f>VLOOKUP(D370,'LA List'!$A$3:$B$470,2,0)</f>
        <v>E4303</v>
      </c>
      <c r="C370" s="451" t="str">
        <f t="shared" ref="C370" si="81">CONCATENATE(B370,"EZ",A370)</f>
        <v>E4303EZ2</v>
      </c>
      <c r="D370" s="273" t="s">
        <v>358</v>
      </c>
      <c r="E370" s="544" t="s">
        <v>3376</v>
      </c>
      <c r="F370" s="649"/>
      <c r="G370" s="649"/>
      <c r="H370" s="649"/>
      <c r="I370" s="649"/>
      <c r="J370" s="650"/>
      <c r="K370" s="650"/>
      <c r="L370" s="650"/>
      <c r="M370" s="635"/>
      <c r="N370" s="650">
        <v>555680.8359375</v>
      </c>
    </row>
    <row r="371" spans="1:14" x14ac:dyDescent="0.2">
      <c r="A371">
        <f>IF(D371=D369,A369+1,1)</f>
        <v>1</v>
      </c>
      <c r="B371" s="451" t="str">
        <f>VLOOKUP(D371,'LA List'!$A$3:$B$470,2,0)</f>
        <v>E3436</v>
      </c>
      <c r="C371" s="451" t="str">
        <f t="shared" si="63"/>
        <v>E3436EZ1</v>
      </c>
      <c r="D371" s="273" t="s">
        <v>360</v>
      </c>
      <c r="E371" s="273"/>
      <c r="F371" s="649" t="s">
        <v>1201</v>
      </c>
      <c r="G371" s="649" t="s">
        <v>1201</v>
      </c>
      <c r="H371" s="649" t="s">
        <v>1201</v>
      </c>
      <c r="I371" s="649" t="str">
        <f t="shared" si="64"/>
        <v/>
      </c>
      <c r="J371" s="650" t="str">
        <f t="shared" si="65"/>
        <v/>
      </c>
      <c r="K371" s="650" t="str">
        <f t="shared" si="66"/>
        <v/>
      </c>
      <c r="L371" s="650" t="str">
        <f t="shared" si="69"/>
        <v/>
      </c>
      <c r="M371" s="635" t="s">
        <v>1201</v>
      </c>
      <c r="N371" s="650" t="str">
        <f t="shared" si="70"/>
        <v/>
      </c>
    </row>
    <row r="372" spans="1:14" x14ac:dyDescent="0.2">
      <c r="A372">
        <f t="shared" si="73"/>
        <v>1</v>
      </c>
      <c r="B372" s="451" t="str">
        <f>VLOOKUP(D372,'LA List'!$A$3:$B$470,2,0)</f>
        <v>E3437</v>
      </c>
      <c r="C372" s="451" t="str">
        <f t="shared" si="63"/>
        <v>E3437EZ1</v>
      </c>
      <c r="D372" s="273" t="s">
        <v>362</v>
      </c>
      <c r="E372" s="273"/>
      <c r="F372" s="649" t="s">
        <v>1201</v>
      </c>
      <c r="G372" s="649" t="s">
        <v>1201</v>
      </c>
      <c r="H372" s="649" t="s">
        <v>1201</v>
      </c>
      <c r="I372" s="649" t="str">
        <f t="shared" si="64"/>
        <v/>
      </c>
      <c r="J372" s="650" t="str">
        <f t="shared" si="65"/>
        <v/>
      </c>
      <c r="K372" s="650" t="str">
        <f t="shared" si="66"/>
        <v/>
      </c>
      <c r="L372" s="650" t="str">
        <f t="shared" si="69"/>
        <v/>
      </c>
      <c r="M372" s="635" t="s">
        <v>1201</v>
      </c>
      <c r="N372" s="650" t="str">
        <f t="shared" si="70"/>
        <v/>
      </c>
    </row>
    <row r="373" spans="1:14" x14ac:dyDescent="0.2">
      <c r="A373">
        <f t="shared" si="73"/>
        <v>1</v>
      </c>
      <c r="B373" s="451" t="str">
        <f>VLOOKUP(D373,'LA List'!$A$3:$B$470,2,0)</f>
        <v>E1937</v>
      </c>
      <c r="C373" s="451" t="str">
        <f t="shared" si="63"/>
        <v>E1937EZ1</v>
      </c>
      <c r="D373" s="273" t="s">
        <v>364</v>
      </c>
      <c r="E373" s="273"/>
      <c r="F373" s="649" t="s">
        <v>1201</v>
      </c>
      <c r="G373" s="649" t="s">
        <v>1201</v>
      </c>
      <c r="H373" s="649" t="s">
        <v>1201</v>
      </c>
      <c r="I373" s="649" t="str">
        <f t="shared" si="64"/>
        <v/>
      </c>
      <c r="J373" s="650" t="str">
        <f t="shared" si="65"/>
        <v/>
      </c>
      <c r="K373" s="650" t="str">
        <f t="shared" si="66"/>
        <v/>
      </c>
      <c r="L373" s="650" t="str">
        <f t="shared" si="69"/>
        <v/>
      </c>
      <c r="M373" s="635" t="s">
        <v>1201</v>
      </c>
      <c r="N373" s="650" t="str">
        <f t="shared" si="70"/>
        <v/>
      </c>
    </row>
    <row r="374" spans="1:14" x14ac:dyDescent="0.2">
      <c r="A374">
        <f t="shared" si="73"/>
        <v>1</v>
      </c>
      <c r="B374" s="451" t="str">
        <f>VLOOKUP(D374,'LA List'!$A$3:$B$470,2,0)</f>
        <v>E4207</v>
      </c>
      <c r="C374" s="451" t="str">
        <f t="shared" si="63"/>
        <v>E4207EZ1</v>
      </c>
      <c r="D374" s="273" t="s">
        <v>366</v>
      </c>
      <c r="E374" s="273" t="s">
        <v>922</v>
      </c>
      <c r="F374" s="649">
        <v>0</v>
      </c>
      <c r="G374" s="649">
        <v>0</v>
      </c>
      <c r="H374" s="649">
        <v>0</v>
      </c>
      <c r="I374" s="649">
        <f t="shared" si="64"/>
        <v>0</v>
      </c>
      <c r="J374" s="650">
        <f t="shared" si="65"/>
        <v>0</v>
      </c>
      <c r="K374" s="650">
        <f t="shared" si="66"/>
        <v>0</v>
      </c>
      <c r="L374" s="650">
        <f t="shared" si="69"/>
        <v>0</v>
      </c>
      <c r="M374" s="635">
        <v>0</v>
      </c>
      <c r="N374" s="650">
        <f t="shared" si="70"/>
        <v>0</v>
      </c>
    </row>
    <row r="375" spans="1:14" x14ac:dyDescent="0.2">
      <c r="A375">
        <f t="shared" si="73"/>
        <v>1</v>
      </c>
      <c r="B375" s="451" t="str">
        <f>VLOOKUP(D375,'LA List'!$A$3:$B$470,2,0)</f>
        <v>E0704</v>
      </c>
      <c r="C375" s="451" t="str">
        <f t="shared" si="63"/>
        <v>E0704EZ1</v>
      </c>
      <c r="D375" s="273" t="s">
        <v>368</v>
      </c>
      <c r="E375" s="273" t="s">
        <v>858</v>
      </c>
      <c r="F375" s="649">
        <v>0</v>
      </c>
      <c r="G375" s="649">
        <v>0</v>
      </c>
      <c r="H375" s="649">
        <v>0</v>
      </c>
      <c r="I375" s="649">
        <f t="shared" si="64"/>
        <v>0</v>
      </c>
      <c r="J375" s="650">
        <f t="shared" si="65"/>
        <v>0</v>
      </c>
      <c r="K375" s="650">
        <f t="shared" si="66"/>
        <v>0</v>
      </c>
      <c r="L375" s="650">
        <f t="shared" si="69"/>
        <v>0</v>
      </c>
      <c r="M375" s="635">
        <v>0</v>
      </c>
      <c r="N375" s="650">
        <f t="shared" si="70"/>
        <v>0</v>
      </c>
    </row>
    <row r="376" spans="1:14" x14ac:dyDescent="0.2">
      <c r="A376">
        <f t="shared" si="73"/>
        <v>2</v>
      </c>
      <c r="B376" s="451" t="str">
        <f>VLOOKUP(D376,'LA List'!$A$3:$B$470,2,0)</f>
        <v>E0704</v>
      </c>
      <c r="C376" s="451" t="str">
        <f t="shared" si="63"/>
        <v>E0704EZ2</v>
      </c>
      <c r="D376" s="273" t="s">
        <v>368</v>
      </c>
      <c r="E376" s="273" t="s">
        <v>1147</v>
      </c>
      <c r="F376" s="649">
        <v>72460</v>
      </c>
      <c r="G376" s="649">
        <v>72460</v>
      </c>
      <c r="H376" s="649">
        <v>74637</v>
      </c>
      <c r="I376" s="649">
        <f t="shared" si="64"/>
        <v>76347</v>
      </c>
      <c r="J376" s="650">
        <f t="shared" si="65"/>
        <v>77591</v>
      </c>
      <c r="K376" s="650">
        <f t="shared" si="66"/>
        <v>77591</v>
      </c>
      <c r="L376" s="650">
        <f t="shared" si="69"/>
        <v>77591</v>
      </c>
      <c r="M376" s="635">
        <v>81315</v>
      </c>
      <c r="N376" s="650">
        <f t="shared" si="70"/>
        <v>81315</v>
      </c>
    </row>
    <row r="377" spans="1:14" x14ac:dyDescent="0.2">
      <c r="A377">
        <f t="shared" si="73"/>
        <v>1</v>
      </c>
      <c r="B377" s="451" t="str">
        <f>VLOOKUP(D377,'LA List'!$A$3:$B$470,2,0)</f>
        <v>E3401</v>
      </c>
      <c r="C377" s="451" t="str">
        <f t="shared" si="63"/>
        <v>E3401EZ1</v>
      </c>
      <c r="D377" s="273" t="s">
        <v>370</v>
      </c>
      <c r="E377" s="273" t="s">
        <v>1148</v>
      </c>
      <c r="F377" s="649">
        <v>271200</v>
      </c>
      <c r="G377" s="649">
        <v>271200</v>
      </c>
      <c r="H377" s="649">
        <v>279348</v>
      </c>
      <c r="I377" s="649">
        <f t="shared" si="64"/>
        <v>285750</v>
      </c>
      <c r="J377" s="650">
        <f t="shared" si="65"/>
        <v>290406</v>
      </c>
      <c r="K377" s="650">
        <f t="shared" si="66"/>
        <v>290406</v>
      </c>
      <c r="L377" s="650">
        <f t="shared" si="69"/>
        <v>290406</v>
      </c>
      <c r="M377" s="635">
        <v>290406</v>
      </c>
      <c r="N377" s="650">
        <f t="shared" si="70"/>
        <v>290406</v>
      </c>
    </row>
    <row r="378" spans="1:14" x14ac:dyDescent="0.2">
      <c r="A378">
        <f t="shared" si="73"/>
        <v>2</v>
      </c>
      <c r="B378" s="451" t="str">
        <f>VLOOKUP(D378,'LA List'!$A$3:$B$470,2,0)</f>
        <v>E3401</v>
      </c>
      <c r="C378" s="451" t="str">
        <f t="shared" si="63"/>
        <v>E3401EZ2</v>
      </c>
      <c r="D378" s="273" t="s">
        <v>370</v>
      </c>
      <c r="E378" s="273" t="s">
        <v>1149</v>
      </c>
      <c r="F378" s="649">
        <v>0</v>
      </c>
      <c r="G378" s="649">
        <v>0</v>
      </c>
      <c r="H378" s="649">
        <v>0</v>
      </c>
      <c r="I378" s="649">
        <f t="shared" si="64"/>
        <v>0</v>
      </c>
      <c r="J378" s="650">
        <f t="shared" si="65"/>
        <v>0</v>
      </c>
      <c r="K378" s="650">
        <f t="shared" si="66"/>
        <v>0</v>
      </c>
      <c r="L378" s="650">
        <f t="shared" si="69"/>
        <v>0</v>
      </c>
      <c r="M378" s="635">
        <v>0</v>
      </c>
      <c r="N378" s="650">
        <f t="shared" si="70"/>
        <v>0</v>
      </c>
    </row>
    <row r="379" spans="1:14" x14ac:dyDescent="0.2">
      <c r="A379">
        <f t="shared" si="73"/>
        <v>3</v>
      </c>
      <c r="B379" s="451" t="str">
        <f>VLOOKUP(D379,'LA List'!$A$3:$B$470,2,0)</f>
        <v>E3401</v>
      </c>
      <c r="C379" s="451" t="str">
        <f t="shared" si="63"/>
        <v>E3401EZ3</v>
      </c>
      <c r="D379" s="273" t="s">
        <v>370</v>
      </c>
      <c r="E379" s="273" t="s">
        <v>1150</v>
      </c>
      <c r="F379" s="649">
        <v>47823</v>
      </c>
      <c r="G379" s="649">
        <v>47823</v>
      </c>
      <c r="H379" s="649">
        <v>49260</v>
      </c>
      <c r="I379" s="649">
        <f t="shared" si="64"/>
        <v>50389</v>
      </c>
      <c r="J379" s="650">
        <f t="shared" si="65"/>
        <v>51210</v>
      </c>
      <c r="K379" s="650">
        <f t="shared" si="66"/>
        <v>51210</v>
      </c>
      <c r="L379" s="650">
        <f t="shared" si="69"/>
        <v>51210</v>
      </c>
      <c r="M379" s="635">
        <v>51210</v>
      </c>
      <c r="N379" s="650">
        <f t="shared" si="70"/>
        <v>51210</v>
      </c>
    </row>
    <row r="380" spans="1:14" x14ac:dyDescent="0.2">
      <c r="A380">
        <f t="shared" si="73"/>
        <v>4</v>
      </c>
      <c r="B380" s="451" t="str">
        <f>VLOOKUP(D380,'LA List'!$A$3:$B$470,2,0)</f>
        <v>E3401</v>
      </c>
      <c r="C380" s="451" t="str">
        <f t="shared" si="63"/>
        <v>E3401EZ4</v>
      </c>
      <c r="D380" s="273" t="s">
        <v>370</v>
      </c>
      <c r="E380" s="273" t="s">
        <v>1151</v>
      </c>
      <c r="F380" s="649">
        <v>17325</v>
      </c>
      <c r="G380" s="649">
        <v>17325</v>
      </c>
      <c r="H380" s="649">
        <v>17845</v>
      </c>
      <c r="I380" s="649">
        <f t="shared" si="64"/>
        <v>18254</v>
      </c>
      <c r="J380" s="650">
        <f t="shared" si="65"/>
        <v>18551</v>
      </c>
      <c r="K380" s="650">
        <f t="shared" si="66"/>
        <v>18551</v>
      </c>
      <c r="L380" s="650">
        <f t="shared" si="69"/>
        <v>18551</v>
      </c>
      <c r="M380" s="635">
        <v>18551</v>
      </c>
      <c r="N380" s="650">
        <f t="shared" si="70"/>
        <v>18551</v>
      </c>
    </row>
    <row r="381" spans="1:14" x14ac:dyDescent="0.2">
      <c r="A381">
        <f t="shared" si="73"/>
        <v>5</v>
      </c>
      <c r="B381" s="451" t="str">
        <f>VLOOKUP(D381,'LA List'!$A$3:$B$470,2,0)</f>
        <v>E3401</v>
      </c>
      <c r="C381" s="451" t="str">
        <f t="shared" si="63"/>
        <v>E3401EZ5</v>
      </c>
      <c r="D381" s="273" t="s">
        <v>370</v>
      </c>
      <c r="E381" s="273" t="s">
        <v>1152</v>
      </c>
      <c r="F381" s="649">
        <v>33391</v>
      </c>
      <c r="G381" s="649">
        <v>33391</v>
      </c>
      <c r="H381" s="649">
        <v>34394</v>
      </c>
      <c r="I381" s="649">
        <f t="shared" si="64"/>
        <v>35182</v>
      </c>
      <c r="J381" s="650">
        <f t="shared" si="65"/>
        <v>35755</v>
      </c>
      <c r="K381" s="650">
        <f t="shared" si="66"/>
        <v>35755</v>
      </c>
      <c r="L381" s="650">
        <f t="shared" si="69"/>
        <v>35755</v>
      </c>
      <c r="M381" s="635">
        <v>35755</v>
      </c>
      <c r="N381" s="650">
        <f t="shared" si="70"/>
        <v>35755</v>
      </c>
    </row>
    <row r="382" spans="1:14" x14ac:dyDescent="0.2">
      <c r="A382">
        <f t="shared" si="73"/>
        <v>1</v>
      </c>
      <c r="B382" s="451" t="str">
        <f>VLOOKUP(D382,'LA List'!$A$3:$B$470,2,0)</f>
        <v>E3734</v>
      </c>
      <c r="C382" s="451" t="str">
        <f t="shared" si="63"/>
        <v>E3734EZ1</v>
      </c>
      <c r="D382" s="273" t="s">
        <v>372</v>
      </c>
      <c r="E382" s="273"/>
      <c r="F382" s="649" t="s">
        <v>1201</v>
      </c>
      <c r="G382" s="649" t="s">
        <v>1201</v>
      </c>
      <c r="H382" s="649" t="s">
        <v>1201</v>
      </c>
      <c r="I382" s="649" t="str">
        <f t="shared" si="64"/>
        <v/>
      </c>
      <c r="J382" s="650" t="str">
        <f t="shared" si="65"/>
        <v/>
      </c>
      <c r="K382" s="650" t="str">
        <f t="shared" si="66"/>
        <v/>
      </c>
      <c r="L382" s="650" t="str">
        <f t="shared" si="69"/>
        <v/>
      </c>
      <c r="M382" s="635" t="s">
        <v>1201</v>
      </c>
      <c r="N382" s="650" t="str">
        <f t="shared" si="70"/>
        <v/>
      </c>
    </row>
    <row r="383" spans="1:14" x14ac:dyDescent="0.2">
      <c r="A383">
        <f t="shared" si="73"/>
        <v>1</v>
      </c>
      <c r="B383" s="451" t="str">
        <f>VLOOKUP(D383,'LA List'!$A$3:$B$470,2,0)</f>
        <v>E1635</v>
      </c>
      <c r="C383" s="451" t="str">
        <f t="shared" si="63"/>
        <v>E1635EZ1</v>
      </c>
      <c r="D383" s="273" t="s">
        <v>374</v>
      </c>
      <c r="E383" s="273"/>
      <c r="F383" s="649" t="s">
        <v>1201</v>
      </c>
      <c r="G383" s="649" t="s">
        <v>1201</v>
      </c>
      <c r="H383" s="649" t="s">
        <v>1201</v>
      </c>
      <c r="I383" s="649" t="str">
        <f t="shared" si="64"/>
        <v/>
      </c>
      <c r="J383" s="650" t="str">
        <f t="shared" si="65"/>
        <v/>
      </c>
      <c r="K383" s="650" t="str">
        <f t="shared" si="66"/>
        <v/>
      </c>
      <c r="L383" s="650" t="str">
        <f t="shared" si="69"/>
        <v/>
      </c>
      <c r="M383" s="635" t="s">
        <v>1201</v>
      </c>
      <c r="N383" s="650" t="str">
        <f t="shared" si="70"/>
        <v/>
      </c>
    </row>
    <row r="384" spans="1:14" x14ac:dyDescent="0.2">
      <c r="A384">
        <f t="shared" si="73"/>
        <v>1</v>
      </c>
      <c r="B384" s="451" t="str">
        <f>VLOOKUP(D384,'LA List'!$A$3:$B$470,2,0)</f>
        <v>E4505</v>
      </c>
      <c r="C384" s="451" t="str">
        <f t="shared" si="63"/>
        <v>E4505EZ1</v>
      </c>
      <c r="D384" s="273" t="s">
        <v>376</v>
      </c>
      <c r="E384" s="273" t="s">
        <v>869</v>
      </c>
      <c r="F384" s="649">
        <v>134776</v>
      </c>
      <c r="G384" s="649">
        <v>134776</v>
      </c>
      <c r="H384" s="649">
        <v>138825</v>
      </c>
      <c r="I384" s="649">
        <f t="shared" si="64"/>
        <v>142006</v>
      </c>
      <c r="J384" s="650">
        <f t="shared" si="65"/>
        <v>144320</v>
      </c>
      <c r="K384" s="650">
        <f t="shared" si="66"/>
        <v>144320</v>
      </c>
      <c r="L384" s="650">
        <f t="shared" si="69"/>
        <v>144320</v>
      </c>
      <c r="M384" s="635">
        <v>126508</v>
      </c>
      <c r="N384" s="650">
        <f t="shared" si="70"/>
        <v>126508</v>
      </c>
    </row>
    <row r="385" spans="1:14" x14ac:dyDescent="0.2">
      <c r="A385">
        <f t="shared" si="73"/>
        <v>2</v>
      </c>
      <c r="B385" s="451" t="str">
        <f>VLOOKUP(D385,'LA List'!$A$3:$B$470,2,0)</f>
        <v>E4505</v>
      </c>
      <c r="C385" s="451" t="str">
        <f t="shared" ref="C385:C448" si="82">CONCATENATE(B385,"EZ",A385)</f>
        <v>E4505EZ2</v>
      </c>
      <c r="D385" s="273" t="s">
        <v>376</v>
      </c>
      <c r="E385" s="273" t="s">
        <v>1153</v>
      </c>
      <c r="F385" s="649">
        <v>0</v>
      </c>
      <c r="G385" s="649">
        <v>0</v>
      </c>
      <c r="H385" s="649">
        <v>0</v>
      </c>
      <c r="I385" s="649">
        <f t="shared" si="64"/>
        <v>0</v>
      </c>
      <c r="J385" s="650">
        <f t="shared" si="65"/>
        <v>0</v>
      </c>
      <c r="K385" s="650">
        <f t="shared" si="66"/>
        <v>0</v>
      </c>
      <c r="L385" s="650">
        <f t="shared" si="69"/>
        <v>0</v>
      </c>
      <c r="M385" s="635">
        <v>0</v>
      </c>
      <c r="N385" s="650">
        <f t="shared" si="70"/>
        <v>0</v>
      </c>
    </row>
    <row r="386" spans="1:14" x14ac:dyDescent="0.2">
      <c r="A386">
        <f t="shared" si="73"/>
        <v>3</v>
      </c>
      <c r="B386" s="451" t="str">
        <f>VLOOKUP(D386,'LA List'!$A$3:$B$470,2,0)</f>
        <v>E4505</v>
      </c>
      <c r="C386" s="451" t="str">
        <f t="shared" si="82"/>
        <v>E4505EZ3</v>
      </c>
      <c r="D386" s="273" t="s">
        <v>376</v>
      </c>
      <c r="E386" s="544" t="s">
        <v>1195</v>
      </c>
      <c r="F386" s="649">
        <v>0</v>
      </c>
      <c r="G386" s="649">
        <v>0</v>
      </c>
      <c r="H386" s="649">
        <v>0</v>
      </c>
      <c r="I386" s="649">
        <f t="shared" si="64"/>
        <v>0</v>
      </c>
      <c r="J386" s="650">
        <f t="shared" si="65"/>
        <v>0</v>
      </c>
      <c r="K386" s="650">
        <f t="shared" si="66"/>
        <v>0</v>
      </c>
      <c r="L386" s="650">
        <f t="shared" si="69"/>
        <v>0</v>
      </c>
      <c r="M386" s="635">
        <v>0</v>
      </c>
      <c r="N386" s="650">
        <f t="shared" si="70"/>
        <v>0</v>
      </c>
    </row>
    <row r="387" spans="1:14" x14ac:dyDescent="0.2">
      <c r="A387">
        <f t="shared" ref="A387" si="83">IF(D387=D386,A386+1,1)</f>
        <v>4</v>
      </c>
      <c r="B387" s="451" t="str">
        <f>VLOOKUP(D387,'LA List'!$A$3:$B$470,2,0)</f>
        <v>E4505</v>
      </c>
      <c r="C387" s="451" t="str">
        <f t="shared" ref="C387" si="84">CONCATENATE(B387,"EZ",A387)</f>
        <v>E4505EZ4</v>
      </c>
      <c r="D387" s="273" t="s">
        <v>376</v>
      </c>
      <c r="E387" s="544" t="s">
        <v>3388</v>
      </c>
      <c r="F387" s="649"/>
      <c r="G387" s="649"/>
      <c r="H387" s="649"/>
      <c r="I387" s="649"/>
      <c r="J387" s="650"/>
      <c r="K387" s="650"/>
      <c r="L387" s="650"/>
      <c r="M387" s="635"/>
      <c r="N387" s="650">
        <v>998</v>
      </c>
    </row>
    <row r="388" spans="1:14" x14ac:dyDescent="0.2">
      <c r="A388">
        <f>IF(D388=D386,A386+1,1)</f>
        <v>1</v>
      </c>
      <c r="B388" s="451" t="str">
        <f>VLOOKUP(D388,'LA List'!$A$3:$B$470,2,0)</f>
        <v>E3638</v>
      </c>
      <c r="C388" s="451" t="str">
        <f t="shared" si="82"/>
        <v>E3638EZ1</v>
      </c>
      <c r="D388" s="273" t="s">
        <v>378</v>
      </c>
      <c r="E388" s="273"/>
      <c r="F388" s="649" t="s">
        <v>1201</v>
      </c>
      <c r="G388" s="649" t="s">
        <v>1201</v>
      </c>
      <c r="H388" s="649" t="s">
        <v>1201</v>
      </c>
      <c r="I388" s="649" t="str">
        <f t="shared" si="64"/>
        <v/>
      </c>
      <c r="J388" s="650" t="str">
        <f t="shared" si="65"/>
        <v/>
      </c>
      <c r="K388" s="650" t="str">
        <f t="shared" si="66"/>
        <v/>
      </c>
      <c r="L388" s="650" t="str">
        <f t="shared" si="69"/>
        <v/>
      </c>
      <c r="M388" s="635" t="s">
        <v>1201</v>
      </c>
      <c r="N388" s="650" t="str">
        <f t="shared" si="70"/>
        <v/>
      </c>
    </row>
    <row r="389" spans="1:14" x14ac:dyDescent="0.2">
      <c r="A389">
        <f t="shared" si="73"/>
        <v>1</v>
      </c>
      <c r="B389" s="451" t="str">
        <f>VLOOKUP(D389,'LA List'!$A$3:$B$470,2,0)</f>
        <v>E5048</v>
      </c>
      <c r="C389" s="451" t="str">
        <f t="shared" si="82"/>
        <v>E5048EZ1</v>
      </c>
      <c r="D389" s="273" t="s">
        <v>380</v>
      </c>
      <c r="E389" s="273"/>
      <c r="F389" s="649" t="s">
        <v>1201</v>
      </c>
      <c r="G389" s="649" t="s">
        <v>1201</v>
      </c>
      <c r="H389" s="649" t="s">
        <v>1201</v>
      </c>
      <c r="I389" s="649" t="str">
        <f t="shared" si="64"/>
        <v/>
      </c>
      <c r="J389" s="650" t="str">
        <f t="shared" si="65"/>
        <v/>
      </c>
      <c r="K389" s="650" t="str">
        <f t="shared" si="66"/>
        <v/>
      </c>
      <c r="L389" s="650" t="str">
        <f t="shared" si="69"/>
        <v/>
      </c>
      <c r="M389" s="635" t="s">
        <v>1201</v>
      </c>
      <c r="N389" s="650" t="str">
        <f t="shared" si="70"/>
        <v/>
      </c>
    </row>
    <row r="390" spans="1:14" x14ac:dyDescent="0.2">
      <c r="A390">
        <f t="shared" si="73"/>
        <v>1</v>
      </c>
      <c r="B390" s="451" t="str">
        <f>VLOOKUP(D390,'LA List'!$A$3:$B$470,2,0)</f>
        <v>E2241</v>
      </c>
      <c r="C390" s="451" t="str">
        <f t="shared" si="82"/>
        <v>E2241EZ1</v>
      </c>
      <c r="D390" s="273" t="s">
        <v>382</v>
      </c>
      <c r="E390" s="273"/>
      <c r="F390" s="649" t="s">
        <v>1201</v>
      </c>
      <c r="G390" s="649" t="s">
        <v>1201</v>
      </c>
      <c r="H390" s="649" t="s">
        <v>1201</v>
      </c>
      <c r="I390" s="649" t="str">
        <f t="shared" ref="I390:I457" si="85">IF(H390="","",ROUND(H390*$I$1,0))</f>
        <v/>
      </c>
      <c r="J390" s="650" t="str">
        <f t="shared" ref="J390:J457" si="86">IF(I390="","",ROUND(I390*$J$1,0))</f>
        <v/>
      </c>
      <c r="K390" s="650" t="str">
        <f t="shared" si="66"/>
        <v/>
      </c>
      <c r="L390" s="650" t="str">
        <f t="shared" si="69"/>
        <v/>
      </c>
      <c r="M390" s="635" t="s">
        <v>1201</v>
      </c>
      <c r="N390" s="650" t="str">
        <f t="shared" si="70"/>
        <v/>
      </c>
    </row>
    <row r="391" spans="1:14" x14ac:dyDescent="0.2">
      <c r="A391">
        <f t="shared" si="73"/>
        <v>1</v>
      </c>
      <c r="B391" s="451" t="str">
        <f>VLOOKUP(D391,'LA List'!$A$3:$B$470,2,0)</f>
        <v>E3901</v>
      </c>
      <c r="C391" s="451" t="str">
        <f t="shared" si="82"/>
        <v>E3901EZ1</v>
      </c>
      <c r="D391" s="273" t="s">
        <v>384</v>
      </c>
      <c r="E391" s="273"/>
      <c r="F391" s="649" t="s">
        <v>1201</v>
      </c>
      <c r="G391" s="649" t="s">
        <v>1201</v>
      </c>
      <c r="H391" s="649" t="s">
        <v>1201</v>
      </c>
      <c r="I391" s="649" t="str">
        <f t="shared" si="85"/>
        <v/>
      </c>
      <c r="J391" s="650" t="str">
        <f t="shared" si="86"/>
        <v/>
      </c>
      <c r="K391" s="650" t="str">
        <f t="shared" ref="K391:K458" si="87">IF(J391="","",ROUND(J391*$K$1,0))</f>
        <v/>
      </c>
      <c r="L391" s="650" t="str">
        <f t="shared" si="69"/>
        <v/>
      </c>
      <c r="M391" s="635" t="s">
        <v>1201</v>
      </c>
      <c r="N391" s="650" t="str">
        <f t="shared" si="70"/>
        <v/>
      </c>
    </row>
    <row r="392" spans="1:14" x14ac:dyDescent="0.2">
      <c r="A392">
        <f t="shared" si="73"/>
        <v>1</v>
      </c>
      <c r="B392" s="451" t="str">
        <f>VLOOKUP(D392,'LA List'!$A$3:$B$470,2,0)</f>
        <v>E4208</v>
      </c>
      <c r="C392" s="451" t="str">
        <f t="shared" si="82"/>
        <v>E4208EZ1</v>
      </c>
      <c r="D392" s="273" t="s">
        <v>386</v>
      </c>
      <c r="E392" s="273"/>
      <c r="F392" s="649" t="s">
        <v>1201</v>
      </c>
      <c r="G392" s="649" t="s">
        <v>1201</v>
      </c>
      <c r="H392" s="649" t="s">
        <v>1201</v>
      </c>
      <c r="I392" s="649" t="str">
        <f t="shared" si="85"/>
        <v/>
      </c>
      <c r="J392" s="650" t="str">
        <f t="shared" si="86"/>
        <v/>
      </c>
      <c r="K392" s="650" t="str">
        <f t="shared" si="87"/>
        <v/>
      </c>
      <c r="L392" s="650" t="str">
        <f t="shared" si="69"/>
        <v/>
      </c>
      <c r="M392" s="635" t="s">
        <v>1201</v>
      </c>
      <c r="N392" s="650" t="str">
        <f t="shared" si="70"/>
        <v/>
      </c>
    </row>
    <row r="393" spans="1:14" x14ac:dyDescent="0.2">
      <c r="A393">
        <f t="shared" si="73"/>
        <v>1</v>
      </c>
      <c r="B393" s="451" t="str">
        <f>VLOOKUP(D393,'LA List'!$A$3:$B$470,2,0)</f>
        <v>E3439</v>
      </c>
      <c r="C393" s="451" t="str">
        <f t="shared" si="82"/>
        <v>E3439EZ1</v>
      </c>
      <c r="D393" s="273" t="s">
        <v>388</v>
      </c>
      <c r="E393" s="273"/>
      <c r="F393" s="649" t="s">
        <v>1201</v>
      </c>
      <c r="G393" s="649" t="s">
        <v>1201</v>
      </c>
      <c r="H393" s="649" t="s">
        <v>1201</v>
      </c>
      <c r="I393" s="649" t="str">
        <f t="shared" si="85"/>
        <v/>
      </c>
      <c r="J393" s="650" t="str">
        <f t="shared" si="86"/>
        <v/>
      </c>
      <c r="K393" s="650" t="str">
        <f t="shared" si="87"/>
        <v/>
      </c>
      <c r="L393" s="650" t="str">
        <f t="shared" si="69"/>
        <v/>
      </c>
      <c r="M393" s="635" t="s">
        <v>1201</v>
      </c>
      <c r="N393" s="650" t="str">
        <f t="shared" si="70"/>
        <v/>
      </c>
    </row>
    <row r="394" spans="1:14" x14ac:dyDescent="0.2">
      <c r="A394">
        <f t="shared" si="73"/>
        <v>1</v>
      </c>
      <c r="B394" s="451" t="str">
        <f>VLOOKUP(D394,'LA List'!$A$3:$B$470,2,0)</f>
        <v>E3639</v>
      </c>
      <c r="C394" s="451" t="str">
        <f t="shared" si="82"/>
        <v>E3639EZ1</v>
      </c>
      <c r="D394" s="273" t="s">
        <v>390</v>
      </c>
      <c r="E394" s="273"/>
      <c r="F394" s="649" t="s">
        <v>1201</v>
      </c>
      <c r="G394" s="649" t="s">
        <v>1201</v>
      </c>
      <c r="H394" s="649" t="s">
        <v>1201</v>
      </c>
      <c r="I394" s="649" t="str">
        <f t="shared" si="85"/>
        <v/>
      </c>
      <c r="J394" s="650" t="str">
        <f t="shared" si="86"/>
        <v/>
      </c>
      <c r="K394" s="650" t="str">
        <f t="shared" si="87"/>
        <v/>
      </c>
      <c r="L394" s="650" t="str">
        <f t="shared" si="69"/>
        <v/>
      </c>
      <c r="M394" s="635" t="s">
        <v>1201</v>
      </c>
      <c r="N394" s="650" t="str">
        <f t="shared" si="70"/>
        <v/>
      </c>
    </row>
    <row r="395" spans="1:14" x14ac:dyDescent="0.2">
      <c r="A395">
        <f t="shared" si="73"/>
        <v>1</v>
      </c>
      <c r="B395" s="451" t="str">
        <f>VLOOKUP(D395,'LA List'!$A$3:$B$470,2,0)</f>
        <v>E1137</v>
      </c>
      <c r="C395" s="451" t="str">
        <f t="shared" si="82"/>
        <v>E1137EZ1</v>
      </c>
      <c r="D395" s="273" t="s">
        <v>392</v>
      </c>
      <c r="E395" s="273"/>
      <c r="F395" s="649" t="s">
        <v>1201</v>
      </c>
      <c r="G395" s="649" t="s">
        <v>1201</v>
      </c>
      <c r="H395" s="649" t="s">
        <v>1201</v>
      </c>
      <c r="I395" s="649" t="str">
        <f t="shared" si="85"/>
        <v/>
      </c>
      <c r="J395" s="650" t="str">
        <f t="shared" si="86"/>
        <v/>
      </c>
      <c r="K395" s="650" t="str">
        <f t="shared" si="87"/>
        <v/>
      </c>
      <c r="L395" s="650" t="str">
        <f t="shared" si="69"/>
        <v/>
      </c>
      <c r="M395" s="635" t="s">
        <v>1201</v>
      </c>
      <c r="N395" s="650" t="str">
        <f t="shared" si="70"/>
        <v/>
      </c>
    </row>
    <row r="396" spans="1:14" x14ac:dyDescent="0.2">
      <c r="A396">
        <f t="shared" si="73"/>
        <v>1</v>
      </c>
      <c r="B396" s="451" t="str">
        <f>VLOOKUP(D396,'LA List'!$A$3:$B$470,2,0)</f>
        <v>E3201</v>
      </c>
      <c r="C396" s="451" t="str">
        <f t="shared" si="82"/>
        <v>E3201EZ1</v>
      </c>
      <c r="D396" s="273" t="s">
        <v>394</v>
      </c>
      <c r="E396" s="273"/>
      <c r="F396" s="649" t="s">
        <v>1201</v>
      </c>
      <c r="G396" s="649" t="s">
        <v>1201</v>
      </c>
      <c r="H396" s="649" t="s">
        <v>1201</v>
      </c>
      <c r="I396" s="649" t="str">
        <f t="shared" si="85"/>
        <v/>
      </c>
      <c r="J396" s="650" t="str">
        <f t="shared" si="86"/>
        <v/>
      </c>
      <c r="K396" s="650" t="str">
        <f t="shared" si="87"/>
        <v/>
      </c>
      <c r="L396" s="650" t="str">
        <f t="shared" si="69"/>
        <v/>
      </c>
      <c r="M396" s="635" t="s">
        <v>1201</v>
      </c>
      <c r="N396" s="650" t="str">
        <f t="shared" si="70"/>
        <v/>
      </c>
    </row>
    <row r="397" spans="1:14" x14ac:dyDescent="0.2">
      <c r="A397">
        <f t="shared" si="73"/>
        <v>1</v>
      </c>
      <c r="B397" s="451" t="str">
        <f>VLOOKUP(D397,'LA List'!$A$3:$B$470,2,0)</f>
        <v>E1542</v>
      </c>
      <c r="C397" s="451" t="str">
        <f t="shared" si="82"/>
        <v>E1542EZ1</v>
      </c>
      <c r="D397" s="273" t="s">
        <v>396</v>
      </c>
      <c r="E397" s="544" t="s">
        <v>2436</v>
      </c>
      <c r="F397" s="649">
        <v>0</v>
      </c>
      <c r="G397" s="649">
        <v>0</v>
      </c>
      <c r="H397" s="649">
        <v>0</v>
      </c>
      <c r="I397" s="649">
        <v>0</v>
      </c>
      <c r="J397" s="650">
        <v>0</v>
      </c>
      <c r="K397" s="650">
        <v>0</v>
      </c>
      <c r="L397" s="650">
        <v>0</v>
      </c>
      <c r="M397" s="635">
        <v>841447</v>
      </c>
      <c r="N397" s="650">
        <f t="shared" si="70"/>
        <v>841447</v>
      </c>
    </row>
    <row r="398" spans="1:14" x14ac:dyDescent="0.2">
      <c r="A398">
        <f t="shared" si="73"/>
        <v>1</v>
      </c>
      <c r="B398" s="451" t="str">
        <f>VLOOKUP(D398,'LA List'!$A$3:$B$470,2,0)</f>
        <v>E1742</v>
      </c>
      <c r="C398" s="451" t="str">
        <f t="shared" si="82"/>
        <v>E1742EZ1</v>
      </c>
      <c r="D398" s="273" t="s">
        <v>398</v>
      </c>
      <c r="E398" s="273"/>
      <c r="F398" s="649" t="s">
        <v>1201</v>
      </c>
      <c r="G398" s="649" t="s">
        <v>1201</v>
      </c>
      <c r="H398" s="649" t="s">
        <v>1201</v>
      </c>
      <c r="I398" s="649" t="str">
        <f t="shared" si="85"/>
        <v/>
      </c>
      <c r="J398" s="650" t="str">
        <f t="shared" si="86"/>
        <v/>
      </c>
      <c r="K398" s="650" t="str">
        <f t="shared" si="87"/>
        <v/>
      </c>
      <c r="L398" s="650" t="str">
        <f t="shared" ref="L398:L460" si="88">IF(K398="","",ROUND(K398*$L$1,0))</f>
        <v/>
      </c>
      <c r="M398" s="635" t="s">
        <v>1201</v>
      </c>
      <c r="N398" s="650" t="str">
        <f t="shared" si="70"/>
        <v/>
      </c>
    </row>
    <row r="399" spans="1:14" x14ac:dyDescent="0.2">
      <c r="A399">
        <f t="shared" si="73"/>
        <v>1</v>
      </c>
      <c r="B399" s="451" t="str">
        <f>VLOOKUP(D399,'LA List'!$A$3:$B$470,2,0)</f>
        <v>E1636</v>
      </c>
      <c r="C399" s="451" t="str">
        <f t="shared" si="82"/>
        <v>E1636EZ1</v>
      </c>
      <c r="D399" s="273" t="s">
        <v>400</v>
      </c>
      <c r="E399" s="273"/>
      <c r="F399" s="649" t="s">
        <v>1201</v>
      </c>
      <c r="G399" s="649" t="s">
        <v>1201</v>
      </c>
      <c r="H399" s="649" t="s">
        <v>1201</v>
      </c>
      <c r="I399" s="649" t="str">
        <f t="shared" si="85"/>
        <v/>
      </c>
      <c r="J399" s="650" t="str">
        <f t="shared" si="86"/>
        <v/>
      </c>
      <c r="K399" s="650" t="str">
        <f t="shared" si="87"/>
        <v/>
      </c>
      <c r="L399" s="650" t="str">
        <f t="shared" si="88"/>
        <v/>
      </c>
      <c r="M399" s="635" t="s">
        <v>1201</v>
      </c>
      <c r="N399" s="650" t="str">
        <f t="shared" si="70"/>
        <v/>
      </c>
    </row>
    <row r="400" spans="1:14" x14ac:dyDescent="0.2">
      <c r="A400">
        <f t="shared" si="73"/>
        <v>1</v>
      </c>
      <c r="B400" s="451" t="str">
        <f>VLOOKUP(D400,'LA List'!$A$3:$B$470,2,0)</f>
        <v>E2242</v>
      </c>
      <c r="C400" s="451" t="str">
        <f t="shared" si="82"/>
        <v>E2242EZ1</v>
      </c>
      <c r="D400" s="273" t="s">
        <v>402</v>
      </c>
      <c r="E400" s="273"/>
      <c r="F400" s="649" t="s">
        <v>1201</v>
      </c>
      <c r="G400" s="649" t="s">
        <v>1201</v>
      </c>
      <c r="H400" s="649" t="s">
        <v>1201</v>
      </c>
      <c r="I400" s="649" t="str">
        <f t="shared" si="85"/>
        <v/>
      </c>
      <c r="J400" s="650" t="str">
        <f t="shared" si="86"/>
        <v/>
      </c>
      <c r="K400" s="650" t="str">
        <f t="shared" si="87"/>
        <v/>
      </c>
      <c r="L400" s="650" t="str">
        <f t="shared" si="88"/>
        <v/>
      </c>
      <c r="M400" s="635" t="s">
        <v>1201</v>
      </c>
      <c r="N400" s="650" t="str">
        <f t="shared" si="70"/>
        <v/>
      </c>
    </row>
    <row r="401" spans="1:14" x14ac:dyDescent="0.2">
      <c r="A401">
        <f t="shared" si="73"/>
        <v>1</v>
      </c>
      <c r="B401" s="451" t="str">
        <f>VLOOKUP(D401,'LA List'!$A$3:$B$470,2,0)</f>
        <v>E1938</v>
      </c>
      <c r="C401" s="451" t="str">
        <f t="shared" si="82"/>
        <v>E1938EZ1</v>
      </c>
      <c r="D401" s="273" t="s">
        <v>404</v>
      </c>
      <c r="E401" s="273"/>
      <c r="F401" s="649" t="s">
        <v>1201</v>
      </c>
      <c r="G401" s="649" t="s">
        <v>1201</v>
      </c>
      <c r="H401" s="649" t="s">
        <v>1201</v>
      </c>
      <c r="I401" s="649" t="str">
        <f t="shared" si="85"/>
        <v/>
      </c>
      <c r="J401" s="650" t="str">
        <f t="shared" si="86"/>
        <v/>
      </c>
      <c r="K401" s="650" t="str">
        <f t="shared" si="87"/>
        <v/>
      </c>
      <c r="L401" s="650" t="str">
        <f t="shared" si="88"/>
        <v/>
      </c>
      <c r="M401" s="635" t="s">
        <v>1201</v>
      </c>
      <c r="N401" s="650" t="str">
        <f t="shared" si="70"/>
        <v/>
      </c>
    </row>
    <row r="402" spans="1:14" x14ac:dyDescent="0.2">
      <c r="A402">
        <f>IF(D402=D401,A401+1,1)</f>
        <v>1</v>
      </c>
      <c r="B402" s="451" t="str">
        <f>VLOOKUP(D402,'LA List'!$A$3:$B$470,2,0)</f>
        <v>E1502</v>
      </c>
      <c r="C402" s="451" t="str">
        <f t="shared" ref="C402:C403" si="89">CONCATENATE(B402,"EZ",A402)</f>
        <v>E1502EZ1</v>
      </c>
      <c r="D402" s="273" t="s">
        <v>406</v>
      </c>
      <c r="E402" s="544" t="s">
        <v>3383</v>
      </c>
      <c r="F402" s="649"/>
      <c r="G402" s="649"/>
      <c r="H402" s="649"/>
      <c r="I402" s="649"/>
      <c r="J402" s="650"/>
      <c r="K402" s="650"/>
      <c r="L402" s="650"/>
      <c r="M402" s="635"/>
      <c r="N402" s="650">
        <v>610266.8671875</v>
      </c>
    </row>
    <row r="403" spans="1:14" x14ac:dyDescent="0.2">
      <c r="A403">
        <f t="shared" ref="A403" si="90">IF(D403=D402,A402+1,1)</f>
        <v>2</v>
      </c>
      <c r="B403" s="451" t="str">
        <f>VLOOKUP(D403,'LA List'!$A$3:$B$470,2,0)</f>
        <v>E1502</v>
      </c>
      <c r="C403" s="451" t="str">
        <f t="shared" si="89"/>
        <v>E1502EZ2</v>
      </c>
      <c r="D403" s="273" t="s">
        <v>406</v>
      </c>
      <c r="E403" s="544" t="s">
        <v>3384</v>
      </c>
      <c r="F403" s="649"/>
      <c r="G403" s="649"/>
      <c r="H403" s="649"/>
      <c r="I403" s="649"/>
      <c r="J403" s="650"/>
      <c r="K403" s="650"/>
      <c r="L403" s="650"/>
      <c r="M403" s="635"/>
      <c r="N403" s="650">
        <v>232985.20140526979</v>
      </c>
    </row>
    <row r="404" spans="1:14" x14ac:dyDescent="0.2">
      <c r="A404">
        <f>IF(D404=D402,A402+1,1)</f>
        <v>1</v>
      </c>
      <c r="B404" s="451" t="str">
        <f>VLOOKUP(D404,'LA List'!$A$3:$B$470,2,0)</f>
        <v>E2243</v>
      </c>
      <c r="C404" s="451" t="str">
        <f t="shared" si="82"/>
        <v>E2243EZ1</v>
      </c>
      <c r="D404" s="273" t="s">
        <v>408</v>
      </c>
      <c r="E404" s="273" t="s">
        <v>1109</v>
      </c>
      <c r="F404" s="649">
        <v>0</v>
      </c>
      <c r="G404" s="649">
        <v>0</v>
      </c>
      <c r="H404" s="649">
        <v>0</v>
      </c>
      <c r="I404" s="649">
        <f t="shared" si="85"/>
        <v>0</v>
      </c>
      <c r="J404" s="650">
        <f t="shared" si="86"/>
        <v>0</v>
      </c>
      <c r="K404" s="650">
        <f t="shared" si="87"/>
        <v>0</v>
      </c>
      <c r="L404" s="650">
        <f t="shared" si="88"/>
        <v>0</v>
      </c>
      <c r="M404" s="635">
        <v>0</v>
      </c>
      <c r="N404" s="650">
        <f t="shared" ref="N404:N460" si="91">IF(M404="","",ROUND(M404*$N$1,0))</f>
        <v>0</v>
      </c>
    </row>
    <row r="405" spans="1:14" x14ac:dyDescent="0.2">
      <c r="A405">
        <f t="shared" si="73"/>
        <v>1</v>
      </c>
      <c r="B405" s="451" t="str">
        <f>VLOOKUP(D405,'LA List'!$A$3:$B$470,2,0)</f>
        <v>E1102</v>
      </c>
      <c r="C405" s="451" t="str">
        <f t="shared" si="82"/>
        <v>E1102EZ1</v>
      </c>
      <c r="D405" s="273" t="s">
        <v>410</v>
      </c>
      <c r="E405" s="273"/>
      <c r="F405" s="649" t="s">
        <v>1201</v>
      </c>
      <c r="G405" s="649" t="s">
        <v>1201</v>
      </c>
      <c r="H405" s="649" t="s">
        <v>1201</v>
      </c>
      <c r="I405" s="649" t="str">
        <f t="shared" si="85"/>
        <v/>
      </c>
      <c r="J405" s="650" t="str">
        <f t="shared" si="86"/>
        <v/>
      </c>
      <c r="K405" s="650" t="str">
        <f t="shared" si="87"/>
        <v/>
      </c>
      <c r="L405" s="650" t="str">
        <f t="shared" si="88"/>
        <v/>
      </c>
      <c r="M405" s="635" t="s">
        <v>1201</v>
      </c>
      <c r="N405" s="650" t="str">
        <f t="shared" si="91"/>
        <v/>
      </c>
    </row>
    <row r="406" spans="1:14" x14ac:dyDescent="0.2">
      <c r="A406">
        <f t="shared" si="73"/>
        <v>1</v>
      </c>
      <c r="B406" s="451" t="str">
        <f>VLOOKUP(D406,'LA List'!$A$3:$B$470,2,0)</f>
        <v>E1139</v>
      </c>
      <c r="C406" s="451" t="str">
        <f t="shared" si="82"/>
        <v>E1139EZ1</v>
      </c>
      <c r="D406" s="273" t="s">
        <v>412</v>
      </c>
      <c r="E406" s="273"/>
      <c r="F406" s="649" t="s">
        <v>1201</v>
      </c>
      <c r="G406" s="649" t="s">
        <v>1201</v>
      </c>
      <c r="H406" s="649" t="s">
        <v>1201</v>
      </c>
      <c r="I406" s="649" t="str">
        <f t="shared" si="85"/>
        <v/>
      </c>
      <c r="J406" s="650" t="str">
        <f t="shared" si="86"/>
        <v/>
      </c>
      <c r="K406" s="650" t="str">
        <f t="shared" si="87"/>
        <v/>
      </c>
      <c r="L406" s="650" t="str">
        <f t="shared" si="88"/>
        <v/>
      </c>
      <c r="M406" s="635" t="s">
        <v>1201</v>
      </c>
      <c r="N406" s="650" t="str">
        <f t="shared" si="91"/>
        <v/>
      </c>
    </row>
    <row r="407" spans="1:14" x14ac:dyDescent="0.2">
      <c r="A407">
        <f t="shared" si="73"/>
        <v>1</v>
      </c>
      <c r="B407" s="451" t="str">
        <f>VLOOKUP(D407,'LA List'!$A$3:$B$470,2,0)</f>
        <v>E5020</v>
      </c>
      <c r="C407" s="451" t="str">
        <f t="shared" si="82"/>
        <v>E5020EZ1</v>
      </c>
      <c r="D407" s="273" t="s">
        <v>414</v>
      </c>
      <c r="E407" s="273"/>
      <c r="F407" s="649" t="s">
        <v>1201</v>
      </c>
      <c r="G407" s="649" t="s">
        <v>1201</v>
      </c>
      <c r="H407" s="649" t="s">
        <v>1201</v>
      </c>
      <c r="I407" s="649" t="str">
        <f t="shared" si="85"/>
        <v/>
      </c>
      <c r="J407" s="650" t="str">
        <f t="shared" si="86"/>
        <v/>
      </c>
      <c r="K407" s="650" t="str">
        <f t="shared" si="87"/>
        <v/>
      </c>
      <c r="L407" s="650" t="str">
        <f t="shared" si="88"/>
        <v/>
      </c>
      <c r="M407" s="635" t="s">
        <v>1201</v>
      </c>
      <c r="N407" s="650" t="str">
        <f t="shared" si="91"/>
        <v/>
      </c>
    </row>
    <row r="408" spans="1:14" x14ac:dyDescent="0.2">
      <c r="A408">
        <f t="shared" si="73"/>
        <v>1</v>
      </c>
      <c r="B408" s="451" t="str">
        <f>VLOOKUP(D408,'LA List'!$A$3:$B$470,2,0)</f>
        <v>E4209</v>
      </c>
      <c r="C408" s="451" t="str">
        <f t="shared" si="82"/>
        <v>E4209EZ1</v>
      </c>
      <c r="D408" s="273" t="s">
        <v>416</v>
      </c>
      <c r="E408" s="273" t="s">
        <v>3377</v>
      </c>
      <c r="F408" s="649" t="s">
        <v>1201</v>
      </c>
      <c r="G408" s="649" t="s">
        <v>1201</v>
      </c>
      <c r="H408" s="649" t="s">
        <v>1201</v>
      </c>
      <c r="I408" s="649" t="str">
        <f t="shared" si="85"/>
        <v/>
      </c>
      <c r="J408" s="650" t="str">
        <f t="shared" si="86"/>
        <v/>
      </c>
      <c r="K408" s="650" t="str">
        <f t="shared" si="87"/>
        <v/>
      </c>
      <c r="L408" s="650" t="str">
        <f t="shared" si="88"/>
        <v/>
      </c>
      <c r="M408" s="635" t="s">
        <v>1201</v>
      </c>
      <c r="N408" s="650">
        <v>14721386.51953125</v>
      </c>
    </row>
    <row r="409" spans="1:14" x14ac:dyDescent="0.2">
      <c r="A409">
        <f t="shared" ref="A409" si="92">IF(D409=D408,A408+1,1)</f>
        <v>2</v>
      </c>
      <c r="B409" s="451" t="str">
        <f>VLOOKUP(D409,'LA List'!$A$3:$B$470,2,0)</f>
        <v>E4209</v>
      </c>
      <c r="C409" s="451" t="str">
        <f t="shared" ref="C409" si="93">CONCATENATE(B409,"EZ",A409)</f>
        <v>E4209EZ2</v>
      </c>
      <c r="D409" s="273" t="s">
        <v>416</v>
      </c>
      <c r="E409" s="273" t="s">
        <v>3373</v>
      </c>
      <c r="F409" s="649"/>
      <c r="G409" s="649"/>
      <c r="H409" s="649"/>
      <c r="I409" s="649"/>
      <c r="J409" s="650"/>
      <c r="K409" s="650"/>
      <c r="L409" s="650"/>
      <c r="M409" s="635"/>
      <c r="N409" s="650">
        <v>11146865.865156252</v>
      </c>
    </row>
    <row r="410" spans="1:14" x14ac:dyDescent="0.2">
      <c r="A410">
        <f>IF(D410=D408,A408+1,1)</f>
        <v>1</v>
      </c>
      <c r="B410" s="451" t="str">
        <f>VLOOKUP(D410,'LA List'!$A$3:$B$470,2,0)</f>
        <v>E2244</v>
      </c>
      <c r="C410" s="451" t="str">
        <f t="shared" si="82"/>
        <v>E2244EZ1</v>
      </c>
      <c r="D410" s="273" t="s">
        <v>418</v>
      </c>
      <c r="E410" s="273"/>
      <c r="F410" s="649" t="s">
        <v>1201</v>
      </c>
      <c r="G410" s="649" t="s">
        <v>1201</v>
      </c>
      <c r="H410" s="649" t="s">
        <v>1201</v>
      </c>
      <c r="I410" s="649" t="str">
        <f t="shared" si="85"/>
        <v/>
      </c>
      <c r="J410" s="650" t="str">
        <f t="shared" si="86"/>
        <v/>
      </c>
      <c r="K410" s="650" t="str">
        <f t="shared" si="87"/>
        <v/>
      </c>
      <c r="L410" s="650" t="str">
        <f t="shared" si="88"/>
        <v/>
      </c>
      <c r="M410" s="635" t="s">
        <v>1201</v>
      </c>
      <c r="N410" s="650" t="str">
        <f t="shared" si="91"/>
        <v/>
      </c>
    </row>
    <row r="411" spans="1:14" x14ac:dyDescent="0.2">
      <c r="A411">
        <f t="shared" si="73"/>
        <v>1</v>
      </c>
      <c r="B411" s="451" t="str">
        <f>VLOOKUP(D411,'LA List'!$A$3:$B$470,2,0)</f>
        <v>E1544</v>
      </c>
      <c r="C411" s="451" t="str">
        <f t="shared" si="82"/>
        <v>E1544EZ1</v>
      </c>
      <c r="D411" s="273" t="s">
        <v>420</v>
      </c>
      <c r="E411" s="273"/>
      <c r="F411" s="649" t="s">
        <v>1201</v>
      </c>
      <c r="G411" s="649" t="s">
        <v>1201</v>
      </c>
      <c r="H411" s="649" t="s">
        <v>1201</v>
      </c>
      <c r="I411" s="649" t="str">
        <f t="shared" si="85"/>
        <v/>
      </c>
      <c r="J411" s="650" t="str">
        <f t="shared" si="86"/>
        <v/>
      </c>
      <c r="K411" s="650" t="str">
        <f t="shared" si="87"/>
        <v/>
      </c>
      <c r="L411" s="650" t="str">
        <f t="shared" si="88"/>
        <v/>
      </c>
      <c r="M411" s="635" t="s">
        <v>1201</v>
      </c>
      <c r="N411" s="650" t="str">
        <f t="shared" si="91"/>
        <v/>
      </c>
    </row>
    <row r="412" spans="1:14" x14ac:dyDescent="0.2">
      <c r="A412">
        <f t="shared" ref="A412:A460" si="94">IF(D412=D411,A411+1,1)</f>
        <v>1</v>
      </c>
      <c r="B412" s="451" t="str">
        <f>VLOOKUP(D412,'LA List'!$A$3:$B$470,2,0)</f>
        <v>E3134</v>
      </c>
      <c r="C412" s="451" t="str">
        <f t="shared" si="82"/>
        <v>E3134EZ1</v>
      </c>
      <c r="D412" s="273" t="s">
        <v>422</v>
      </c>
      <c r="E412" s="273" t="s">
        <v>873</v>
      </c>
      <c r="F412" s="649">
        <v>1269098</v>
      </c>
      <c r="G412" s="649">
        <v>1269098</v>
      </c>
      <c r="H412" s="649">
        <v>1307225</v>
      </c>
      <c r="I412" s="649">
        <f t="shared" si="85"/>
        <v>1337182</v>
      </c>
      <c r="J412" s="650">
        <f t="shared" si="86"/>
        <v>1358969</v>
      </c>
      <c r="K412" s="650">
        <f t="shared" si="87"/>
        <v>1358969</v>
      </c>
      <c r="L412" s="650">
        <f t="shared" si="88"/>
        <v>1358969</v>
      </c>
      <c r="M412" s="635">
        <v>1855596</v>
      </c>
      <c r="N412" s="650">
        <f t="shared" si="91"/>
        <v>1855596</v>
      </c>
    </row>
    <row r="413" spans="1:14" x14ac:dyDescent="0.2">
      <c r="A413">
        <f t="shared" si="94"/>
        <v>2</v>
      </c>
      <c r="B413" s="451" t="str">
        <f>VLOOKUP(D413,'LA List'!$A$3:$B$470,2,0)</f>
        <v>E3134</v>
      </c>
      <c r="C413" s="451" t="str">
        <f t="shared" si="82"/>
        <v>E3134EZ2</v>
      </c>
      <c r="D413" s="273" t="s">
        <v>422</v>
      </c>
      <c r="E413" s="273" t="s">
        <v>1154</v>
      </c>
      <c r="F413" s="649">
        <v>572452</v>
      </c>
      <c r="G413" s="649">
        <v>572452</v>
      </c>
      <c r="H413" s="649">
        <v>589650</v>
      </c>
      <c r="I413" s="649">
        <f t="shared" si="85"/>
        <v>603163</v>
      </c>
      <c r="J413" s="650">
        <f t="shared" si="86"/>
        <v>612991</v>
      </c>
      <c r="K413" s="650">
        <f t="shared" si="87"/>
        <v>612991</v>
      </c>
      <c r="L413" s="650">
        <f t="shared" si="88"/>
        <v>612991</v>
      </c>
      <c r="M413" s="635">
        <v>798866</v>
      </c>
      <c r="N413" s="650">
        <f t="shared" si="91"/>
        <v>798866</v>
      </c>
    </row>
    <row r="414" spans="1:14" x14ac:dyDescent="0.2">
      <c r="A414">
        <f t="shared" si="94"/>
        <v>3</v>
      </c>
      <c r="B414" s="451" t="str">
        <f>VLOOKUP(D414,'LA List'!$A$3:$B$470,2,0)</f>
        <v>E3134</v>
      </c>
      <c r="C414" s="451" t="str">
        <f t="shared" si="82"/>
        <v>E3134EZ3</v>
      </c>
      <c r="D414" s="273" t="s">
        <v>422</v>
      </c>
      <c r="E414" s="273" t="s">
        <v>1155</v>
      </c>
      <c r="F414" s="649">
        <v>0</v>
      </c>
      <c r="G414" s="649">
        <v>0</v>
      </c>
      <c r="H414" s="649">
        <v>0</v>
      </c>
      <c r="I414" s="649">
        <f t="shared" si="85"/>
        <v>0</v>
      </c>
      <c r="J414" s="650">
        <f t="shared" si="86"/>
        <v>0</v>
      </c>
      <c r="K414" s="650">
        <f t="shared" si="87"/>
        <v>0</v>
      </c>
      <c r="L414" s="650">
        <f t="shared" si="88"/>
        <v>0</v>
      </c>
      <c r="M414" s="635">
        <v>0</v>
      </c>
      <c r="N414" s="650">
        <f t="shared" si="91"/>
        <v>0</v>
      </c>
    </row>
    <row r="415" spans="1:14" x14ac:dyDescent="0.2">
      <c r="A415">
        <f t="shared" si="94"/>
        <v>4</v>
      </c>
      <c r="B415" s="451" t="str">
        <f>VLOOKUP(D415,'LA List'!$A$3:$B$470,2,0)</f>
        <v>E3134</v>
      </c>
      <c r="C415" s="451" t="str">
        <f t="shared" si="82"/>
        <v>E3134EZ4</v>
      </c>
      <c r="D415" s="273" t="s">
        <v>422</v>
      </c>
      <c r="E415" s="273" t="s">
        <v>1156</v>
      </c>
      <c r="F415" s="649">
        <v>0</v>
      </c>
      <c r="G415" s="649">
        <v>0</v>
      </c>
      <c r="H415" s="649">
        <v>0</v>
      </c>
      <c r="I415" s="649">
        <f t="shared" si="85"/>
        <v>0</v>
      </c>
      <c r="J415" s="650">
        <f t="shared" si="86"/>
        <v>0</v>
      </c>
      <c r="K415" s="650">
        <f t="shared" si="87"/>
        <v>0</v>
      </c>
      <c r="L415" s="650">
        <f t="shared" si="88"/>
        <v>0</v>
      </c>
      <c r="M415" s="635">
        <v>0</v>
      </c>
      <c r="N415" s="650">
        <f t="shared" si="91"/>
        <v>0</v>
      </c>
    </row>
    <row r="416" spans="1:14" x14ac:dyDescent="0.2">
      <c r="A416">
        <f t="shared" si="94"/>
        <v>5</v>
      </c>
      <c r="B416" s="451" t="str">
        <f>VLOOKUP(D416,'LA List'!$A$3:$B$470,2,0)</f>
        <v>E3134</v>
      </c>
      <c r="C416" s="451" t="str">
        <f t="shared" si="82"/>
        <v>E3134EZ5</v>
      </c>
      <c r="D416" s="273" t="s">
        <v>422</v>
      </c>
      <c r="E416" s="273" t="s">
        <v>1157</v>
      </c>
      <c r="F416" s="649">
        <v>0</v>
      </c>
      <c r="G416" s="649">
        <v>0</v>
      </c>
      <c r="H416" s="649">
        <v>0</v>
      </c>
      <c r="I416" s="649">
        <f t="shared" si="85"/>
        <v>0</v>
      </c>
      <c r="J416" s="650">
        <f t="shared" si="86"/>
        <v>0</v>
      </c>
      <c r="K416" s="650">
        <f t="shared" si="87"/>
        <v>0</v>
      </c>
      <c r="L416" s="650">
        <f t="shared" si="88"/>
        <v>0</v>
      </c>
      <c r="M416" s="635">
        <v>0</v>
      </c>
      <c r="N416" s="650">
        <f t="shared" si="91"/>
        <v>0</v>
      </c>
    </row>
    <row r="417" spans="1:14" x14ac:dyDescent="0.2">
      <c r="A417">
        <f t="shared" si="94"/>
        <v>6</v>
      </c>
      <c r="B417" s="451" t="str">
        <f>VLOOKUP(D417,'LA List'!$A$3:$B$470,2,0)</f>
        <v>E3134</v>
      </c>
      <c r="C417" s="451" t="str">
        <f t="shared" si="82"/>
        <v>E3134EZ6</v>
      </c>
      <c r="D417" s="273" t="s">
        <v>422</v>
      </c>
      <c r="E417" s="273" t="s">
        <v>1158</v>
      </c>
      <c r="F417" s="649">
        <v>1188</v>
      </c>
      <c r="G417" s="649">
        <v>1188</v>
      </c>
      <c r="H417" s="649">
        <v>1224</v>
      </c>
      <c r="I417" s="649">
        <f t="shared" si="85"/>
        <v>1252</v>
      </c>
      <c r="J417" s="650">
        <f t="shared" si="86"/>
        <v>1272</v>
      </c>
      <c r="K417" s="650">
        <f t="shared" si="87"/>
        <v>1272</v>
      </c>
      <c r="L417" s="650">
        <f t="shared" si="88"/>
        <v>1272</v>
      </c>
      <c r="M417" s="635">
        <v>2045</v>
      </c>
      <c r="N417" s="650">
        <f t="shared" si="91"/>
        <v>2045</v>
      </c>
    </row>
    <row r="418" spans="1:14" x14ac:dyDescent="0.2">
      <c r="A418">
        <f t="shared" si="94"/>
        <v>7</v>
      </c>
      <c r="B418" s="451" t="str">
        <f>VLOOKUP(D418,'LA List'!$A$3:$B$470,2,0)</f>
        <v>E3134</v>
      </c>
      <c r="C418" s="451" t="str">
        <f t="shared" si="82"/>
        <v>E3134EZ7</v>
      </c>
      <c r="D418" s="273" t="s">
        <v>422</v>
      </c>
      <c r="E418" s="273" t="s">
        <v>1159</v>
      </c>
      <c r="F418" s="649">
        <v>45381</v>
      </c>
      <c r="G418" s="649">
        <v>45381</v>
      </c>
      <c r="H418" s="649">
        <v>46744</v>
      </c>
      <c r="I418" s="649">
        <f t="shared" si="85"/>
        <v>47815</v>
      </c>
      <c r="J418" s="650">
        <f t="shared" si="86"/>
        <v>48594</v>
      </c>
      <c r="K418" s="650">
        <f t="shared" si="87"/>
        <v>48594</v>
      </c>
      <c r="L418" s="650">
        <f t="shared" si="88"/>
        <v>48594</v>
      </c>
      <c r="M418" s="635">
        <v>58251</v>
      </c>
      <c r="N418" s="650">
        <f t="shared" si="91"/>
        <v>58251</v>
      </c>
    </row>
    <row r="419" spans="1:14" x14ac:dyDescent="0.2">
      <c r="A419">
        <f t="shared" si="94"/>
        <v>8</v>
      </c>
      <c r="B419" s="451" t="str">
        <f>VLOOKUP(D419,'LA List'!$A$3:$B$470,2,0)</f>
        <v>E3134</v>
      </c>
      <c r="C419" s="451" t="str">
        <f t="shared" si="82"/>
        <v>E3134EZ8</v>
      </c>
      <c r="D419" s="273" t="s">
        <v>422</v>
      </c>
      <c r="E419" s="273" t="s">
        <v>1160</v>
      </c>
      <c r="F419" s="649">
        <v>415832</v>
      </c>
      <c r="G419" s="649">
        <v>415832</v>
      </c>
      <c r="H419" s="649">
        <v>428325</v>
      </c>
      <c r="I419" s="649">
        <f t="shared" si="85"/>
        <v>438141</v>
      </c>
      <c r="J419" s="650">
        <f t="shared" si="86"/>
        <v>445280</v>
      </c>
      <c r="K419" s="650">
        <f t="shared" si="87"/>
        <v>445280</v>
      </c>
      <c r="L419" s="650">
        <f t="shared" si="88"/>
        <v>445280</v>
      </c>
      <c r="M419" s="635">
        <v>634191</v>
      </c>
      <c r="N419" s="650">
        <f t="shared" si="91"/>
        <v>634191</v>
      </c>
    </row>
    <row r="420" spans="1:14" x14ac:dyDescent="0.2">
      <c r="A420">
        <f t="shared" si="94"/>
        <v>9</v>
      </c>
      <c r="B420" s="451" t="str">
        <f>VLOOKUP(D420,'LA List'!$A$3:$B$470,2,0)</f>
        <v>E3134</v>
      </c>
      <c r="C420" s="451" t="str">
        <f t="shared" si="82"/>
        <v>E3134EZ9</v>
      </c>
      <c r="D420" s="273" t="s">
        <v>422</v>
      </c>
      <c r="E420" s="273" t="s">
        <v>1161</v>
      </c>
      <c r="F420" s="649">
        <v>62699</v>
      </c>
      <c r="G420" s="649">
        <v>62699</v>
      </c>
      <c r="H420" s="649">
        <v>64583</v>
      </c>
      <c r="I420" s="649">
        <f t="shared" si="85"/>
        <v>66063</v>
      </c>
      <c r="J420" s="650">
        <f t="shared" si="86"/>
        <v>67139</v>
      </c>
      <c r="K420" s="650">
        <f t="shared" si="87"/>
        <v>67139</v>
      </c>
      <c r="L420" s="650">
        <f t="shared" si="88"/>
        <v>67139</v>
      </c>
      <c r="M420" s="635">
        <v>0</v>
      </c>
      <c r="N420" s="650">
        <f t="shared" si="91"/>
        <v>0</v>
      </c>
    </row>
    <row r="421" spans="1:14" x14ac:dyDescent="0.2">
      <c r="A421">
        <f t="shared" si="94"/>
        <v>10</v>
      </c>
      <c r="B421" s="451" t="str">
        <f>VLOOKUP(D421,'LA List'!$A$3:$B$470,2,0)</f>
        <v>E3134</v>
      </c>
      <c r="C421" s="451" t="str">
        <f t="shared" si="82"/>
        <v>E3134EZ10</v>
      </c>
      <c r="D421" s="273" t="s">
        <v>422</v>
      </c>
      <c r="E421" s="273" t="s">
        <v>1162</v>
      </c>
      <c r="F421" s="649">
        <v>143586</v>
      </c>
      <c r="G421" s="649">
        <v>143586</v>
      </c>
      <c r="H421" s="649">
        <v>147900</v>
      </c>
      <c r="I421" s="649">
        <f t="shared" si="85"/>
        <v>151289</v>
      </c>
      <c r="J421" s="650">
        <f t="shared" si="86"/>
        <v>153754</v>
      </c>
      <c r="K421" s="650">
        <f t="shared" si="87"/>
        <v>153754</v>
      </c>
      <c r="L421" s="650">
        <f t="shared" si="88"/>
        <v>153754</v>
      </c>
      <c r="M421" s="635">
        <v>234787</v>
      </c>
      <c r="N421" s="650">
        <f t="shared" si="91"/>
        <v>234787</v>
      </c>
    </row>
    <row r="422" spans="1:14" x14ac:dyDescent="0.2">
      <c r="A422">
        <f t="shared" si="94"/>
        <v>11</v>
      </c>
      <c r="B422" s="451" t="str">
        <f>VLOOKUP(D422,'LA List'!$A$3:$B$470,2,0)</f>
        <v>E3134</v>
      </c>
      <c r="C422" s="451" t="str">
        <f t="shared" si="82"/>
        <v>E3134EZ11</v>
      </c>
      <c r="D422" s="273" t="s">
        <v>422</v>
      </c>
      <c r="E422" s="273" t="s">
        <v>1163</v>
      </c>
      <c r="F422" s="649">
        <v>54922</v>
      </c>
      <c r="G422" s="649">
        <v>54922</v>
      </c>
      <c r="H422" s="649">
        <v>56572</v>
      </c>
      <c r="I422" s="649">
        <f t="shared" si="85"/>
        <v>57868</v>
      </c>
      <c r="J422" s="650">
        <f t="shared" si="86"/>
        <v>58811</v>
      </c>
      <c r="K422" s="650">
        <f t="shared" si="87"/>
        <v>58811</v>
      </c>
      <c r="L422" s="650">
        <f t="shared" si="88"/>
        <v>58811</v>
      </c>
      <c r="M422" s="635">
        <v>0</v>
      </c>
      <c r="N422" s="650">
        <f t="shared" si="91"/>
        <v>0</v>
      </c>
    </row>
    <row r="423" spans="1:14" x14ac:dyDescent="0.2">
      <c r="A423">
        <f t="shared" si="94"/>
        <v>1</v>
      </c>
      <c r="B423" s="451" t="str">
        <f>VLOOKUP(D423,'LA List'!$A$3:$B$470,2,0)</f>
        <v>E4705</v>
      </c>
      <c r="C423" s="451" t="str">
        <f t="shared" si="82"/>
        <v>E4705EZ1</v>
      </c>
      <c r="D423" s="273" t="s">
        <v>424</v>
      </c>
      <c r="E423" s="273" t="s">
        <v>1164</v>
      </c>
      <c r="F423" s="649">
        <v>0</v>
      </c>
      <c r="G423" s="649">
        <v>0</v>
      </c>
      <c r="H423" s="649">
        <v>0</v>
      </c>
      <c r="I423" s="649">
        <f t="shared" si="85"/>
        <v>0</v>
      </c>
      <c r="J423" s="650">
        <f t="shared" si="86"/>
        <v>0</v>
      </c>
      <c r="K423" s="650">
        <f t="shared" si="87"/>
        <v>0</v>
      </c>
      <c r="L423" s="650">
        <f t="shared" si="88"/>
        <v>0</v>
      </c>
      <c r="M423" s="635">
        <v>0</v>
      </c>
      <c r="N423" s="650">
        <f t="shared" si="91"/>
        <v>0</v>
      </c>
    </row>
    <row r="424" spans="1:14" x14ac:dyDescent="0.2">
      <c r="A424">
        <f t="shared" si="94"/>
        <v>2</v>
      </c>
      <c r="B424" s="451" t="str">
        <f>VLOOKUP(D424,'LA List'!$A$3:$B$470,2,0)</f>
        <v>E4705</v>
      </c>
      <c r="C424" s="451" t="str">
        <f t="shared" si="82"/>
        <v>E4705EZ2</v>
      </c>
      <c r="D424" s="273" t="s">
        <v>424</v>
      </c>
      <c r="E424" s="273" t="s">
        <v>1165</v>
      </c>
      <c r="F424" s="649">
        <v>0</v>
      </c>
      <c r="G424" s="649">
        <v>0</v>
      </c>
      <c r="H424" s="649">
        <v>0</v>
      </c>
      <c r="I424" s="649">
        <f t="shared" si="85"/>
        <v>0</v>
      </c>
      <c r="J424" s="650">
        <f t="shared" si="86"/>
        <v>0</v>
      </c>
      <c r="K424" s="650">
        <f t="shared" si="87"/>
        <v>0</v>
      </c>
      <c r="L424" s="650">
        <f t="shared" si="88"/>
        <v>0</v>
      </c>
      <c r="M424" s="635">
        <v>0</v>
      </c>
      <c r="N424" s="650">
        <f t="shared" si="91"/>
        <v>0</v>
      </c>
    </row>
    <row r="425" spans="1:14" x14ac:dyDescent="0.2">
      <c r="A425">
        <f t="shared" si="94"/>
        <v>1</v>
      </c>
      <c r="B425" s="451" t="str">
        <f>VLOOKUP(D425,'LA List'!$A$3:$B$470,2,0)</f>
        <v>E4606</v>
      </c>
      <c r="C425" s="451" t="str">
        <f t="shared" si="82"/>
        <v>E4606EZ1</v>
      </c>
      <c r="D425" s="273" t="s">
        <v>426</v>
      </c>
      <c r="E425" s="273" t="s">
        <v>872</v>
      </c>
      <c r="F425" s="649">
        <v>170055</v>
      </c>
      <c r="G425" s="649">
        <v>170055</v>
      </c>
      <c r="H425" s="649">
        <v>175164</v>
      </c>
      <c r="I425" s="649">
        <f t="shared" si="85"/>
        <v>179178</v>
      </c>
      <c r="J425" s="650">
        <f t="shared" si="86"/>
        <v>182097</v>
      </c>
      <c r="K425" s="650">
        <f t="shared" si="87"/>
        <v>182097</v>
      </c>
      <c r="L425" s="650">
        <f t="shared" si="88"/>
        <v>182097</v>
      </c>
      <c r="M425" s="635">
        <v>225613</v>
      </c>
      <c r="N425" s="650">
        <f t="shared" si="91"/>
        <v>225613</v>
      </c>
    </row>
    <row r="426" spans="1:14" x14ac:dyDescent="0.2">
      <c r="A426">
        <f t="shared" ref="A426" si="95">IF(D426=D425,A425+1,1)</f>
        <v>2</v>
      </c>
      <c r="B426" s="451" t="str">
        <f>VLOOKUP(D426,'LA List'!$A$3:$B$470,2,0)</f>
        <v>E4606</v>
      </c>
      <c r="C426" s="451" t="str">
        <f t="shared" ref="C426" si="96">CONCATENATE(B426,"EZ",A426)</f>
        <v>E4606EZ2</v>
      </c>
      <c r="D426" s="273" t="s">
        <v>426</v>
      </c>
      <c r="E426" s="273" t="s">
        <v>3378</v>
      </c>
      <c r="F426" s="649"/>
      <c r="G426" s="649"/>
      <c r="H426" s="649"/>
      <c r="I426" s="649"/>
      <c r="J426" s="650"/>
      <c r="K426" s="650"/>
      <c r="L426" s="650"/>
      <c r="M426" s="635"/>
      <c r="N426" s="650">
        <v>2444</v>
      </c>
    </row>
    <row r="427" spans="1:14" x14ac:dyDescent="0.2">
      <c r="A427">
        <f>IF(D427=D425,A425+1,1)</f>
        <v>1</v>
      </c>
      <c r="B427" s="451" t="str">
        <f>VLOOKUP(D427,'LA List'!$A$3:$B$470,2,0)</f>
        <v>E5049</v>
      </c>
      <c r="C427" s="451" t="str">
        <f t="shared" si="82"/>
        <v>E5049EZ1</v>
      </c>
      <c r="D427" s="273" t="s">
        <v>428</v>
      </c>
      <c r="E427" s="273"/>
      <c r="F427" s="649" t="s">
        <v>1201</v>
      </c>
      <c r="G427" s="649" t="s">
        <v>1201</v>
      </c>
      <c r="H427" s="649" t="s">
        <v>1201</v>
      </c>
      <c r="I427" s="649" t="str">
        <f t="shared" si="85"/>
        <v/>
      </c>
      <c r="J427" s="650" t="str">
        <f t="shared" si="86"/>
        <v/>
      </c>
      <c r="K427" s="650" t="str">
        <f t="shared" si="87"/>
        <v/>
      </c>
      <c r="L427" s="650" t="str">
        <f t="shared" si="88"/>
        <v/>
      </c>
      <c r="M427" s="635" t="s">
        <v>1201</v>
      </c>
      <c r="N427" s="650" t="str">
        <f t="shared" si="91"/>
        <v/>
      </c>
    </row>
    <row r="428" spans="1:14" x14ac:dyDescent="0.2">
      <c r="A428">
        <f t="shared" si="94"/>
        <v>1</v>
      </c>
      <c r="B428" s="451" t="str">
        <f>VLOOKUP(D428,'LA List'!$A$3:$B$470,2,0)</f>
        <v>E5021</v>
      </c>
      <c r="C428" s="451" t="str">
        <f t="shared" si="82"/>
        <v>E5021EZ1</v>
      </c>
      <c r="D428" s="273" t="s">
        <v>430</v>
      </c>
      <c r="E428" s="273" t="s">
        <v>953</v>
      </c>
      <c r="F428" s="649">
        <v>4206450</v>
      </c>
      <c r="G428" s="649">
        <v>4206450</v>
      </c>
      <c r="H428" s="649">
        <v>4332824</v>
      </c>
      <c r="I428" s="649">
        <f t="shared" si="85"/>
        <v>4432118</v>
      </c>
      <c r="J428" s="650">
        <f t="shared" si="86"/>
        <v>4504332</v>
      </c>
      <c r="K428" s="650">
        <f t="shared" si="87"/>
        <v>4504332</v>
      </c>
      <c r="L428" s="650">
        <f t="shared" si="88"/>
        <v>4504332</v>
      </c>
      <c r="M428" s="635">
        <v>5254303</v>
      </c>
      <c r="N428" s="650">
        <f t="shared" si="91"/>
        <v>5254303</v>
      </c>
    </row>
    <row r="429" spans="1:14" x14ac:dyDescent="0.2">
      <c r="A429">
        <f t="shared" si="94"/>
        <v>1</v>
      </c>
      <c r="B429" s="451" t="str">
        <f>VLOOKUP(D429,'LA List'!$A$3:$B$470,2,0)</f>
        <v>E0602</v>
      </c>
      <c r="C429" s="451" t="str">
        <f t="shared" si="82"/>
        <v>E0602EZ1</v>
      </c>
      <c r="D429" s="273" t="s">
        <v>432</v>
      </c>
      <c r="E429" s="273" t="s">
        <v>1166</v>
      </c>
      <c r="F429" s="649">
        <v>0</v>
      </c>
      <c r="G429" s="649">
        <v>926543</v>
      </c>
      <c r="H429" s="649">
        <v>954379</v>
      </c>
      <c r="I429" s="649">
        <f t="shared" si="85"/>
        <v>976250</v>
      </c>
      <c r="J429" s="650">
        <f t="shared" si="86"/>
        <v>992156</v>
      </c>
      <c r="K429" s="650">
        <f t="shared" si="87"/>
        <v>992156</v>
      </c>
      <c r="L429" s="650">
        <f t="shared" si="88"/>
        <v>992156</v>
      </c>
      <c r="M429" s="635">
        <v>1221768</v>
      </c>
      <c r="N429" s="650">
        <f t="shared" si="91"/>
        <v>1221768</v>
      </c>
    </row>
    <row r="430" spans="1:14" x14ac:dyDescent="0.2">
      <c r="A430">
        <f t="shared" si="94"/>
        <v>1</v>
      </c>
      <c r="B430" s="451" t="str">
        <f>VLOOKUP(D430,'LA List'!$A$3:$B$470,2,0)</f>
        <v>E3735</v>
      </c>
      <c r="C430" s="451" t="str">
        <f t="shared" si="82"/>
        <v>E3735EZ1</v>
      </c>
      <c r="D430" s="273" t="s">
        <v>434</v>
      </c>
      <c r="E430" s="273" t="s">
        <v>3367</v>
      </c>
      <c r="F430" s="649" t="s">
        <v>1201</v>
      </c>
      <c r="G430" s="649" t="s">
        <v>1201</v>
      </c>
      <c r="H430" s="649" t="s">
        <v>1201</v>
      </c>
      <c r="I430" s="649" t="str">
        <f t="shared" si="85"/>
        <v/>
      </c>
      <c r="J430" s="650" t="str">
        <f t="shared" si="86"/>
        <v/>
      </c>
      <c r="K430" s="650" t="str">
        <f t="shared" si="87"/>
        <v/>
      </c>
      <c r="L430" s="650" t="str">
        <f t="shared" si="88"/>
        <v/>
      </c>
      <c r="M430" s="635" t="s">
        <v>1201</v>
      </c>
      <c r="N430" s="650">
        <v>261994</v>
      </c>
    </row>
    <row r="431" spans="1:14" x14ac:dyDescent="0.2">
      <c r="A431">
        <f t="shared" si="94"/>
        <v>1</v>
      </c>
      <c r="B431" s="451" t="str">
        <f>VLOOKUP(D431,'LA List'!$A$3:$B$470,2,0)</f>
        <v>E1939</v>
      </c>
      <c r="C431" s="451" t="str">
        <f t="shared" si="82"/>
        <v>E1939EZ1</v>
      </c>
      <c r="D431" s="273" t="s">
        <v>436</v>
      </c>
      <c r="E431" s="273"/>
      <c r="F431" s="649" t="s">
        <v>1201</v>
      </c>
      <c r="G431" s="649" t="s">
        <v>1201</v>
      </c>
      <c r="H431" s="649" t="s">
        <v>1201</v>
      </c>
      <c r="I431" s="649" t="str">
        <f t="shared" si="85"/>
        <v/>
      </c>
      <c r="J431" s="650" t="str">
        <f t="shared" si="86"/>
        <v/>
      </c>
      <c r="K431" s="650" t="str">
        <f t="shared" si="87"/>
        <v/>
      </c>
      <c r="L431" s="650" t="str">
        <f t="shared" si="88"/>
        <v/>
      </c>
      <c r="M431" s="635" t="s">
        <v>1201</v>
      </c>
      <c r="N431" s="650" t="str">
        <f t="shared" si="91"/>
        <v/>
      </c>
    </row>
    <row r="432" spans="1:14" x14ac:dyDescent="0.2">
      <c r="A432">
        <f t="shared" si="94"/>
        <v>1</v>
      </c>
      <c r="B432" s="451" t="str">
        <f>VLOOKUP(D432,'LA List'!$A$3:$B$470,2,0)</f>
        <v>E3640</v>
      </c>
      <c r="C432" s="451" t="str">
        <f t="shared" si="82"/>
        <v>E3640EZ1</v>
      </c>
      <c r="D432" s="273" t="s">
        <v>438</v>
      </c>
      <c r="E432" s="273"/>
      <c r="F432" s="649" t="s">
        <v>1201</v>
      </c>
      <c r="G432" s="649" t="s">
        <v>1201</v>
      </c>
      <c r="H432" s="649" t="s">
        <v>1201</v>
      </c>
      <c r="I432" s="649" t="str">
        <f t="shared" si="85"/>
        <v/>
      </c>
      <c r="J432" s="650" t="str">
        <f t="shared" si="86"/>
        <v/>
      </c>
      <c r="K432" s="650" t="str">
        <f t="shared" si="87"/>
        <v/>
      </c>
      <c r="L432" s="650" t="str">
        <f t="shared" si="88"/>
        <v/>
      </c>
      <c r="M432" s="635" t="s">
        <v>1201</v>
      </c>
      <c r="N432" s="650" t="str">
        <f t="shared" si="91"/>
        <v/>
      </c>
    </row>
    <row r="433" spans="1:14" x14ac:dyDescent="0.2">
      <c r="A433">
        <f t="shared" si="94"/>
        <v>1</v>
      </c>
      <c r="B433" s="451" t="str">
        <f>VLOOKUP(D433,'LA List'!$A$3:$B$470,2,0)</f>
        <v>E1437</v>
      </c>
      <c r="C433" s="451" t="str">
        <f t="shared" si="82"/>
        <v>E1437EZ1</v>
      </c>
      <c r="D433" s="273" t="s">
        <v>440</v>
      </c>
      <c r="E433" s="273"/>
      <c r="F433" s="649" t="s">
        <v>1201</v>
      </c>
      <c r="G433" s="649" t="s">
        <v>1201</v>
      </c>
      <c r="H433" s="649" t="s">
        <v>1201</v>
      </c>
      <c r="I433" s="649" t="str">
        <f t="shared" si="85"/>
        <v/>
      </c>
      <c r="J433" s="650" t="str">
        <f t="shared" si="86"/>
        <v/>
      </c>
      <c r="K433" s="650" t="str">
        <f t="shared" si="87"/>
        <v/>
      </c>
      <c r="L433" s="650" t="str">
        <f t="shared" si="88"/>
        <v/>
      </c>
      <c r="M433" s="635" t="s">
        <v>1201</v>
      </c>
      <c r="N433" s="650" t="str">
        <f t="shared" si="91"/>
        <v/>
      </c>
    </row>
    <row r="434" spans="1:14" x14ac:dyDescent="0.2">
      <c r="A434">
        <f t="shared" si="94"/>
        <v>1</v>
      </c>
      <c r="B434" s="451" t="str">
        <f>VLOOKUP(D434,'LA List'!$A$3:$B$470,2,0)</f>
        <v>E1940</v>
      </c>
      <c r="C434" s="451" t="str">
        <f t="shared" si="82"/>
        <v>E1940EZ1</v>
      </c>
      <c r="D434" s="273" t="s">
        <v>442</v>
      </c>
      <c r="E434" s="273"/>
      <c r="F434" s="649" t="s">
        <v>1201</v>
      </c>
      <c r="G434" s="649" t="s">
        <v>1201</v>
      </c>
      <c r="H434" s="649" t="s">
        <v>1201</v>
      </c>
      <c r="I434" s="649" t="str">
        <f t="shared" si="85"/>
        <v/>
      </c>
      <c r="J434" s="650" t="str">
        <f t="shared" si="86"/>
        <v/>
      </c>
      <c r="K434" s="650" t="str">
        <f t="shared" si="87"/>
        <v/>
      </c>
      <c r="L434" s="650" t="str">
        <f t="shared" si="88"/>
        <v/>
      </c>
      <c r="M434" s="635" t="s">
        <v>1201</v>
      </c>
      <c r="N434" s="650" t="str">
        <f t="shared" si="91"/>
        <v/>
      </c>
    </row>
    <row r="435" spans="1:14" x14ac:dyDescent="0.2">
      <c r="A435">
        <f t="shared" si="94"/>
        <v>1</v>
      </c>
      <c r="B435" s="451" t="str">
        <f>VLOOKUP(D435,'LA List'!$A$3:$B$470,2,0)</f>
        <v>E0302</v>
      </c>
      <c r="C435" s="451" t="str">
        <f t="shared" si="82"/>
        <v>E0302EZ1</v>
      </c>
      <c r="D435" s="273" t="s">
        <v>444</v>
      </c>
      <c r="E435" s="273"/>
      <c r="F435" s="649" t="s">
        <v>1201</v>
      </c>
      <c r="G435" s="649" t="s">
        <v>1201</v>
      </c>
      <c r="H435" s="649" t="s">
        <v>1201</v>
      </c>
      <c r="I435" s="649" t="str">
        <f t="shared" si="85"/>
        <v/>
      </c>
      <c r="J435" s="650" t="str">
        <f t="shared" si="86"/>
        <v/>
      </c>
      <c r="K435" s="650" t="str">
        <f t="shared" si="87"/>
        <v/>
      </c>
      <c r="L435" s="650" t="str">
        <f t="shared" si="88"/>
        <v/>
      </c>
      <c r="M435" s="635" t="s">
        <v>1201</v>
      </c>
      <c r="N435" s="650" t="str">
        <f t="shared" si="91"/>
        <v/>
      </c>
    </row>
    <row r="436" spans="1:14" x14ac:dyDescent="0.2">
      <c r="A436">
        <f t="shared" si="94"/>
        <v>1</v>
      </c>
      <c r="B436" s="451" t="str">
        <f>VLOOKUP(D436,'LA List'!$A$3:$B$470,2,0)</f>
        <v>E1140</v>
      </c>
      <c r="C436" s="451" t="str">
        <f t="shared" si="82"/>
        <v>E1140EZ1</v>
      </c>
      <c r="D436" s="273" t="s">
        <v>446</v>
      </c>
      <c r="E436" s="273"/>
      <c r="F436" s="649" t="s">
        <v>1201</v>
      </c>
      <c r="G436" s="649" t="s">
        <v>1201</v>
      </c>
      <c r="H436" s="649" t="s">
        <v>1201</v>
      </c>
      <c r="I436" s="649" t="str">
        <f t="shared" si="85"/>
        <v/>
      </c>
      <c r="J436" s="650" t="str">
        <f t="shared" si="86"/>
        <v/>
      </c>
      <c r="K436" s="650" t="str">
        <f t="shared" si="87"/>
        <v/>
      </c>
      <c r="L436" s="650" t="str">
        <f t="shared" si="88"/>
        <v/>
      </c>
      <c r="M436" s="635" t="s">
        <v>1201</v>
      </c>
      <c r="N436" s="650" t="str">
        <f t="shared" si="91"/>
        <v/>
      </c>
    </row>
    <row r="437" spans="1:14" x14ac:dyDescent="0.2">
      <c r="A437">
        <f t="shared" si="94"/>
        <v>1</v>
      </c>
      <c r="B437" s="451" t="str">
        <f>VLOOKUP(D437,'LA List'!$A$3:$B$470,2,0)</f>
        <v>E2343</v>
      </c>
      <c r="C437" s="451" t="str">
        <f t="shared" si="82"/>
        <v>E2343EZ1</v>
      </c>
      <c r="D437" s="273" t="s">
        <v>448</v>
      </c>
      <c r="E437" s="273"/>
      <c r="F437" s="649" t="s">
        <v>1201</v>
      </c>
      <c r="G437" s="649" t="s">
        <v>1201</v>
      </c>
      <c r="H437" s="649" t="s">
        <v>1201</v>
      </c>
      <c r="I437" s="649" t="str">
        <f t="shared" si="85"/>
        <v/>
      </c>
      <c r="J437" s="650" t="str">
        <f t="shared" si="86"/>
        <v/>
      </c>
      <c r="K437" s="650" t="str">
        <f t="shared" si="87"/>
        <v/>
      </c>
      <c r="L437" s="650" t="str">
        <f t="shared" si="88"/>
        <v/>
      </c>
      <c r="M437" s="635" t="s">
        <v>1201</v>
      </c>
      <c r="N437" s="650" t="str">
        <f t="shared" si="91"/>
        <v/>
      </c>
    </row>
    <row r="438" spans="1:14" x14ac:dyDescent="0.2">
      <c r="A438">
        <f t="shared" si="94"/>
        <v>1</v>
      </c>
      <c r="B438" s="451" t="str">
        <f>VLOOKUP(D438,'LA List'!$A$3:$B$470,2,0)</f>
        <v>E2537</v>
      </c>
      <c r="C438" s="451" t="str">
        <f t="shared" si="82"/>
        <v>E2537EZ1</v>
      </c>
      <c r="D438" s="273" t="s">
        <v>450</v>
      </c>
      <c r="E438" s="273"/>
      <c r="F438" s="649" t="s">
        <v>1201</v>
      </c>
      <c r="G438" s="649" t="s">
        <v>1201</v>
      </c>
      <c r="H438" s="649" t="s">
        <v>1201</v>
      </c>
      <c r="I438" s="649" t="str">
        <f t="shared" si="85"/>
        <v/>
      </c>
      <c r="J438" s="650" t="str">
        <f t="shared" si="86"/>
        <v/>
      </c>
      <c r="K438" s="650" t="str">
        <f t="shared" si="87"/>
        <v/>
      </c>
      <c r="L438" s="650" t="str">
        <f t="shared" si="88"/>
        <v/>
      </c>
      <c r="M438" s="635" t="s">
        <v>1201</v>
      </c>
      <c r="N438" s="650" t="str">
        <f t="shared" si="91"/>
        <v/>
      </c>
    </row>
    <row r="439" spans="1:14" x14ac:dyDescent="0.2">
      <c r="A439">
        <f t="shared" si="94"/>
        <v>1</v>
      </c>
      <c r="B439" s="887" t="str">
        <f>VLOOKUP(D439,'LA List'!$A$3:$B$470,2,0)</f>
        <v>E2802</v>
      </c>
      <c r="C439" s="887" t="str">
        <f t="shared" ref="C439" si="97">CONCATENATE(B439,"EZ",A439)</f>
        <v>E2802EZ1</v>
      </c>
      <c r="D439" s="770" t="s">
        <v>1337</v>
      </c>
      <c r="E439" s="354" t="s">
        <v>868</v>
      </c>
      <c r="F439" s="888">
        <v>3165816</v>
      </c>
      <c r="G439" s="888">
        <v>3165816</v>
      </c>
      <c r="H439" s="888">
        <v>3260926</v>
      </c>
      <c r="I439" s="888">
        <f t="shared" si="85"/>
        <v>3335656</v>
      </c>
      <c r="J439" s="888">
        <f t="shared" si="86"/>
        <v>3390005</v>
      </c>
      <c r="K439" s="888">
        <f t="shared" si="87"/>
        <v>3390005</v>
      </c>
      <c r="L439" s="650">
        <f t="shared" si="88"/>
        <v>3390005</v>
      </c>
      <c r="M439" s="635">
        <v>3932406</v>
      </c>
      <c r="N439" s="650">
        <f t="shared" si="91"/>
        <v>3932406</v>
      </c>
    </row>
    <row r="440" spans="1:14" x14ac:dyDescent="0.2">
      <c r="A440">
        <f t="shared" si="94"/>
        <v>1</v>
      </c>
      <c r="B440" s="451" t="str">
        <f>VLOOKUP(D440,'LA List'!$A$3:$B$470,2,0)</f>
        <v>E3135</v>
      </c>
      <c r="C440" s="451" t="str">
        <f t="shared" si="82"/>
        <v>E3135EZ1</v>
      </c>
      <c r="D440" s="273" t="s">
        <v>452</v>
      </c>
      <c r="E440" s="273"/>
      <c r="F440" s="649" t="s">
        <v>1201</v>
      </c>
      <c r="G440" s="649" t="s">
        <v>1201</v>
      </c>
      <c r="H440" s="649" t="s">
        <v>1201</v>
      </c>
      <c r="I440" s="649" t="str">
        <f t="shared" si="85"/>
        <v/>
      </c>
      <c r="J440" s="650" t="str">
        <f t="shared" si="86"/>
        <v/>
      </c>
      <c r="K440" s="650" t="str">
        <f t="shared" si="87"/>
        <v/>
      </c>
      <c r="L440" s="650" t="str">
        <f t="shared" si="88"/>
        <v/>
      </c>
      <c r="M440" s="635" t="s">
        <v>1201</v>
      </c>
      <c r="N440" s="650" t="str">
        <f t="shared" si="91"/>
        <v/>
      </c>
    </row>
    <row r="441" spans="1:14" s="273" customFormat="1" x14ac:dyDescent="0.2">
      <c r="A441">
        <f t="shared" si="94"/>
        <v>1</v>
      </c>
      <c r="B441" s="451" t="str">
        <f>VLOOKUP(D441,'LA List'!$A$3:$B$470,2,0)</f>
        <v>E3539</v>
      </c>
      <c r="C441" s="451" t="str">
        <f t="shared" ref="C441:C442" si="98">CONCATENATE(B441,"EZ",A441)</f>
        <v>E3539EZ1</v>
      </c>
      <c r="D441" s="544" t="s">
        <v>1225</v>
      </c>
      <c r="E441" s="273" t="s">
        <v>1145</v>
      </c>
      <c r="F441" s="649">
        <v>0</v>
      </c>
      <c r="G441" s="649">
        <v>0</v>
      </c>
      <c r="H441" s="649">
        <v>0</v>
      </c>
      <c r="I441" s="649">
        <f t="shared" si="85"/>
        <v>0</v>
      </c>
      <c r="J441" s="650">
        <f t="shared" si="86"/>
        <v>0</v>
      </c>
      <c r="K441" s="650">
        <f t="shared" si="87"/>
        <v>0</v>
      </c>
      <c r="L441" s="650">
        <f t="shared" si="88"/>
        <v>0</v>
      </c>
      <c r="M441" s="635">
        <v>0</v>
      </c>
      <c r="N441" s="650">
        <f t="shared" si="91"/>
        <v>0</v>
      </c>
    </row>
    <row r="442" spans="1:14" s="273" customFormat="1" x14ac:dyDescent="0.2">
      <c r="A442">
        <f t="shared" si="94"/>
        <v>2</v>
      </c>
      <c r="B442" s="451" t="str">
        <f>VLOOKUP(D442,'LA List'!$A$3:$B$470,2,0)</f>
        <v>E3539</v>
      </c>
      <c r="C442" s="451" t="str">
        <f t="shared" si="98"/>
        <v>E3539EZ2</v>
      </c>
      <c r="D442" s="544" t="s">
        <v>1225</v>
      </c>
      <c r="E442" s="273" t="s">
        <v>1146</v>
      </c>
      <c r="F442" s="649">
        <v>0</v>
      </c>
      <c r="G442" s="649">
        <v>0</v>
      </c>
      <c r="H442" s="649">
        <v>0</v>
      </c>
      <c r="I442" s="649">
        <f t="shared" si="85"/>
        <v>0</v>
      </c>
      <c r="J442" s="650">
        <f t="shared" si="86"/>
        <v>0</v>
      </c>
      <c r="K442" s="650">
        <f t="shared" si="87"/>
        <v>0</v>
      </c>
      <c r="L442" s="650">
        <f t="shared" si="88"/>
        <v>0</v>
      </c>
      <c r="M442" s="635">
        <v>0</v>
      </c>
      <c r="N442" s="650">
        <f t="shared" si="91"/>
        <v>0</v>
      </c>
    </row>
    <row r="443" spans="1:14" x14ac:dyDescent="0.2">
      <c r="A443">
        <f t="shared" si="94"/>
        <v>1</v>
      </c>
      <c r="B443" s="451" t="str">
        <f>VLOOKUP(D443,'LA List'!$A$3:$B$470,2,0)</f>
        <v>E5022</v>
      </c>
      <c r="C443" s="451" t="str">
        <f t="shared" si="82"/>
        <v>E5022EZ1</v>
      </c>
      <c r="D443" s="273" t="s">
        <v>454</v>
      </c>
      <c r="E443" s="273"/>
      <c r="F443" s="649" t="s">
        <v>1201</v>
      </c>
      <c r="G443" s="649" t="s">
        <v>1201</v>
      </c>
      <c r="H443" s="649" t="s">
        <v>1201</v>
      </c>
      <c r="I443" s="649" t="str">
        <f t="shared" si="85"/>
        <v/>
      </c>
      <c r="J443" s="650" t="str">
        <f t="shared" si="86"/>
        <v/>
      </c>
      <c r="K443" s="650" t="str">
        <f t="shared" si="87"/>
        <v/>
      </c>
      <c r="L443" s="650" t="str">
        <f t="shared" si="88"/>
        <v/>
      </c>
      <c r="M443" s="635" t="s">
        <v>1201</v>
      </c>
      <c r="N443" s="650" t="str">
        <f t="shared" si="91"/>
        <v/>
      </c>
    </row>
    <row r="444" spans="1:14" x14ac:dyDescent="0.2">
      <c r="A444">
        <f t="shared" si="94"/>
        <v>1</v>
      </c>
      <c r="B444" s="451" t="str">
        <f>VLOOKUP(D444,'LA List'!$A$3:$B$470,2,0)</f>
        <v>E0902</v>
      </c>
      <c r="C444" s="451" t="str">
        <f t="shared" ref="C444" si="99">CONCATENATE(B444,"EZ",A444)</f>
        <v>E0902EZ1</v>
      </c>
      <c r="D444" s="544" t="s">
        <v>2441</v>
      </c>
      <c r="E444" s="273"/>
      <c r="F444" s="649"/>
      <c r="G444" s="649"/>
      <c r="H444" s="649"/>
      <c r="I444" s="649"/>
      <c r="J444" s="650"/>
      <c r="K444" s="650"/>
      <c r="L444" s="650"/>
      <c r="M444" s="635" t="s">
        <v>1201</v>
      </c>
      <c r="N444" s="650" t="str">
        <f t="shared" si="91"/>
        <v/>
      </c>
    </row>
    <row r="445" spans="1:14" x14ac:dyDescent="0.2">
      <c r="A445">
        <f t="shared" si="94"/>
        <v>1</v>
      </c>
      <c r="B445" s="451" t="str">
        <f>VLOOKUP(D445,'LA List'!$A$3:$B$470,2,0)</f>
        <v>E4210</v>
      </c>
      <c r="C445" s="451" t="str">
        <f t="shared" si="82"/>
        <v>E4210EZ1</v>
      </c>
      <c r="D445" s="273" t="s">
        <v>456</v>
      </c>
      <c r="E445" s="273"/>
      <c r="F445" s="649" t="s">
        <v>1201</v>
      </c>
      <c r="G445" s="649" t="s">
        <v>1201</v>
      </c>
      <c r="H445" s="649" t="s">
        <v>1201</v>
      </c>
      <c r="I445" s="649" t="str">
        <f t="shared" si="85"/>
        <v/>
      </c>
      <c r="J445" s="650" t="str">
        <f t="shared" si="86"/>
        <v/>
      </c>
      <c r="K445" s="650" t="str">
        <f t="shared" si="87"/>
        <v/>
      </c>
      <c r="L445" s="650" t="str">
        <f t="shared" si="88"/>
        <v/>
      </c>
      <c r="M445" s="635" t="s">
        <v>1201</v>
      </c>
      <c r="N445" s="650" t="str">
        <f t="shared" si="91"/>
        <v/>
      </c>
    </row>
    <row r="446" spans="1:14" x14ac:dyDescent="0.2">
      <c r="A446">
        <f t="shared" si="94"/>
        <v>1</v>
      </c>
      <c r="B446" s="451" t="str">
        <f>VLOOKUP(D446,'LA List'!$A$3:$B$470,2,0)</f>
        <v>E3902</v>
      </c>
      <c r="C446" s="451" t="str">
        <f t="shared" si="82"/>
        <v>E3902EZ1</v>
      </c>
      <c r="D446" s="273" t="s">
        <v>458</v>
      </c>
      <c r="E446" s="273"/>
      <c r="F446" s="649" t="s">
        <v>1201</v>
      </c>
      <c r="G446" s="649" t="s">
        <v>1201</v>
      </c>
      <c r="H446" s="649" t="s">
        <v>1201</v>
      </c>
      <c r="I446" s="649" t="str">
        <f t="shared" si="85"/>
        <v/>
      </c>
      <c r="J446" s="650" t="str">
        <f t="shared" si="86"/>
        <v/>
      </c>
      <c r="K446" s="650" t="str">
        <f t="shared" si="87"/>
        <v/>
      </c>
      <c r="L446" s="650" t="str">
        <f t="shared" si="88"/>
        <v/>
      </c>
      <c r="M446" s="635" t="s">
        <v>1201</v>
      </c>
      <c r="N446" s="650" t="str">
        <f t="shared" si="91"/>
        <v/>
      </c>
    </row>
    <row r="447" spans="1:14" x14ac:dyDescent="0.2">
      <c r="A447">
        <f t="shared" si="94"/>
        <v>1</v>
      </c>
      <c r="B447" s="451" t="str">
        <f>VLOOKUP(D447,'LA List'!$A$3:$B$470,2,0)</f>
        <v>E1743</v>
      </c>
      <c r="C447" s="451" t="str">
        <f t="shared" si="82"/>
        <v>E1743EZ1</v>
      </c>
      <c r="D447" s="273" t="s">
        <v>460</v>
      </c>
      <c r="E447" s="273"/>
      <c r="F447" s="649" t="s">
        <v>1201</v>
      </c>
      <c r="G447" s="649" t="s">
        <v>1201</v>
      </c>
      <c r="H447" s="649" t="s">
        <v>1201</v>
      </c>
      <c r="I447" s="649" t="str">
        <f t="shared" si="85"/>
        <v/>
      </c>
      <c r="J447" s="650" t="str">
        <f t="shared" si="86"/>
        <v/>
      </c>
      <c r="K447" s="650" t="str">
        <f t="shared" si="87"/>
        <v/>
      </c>
      <c r="L447" s="650" t="str">
        <f t="shared" si="88"/>
        <v/>
      </c>
      <c r="M447" s="635" t="s">
        <v>1201</v>
      </c>
      <c r="N447" s="650" t="str">
        <f t="shared" si="91"/>
        <v/>
      </c>
    </row>
    <row r="448" spans="1:14" x14ac:dyDescent="0.2">
      <c r="A448">
        <f t="shared" si="94"/>
        <v>1</v>
      </c>
      <c r="B448" s="451" t="str">
        <f>VLOOKUP(D448,'LA List'!$A$3:$B$470,2,0)</f>
        <v>E0305</v>
      </c>
      <c r="C448" s="451" t="str">
        <f t="shared" si="82"/>
        <v>E0305EZ1</v>
      </c>
      <c r="D448" s="273" t="s">
        <v>462</v>
      </c>
      <c r="E448" s="273"/>
      <c r="F448" s="649" t="s">
        <v>1201</v>
      </c>
      <c r="G448" s="649" t="s">
        <v>1201</v>
      </c>
      <c r="H448" s="649" t="s">
        <v>1201</v>
      </c>
      <c r="I448" s="649" t="str">
        <f t="shared" si="85"/>
        <v/>
      </c>
      <c r="J448" s="650" t="str">
        <f t="shared" si="86"/>
        <v/>
      </c>
      <c r="K448" s="650" t="str">
        <f t="shared" si="87"/>
        <v/>
      </c>
      <c r="L448" s="650" t="str">
        <f t="shared" si="88"/>
        <v/>
      </c>
      <c r="M448" s="635" t="s">
        <v>1201</v>
      </c>
      <c r="N448" s="650" t="str">
        <f t="shared" si="91"/>
        <v/>
      </c>
    </row>
    <row r="449" spans="1:14" x14ac:dyDescent="0.2">
      <c r="A449">
        <f t="shared" si="94"/>
        <v>1</v>
      </c>
      <c r="B449" s="451" t="str">
        <f>VLOOKUP(D449,'LA List'!$A$3:$B$470,2,0)</f>
        <v>E4305</v>
      </c>
      <c r="C449" s="451" t="str">
        <f t="shared" ref="C449:C460" si="100">CONCATENATE(B449,"EZ",A449)</f>
        <v>E4305EZ1</v>
      </c>
      <c r="D449" s="273" t="s">
        <v>464</v>
      </c>
      <c r="E449" s="273" t="s">
        <v>863</v>
      </c>
      <c r="F449" s="649">
        <v>0</v>
      </c>
      <c r="G449" s="649">
        <v>0</v>
      </c>
      <c r="H449" s="649">
        <v>0</v>
      </c>
      <c r="I449" s="649">
        <f t="shared" si="85"/>
        <v>0</v>
      </c>
      <c r="J449" s="650">
        <f t="shared" si="86"/>
        <v>0</v>
      </c>
      <c r="K449" s="650">
        <f t="shared" si="87"/>
        <v>0</v>
      </c>
      <c r="L449" s="650">
        <f t="shared" si="88"/>
        <v>0</v>
      </c>
      <c r="M449" s="635">
        <v>0</v>
      </c>
      <c r="N449" s="650">
        <f t="shared" si="91"/>
        <v>0</v>
      </c>
    </row>
    <row r="450" spans="1:14" x14ac:dyDescent="0.2">
      <c r="A450">
        <f t="shared" si="94"/>
        <v>2</v>
      </c>
      <c r="B450" s="451" t="str">
        <f>VLOOKUP(D450,'LA List'!$A$3:$B$470,2,0)</f>
        <v>E4305</v>
      </c>
      <c r="C450" s="451" t="str">
        <f t="shared" si="100"/>
        <v>E4305EZ2</v>
      </c>
      <c r="D450" s="273" t="s">
        <v>464</v>
      </c>
      <c r="E450" s="273" t="s">
        <v>1169</v>
      </c>
      <c r="F450" s="649">
        <v>877693</v>
      </c>
      <c r="G450" s="649">
        <v>877693</v>
      </c>
      <c r="H450" s="649">
        <v>904061</v>
      </c>
      <c r="I450" s="649">
        <f t="shared" si="85"/>
        <v>924779</v>
      </c>
      <c r="J450" s="650">
        <f t="shared" si="86"/>
        <v>939847</v>
      </c>
      <c r="K450" s="650">
        <f t="shared" si="87"/>
        <v>939847</v>
      </c>
      <c r="L450" s="650">
        <f t="shared" si="88"/>
        <v>939847</v>
      </c>
      <c r="M450" s="635">
        <v>1238063</v>
      </c>
      <c r="N450" s="650">
        <f t="shared" si="91"/>
        <v>1238063</v>
      </c>
    </row>
    <row r="451" spans="1:14" x14ac:dyDescent="0.2">
      <c r="A451">
        <f t="shared" ref="A451" si="101">IF(D451=D450,A450+1,1)</f>
        <v>3</v>
      </c>
      <c r="B451" s="451" t="str">
        <f>VLOOKUP(D451,'LA List'!$A$3:$B$470,2,0)</f>
        <v>E4305</v>
      </c>
      <c r="C451" s="451" t="str">
        <f t="shared" ref="C451" si="102">CONCATENATE(B451,"EZ",A451)</f>
        <v>E4305EZ3</v>
      </c>
      <c r="D451" s="273" t="s">
        <v>464</v>
      </c>
      <c r="E451" s="544" t="s">
        <v>2433</v>
      </c>
      <c r="F451" s="649">
        <v>0</v>
      </c>
      <c r="G451" s="649">
        <v>0</v>
      </c>
      <c r="H451" s="649">
        <v>0</v>
      </c>
      <c r="I451" s="649">
        <v>0</v>
      </c>
      <c r="J451" s="650">
        <v>0</v>
      </c>
      <c r="K451" s="650">
        <v>0</v>
      </c>
      <c r="L451" s="650">
        <v>988702</v>
      </c>
      <c r="M451" s="635">
        <v>1082655</v>
      </c>
      <c r="N451" s="650">
        <f t="shared" si="91"/>
        <v>1082655</v>
      </c>
    </row>
    <row r="452" spans="1:14" x14ac:dyDescent="0.2">
      <c r="A452">
        <f>IF(D452=D450,A450+1,1)</f>
        <v>1</v>
      </c>
      <c r="B452" s="451" t="str">
        <f>VLOOKUP(D452,'LA List'!$A$3:$B$470,2,0)</f>
        <v>E3641</v>
      </c>
      <c r="C452" s="451" t="str">
        <f t="shared" si="100"/>
        <v>E3641EZ1</v>
      </c>
      <c r="D452" s="273" t="s">
        <v>466</v>
      </c>
      <c r="E452" s="273"/>
      <c r="F452" s="649" t="s">
        <v>1201</v>
      </c>
      <c r="G452" s="649" t="s">
        <v>1201</v>
      </c>
      <c r="H452" s="649" t="s">
        <v>1201</v>
      </c>
      <c r="I452" s="649" t="str">
        <f t="shared" si="85"/>
        <v/>
      </c>
      <c r="J452" s="650" t="str">
        <f t="shared" si="86"/>
        <v/>
      </c>
      <c r="K452" s="650" t="str">
        <f t="shared" si="87"/>
        <v/>
      </c>
      <c r="L452" s="650" t="str">
        <f t="shared" si="88"/>
        <v/>
      </c>
      <c r="M452" s="635" t="s">
        <v>1201</v>
      </c>
      <c r="N452" s="650" t="str">
        <f t="shared" si="91"/>
        <v/>
      </c>
    </row>
    <row r="453" spans="1:14" x14ac:dyDescent="0.2">
      <c r="A453">
        <f t="shared" si="94"/>
        <v>1</v>
      </c>
      <c r="B453" s="451" t="str">
        <f>VLOOKUP(D453,'LA List'!$A$3:$B$470,2,0)</f>
        <v>E0306</v>
      </c>
      <c r="C453" s="451" t="str">
        <f t="shared" si="100"/>
        <v>E0306EZ1</v>
      </c>
      <c r="D453" s="273" t="s">
        <v>468</v>
      </c>
      <c r="E453" s="273"/>
      <c r="F453" s="649" t="s">
        <v>1201</v>
      </c>
      <c r="G453" s="649" t="s">
        <v>1201</v>
      </c>
      <c r="H453" s="649" t="s">
        <v>1201</v>
      </c>
      <c r="I453" s="649" t="str">
        <f t="shared" si="85"/>
        <v/>
      </c>
      <c r="J453" s="650" t="str">
        <f t="shared" si="86"/>
        <v/>
      </c>
      <c r="K453" s="650" t="str">
        <f t="shared" si="87"/>
        <v/>
      </c>
      <c r="L453" s="650" t="str">
        <f t="shared" si="88"/>
        <v/>
      </c>
      <c r="M453" s="635" t="s">
        <v>1201</v>
      </c>
      <c r="N453" s="650" t="str">
        <f t="shared" si="91"/>
        <v/>
      </c>
    </row>
    <row r="454" spans="1:14" x14ac:dyDescent="0.2">
      <c r="A454">
        <f t="shared" si="94"/>
        <v>1</v>
      </c>
      <c r="B454" s="451" t="str">
        <f>VLOOKUP(D454,'LA List'!$A$3:$B$470,2,0)</f>
        <v>E4607</v>
      </c>
      <c r="C454" s="451" t="str">
        <f t="shared" si="100"/>
        <v>E4607EZ1</v>
      </c>
      <c r="D454" s="273" t="s">
        <v>470</v>
      </c>
      <c r="E454" s="273" t="s">
        <v>872</v>
      </c>
      <c r="F454" s="649">
        <v>97743</v>
      </c>
      <c r="G454" s="649">
        <v>97743</v>
      </c>
      <c r="H454" s="649">
        <v>100679</v>
      </c>
      <c r="I454" s="649">
        <f t="shared" si="85"/>
        <v>102986</v>
      </c>
      <c r="J454" s="650">
        <f t="shared" si="86"/>
        <v>104664</v>
      </c>
      <c r="K454" s="650">
        <f t="shared" si="87"/>
        <v>104664</v>
      </c>
      <c r="L454" s="650">
        <f t="shared" si="88"/>
        <v>104664</v>
      </c>
      <c r="M454" s="635">
        <v>91774</v>
      </c>
      <c r="N454" s="650">
        <f t="shared" si="91"/>
        <v>91774</v>
      </c>
    </row>
    <row r="455" spans="1:14" x14ac:dyDescent="0.2">
      <c r="A455">
        <f t="shared" si="94"/>
        <v>1</v>
      </c>
      <c r="B455" s="451" t="str">
        <f>VLOOKUP(D455,'LA List'!$A$3:$B$470,2,0)</f>
        <v>E1837</v>
      </c>
      <c r="C455" s="451" t="str">
        <f t="shared" si="100"/>
        <v>E1837EZ1</v>
      </c>
      <c r="D455" s="273" t="s">
        <v>472</v>
      </c>
      <c r="E455" s="273"/>
      <c r="F455" s="649" t="s">
        <v>1201</v>
      </c>
      <c r="G455" s="649" t="s">
        <v>1201</v>
      </c>
      <c r="H455" s="649" t="s">
        <v>1201</v>
      </c>
      <c r="I455" s="649" t="str">
        <f t="shared" si="85"/>
        <v/>
      </c>
      <c r="J455" s="650" t="str">
        <f t="shared" si="86"/>
        <v/>
      </c>
      <c r="K455" s="650" t="str">
        <f t="shared" si="87"/>
        <v/>
      </c>
      <c r="L455" s="650" t="str">
        <f t="shared" si="88"/>
        <v/>
      </c>
      <c r="M455" s="635" t="s">
        <v>1201</v>
      </c>
      <c r="N455" s="650" t="str">
        <f t="shared" si="91"/>
        <v/>
      </c>
    </row>
    <row r="456" spans="1:14" x14ac:dyDescent="0.2">
      <c r="A456">
        <f t="shared" si="94"/>
        <v>1</v>
      </c>
      <c r="B456" s="451" t="str">
        <f>VLOOKUP(D456,'LA List'!$A$3:$B$470,2,0)</f>
        <v>E3837</v>
      </c>
      <c r="C456" s="451" t="str">
        <f t="shared" si="100"/>
        <v>E3837EZ1</v>
      </c>
      <c r="D456" s="273" t="s">
        <v>474</v>
      </c>
      <c r="E456" s="273"/>
      <c r="F456" s="649" t="s">
        <v>1201</v>
      </c>
      <c r="G456" s="649" t="s">
        <v>1201</v>
      </c>
      <c r="H456" s="649" t="s">
        <v>1201</v>
      </c>
      <c r="I456" s="649" t="str">
        <f t="shared" si="85"/>
        <v/>
      </c>
      <c r="J456" s="650" t="str">
        <f t="shared" si="86"/>
        <v/>
      </c>
      <c r="K456" s="650" t="str">
        <f t="shared" si="87"/>
        <v/>
      </c>
      <c r="L456" s="650" t="str">
        <f t="shared" si="88"/>
        <v/>
      </c>
      <c r="M456" s="635" t="s">
        <v>1201</v>
      </c>
      <c r="N456" s="650" t="str">
        <f t="shared" si="91"/>
        <v/>
      </c>
    </row>
    <row r="457" spans="1:14" x14ac:dyDescent="0.2">
      <c r="A457">
        <f t="shared" si="94"/>
        <v>1</v>
      </c>
      <c r="B457" s="451" t="str">
        <f>VLOOKUP(D457,'LA List'!$A$3:$B$470,2,0)</f>
        <v>E1838</v>
      </c>
      <c r="C457" s="451" t="str">
        <f t="shared" si="100"/>
        <v>E1838EZ1</v>
      </c>
      <c r="D457" s="273" t="s">
        <v>476</v>
      </c>
      <c r="E457" s="273"/>
      <c r="F457" s="649" t="s">
        <v>1201</v>
      </c>
      <c r="G457" s="649" t="s">
        <v>1201</v>
      </c>
      <c r="H457" s="649" t="s">
        <v>1201</v>
      </c>
      <c r="I457" s="649" t="str">
        <f t="shared" si="85"/>
        <v/>
      </c>
      <c r="J457" s="650" t="str">
        <f t="shared" si="86"/>
        <v/>
      </c>
      <c r="K457" s="650" t="str">
        <f t="shared" si="87"/>
        <v/>
      </c>
      <c r="L457" s="650" t="str">
        <f t="shared" si="88"/>
        <v/>
      </c>
      <c r="M457" s="635" t="s">
        <v>1201</v>
      </c>
      <c r="N457" s="650" t="str">
        <f t="shared" si="91"/>
        <v/>
      </c>
    </row>
    <row r="458" spans="1:14" x14ac:dyDescent="0.2">
      <c r="A458">
        <f t="shared" si="94"/>
        <v>1</v>
      </c>
      <c r="B458" s="451" t="str">
        <f>VLOOKUP(D458,'LA List'!$A$3:$B$470,2,0)</f>
        <v>E2344</v>
      </c>
      <c r="C458" s="451" t="str">
        <f t="shared" si="100"/>
        <v>E2344EZ1</v>
      </c>
      <c r="D458" s="273" t="s">
        <v>478</v>
      </c>
      <c r="E458" s="273" t="s">
        <v>1170</v>
      </c>
      <c r="F458" s="649">
        <v>2412509</v>
      </c>
      <c r="G458" s="649">
        <v>2412509</v>
      </c>
      <c r="H458" s="649">
        <v>2484988</v>
      </c>
      <c r="I458" s="649">
        <f t="shared" ref="I458:I460" si="103">IF(H458="","",ROUND(H458*$I$1,0))</f>
        <v>2541936</v>
      </c>
      <c r="J458" s="650">
        <f t="shared" ref="J458:J460" si="104">IF(I458="","",ROUND(I458*$J$1,0))</f>
        <v>2583352</v>
      </c>
      <c r="K458" s="650">
        <f t="shared" si="87"/>
        <v>2583352</v>
      </c>
      <c r="L458" s="650">
        <f t="shared" si="88"/>
        <v>2583352</v>
      </c>
      <c r="M458" s="635">
        <v>3447878</v>
      </c>
      <c r="N458" s="650">
        <f t="shared" si="91"/>
        <v>3447878</v>
      </c>
    </row>
    <row r="459" spans="1:14" x14ac:dyDescent="0.2">
      <c r="A459">
        <f t="shared" si="94"/>
        <v>1</v>
      </c>
      <c r="B459" s="451" t="str">
        <f>VLOOKUP(D459,'LA List'!$A$3:$B$470,2,0)</f>
        <v>E1839</v>
      </c>
      <c r="C459" s="451" t="str">
        <f t="shared" si="100"/>
        <v>E1839EZ1</v>
      </c>
      <c r="D459" s="273" t="s">
        <v>480</v>
      </c>
      <c r="E459" s="273"/>
      <c r="F459" s="649" t="s">
        <v>1201</v>
      </c>
      <c r="G459" s="649" t="s">
        <v>1201</v>
      </c>
      <c r="H459" s="649" t="s">
        <v>1201</v>
      </c>
      <c r="I459" s="649" t="str">
        <f t="shared" si="103"/>
        <v/>
      </c>
      <c r="J459" s="650" t="str">
        <f t="shared" si="104"/>
        <v/>
      </c>
      <c r="K459" s="650" t="str">
        <f t="shared" ref="K459:K460" si="105">IF(J459="","",ROUND(J459*$K$1,0))</f>
        <v/>
      </c>
      <c r="L459" s="650" t="str">
        <f t="shared" si="88"/>
        <v/>
      </c>
      <c r="M459" s="635" t="s">
        <v>1201</v>
      </c>
      <c r="N459" s="650" t="str">
        <f t="shared" si="91"/>
        <v/>
      </c>
    </row>
    <row r="460" spans="1:14" x14ac:dyDescent="0.2">
      <c r="A460">
        <f t="shared" si="94"/>
        <v>1</v>
      </c>
      <c r="B460" s="451" t="str">
        <f>VLOOKUP(D460,'LA List'!$A$3:$B$470,2,0)</f>
        <v>E2701</v>
      </c>
      <c r="C460" s="451" t="str">
        <f t="shared" si="100"/>
        <v>E2701EZ1</v>
      </c>
      <c r="D460" s="273" t="s">
        <v>482</v>
      </c>
      <c r="E460" s="273" t="s">
        <v>1171</v>
      </c>
      <c r="F460" s="649">
        <v>745853</v>
      </c>
      <c r="G460" s="649">
        <v>745853</v>
      </c>
      <c r="H460" s="649">
        <v>768261</v>
      </c>
      <c r="I460" s="649">
        <f t="shared" si="103"/>
        <v>785867</v>
      </c>
      <c r="J460" s="650">
        <f t="shared" si="104"/>
        <v>798671</v>
      </c>
      <c r="K460" s="650">
        <f t="shared" si="105"/>
        <v>798671</v>
      </c>
      <c r="L460" s="650">
        <f t="shared" si="88"/>
        <v>798671</v>
      </c>
      <c r="M460" s="635">
        <v>772395</v>
      </c>
      <c r="N460" s="650">
        <f t="shared" si="91"/>
        <v>772395</v>
      </c>
    </row>
    <row r="461" spans="1:14" x14ac:dyDescent="0.2">
      <c r="D461" s="273"/>
      <c r="E461" s="273"/>
      <c r="F461" s="649"/>
      <c r="G461" s="649"/>
      <c r="H461" s="649"/>
      <c r="I461" s="724"/>
    </row>
    <row r="462" spans="1:14" s="273" customFormat="1" x14ac:dyDescent="0.2">
      <c r="B462" s="266"/>
      <c r="C462" s="266"/>
      <c r="D462" s="451"/>
      <c r="E462" s="451"/>
      <c r="F462" s="544"/>
      <c r="G462" s="544"/>
      <c r="H462" s="544"/>
      <c r="I462" s="544"/>
      <c r="J462"/>
    </row>
    <row r="463" spans="1:14" s="273" customFormat="1" x14ac:dyDescent="0.2">
      <c r="B463" s="266"/>
      <c r="C463" s="266"/>
      <c r="D463" s="451"/>
      <c r="E463" s="451"/>
      <c r="F463" s="544"/>
      <c r="G463" s="544"/>
      <c r="H463" s="544"/>
      <c r="I463" s="544"/>
      <c r="J463"/>
    </row>
    <row r="464" spans="1:14" s="273" customFormat="1" x14ac:dyDescent="0.2">
      <c r="B464" s="266"/>
      <c r="C464" s="266"/>
      <c r="D464" s="451"/>
      <c r="E464" s="451"/>
      <c r="F464" s="544"/>
      <c r="G464" s="544"/>
      <c r="H464" s="544"/>
      <c r="I464" s="544"/>
      <c r="J464"/>
    </row>
    <row r="465" spans="2:10" s="273" customFormat="1" x14ac:dyDescent="0.2">
      <c r="B465" s="266"/>
      <c r="C465" s="266"/>
      <c r="D465" s="451"/>
      <c r="E465" s="451"/>
      <c r="F465" s="544"/>
      <c r="G465" s="544"/>
      <c r="H465" s="544"/>
      <c r="I465" s="544"/>
      <c r="J465"/>
    </row>
    <row r="466" spans="2:10" s="273" customFormat="1" x14ac:dyDescent="0.2">
      <c r="B466" s="266"/>
      <c r="C466" s="266"/>
      <c r="D466" s="451"/>
      <c r="E466" s="451"/>
      <c r="F466" s="544"/>
      <c r="G466" s="544"/>
      <c r="H466" s="544"/>
      <c r="I466" s="544"/>
      <c r="J466"/>
    </row>
    <row r="467" spans="2:10" s="273" customFormat="1" x14ac:dyDescent="0.2">
      <c r="B467" s="266"/>
      <c r="C467" s="266"/>
      <c r="F467" s="544"/>
      <c r="G467" s="544"/>
      <c r="H467" s="544"/>
      <c r="I467" s="544"/>
      <c r="J467"/>
    </row>
    <row r="468" spans="2:10" s="273" customFormat="1" x14ac:dyDescent="0.2">
      <c r="B468" s="266"/>
      <c r="C468" s="266"/>
      <c r="F468" s="544"/>
      <c r="G468" s="544"/>
      <c r="H468" s="544"/>
      <c r="I468" s="544"/>
      <c r="J468"/>
    </row>
    <row r="469" spans="2:10" s="273" customFormat="1" x14ac:dyDescent="0.2">
      <c r="B469" s="266"/>
      <c r="C469" s="266"/>
      <c r="F469" s="544"/>
      <c r="G469" s="544"/>
      <c r="H469" s="544"/>
      <c r="I469" s="544"/>
      <c r="J469"/>
    </row>
    <row r="470" spans="2:10" s="273" customFormat="1" x14ac:dyDescent="0.2">
      <c r="B470" s="266"/>
      <c r="C470" s="266"/>
      <c r="F470" s="544"/>
      <c r="G470" s="544"/>
      <c r="H470" s="544"/>
      <c r="I470" s="544"/>
      <c r="J470"/>
    </row>
    <row r="471" spans="2:10" s="273" customFormat="1" x14ac:dyDescent="0.2">
      <c r="B471" s="266"/>
      <c r="C471" s="266"/>
      <c r="F471" s="544"/>
      <c r="G471" s="544"/>
      <c r="H471" s="544"/>
      <c r="I471" s="544"/>
      <c r="J471"/>
    </row>
    <row r="472" spans="2:10" s="273" customFormat="1" x14ac:dyDescent="0.2">
      <c r="B472" s="266"/>
      <c r="C472" s="266"/>
      <c r="F472" s="544"/>
      <c r="G472" s="544"/>
      <c r="H472" s="544"/>
      <c r="I472" s="544"/>
      <c r="J472"/>
    </row>
    <row r="473" spans="2:10" s="273" customFormat="1" x14ac:dyDescent="0.2">
      <c r="B473" s="266"/>
      <c r="C473" s="266"/>
      <c r="F473" s="544"/>
      <c r="G473" s="544"/>
      <c r="H473" s="544"/>
      <c r="I473" s="544"/>
      <c r="J473"/>
    </row>
    <row r="474" spans="2:10" s="273" customFormat="1" x14ac:dyDescent="0.2">
      <c r="B474" s="266"/>
      <c r="C474" s="266"/>
      <c r="F474" s="544"/>
      <c r="G474" s="544"/>
      <c r="H474" s="544"/>
      <c r="I474" s="544"/>
      <c r="J474"/>
    </row>
    <row r="475" spans="2:10" s="273" customFormat="1" x14ac:dyDescent="0.2">
      <c r="B475" s="266"/>
      <c r="C475" s="266"/>
      <c r="F475" s="544"/>
      <c r="G475" s="544"/>
      <c r="H475" s="544"/>
      <c r="I475" s="544"/>
      <c r="J475"/>
    </row>
    <row r="476" spans="2:10" s="273" customFormat="1" x14ac:dyDescent="0.2">
      <c r="B476" s="266"/>
      <c r="C476" s="266"/>
      <c r="F476" s="544"/>
      <c r="G476" s="544"/>
      <c r="H476" s="544"/>
      <c r="I476" s="544"/>
      <c r="J476"/>
    </row>
    <row r="477" spans="2:10" s="273" customFormat="1" x14ac:dyDescent="0.2">
      <c r="B477" s="266"/>
      <c r="C477" s="266"/>
      <c r="F477" s="544"/>
      <c r="G477" s="544"/>
      <c r="H477" s="544"/>
      <c r="I477" s="544"/>
      <c r="J477"/>
    </row>
    <row r="478" spans="2:10" s="273" customFormat="1" x14ac:dyDescent="0.2">
      <c r="B478" s="266"/>
      <c r="C478" s="266"/>
      <c r="F478" s="544"/>
      <c r="G478" s="544"/>
      <c r="H478" s="544"/>
      <c r="I478" s="544"/>
      <c r="J478"/>
    </row>
    <row r="479" spans="2:10" s="273" customFormat="1" x14ac:dyDescent="0.2">
      <c r="B479" s="266"/>
      <c r="C479" s="266"/>
      <c r="F479" s="544"/>
      <c r="G479" s="544"/>
      <c r="H479" s="544"/>
      <c r="I479" s="544"/>
      <c r="J479"/>
    </row>
    <row r="480" spans="2:10" s="273" customFormat="1" x14ac:dyDescent="0.2">
      <c r="B480" s="266"/>
      <c r="C480" s="266"/>
      <c r="F480" s="544"/>
      <c r="G480" s="544"/>
      <c r="H480" s="544"/>
      <c r="I480" s="544"/>
      <c r="J480"/>
    </row>
    <row r="481" spans="2:10" s="273" customFormat="1" x14ac:dyDescent="0.2">
      <c r="B481" s="266"/>
      <c r="C481" s="266"/>
      <c r="F481" s="544"/>
      <c r="G481" s="544"/>
      <c r="H481" s="544"/>
      <c r="I481" s="544"/>
      <c r="J481"/>
    </row>
    <row r="482" spans="2:10" s="273" customFormat="1" x14ac:dyDescent="0.2">
      <c r="B482" s="266"/>
      <c r="C482" s="266"/>
      <c r="F482" s="544"/>
      <c r="G482" s="544"/>
      <c r="H482" s="544"/>
      <c r="I482" s="544"/>
      <c r="J482"/>
    </row>
    <row r="483" spans="2:10" s="273" customFormat="1" x14ac:dyDescent="0.2">
      <c r="B483" s="266"/>
      <c r="C483" s="266"/>
      <c r="F483" s="544"/>
      <c r="G483" s="544"/>
      <c r="H483" s="544"/>
      <c r="I483" s="544"/>
      <c r="J483"/>
    </row>
    <row r="484" spans="2:10" s="273" customFormat="1" x14ac:dyDescent="0.2">
      <c r="B484" s="266"/>
      <c r="C484" s="266"/>
      <c r="F484" s="544"/>
      <c r="G484" s="544"/>
      <c r="H484" s="544"/>
      <c r="I484" s="544"/>
      <c r="J484"/>
    </row>
    <row r="485" spans="2:10" s="273" customFormat="1" x14ac:dyDescent="0.2">
      <c r="B485" s="266"/>
      <c r="C485" s="266"/>
      <c r="F485" s="544"/>
      <c r="G485" s="544"/>
      <c r="H485" s="544"/>
      <c r="I485" s="544"/>
      <c r="J485"/>
    </row>
    <row r="486" spans="2:10" s="273" customFormat="1" x14ac:dyDescent="0.2">
      <c r="B486" s="266"/>
      <c r="C486" s="266"/>
      <c r="F486" s="544"/>
      <c r="G486" s="544"/>
      <c r="H486" s="544"/>
      <c r="I486" s="544"/>
      <c r="J486"/>
    </row>
    <row r="487" spans="2:10" s="273" customFormat="1" x14ac:dyDescent="0.2">
      <c r="B487" s="266"/>
      <c r="C487" s="266"/>
      <c r="F487" s="544"/>
      <c r="G487" s="544"/>
      <c r="H487" s="544"/>
      <c r="I487" s="544"/>
      <c r="J487"/>
    </row>
    <row r="488" spans="2:10" s="273" customFormat="1" x14ac:dyDescent="0.2">
      <c r="B488" s="266"/>
      <c r="C488" s="266"/>
      <c r="F488" s="544"/>
      <c r="G488" s="544"/>
      <c r="H488" s="544"/>
      <c r="I488" s="544"/>
      <c r="J488"/>
    </row>
    <row r="489" spans="2:10" s="273" customFormat="1" x14ac:dyDescent="0.2">
      <c r="B489" s="266"/>
      <c r="C489" s="266"/>
      <c r="F489" s="544"/>
      <c r="G489" s="544"/>
      <c r="H489" s="544"/>
      <c r="I489" s="544"/>
      <c r="J489"/>
    </row>
    <row r="490" spans="2:10" s="273" customFormat="1" x14ac:dyDescent="0.2">
      <c r="B490" s="266"/>
      <c r="C490" s="266"/>
      <c r="F490" s="544"/>
      <c r="G490" s="544"/>
      <c r="H490" s="544"/>
      <c r="I490" s="544"/>
      <c r="J490"/>
    </row>
    <row r="491" spans="2:10" s="273" customFormat="1" x14ac:dyDescent="0.2">
      <c r="B491" s="266"/>
      <c r="C491" s="266"/>
      <c r="F491" s="544"/>
      <c r="G491" s="544"/>
      <c r="H491" s="544"/>
      <c r="I491" s="544"/>
      <c r="J491"/>
    </row>
    <row r="492" spans="2:10" s="273" customFormat="1" x14ac:dyDescent="0.2">
      <c r="B492" s="266"/>
      <c r="C492" s="266"/>
      <c r="F492" s="544"/>
      <c r="G492" s="544"/>
      <c r="H492" s="544"/>
      <c r="I492" s="544"/>
      <c r="J492"/>
    </row>
    <row r="493" spans="2:10" s="273" customFormat="1" x14ac:dyDescent="0.2">
      <c r="B493" s="266"/>
      <c r="C493" s="266"/>
      <c r="F493" s="544"/>
      <c r="G493" s="544"/>
      <c r="H493" s="544"/>
      <c r="I493" s="544"/>
      <c r="J493"/>
    </row>
    <row r="494" spans="2:10" s="273" customFormat="1" x14ac:dyDescent="0.2">
      <c r="B494" s="266"/>
      <c r="C494" s="266"/>
      <c r="F494" s="544"/>
      <c r="G494" s="544"/>
      <c r="H494" s="544"/>
      <c r="I494" s="544"/>
      <c r="J494"/>
    </row>
    <row r="495" spans="2:10" s="273" customFormat="1" x14ac:dyDescent="0.2">
      <c r="B495" s="266"/>
      <c r="C495" s="266"/>
      <c r="F495" s="544"/>
      <c r="G495" s="544"/>
      <c r="H495" s="544"/>
      <c r="I495" s="544"/>
      <c r="J495"/>
    </row>
    <row r="496" spans="2:10" s="273" customFormat="1" x14ac:dyDescent="0.2">
      <c r="B496" s="266"/>
      <c r="C496" s="266"/>
      <c r="F496" s="544"/>
      <c r="G496" s="544"/>
      <c r="H496" s="544"/>
      <c r="I496" s="544"/>
      <c r="J496"/>
    </row>
    <row r="497" spans="2:10" s="273" customFormat="1" x14ac:dyDescent="0.2">
      <c r="B497" s="266"/>
      <c r="C497" s="266"/>
      <c r="F497" s="544"/>
      <c r="G497" s="544"/>
      <c r="H497" s="544"/>
      <c r="I497" s="544"/>
      <c r="J497"/>
    </row>
    <row r="498" spans="2:10" s="273" customFormat="1" x14ac:dyDescent="0.2">
      <c r="B498" s="266"/>
      <c r="C498" s="266"/>
      <c r="F498" s="544"/>
      <c r="G498" s="544"/>
      <c r="H498" s="544"/>
      <c r="I498" s="544"/>
      <c r="J498"/>
    </row>
    <row r="499" spans="2:10" s="273" customFormat="1" x14ac:dyDescent="0.2">
      <c r="B499" s="266"/>
      <c r="C499" s="266"/>
      <c r="F499" s="544"/>
      <c r="G499" s="544"/>
      <c r="H499" s="544"/>
      <c r="I499" s="544"/>
      <c r="J499"/>
    </row>
    <row r="500" spans="2:10" s="273" customFormat="1" x14ac:dyDescent="0.2">
      <c r="B500" s="266"/>
      <c r="C500" s="266"/>
      <c r="F500" s="544"/>
      <c r="G500" s="544"/>
      <c r="H500" s="544"/>
      <c r="I500" s="544"/>
      <c r="J500"/>
    </row>
    <row r="501" spans="2:10" s="273" customFormat="1" x14ac:dyDescent="0.2">
      <c r="B501" s="266"/>
      <c r="C501" s="266"/>
      <c r="F501" s="544"/>
      <c r="G501" s="544"/>
      <c r="H501" s="544"/>
      <c r="I501" s="544"/>
      <c r="J501"/>
    </row>
    <row r="502" spans="2:10" s="273" customFormat="1" x14ac:dyDescent="0.2">
      <c r="B502" s="266"/>
      <c r="C502" s="266"/>
      <c r="F502" s="544"/>
      <c r="G502" s="544"/>
      <c r="H502" s="544"/>
      <c r="I502" s="544"/>
      <c r="J502"/>
    </row>
    <row r="503" spans="2:10" s="273" customFormat="1" x14ac:dyDescent="0.2">
      <c r="B503" s="266"/>
      <c r="C503" s="266"/>
      <c r="F503" s="544"/>
      <c r="G503" s="544"/>
      <c r="H503" s="544"/>
      <c r="I503" s="544"/>
      <c r="J503"/>
    </row>
    <row r="504" spans="2:10" s="273" customFormat="1" x14ac:dyDescent="0.2">
      <c r="B504" s="266"/>
      <c r="C504" s="266"/>
      <c r="F504" s="544"/>
      <c r="G504" s="544"/>
      <c r="H504" s="544"/>
      <c r="I504" s="544"/>
      <c r="J504"/>
    </row>
    <row r="505" spans="2:10" s="273" customFormat="1" x14ac:dyDescent="0.2">
      <c r="B505" s="266"/>
      <c r="C505" s="266"/>
      <c r="F505" s="544"/>
      <c r="G505" s="544"/>
      <c r="H505" s="544"/>
      <c r="I505" s="544"/>
      <c r="J505"/>
    </row>
    <row r="506" spans="2:10" s="273" customFormat="1" x14ac:dyDescent="0.2">
      <c r="B506" s="266"/>
      <c r="C506" s="266"/>
      <c r="F506" s="544"/>
      <c r="G506" s="544"/>
      <c r="H506" s="544"/>
      <c r="I506" s="544"/>
      <c r="J506"/>
    </row>
    <row r="507" spans="2:10" s="273" customFormat="1" x14ac:dyDescent="0.2">
      <c r="B507" s="266"/>
      <c r="C507" s="266"/>
      <c r="F507" s="544"/>
      <c r="G507" s="544"/>
      <c r="H507" s="544"/>
      <c r="I507" s="544"/>
      <c r="J507"/>
    </row>
    <row r="508" spans="2:10" s="273" customFormat="1" x14ac:dyDescent="0.2">
      <c r="B508" s="266"/>
      <c r="C508" s="266"/>
      <c r="F508" s="544"/>
      <c r="G508" s="544"/>
      <c r="H508" s="544"/>
      <c r="I508" s="544"/>
      <c r="J508"/>
    </row>
    <row r="509" spans="2:10" s="273" customFormat="1" x14ac:dyDescent="0.2">
      <c r="B509" s="266"/>
      <c r="C509" s="266"/>
      <c r="F509" s="544"/>
      <c r="G509" s="544"/>
      <c r="H509" s="544"/>
      <c r="I509" s="544"/>
      <c r="J509"/>
    </row>
    <row r="510" spans="2:10" s="273" customFormat="1" x14ac:dyDescent="0.2">
      <c r="B510" s="266"/>
      <c r="C510" s="266"/>
      <c r="F510" s="544"/>
      <c r="G510" s="544"/>
      <c r="H510" s="544"/>
      <c r="I510" s="544"/>
      <c r="J510"/>
    </row>
    <row r="511" spans="2:10" s="273" customFormat="1" x14ac:dyDescent="0.2">
      <c r="B511" s="266"/>
      <c r="C511" s="266"/>
      <c r="F511" s="544"/>
      <c r="G511" s="544"/>
      <c r="H511" s="544"/>
      <c r="I511" s="544"/>
      <c r="J511"/>
    </row>
    <row r="512" spans="2:10" s="273" customFormat="1" x14ac:dyDescent="0.2">
      <c r="B512" s="266"/>
      <c r="C512" s="266"/>
      <c r="F512" s="544"/>
      <c r="G512" s="544"/>
      <c r="H512" s="544"/>
      <c r="I512" s="544"/>
      <c r="J512"/>
    </row>
    <row r="513" spans="2:10" s="273" customFormat="1" x14ac:dyDescent="0.2">
      <c r="B513" s="266"/>
      <c r="C513" s="266"/>
      <c r="F513" s="544"/>
      <c r="G513" s="544"/>
      <c r="H513" s="544"/>
      <c r="I513" s="544"/>
      <c r="J513"/>
    </row>
    <row r="514" spans="2:10" s="273" customFormat="1" x14ac:dyDescent="0.2">
      <c r="B514" s="266"/>
      <c r="C514" s="266"/>
      <c r="F514" s="544"/>
      <c r="G514" s="544"/>
      <c r="H514" s="544"/>
      <c r="I514" s="544"/>
      <c r="J514"/>
    </row>
    <row r="515" spans="2:10" s="273" customFormat="1" x14ac:dyDescent="0.2">
      <c r="B515" s="266"/>
      <c r="C515" s="266"/>
      <c r="F515" s="544"/>
      <c r="G515" s="544"/>
      <c r="H515" s="544"/>
      <c r="I515" s="544"/>
      <c r="J515"/>
    </row>
    <row r="516" spans="2:10" s="273" customFormat="1" x14ac:dyDescent="0.2">
      <c r="B516" s="266"/>
      <c r="C516" s="266"/>
      <c r="F516" s="544"/>
      <c r="G516" s="544"/>
      <c r="H516" s="544"/>
      <c r="I516" s="544"/>
      <c r="J516"/>
    </row>
    <row r="517" spans="2:10" s="273" customFormat="1" x14ac:dyDescent="0.2">
      <c r="B517" s="266"/>
      <c r="C517" s="266"/>
      <c r="F517" s="544"/>
      <c r="G517" s="544"/>
      <c r="H517" s="544"/>
      <c r="I517" s="544"/>
      <c r="J517"/>
    </row>
    <row r="518" spans="2:10" s="273" customFormat="1" x14ac:dyDescent="0.2">
      <c r="B518" s="266"/>
      <c r="C518" s="266"/>
      <c r="F518" s="544"/>
      <c r="G518" s="544"/>
      <c r="H518" s="544"/>
      <c r="I518" s="544"/>
      <c r="J518"/>
    </row>
    <row r="519" spans="2:10" s="273" customFormat="1" x14ac:dyDescent="0.2">
      <c r="B519" s="266"/>
      <c r="C519" s="266"/>
      <c r="F519" s="544"/>
      <c r="G519" s="544"/>
      <c r="H519" s="544"/>
      <c r="I519" s="544"/>
      <c r="J519"/>
    </row>
    <row r="520" spans="2:10" s="273" customFormat="1" x14ac:dyDescent="0.2">
      <c r="B520" s="266"/>
      <c r="C520" s="266"/>
      <c r="F520" s="544"/>
      <c r="G520" s="544"/>
      <c r="H520" s="544"/>
      <c r="I520" s="544"/>
      <c r="J520"/>
    </row>
    <row r="521" spans="2:10" s="273" customFormat="1" x14ac:dyDescent="0.2">
      <c r="B521" s="266"/>
      <c r="C521" s="266"/>
      <c r="F521" s="544"/>
      <c r="G521" s="544"/>
      <c r="H521" s="544"/>
      <c r="I521" s="544"/>
      <c r="J521"/>
    </row>
    <row r="522" spans="2:10" s="273" customFormat="1" x14ac:dyDescent="0.2">
      <c r="B522" s="266"/>
      <c r="C522" s="266"/>
      <c r="F522" s="544"/>
      <c r="G522" s="544"/>
      <c r="H522" s="544"/>
      <c r="I522" s="544"/>
      <c r="J522"/>
    </row>
    <row r="523" spans="2:10" s="273" customFormat="1" x14ac:dyDescent="0.2">
      <c r="B523" s="266"/>
      <c r="C523" s="266"/>
      <c r="F523" s="544"/>
      <c r="G523" s="544"/>
      <c r="H523" s="544"/>
      <c r="I523" s="544"/>
      <c r="J523"/>
    </row>
    <row r="524" spans="2:10" s="273" customFormat="1" x14ac:dyDescent="0.2">
      <c r="B524" s="266"/>
      <c r="C524" s="266"/>
      <c r="F524" s="544"/>
      <c r="G524" s="544"/>
      <c r="H524" s="544"/>
      <c r="I524" s="544"/>
      <c r="J524"/>
    </row>
    <row r="525" spans="2:10" s="273" customFormat="1" x14ac:dyDescent="0.2">
      <c r="B525" s="266"/>
      <c r="C525" s="266"/>
      <c r="F525" s="544"/>
      <c r="G525" s="544"/>
      <c r="H525" s="544"/>
      <c r="I525" s="544"/>
      <c r="J525"/>
    </row>
    <row r="526" spans="2:10" s="273" customFormat="1" x14ac:dyDescent="0.2">
      <c r="B526" s="266"/>
      <c r="C526" s="266"/>
      <c r="F526" s="544"/>
      <c r="G526" s="544"/>
      <c r="H526" s="544"/>
      <c r="I526" s="544"/>
      <c r="J526"/>
    </row>
    <row r="527" spans="2:10" s="273" customFormat="1" x14ac:dyDescent="0.2">
      <c r="B527" s="266"/>
      <c r="C527" s="266"/>
      <c r="F527" s="544"/>
      <c r="G527" s="544"/>
      <c r="H527" s="544"/>
      <c r="I527" s="544"/>
      <c r="J527"/>
    </row>
    <row r="528" spans="2:10" s="273" customFormat="1" x14ac:dyDescent="0.2">
      <c r="B528" s="266"/>
      <c r="C528" s="266"/>
      <c r="F528" s="544"/>
      <c r="G528" s="544"/>
      <c r="H528" s="544"/>
      <c r="I528" s="544"/>
      <c r="J528"/>
    </row>
    <row r="529" spans="2:10" s="273" customFormat="1" x14ac:dyDescent="0.2">
      <c r="B529" s="266"/>
      <c r="C529" s="266"/>
      <c r="F529" s="544"/>
      <c r="G529" s="544"/>
      <c r="H529" s="544"/>
      <c r="I529" s="544"/>
      <c r="J529"/>
    </row>
    <row r="530" spans="2:10" s="273" customFormat="1" x14ac:dyDescent="0.2">
      <c r="B530" s="266"/>
      <c r="C530" s="266"/>
      <c r="F530" s="544"/>
      <c r="G530" s="544"/>
      <c r="H530" s="544"/>
      <c r="I530" s="544"/>
      <c r="J530"/>
    </row>
    <row r="531" spans="2:10" s="273" customFormat="1" x14ac:dyDescent="0.2">
      <c r="B531" s="266"/>
      <c r="C531" s="266"/>
      <c r="F531" s="544"/>
      <c r="G531" s="544"/>
      <c r="H531" s="544"/>
      <c r="I531" s="544"/>
      <c r="J531"/>
    </row>
    <row r="532" spans="2:10" s="273" customFormat="1" x14ac:dyDescent="0.2">
      <c r="B532" s="266"/>
      <c r="C532" s="266"/>
      <c r="F532" s="544"/>
      <c r="G532" s="544"/>
      <c r="H532" s="544"/>
      <c r="I532" s="544"/>
      <c r="J532"/>
    </row>
    <row r="533" spans="2:10" s="273" customFormat="1" x14ac:dyDescent="0.2">
      <c r="B533" s="266"/>
      <c r="C533" s="266"/>
      <c r="F533" s="544"/>
      <c r="G533" s="544"/>
      <c r="H533" s="544"/>
      <c r="I533" s="544"/>
      <c r="J533"/>
    </row>
    <row r="534" spans="2:10" s="273" customFormat="1" x14ac:dyDescent="0.2">
      <c r="B534" s="266"/>
      <c r="C534" s="266"/>
      <c r="F534" s="544"/>
      <c r="G534" s="544"/>
      <c r="H534" s="544"/>
      <c r="I534" s="544"/>
      <c r="J534"/>
    </row>
    <row r="535" spans="2:10" s="273" customFormat="1" x14ac:dyDescent="0.2">
      <c r="B535" s="266"/>
      <c r="C535" s="266"/>
      <c r="F535" s="544"/>
      <c r="G535" s="544"/>
      <c r="H535" s="544"/>
      <c r="I535" s="544"/>
      <c r="J535"/>
    </row>
    <row r="536" spans="2:10" s="273" customFormat="1" x14ac:dyDescent="0.2">
      <c r="B536" s="266"/>
      <c r="C536" s="266"/>
      <c r="F536" s="544"/>
      <c r="G536" s="544"/>
      <c r="H536" s="544"/>
      <c r="I536" s="544"/>
      <c r="J536"/>
    </row>
    <row r="537" spans="2:10" s="273" customFormat="1" x14ac:dyDescent="0.2">
      <c r="B537" s="266"/>
      <c r="C537" s="266"/>
      <c r="F537" s="544"/>
      <c r="G537" s="544"/>
      <c r="H537" s="544"/>
      <c r="I537" s="544"/>
      <c r="J537"/>
    </row>
    <row r="538" spans="2:10" s="273" customFormat="1" x14ac:dyDescent="0.2">
      <c r="B538" s="266"/>
      <c r="C538" s="266"/>
      <c r="F538" s="544"/>
      <c r="G538" s="544"/>
      <c r="H538" s="544"/>
      <c r="I538" s="544"/>
      <c r="J538"/>
    </row>
    <row r="539" spans="2:10" s="273" customFormat="1" x14ac:dyDescent="0.2">
      <c r="B539" s="266"/>
      <c r="C539" s="266"/>
      <c r="F539" s="544"/>
      <c r="G539" s="544"/>
      <c r="H539" s="544"/>
      <c r="I539" s="544"/>
      <c r="J539"/>
    </row>
    <row r="540" spans="2:10" s="273" customFormat="1" x14ac:dyDescent="0.2">
      <c r="B540" s="266"/>
      <c r="C540" s="266"/>
      <c r="F540" s="544"/>
      <c r="G540" s="544"/>
      <c r="H540" s="544"/>
      <c r="I540" s="544"/>
      <c r="J540"/>
    </row>
    <row r="541" spans="2:10" s="273" customFormat="1" x14ac:dyDescent="0.2">
      <c r="B541" s="266"/>
      <c r="C541" s="266"/>
      <c r="F541" s="544"/>
      <c r="G541" s="544"/>
      <c r="H541" s="544"/>
      <c r="I541" s="544"/>
      <c r="J541"/>
    </row>
    <row r="542" spans="2:10" s="273" customFormat="1" x14ac:dyDescent="0.2">
      <c r="B542" s="266"/>
      <c r="C542" s="266"/>
      <c r="F542" s="544"/>
      <c r="G542" s="544"/>
      <c r="H542" s="544"/>
      <c r="I542" s="544"/>
      <c r="J542"/>
    </row>
    <row r="543" spans="2:10" s="273" customFormat="1" x14ac:dyDescent="0.2">
      <c r="B543" s="266"/>
      <c r="C543" s="266"/>
      <c r="F543" s="544"/>
      <c r="G543" s="544"/>
      <c r="H543" s="544"/>
      <c r="I543" s="544"/>
      <c r="J543"/>
    </row>
    <row r="544" spans="2:10" s="273" customFormat="1" x14ac:dyDescent="0.2">
      <c r="B544" s="266"/>
      <c r="C544" s="266"/>
      <c r="F544" s="544"/>
      <c r="G544" s="544"/>
      <c r="H544" s="544"/>
      <c r="I544" s="544"/>
      <c r="J544"/>
    </row>
    <row r="545" spans="2:10" s="273" customFormat="1" x14ac:dyDescent="0.2">
      <c r="B545" s="266"/>
      <c r="C545" s="266"/>
      <c r="F545" s="544"/>
      <c r="G545" s="544"/>
      <c r="H545" s="544"/>
      <c r="I545" s="544"/>
      <c r="J545"/>
    </row>
    <row r="546" spans="2:10" s="273" customFormat="1" x14ac:dyDescent="0.2">
      <c r="B546" s="266"/>
      <c r="C546" s="266"/>
      <c r="F546" s="544"/>
      <c r="G546" s="544"/>
      <c r="H546" s="544"/>
      <c r="I546" s="544"/>
      <c r="J546"/>
    </row>
    <row r="547" spans="2:10" s="273" customFormat="1" x14ac:dyDescent="0.2">
      <c r="B547" s="266"/>
      <c r="C547" s="266"/>
      <c r="F547" s="544"/>
      <c r="G547" s="544"/>
      <c r="H547" s="544"/>
      <c r="I547" s="544"/>
      <c r="J547"/>
    </row>
    <row r="548" spans="2:10" s="273" customFormat="1" x14ac:dyDescent="0.2">
      <c r="B548" s="266"/>
      <c r="C548" s="266"/>
      <c r="F548" s="544"/>
      <c r="G548" s="544"/>
      <c r="H548" s="544"/>
      <c r="I548" s="544"/>
      <c r="J548"/>
    </row>
    <row r="549" spans="2:10" s="273" customFormat="1" x14ac:dyDescent="0.2">
      <c r="B549" s="266"/>
      <c r="C549" s="266"/>
      <c r="F549" s="544"/>
      <c r="G549" s="544"/>
      <c r="H549" s="544"/>
      <c r="I549" s="544"/>
      <c r="J549"/>
    </row>
    <row r="550" spans="2:10" s="273" customFormat="1" x14ac:dyDescent="0.2">
      <c r="B550" s="266"/>
      <c r="C550" s="266"/>
      <c r="F550" s="544"/>
      <c r="G550" s="544"/>
      <c r="H550" s="544"/>
      <c r="I550" s="544"/>
      <c r="J550"/>
    </row>
    <row r="551" spans="2:10" s="273" customFormat="1" x14ac:dyDescent="0.2">
      <c r="B551" s="266"/>
      <c r="C551" s="266"/>
      <c r="F551" s="544"/>
      <c r="G551" s="544"/>
      <c r="H551" s="544"/>
      <c r="I551" s="544"/>
      <c r="J551"/>
    </row>
    <row r="552" spans="2:10" s="273" customFormat="1" x14ac:dyDescent="0.2">
      <c r="B552" s="266"/>
      <c r="C552" s="266"/>
      <c r="F552" s="544"/>
      <c r="G552" s="544"/>
      <c r="H552" s="544"/>
      <c r="I552" s="544"/>
      <c r="J552"/>
    </row>
    <row r="553" spans="2:10" s="273" customFormat="1" x14ac:dyDescent="0.2">
      <c r="B553" s="266"/>
      <c r="C553" s="266"/>
      <c r="F553" s="544"/>
      <c r="G553" s="544"/>
      <c r="H553" s="544"/>
      <c r="I553" s="544"/>
      <c r="J553"/>
    </row>
    <row r="554" spans="2:10" s="273" customFormat="1" x14ac:dyDescent="0.2">
      <c r="B554" s="266"/>
      <c r="C554" s="266"/>
      <c r="F554" s="544"/>
      <c r="G554" s="544"/>
      <c r="H554" s="544"/>
      <c r="I554" s="544"/>
      <c r="J554"/>
    </row>
    <row r="555" spans="2:10" s="273" customFormat="1" x14ac:dyDescent="0.2">
      <c r="B555" s="266"/>
      <c r="C555" s="266"/>
      <c r="F555" s="544"/>
      <c r="G555" s="544"/>
      <c r="H555" s="544"/>
      <c r="I555" s="544"/>
      <c r="J555"/>
    </row>
  </sheetData>
  <autoFilter ref="A3:AH460" xr:uid="{00000000-0001-0000-0A00-000000000000}"/>
  <phoneticPr fontId="7" type="noConversion"/>
  <pageMargins left="0.75" right="0.75" top="1" bottom="1" header="0.5" footer="0.5"/>
  <pageSetup paperSize="9" scale="81" fitToHeight="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92D050"/>
    <pageSetUpPr autoPageBreaks="0"/>
  </sheetPr>
  <dimension ref="A1:CB298"/>
  <sheetViews>
    <sheetView workbookViewId="0"/>
  </sheetViews>
  <sheetFormatPr defaultRowHeight="12.75" x14ac:dyDescent="0.2"/>
  <cols>
    <col min="1" max="1" width="24.42578125" customWidth="1"/>
    <col min="3" max="3" width="29.28515625" customWidth="1"/>
    <col min="80" max="80" width="6" hidden="1" customWidth="1"/>
  </cols>
  <sheetData>
    <row r="1" spans="1:80" x14ac:dyDescent="0.2">
      <c r="A1" s="759" t="s">
        <v>972</v>
      </c>
      <c r="CB1" s="142" t="s">
        <v>1004</v>
      </c>
    </row>
    <row r="2" spans="1:80" x14ac:dyDescent="0.2">
      <c r="B2" t="s">
        <v>971</v>
      </c>
    </row>
    <row r="3" spans="1:80" x14ac:dyDescent="0.2">
      <c r="A3" t="s">
        <v>731</v>
      </c>
      <c r="B3" t="s">
        <v>732</v>
      </c>
      <c r="C3" t="s">
        <v>731</v>
      </c>
    </row>
    <row r="4" spans="1:80" x14ac:dyDescent="0.2">
      <c r="A4" t="s">
        <v>733</v>
      </c>
      <c r="B4" t="s">
        <v>734</v>
      </c>
      <c r="C4" t="s">
        <v>733</v>
      </c>
    </row>
    <row r="5" spans="1:80" x14ac:dyDescent="0.2">
      <c r="A5" t="s">
        <v>735</v>
      </c>
      <c r="B5" t="s">
        <v>736</v>
      </c>
      <c r="C5" t="s">
        <v>735</v>
      </c>
    </row>
    <row r="6" spans="1:80" x14ac:dyDescent="0.2">
      <c r="A6" t="s">
        <v>737</v>
      </c>
      <c r="B6" t="s">
        <v>738</v>
      </c>
      <c r="C6" t="s">
        <v>737</v>
      </c>
    </row>
    <row r="7" spans="1:80" x14ac:dyDescent="0.2">
      <c r="A7" t="s">
        <v>739</v>
      </c>
      <c r="B7" t="s">
        <v>740</v>
      </c>
      <c r="C7" t="s">
        <v>739</v>
      </c>
    </row>
    <row r="8" spans="1:80" x14ac:dyDescent="0.2">
      <c r="A8" t="s">
        <v>741</v>
      </c>
      <c r="B8" t="s">
        <v>742</v>
      </c>
      <c r="C8" t="s">
        <v>741</v>
      </c>
    </row>
    <row r="9" spans="1:80" x14ac:dyDescent="0.2">
      <c r="A9" t="s">
        <v>743</v>
      </c>
      <c r="B9" t="s">
        <v>744</v>
      </c>
      <c r="C9" t="s">
        <v>743</v>
      </c>
    </row>
    <row r="10" spans="1:80" x14ac:dyDescent="0.2">
      <c r="A10" t="s">
        <v>745</v>
      </c>
      <c r="B10" t="s">
        <v>746</v>
      </c>
      <c r="C10" t="s">
        <v>745</v>
      </c>
    </row>
    <row r="11" spans="1:80" x14ac:dyDescent="0.2">
      <c r="A11" t="s">
        <v>747</v>
      </c>
      <c r="B11" t="s">
        <v>748</v>
      </c>
      <c r="C11" t="s">
        <v>747</v>
      </c>
    </row>
    <row r="12" spans="1:80" x14ac:dyDescent="0.2">
      <c r="A12" t="s">
        <v>749</v>
      </c>
      <c r="B12" t="s">
        <v>750</v>
      </c>
      <c r="C12" t="s">
        <v>749</v>
      </c>
    </row>
    <row r="13" spans="1:80" x14ac:dyDescent="0.2">
      <c r="A13" t="s">
        <v>751</v>
      </c>
      <c r="B13" t="s">
        <v>752</v>
      </c>
      <c r="C13" t="s">
        <v>751</v>
      </c>
    </row>
    <row r="14" spans="1:80" x14ac:dyDescent="0.2">
      <c r="A14" t="s">
        <v>753</v>
      </c>
      <c r="B14" t="s">
        <v>754</v>
      </c>
      <c r="C14" t="s">
        <v>753</v>
      </c>
    </row>
    <row r="15" spans="1:80" x14ac:dyDescent="0.2">
      <c r="A15" t="s">
        <v>755</v>
      </c>
      <c r="B15" t="s">
        <v>756</v>
      </c>
      <c r="C15" t="s">
        <v>755</v>
      </c>
    </row>
    <row r="16" spans="1:80" x14ac:dyDescent="0.2">
      <c r="A16" t="s">
        <v>757</v>
      </c>
      <c r="B16" t="s">
        <v>758</v>
      </c>
      <c r="C16" t="s">
        <v>757</v>
      </c>
    </row>
    <row r="17" spans="1:3" x14ac:dyDescent="0.2">
      <c r="A17" t="s">
        <v>759</v>
      </c>
      <c r="B17" t="s">
        <v>760</v>
      </c>
      <c r="C17" t="s">
        <v>759</v>
      </c>
    </row>
    <row r="18" spans="1:3" x14ac:dyDescent="0.2">
      <c r="A18" t="s">
        <v>761</v>
      </c>
      <c r="B18" t="s">
        <v>762</v>
      </c>
      <c r="C18" t="s">
        <v>761</v>
      </c>
    </row>
    <row r="19" spans="1:3" x14ac:dyDescent="0.2">
      <c r="A19" t="s">
        <v>763</v>
      </c>
      <c r="B19" t="s">
        <v>764</v>
      </c>
      <c r="C19" t="s">
        <v>763</v>
      </c>
    </row>
    <row r="20" spans="1:3" x14ac:dyDescent="0.2">
      <c r="A20" t="s">
        <v>765</v>
      </c>
      <c r="B20" t="s">
        <v>766</v>
      </c>
      <c r="C20" t="s">
        <v>765</v>
      </c>
    </row>
    <row r="21" spans="1:3" x14ac:dyDescent="0.2">
      <c r="A21" t="s">
        <v>767</v>
      </c>
      <c r="B21" t="s">
        <v>768</v>
      </c>
      <c r="C21" t="s">
        <v>767</v>
      </c>
    </row>
    <row r="22" spans="1:3" x14ac:dyDescent="0.2">
      <c r="A22" t="s">
        <v>769</v>
      </c>
      <c r="B22" t="s">
        <v>770</v>
      </c>
      <c r="C22" t="s">
        <v>769</v>
      </c>
    </row>
    <row r="23" spans="1:3" x14ac:dyDescent="0.2">
      <c r="A23" t="s">
        <v>771</v>
      </c>
      <c r="B23" t="s">
        <v>772</v>
      </c>
      <c r="C23" t="s">
        <v>771</v>
      </c>
    </row>
    <row r="24" spans="1:3" x14ac:dyDescent="0.2">
      <c r="A24" t="s">
        <v>773</v>
      </c>
      <c r="B24" t="s">
        <v>774</v>
      </c>
      <c r="C24" t="s">
        <v>773</v>
      </c>
    </row>
    <row r="25" spans="1:3" x14ac:dyDescent="0.2">
      <c r="A25" s="142" t="s">
        <v>1235</v>
      </c>
      <c r="B25" s="142" t="s">
        <v>1220</v>
      </c>
      <c r="C25" s="142" t="s">
        <v>1235</v>
      </c>
    </row>
    <row r="26" spans="1:3" x14ac:dyDescent="0.2">
      <c r="A26" t="s">
        <v>775</v>
      </c>
      <c r="B26" t="s">
        <v>776</v>
      </c>
      <c r="C26" t="s">
        <v>775</v>
      </c>
    </row>
    <row r="27" spans="1:3" x14ac:dyDescent="0.2">
      <c r="A27" t="s">
        <v>777</v>
      </c>
      <c r="B27" t="s">
        <v>778</v>
      </c>
      <c r="C27" t="s">
        <v>777</v>
      </c>
    </row>
    <row r="28" spans="1:3" x14ac:dyDescent="0.2">
      <c r="A28" t="s">
        <v>779</v>
      </c>
      <c r="B28" t="s">
        <v>780</v>
      </c>
      <c r="C28" t="s">
        <v>779</v>
      </c>
    </row>
    <row r="29" spans="1:3" x14ac:dyDescent="0.2">
      <c r="A29" t="s">
        <v>781</v>
      </c>
      <c r="B29" t="s">
        <v>782</v>
      </c>
      <c r="C29" t="s">
        <v>781</v>
      </c>
    </row>
    <row r="30" spans="1:3" x14ac:dyDescent="0.2">
      <c r="A30" t="s">
        <v>783</v>
      </c>
      <c r="B30" t="s">
        <v>784</v>
      </c>
      <c r="C30" t="s">
        <v>783</v>
      </c>
    </row>
    <row r="31" spans="1:3" x14ac:dyDescent="0.2">
      <c r="A31" t="s">
        <v>785</v>
      </c>
      <c r="B31" t="s">
        <v>786</v>
      </c>
      <c r="C31" t="s">
        <v>785</v>
      </c>
    </row>
    <row r="32" spans="1:3" x14ac:dyDescent="0.2">
      <c r="A32" t="s">
        <v>787</v>
      </c>
      <c r="B32" t="s">
        <v>788</v>
      </c>
      <c r="C32" t="s">
        <v>787</v>
      </c>
    </row>
    <row r="33" spans="1:3" x14ac:dyDescent="0.2">
      <c r="A33" t="s">
        <v>789</v>
      </c>
      <c r="B33" t="s">
        <v>790</v>
      </c>
      <c r="C33" t="s">
        <v>789</v>
      </c>
    </row>
    <row r="34" spans="1:3" x14ac:dyDescent="0.2">
      <c r="A34" t="s">
        <v>791</v>
      </c>
      <c r="B34" t="s">
        <v>792</v>
      </c>
      <c r="C34" t="s">
        <v>791</v>
      </c>
    </row>
    <row r="35" spans="1:3" x14ac:dyDescent="0.2">
      <c r="A35" t="s">
        <v>793</v>
      </c>
      <c r="B35" t="s">
        <v>794</v>
      </c>
      <c r="C35" t="s">
        <v>793</v>
      </c>
    </row>
    <row r="36" spans="1:3" x14ac:dyDescent="0.2">
      <c r="A36" t="s">
        <v>795</v>
      </c>
      <c r="B36" t="s">
        <v>796</v>
      </c>
      <c r="C36" t="s">
        <v>795</v>
      </c>
    </row>
    <row r="37" spans="1:3" x14ac:dyDescent="0.2">
      <c r="A37" t="s">
        <v>797</v>
      </c>
      <c r="B37" t="s">
        <v>798</v>
      </c>
      <c r="C37" t="s">
        <v>797</v>
      </c>
    </row>
    <row r="38" spans="1:3" x14ac:dyDescent="0.2">
      <c r="A38" t="s">
        <v>799</v>
      </c>
      <c r="B38" t="s">
        <v>800</v>
      </c>
      <c r="C38" t="s">
        <v>799</v>
      </c>
    </row>
    <row r="39" spans="1:3" x14ac:dyDescent="0.2">
      <c r="A39" s="142" t="s">
        <v>1256</v>
      </c>
      <c r="B39" s="142" t="s">
        <v>1257</v>
      </c>
      <c r="C39" s="142" t="s">
        <v>1256</v>
      </c>
    </row>
    <row r="40" spans="1:3" x14ac:dyDescent="0.2">
      <c r="A40" t="s">
        <v>801</v>
      </c>
      <c r="B40" t="s">
        <v>802</v>
      </c>
      <c r="C40" t="s">
        <v>801</v>
      </c>
    </row>
    <row r="41" spans="1:3" x14ac:dyDescent="0.2">
      <c r="A41" t="s">
        <v>803</v>
      </c>
      <c r="B41" t="s">
        <v>804</v>
      </c>
      <c r="C41" t="s">
        <v>803</v>
      </c>
    </row>
    <row r="42" spans="1:3" x14ac:dyDescent="0.2">
      <c r="A42" t="s">
        <v>805</v>
      </c>
      <c r="B42" t="s">
        <v>806</v>
      </c>
      <c r="C42" t="s">
        <v>805</v>
      </c>
    </row>
    <row r="43" spans="1:3" x14ac:dyDescent="0.2">
      <c r="A43" t="s">
        <v>807</v>
      </c>
      <c r="B43" t="s">
        <v>808</v>
      </c>
      <c r="C43" t="s">
        <v>807</v>
      </c>
    </row>
    <row r="44" spans="1:3" x14ac:dyDescent="0.2">
      <c r="A44" t="s">
        <v>809</v>
      </c>
      <c r="B44" t="s">
        <v>810</v>
      </c>
      <c r="C44" t="s">
        <v>809</v>
      </c>
    </row>
    <row r="45" spans="1:3" x14ac:dyDescent="0.2">
      <c r="A45" t="s">
        <v>811</v>
      </c>
      <c r="B45" t="s">
        <v>812</v>
      </c>
      <c r="C45" t="s">
        <v>811</v>
      </c>
    </row>
    <row r="46" spans="1:3" x14ac:dyDescent="0.2">
      <c r="A46" t="s">
        <v>813</v>
      </c>
      <c r="B46" t="s">
        <v>814</v>
      </c>
      <c r="C46" t="s">
        <v>813</v>
      </c>
    </row>
    <row r="47" spans="1:3" x14ac:dyDescent="0.2">
      <c r="A47" t="s">
        <v>815</v>
      </c>
      <c r="B47" t="s">
        <v>816</v>
      </c>
      <c r="C47" t="s">
        <v>815</v>
      </c>
    </row>
    <row r="48" spans="1:3" x14ac:dyDescent="0.2">
      <c r="A48" t="s">
        <v>817</v>
      </c>
      <c r="B48" t="s">
        <v>818</v>
      </c>
      <c r="C48" t="s">
        <v>817</v>
      </c>
    </row>
    <row r="49" spans="1:3" x14ac:dyDescent="0.2">
      <c r="A49" t="s">
        <v>819</v>
      </c>
      <c r="B49" t="s">
        <v>820</v>
      </c>
      <c r="C49" t="s">
        <v>819</v>
      </c>
    </row>
    <row r="50" spans="1:3" x14ac:dyDescent="0.2">
      <c r="A50" t="s">
        <v>821</v>
      </c>
      <c r="B50" t="s">
        <v>822</v>
      </c>
      <c r="C50" t="s">
        <v>821</v>
      </c>
    </row>
    <row r="51" spans="1:3" x14ac:dyDescent="0.2">
      <c r="A51" t="s">
        <v>823</v>
      </c>
      <c r="B51" t="s">
        <v>824</v>
      </c>
      <c r="C51" t="s">
        <v>823</v>
      </c>
    </row>
    <row r="52" spans="1:3" x14ac:dyDescent="0.2">
      <c r="A52" t="s">
        <v>825</v>
      </c>
      <c r="B52" t="s">
        <v>826</v>
      </c>
      <c r="C52" t="s">
        <v>825</v>
      </c>
    </row>
    <row r="53" spans="1:3" x14ac:dyDescent="0.2">
      <c r="A53" t="s">
        <v>827</v>
      </c>
      <c r="B53" t="s">
        <v>828</v>
      </c>
      <c r="C53" t="s">
        <v>827</v>
      </c>
    </row>
    <row r="54" spans="1:3" x14ac:dyDescent="0.2">
      <c r="A54" t="s">
        <v>545</v>
      </c>
      <c r="B54" t="s">
        <v>829</v>
      </c>
      <c r="C54" t="s">
        <v>545</v>
      </c>
    </row>
    <row r="55" spans="1:3" x14ac:dyDescent="0.2">
      <c r="A55" t="s">
        <v>830</v>
      </c>
      <c r="B55" t="s">
        <v>831</v>
      </c>
      <c r="C55" t="s">
        <v>830</v>
      </c>
    </row>
    <row r="56" spans="1:3" x14ac:dyDescent="0.2">
      <c r="A56" t="s">
        <v>832</v>
      </c>
      <c r="B56" t="s">
        <v>833</v>
      </c>
      <c r="C56" t="s">
        <v>832</v>
      </c>
    </row>
    <row r="57" spans="1:3" x14ac:dyDescent="0.2">
      <c r="A57" t="s">
        <v>834</v>
      </c>
      <c r="B57" t="s">
        <v>835</v>
      </c>
      <c r="C57" t="s">
        <v>834</v>
      </c>
    </row>
    <row r="58" spans="1:3" x14ac:dyDescent="0.2">
      <c r="A58" t="s">
        <v>836</v>
      </c>
      <c r="B58" t="s">
        <v>0</v>
      </c>
      <c r="C58" t="s">
        <v>836</v>
      </c>
    </row>
    <row r="59" spans="1:3" x14ac:dyDescent="0.2">
      <c r="A59" t="s">
        <v>1</v>
      </c>
      <c r="B59" t="s">
        <v>2</v>
      </c>
      <c r="C59" t="s">
        <v>1</v>
      </c>
    </row>
    <row r="60" spans="1:3" x14ac:dyDescent="0.2">
      <c r="A60" t="s">
        <v>3</v>
      </c>
      <c r="B60" t="s">
        <v>4</v>
      </c>
      <c r="C60" t="s">
        <v>3</v>
      </c>
    </row>
    <row r="61" spans="1:3" x14ac:dyDescent="0.2">
      <c r="A61" t="s">
        <v>5</v>
      </c>
      <c r="B61" t="s">
        <v>6</v>
      </c>
      <c r="C61" t="s">
        <v>5</v>
      </c>
    </row>
    <row r="62" spans="1:3" x14ac:dyDescent="0.2">
      <c r="A62" t="s">
        <v>7</v>
      </c>
      <c r="B62" t="s">
        <v>8</v>
      </c>
      <c r="C62" t="s">
        <v>7</v>
      </c>
    </row>
    <row r="63" spans="1:3" x14ac:dyDescent="0.2">
      <c r="A63" t="s">
        <v>9</v>
      </c>
      <c r="B63" t="s">
        <v>10</v>
      </c>
      <c r="C63" t="s">
        <v>9</v>
      </c>
    </row>
    <row r="64" spans="1:3" x14ac:dyDescent="0.2">
      <c r="A64" t="s">
        <v>11</v>
      </c>
      <c r="B64" t="s">
        <v>12</v>
      </c>
      <c r="C64" t="s">
        <v>11</v>
      </c>
    </row>
    <row r="65" spans="1:3" x14ac:dyDescent="0.2">
      <c r="A65" s="142" t="s">
        <v>2403</v>
      </c>
      <c r="B65" s="142" t="s">
        <v>2429</v>
      </c>
      <c r="C65" s="142" t="s">
        <v>2403</v>
      </c>
    </row>
    <row r="66" spans="1:3" x14ac:dyDescent="0.2">
      <c r="A66" t="s">
        <v>13</v>
      </c>
      <c r="B66" t="s">
        <v>14</v>
      </c>
      <c r="C66" t="s">
        <v>13</v>
      </c>
    </row>
    <row r="67" spans="1:3" x14ac:dyDescent="0.2">
      <c r="A67" t="s">
        <v>15</v>
      </c>
      <c r="B67" t="s">
        <v>16</v>
      </c>
      <c r="C67" t="s">
        <v>15</v>
      </c>
    </row>
    <row r="68" spans="1:3" x14ac:dyDescent="0.2">
      <c r="A68" t="s">
        <v>17</v>
      </c>
      <c r="B68" t="s">
        <v>18</v>
      </c>
      <c r="C68" t="s">
        <v>17</v>
      </c>
    </row>
    <row r="69" spans="1:3" x14ac:dyDescent="0.2">
      <c r="A69" t="s">
        <v>19</v>
      </c>
      <c r="B69" t="s">
        <v>20</v>
      </c>
      <c r="C69" t="s">
        <v>19</v>
      </c>
    </row>
    <row r="70" spans="1:3" x14ac:dyDescent="0.2">
      <c r="A70" t="s">
        <v>21</v>
      </c>
      <c r="B70" t="s">
        <v>22</v>
      </c>
      <c r="C70" t="s">
        <v>21</v>
      </c>
    </row>
    <row r="71" spans="1:3" x14ac:dyDescent="0.2">
      <c r="A71" t="s">
        <v>23</v>
      </c>
      <c r="B71" t="s">
        <v>24</v>
      </c>
      <c r="C71" t="s">
        <v>23</v>
      </c>
    </row>
    <row r="72" spans="1:3" x14ac:dyDescent="0.2">
      <c r="A72" s="142" t="s">
        <v>1221</v>
      </c>
      <c r="B72" s="142" t="s">
        <v>1222</v>
      </c>
      <c r="C72" s="142" t="s">
        <v>1221</v>
      </c>
    </row>
    <row r="73" spans="1:3" x14ac:dyDescent="0.2">
      <c r="A73" t="s">
        <v>33</v>
      </c>
      <c r="B73" t="s">
        <v>34</v>
      </c>
      <c r="C73" t="s">
        <v>33</v>
      </c>
    </row>
    <row r="74" spans="1:3" x14ac:dyDescent="0.2">
      <c r="A74" t="s">
        <v>35</v>
      </c>
      <c r="B74" t="s">
        <v>36</v>
      </c>
      <c r="C74" t="s">
        <v>35</v>
      </c>
    </row>
    <row r="75" spans="1:3" x14ac:dyDescent="0.2">
      <c r="A75" t="s">
        <v>37</v>
      </c>
      <c r="B75" t="s">
        <v>38</v>
      </c>
      <c r="C75" t="s">
        <v>37</v>
      </c>
    </row>
    <row r="76" spans="1:3" x14ac:dyDescent="0.2">
      <c r="A76" t="s">
        <v>39</v>
      </c>
      <c r="B76" t="s">
        <v>40</v>
      </c>
      <c r="C76" t="s">
        <v>39</v>
      </c>
    </row>
    <row r="77" spans="1:3" x14ac:dyDescent="0.2">
      <c r="A77" t="s">
        <v>41</v>
      </c>
      <c r="B77" t="s">
        <v>42</v>
      </c>
      <c r="C77" t="s">
        <v>41</v>
      </c>
    </row>
    <row r="78" spans="1:3" x14ac:dyDescent="0.2">
      <c r="A78" t="s">
        <v>43</v>
      </c>
      <c r="B78" t="s">
        <v>44</v>
      </c>
      <c r="C78" t="s">
        <v>43</v>
      </c>
    </row>
    <row r="79" spans="1:3" x14ac:dyDescent="0.2">
      <c r="A79" t="s">
        <v>45</v>
      </c>
      <c r="B79" t="s">
        <v>46</v>
      </c>
      <c r="C79" t="s">
        <v>45</v>
      </c>
    </row>
    <row r="80" spans="1:3" x14ac:dyDescent="0.2">
      <c r="A80" t="s">
        <v>47</v>
      </c>
      <c r="B80" t="s">
        <v>48</v>
      </c>
      <c r="C80" t="s">
        <v>47</v>
      </c>
    </row>
    <row r="81" spans="1:3" x14ac:dyDescent="0.2">
      <c r="A81" t="s">
        <v>49</v>
      </c>
      <c r="B81" t="s">
        <v>50</v>
      </c>
      <c r="C81" t="s">
        <v>49</v>
      </c>
    </row>
    <row r="82" spans="1:3" x14ac:dyDescent="0.2">
      <c r="A82" t="s">
        <v>51</v>
      </c>
      <c r="B82" t="s">
        <v>52</v>
      </c>
      <c r="C82" t="s">
        <v>51</v>
      </c>
    </row>
    <row r="83" spans="1:3" x14ac:dyDescent="0.2">
      <c r="A83" t="s">
        <v>55</v>
      </c>
      <c r="B83" t="s">
        <v>56</v>
      </c>
      <c r="C83" t="s">
        <v>55</v>
      </c>
    </row>
    <row r="84" spans="1:3" x14ac:dyDescent="0.2">
      <c r="A84" s="142" t="s">
        <v>1223</v>
      </c>
      <c r="B84" s="142" t="s">
        <v>1224</v>
      </c>
      <c r="C84" s="142" t="s">
        <v>1223</v>
      </c>
    </row>
    <row r="85" spans="1:3" x14ac:dyDescent="0.2">
      <c r="A85" t="s">
        <v>57</v>
      </c>
      <c r="B85" t="s">
        <v>58</v>
      </c>
      <c r="C85" t="s">
        <v>57</v>
      </c>
    </row>
    <row r="86" spans="1:3" x14ac:dyDescent="0.2">
      <c r="A86" t="s">
        <v>59</v>
      </c>
      <c r="B86" t="s">
        <v>60</v>
      </c>
      <c r="C86" t="s">
        <v>59</v>
      </c>
    </row>
    <row r="87" spans="1:3" x14ac:dyDescent="0.2">
      <c r="A87" t="s">
        <v>61</v>
      </c>
      <c r="B87" t="s">
        <v>62</v>
      </c>
      <c r="C87" t="s">
        <v>61</v>
      </c>
    </row>
    <row r="88" spans="1:3" x14ac:dyDescent="0.2">
      <c r="A88" t="s">
        <v>63</v>
      </c>
      <c r="B88" t="s">
        <v>64</v>
      </c>
      <c r="C88" t="s">
        <v>63</v>
      </c>
    </row>
    <row r="89" spans="1:3" x14ac:dyDescent="0.2">
      <c r="A89" t="s">
        <v>65</v>
      </c>
      <c r="B89" t="s">
        <v>66</v>
      </c>
      <c r="C89" t="s">
        <v>65</v>
      </c>
    </row>
    <row r="90" spans="1:3" x14ac:dyDescent="0.2">
      <c r="A90" t="s">
        <v>67</v>
      </c>
      <c r="B90" t="s">
        <v>68</v>
      </c>
      <c r="C90" t="s">
        <v>67</v>
      </c>
    </row>
    <row r="91" spans="1:3" x14ac:dyDescent="0.2">
      <c r="A91" t="s">
        <v>69</v>
      </c>
      <c r="B91" t="s">
        <v>70</v>
      </c>
      <c r="C91" t="s">
        <v>69</v>
      </c>
    </row>
    <row r="92" spans="1:3" x14ac:dyDescent="0.2">
      <c r="A92" t="s">
        <v>71</v>
      </c>
      <c r="B92" t="s">
        <v>72</v>
      </c>
      <c r="C92" t="s">
        <v>71</v>
      </c>
    </row>
    <row r="93" spans="1:3" x14ac:dyDescent="0.2">
      <c r="A93" t="s">
        <v>73</v>
      </c>
      <c r="B93" t="s">
        <v>74</v>
      </c>
      <c r="C93" t="s">
        <v>73</v>
      </c>
    </row>
    <row r="94" spans="1:3" x14ac:dyDescent="0.2">
      <c r="A94" t="s">
        <v>75</v>
      </c>
      <c r="B94" t="s">
        <v>76</v>
      </c>
      <c r="C94" t="s">
        <v>75</v>
      </c>
    </row>
    <row r="95" spans="1:3" x14ac:dyDescent="0.2">
      <c r="A95" t="s">
        <v>77</v>
      </c>
      <c r="B95" t="s">
        <v>78</v>
      </c>
      <c r="C95" t="s">
        <v>77</v>
      </c>
    </row>
    <row r="96" spans="1:3" x14ac:dyDescent="0.2">
      <c r="A96" t="s">
        <v>79</v>
      </c>
      <c r="B96" t="s">
        <v>80</v>
      </c>
      <c r="C96" t="s">
        <v>79</v>
      </c>
    </row>
    <row r="97" spans="1:3" x14ac:dyDescent="0.2">
      <c r="A97" t="s">
        <v>81</v>
      </c>
      <c r="B97" t="s">
        <v>82</v>
      </c>
      <c r="C97" t="s">
        <v>81</v>
      </c>
    </row>
    <row r="98" spans="1:3" x14ac:dyDescent="0.2">
      <c r="A98" t="s">
        <v>83</v>
      </c>
      <c r="B98" t="s">
        <v>84</v>
      </c>
      <c r="C98" t="s">
        <v>83</v>
      </c>
    </row>
    <row r="99" spans="1:3" x14ac:dyDescent="0.2">
      <c r="A99" t="s">
        <v>85</v>
      </c>
      <c r="B99" t="s">
        <v>86</v>
      </c>
      <c r="C99" t="s">
        <v>85</v>
      </c>
    </row>
    <row r="100" spans="1:3" x14ac:dyDescent="0.2">
      <c r="A100" t="s">
        <v>87</v>
      </c>
      <c r="B100" t="s">
        <v>88</v>
      </c>
      <c r="C100" t="s">
        <v>87</v>
      </c>
    </row>
    <row r="101" spans="1:3" x14ac:dyDescent="0.2">
      <c r="A101" t="s">
        <v>89</v>
      </c>
      <c r="B101" t="s">
        <v>90</v>
      </c>
      <c r="C101" t="s">
        <v>89</v>
      </c>
    </row>
    <row r="102" spans="1:3" x14ac:dyDescent="0.2">
      <c r="A102" t="s">
        <v>91</v>
      </c>
      <c r="B102" t="s">
        <v>92</v>
      </c>
      <c r="C102" t="s">
        <v>91</v>
      </c>
    </row>
    <row r="103" spans="1:3" x14ac:dyDescent="0.2">
      <c r="A103" t="s">
        <v>93</v>
      </c>
      <c r="B103" t="s">
        <v>94</v>
      </c>
      <c r="C103" t="s">
        <v>93</v>
      </c>
    </row>
    <row r="104" spans="1:3" x14ac:dyDescent="0.2">
      <c r="A104" t="s">
        <v>95</v>
      </c>
      <c r="B104" t="s">
        <v>96</v>
      </c>
      <c r="C104" t="s">
        <v>95</v>
      </c>
    </row>
    <row r="105" spans="1:3" x14ac:dyDescent="0.2">
      <c r="A105" t="s">
        <v>97</v>
      </c>
      <c r="B105" t="s">
        <v>98</v>
      </c>
      <c r="C105" t="s">
        <v>97</v>
      </c>
    </row>
    <row r="106" spans="1:3" x14ac:dyDescent="0.2">
      <c r="A106" t="s">
        <v>99</v>
      </c>
      <c r="B106" t="s">
        <v>100</v>
      </c>
      <c r="C106" t="s">
        <v>99</v>
      </c>
    </row>
    <row r="107" spans="1:3" x14ac:dyDescent="0.2">
      <c r="A107" t="s">
        <v>101</v>
      </c>
      <c r="B107" t="s">
        <v>102</v>
      </c>
      <c r="C107" t="s">
        <v>101</v>
      </c>
    </row>
    <row r="108" spans="1:3" x14ac:dyDescent="0.2">
      <c r="A108" t="s">
        <v>103</v>
      </c>
      <c r="B108" t="s">
        <v>104</v>
      </c>
      <c r="C108" t="s">
        <v>103</v>
      </c>
    </row>
    <row r="109" spans="1:3" x14ac:dyDescent="0.2">
      <c r="A109" t="s">
        <v>105</v>
      </c>
      <c r="B109" t="s">
        <v>106</v>
      </c>
      <c r="C109" t="s">
        <v>105</v>
      </c>
    </row>
    <row r="110" spans="1:3" x14ac:dyDescent="0.2">
      <c r="A110" t="s">
        <v>107</v>
      </c>
      <c r="B110" t="s">
        <v>108</v>
      </c>
      <c r="C110" t="s">
        <v>107</v>
      </c>
    </row>
    <row r="111" spans="1:3" x14ac:dyDescent="0.2">
      <c r="A111" t="s">
        <v>109</v>
      </c>
      <c r="B111" t="s">
        <v>110</v>
      </c>
      <c r="C111" t="s">
        <v>109</v>
      </c>
    </row>
    <row r="112" spans="1:3" x14ac:dyDescent="0.2">
      <c r="A112" t="s">
        <v>111</v>
      </c>
      <c r="B112" t="s">
        <v>112</v>
      </c>
      <c r="C112" t="s">
        <v>111</v>
      </c>
    </row>
    <row r="113" spans="1:3" x14ac:dyDescent="0.2">
      <c r="A113" t="s">
        <v>113</v>
      </c>
      <c r="B113" t="s">
        <v>114</v>
      </c>
      <c r="C113" t="s">
        <v>113</v>
      </c>
    </row>
    <row r="114" spans="1:3" x14ac:dyDescent="0.2">
      <c r="A114" t="s">
        <v>115</v>
      </c>
      <c r="B114" t="s">
        <v>116</v>
      </c>
      <c r="C114" t="s">
        <v>115</v>
      </c>
    </row>
    <row r="115" spans="1:3" x14ac:dyDescent="0.2">
      <c r="A115" t="s">
        <v>117</v>
      </c>
      <c r="B115" t="s">
        <v>118</v>
      </c>
      <c r="C115" t="s">
        <v>117</v>
      </c>
    </row>
    <row r="116" spans="1:3" x14ac:dyDescent="0.2">
      <c r="A116" t="s">
        <v>119</v>
      </c>
      <c r="B116" t="s">
        <v>120</v>
      </c>
      <c r="C116" t="s">
        <v>119</v>
      </c>
    </row>
    <row r="117" spans="1:3" x14ac:dyDescent="0.2">
      <c r="A117" t="s">
        <v>121</v>
      </c>
      <c r="B117" t="s">
        <v>122</v>
      </c>
      <c r="C117" t="s">
        <v>121</v>
      </c>
    </row>
    <row r="118" spans="1:3" x14ac:dyDescent="0.2">
      <c r="A118" t="s">
        <v>123</v>
      </c>
      <c r="B118" t="s">
        <v>124</v>
      </c>
      <c r="C118" t="s">
        <v>123</v>
      </c>
    </row>
    <row r="119" spans="1:3" x14ac:dyDescent="0.2">
      <c r="A119" t="s">
        <v>125</v>
      </c>
      <c r="B119" t="s">
        <v>126</v>
      </c>
      <c r="C119" t="s">
        <v>125</v>
      </c>
    </row>
    <row r="120" spans="1:3" x14ac:dyDescent="0.2">
      <c r="A120" t="s">
        <v>127</v>
      </c>
      <c r="B120" t="s">
        <v>128</v>
      </c>
      <c r="C120" t="s">
        <v>127</v>
      </c>
    </row>
    <row r="121" spans="1:3" x14ac:dyDescent="0.2">
      <c r="A121" t="s">
        <v>129</v>
      </c>
      <c r="B121" t="s">
        <v>130</v>
      </c>
      <c r="C121" t="s">
        <v>129</v>
      </c>
    </row>
    <row r="122" spans="1:3" x14ac:dyDescent="0.2">
      <c r="A122" t="s">
        <v>131</v>
      </c>
      <c r="B122" t="s">
        <v>132</v>
      </c>
      <c r="C122" t="s">
        <v>131</v>
      </c>
    </row>
    <row r="123" spans="1:3" x14ac:dyDescent="0.2">
      <c r="A123" t="s">
        <v>133</v>
      </c>
      <c r="B123" t="s">
        <v>134</v>
      </c>
      <c r="C123" t="s">
        <v>133</v>
      </c>
    </row>
    <row r="124" spans="1:3" x14ac:dyDescent="0.2">
      <c r="A124" t="s">
        <v>135</v>
      </c>
      <c r="B124" t="s">
        <v>136</v>
      </c>
      <c r="C124" t="s">
        <v>135</v>
      </c>
    </row>
    <row r="125" spans="1:3" x14ac:dyDescent="0.2">
      <c r="A125" t="s">
        <v>137</v>
      </c>
      <c r="B125" t="s">
        <v>138</v>
      </c>
      <c r="C125" t="s">
        <v>137</v>
      </c>
    </row>
    <row r="126" spans="1:3" x14ac:dyDescent="0.2">
      <c r="A126" t="s">
        <v>139</v>
      </c>
      <c r="B126" t="s">
        <v>140</v>
      </c>
      <c r="C126" t="s">
        <v>139</v>
      </c>
    </row>
    <row r="127" spans="1:3" x14ac:dyDescent="0.2">
      <c r="A127" t="s">
        <v>141</v>
      </c>
      <c r="B127" t="s">
        <v>142</v>
      </c>
      <c r="C127" t="s">
        <v>141</v>
      </c>
    </row>
    <row r="128" spans="1:3" x14ac:dyDescent="0.2">
      <c r="A128" t="s">
        <v>143</v>
      </c>
      <c r="B128" t="s">
        <v>144</v>
      </c>
      <c r="C128" t="s">
        <v>143</v>
      </c>
    </row>
    <row r="129" spans="1:3" x14ac:dyDescent="0.2">
      <c r="A129" t="s">
        <v>145</v>
      </c>
      <c r="B129" t="s">
        <v>146</v>
      </c>
      <c r="C129" t="s">
        <v>145</v>
      </c>
    </row>
    <row r="130" spans="1:3" x14ac:dyDescent="0.2">
      <c r="A130" t="s">
        <v>147</v>
      </c>
      <c r="B130" t="s">
        <v>148</v>
      </c>
      <c r="C130" t="s">
        <v>147</v>
      </c>
    </row>
    <row r="131" spans="1:3" x14ac:dyDescent="0.2">
      <c r="A131" t="s">
        <v>149</v>
      </c>
      <c r="B131" t="s">
        <v>150</v>
      </c>
      <c r="C131" t="s">
        <v>149</v>
      </c>
    </row>
    <row r="132" spans="1:3" x14ac:dyDescent="0.2">
      <c r="A132" t="s">
        <v>151</v>
      </c>
      <c r="B132" t="s">
        <v>152</v>
      </c>
      <c r="C132" t="s">
        <v>151</v>
      </c>
    </row>
    <row r="133" spans="1:3" x14ac:dyDescent="0.2">
      <c r="A133" t="s">
        <v>153</v>
      </c>
      <c r="B133" t="s">
        <v>154</v>
      </c>
      <c r="C133" t="s">
        <v>153</v>
      </c>
    </row>
    <row r="134" spans="1:3" x14ac:dyDescent="0.2">
      <c r="A134" t="s">
        <v>155</v>
      </c>
      <c r="B134" t="s">
        <v>156</v>
      </c>
      <c r="C134" t="s">
        <v>155</v>
      </c>
    </row>
    <row r="135" spans="1:3" x14ac:dyDescent="0.2">
      <c r="A135" t="s">
        <v>157</v>
      </c>
      <c r="B135" t="s">
        <v>158</v>
      </c>
      <c r="C135" t="s">
        <v>157</v>
      </c>
    </row>
    <row r="136" spans="1:3" x14ac:dyDescent="0.2">
      <c r="A136" t="s">
        <v>159</v>
      </c>
      <c r="B136" t="s">
        <v>160</v>
      </c>
      <c r="C136" t="s">
        <v>159</v>
      </c>
    </row>
    <row r="137" spans="1:3" x14ac:dyDescent="0.2">
      <c r="A137" t="s">
        <v>161</v>
      </c>
      <c r="B137" t="s">
        <v>162</v>
      </c>
      <c r="C137" t="s">
        <v>161</v>
      </c>
    </row>
    <row r="138" spans="1:3" x14ac:dyDescent="0.2">
      <c r="A138" t="s">
        <v>163</v>
      </c>
      <c r="B138" t="s">
        <v>164</v>
      </c>
      <c r="C138" t="s">
        <v>163</v>
      </c>
    </row>
    <row r="139" spans="1:3" x14ac:dyDescent="0.2">
      <c r="A139" t="s">
        <v>165</v>
      </c>
      <c r="B139" t="s">
        <v>166</v>
      </c>
      <c r="C139" t="s">
        <v>165</v>
      </c>
    </row>
    <row r="140" spans="1:3" x14ac:dyDescent="0.2">
      <c r="A140" t="s">
        <v>167</v>
      </c>
      <c r="B140" t="s">
        <v>168</v>
      </c>
      <c r="C140" t="s">
        <v>167</v>
      </c>
    </row>
    <row r="141" spans="1:3" x14ac:dyDescent="0.2">
      <c r="A141" t="s">
        <v>169</v>
      </c>
      <c r="B141" t="s">
        <v>170</v>
      </c>
      <c r="C141" t="s">
        <v>169</v>
      </c>
    </row>
    <row r="142" spans="1:3" x14ac:dyDescent="0.2">
      <c r="A142" t="s">
        <v>171</v>
      </c>
      <c r="B142" t="s">
        <v>172</v>
      </c>
      <c r="C142" t="s">
        <v>171</v>
      </c>
    </row>
    <row r="143" spans="1:3" x14ac:dyDescent="0.2">
      <c r="A143" t="s">
        <v>173</v>
      </c>
      <c r="B143" t="s">
        <v>174</v>
      </c>
      <c r="C143" t="s">
        <v>173</v>
      </c>
    </row>
    <row r="144" spans="1:3" x14ac:dyDescent="0.2">
      <c r="A144" t="s">
        <v>175</v>
      </c>
      <c r="B144" t="s">
        <v>176</v>
      </c>
      <c r="C144" t="s">
        <v>175</v>
      </c>
    </row>
    <row r="145" spans="1:3" x14ac:dyDescent="0.2">
      <c r="A145" t="s">
        <v>177</v>
      </c>
      <c r="B145" t="s">
        <v>178</v>
      </c>
      <c r="C145" t="s">
        <v>177</v>
      </c>
    </row>
    <row r="146" spans="1:3" x14ac:dyDescent="0.2">
      <c r="A146" t="s">
        <v>179</v>
      </c>
      <c r="B146" t="s">
        <v>180</v>
      </c>
      <c r="C146" t="s">
        <v>179</v>
      </c>
    </row>
    <row r="147" spans="1:3" x14ac:dyDescent="0.2">
      <c r="A147" t="s">
        <v>181</v>
      </c>
      <c r="B147" t="s">
        <v>182</v>
      </c>
      <c r="C147" t="s">
        <v>181</v>
      </c>
    </row>
    <row r="148" spans="1:3" x14ac:dyDescent="0.2">
      <c r="A148" t="s">
        <v>183</v>
      </c>
      <c r="B148" t="s">
        <v>184</v>
      </c>
      <c r="C148" t="s">
        <v>183</v>
      </c>
    </row>
    <row r="149" spans="1:3" x14ac:dyDescent="0.2">
      <c r="A149" t="s">
        <v>185</v>
      </c>
      <c r="B149" t="s">
        <v>186</v>
      </c>
      <c r="C149" t="s">
        <v>185</v>
      </c>
    </row>
    <row r="150" spans="1:3" x14ac:dyDescent="0.2">
      <c r="A150" t="s">
        <v>187</v>
      </c>
      <c r="B150" t="s">
        <v>188</v>
      </c>
      <c r="C150" t="s">
        <v>187</v>
      </c>
    </row>
    <row r="151" spans="1:3" x14ac:dyDescent="0.2">
      <c r="A151" t="s">
        <v>189</v>
      </c>
      <c r="B151" t="s">
        <v>190</v>
      </c>
      <c r="C151" t="s">
        <v>189</v>
      </c>
    </row>
    <row r="152" spans="1:3" x14ac:dyDescent="0.2">
      <c r="A152" t="s">
        <v>191</v>
      </c>
      <c r="B152" t="s">
        <v>192</v>
      </c>
      <c r="C152" t="s">
        <v>191</v>
      </c>
    </row>
    <row r="153" spans="1:3" x14ac:dyDescent="0.2">
      <c r="A153" t="s">
        <v>193</v>
      </c>
      <c r="B153" t="s">
        <v>194</v>
      </c>
      <c r="C153" t="s">
        <v>193</v>
      </c>
    </row>
    <row r="154" spans="1:3" x14ac:dyDescent="0.2">
      <c r="A154" t="s">
        <v>195</v>
      </c>
      <c r="B154" t="s">
        <v>196</v>
      </c>
      <c r="C154" t="s">
        <v>195</v>
      </c>
    </row>
    <row r="155" spans="1:3" x14ac:dyDescent="0.2">
      <c r="A155" t="s">
        <v>197</v>
      </c>
      <c r="B155" t="s">
        <v>198</v>
      </c>
      <c r="C155" t="s">
        <v>197</v>
      </c>
    </row>
    <row r="156" spans="1:3" x14ac:dyDescent="0.2">
      <c r="A156" t="s">
        <v>199</v>
      </c>
      <c r="B156" t="s">
        <v>200</v>
      </c>
      <c r="C156" t="s">
        <v>199</v>
      </c>
    </row>
    <row r="157" spans="1:3" x14ac:dyDescent="0.2">
      <c r="A157" t="s">
        <v>201</v>
      </c>
      <c r="B157" t="s">
        <v>202</v>
      </c>
      <c r="C157" t="s">
        <v>201</v>
      </c>
    </row>
    <row r="158" spans="1:3" x14ac:dyDescent="0.2">
      <c r="A158" t="s">
        <v>203</v>
      </c>
      <c r="B158" t="s">
        <v>204</v>
      </c>
      <c r="C158" t="s">
        <v>203</v>
      </c>
    </row>
    <row r="159" spans="1:3" x14ac:dyDescent="0.2">
      <c r="A159" t="s">
        <v>205</v>
      </c>
      <c r="B159" t="s">
        <v>206</v>
      </c>
      <c r="C159" t="s">
        <v>205</v>
      </c>
    </row>
    <row r="160" spans="1:3" x14ac:dyDescent="0.2">
      <c r="A160" t="s">
        <v>207</v>
      </c>
      <c r="B160" t="s">
        <v>208</v>
      </c>
      <c r="C160" t="s">
        <v>207</v>
      </c>
    </row>
    <row r="161" spans="1:3" x14ac:dyDescent="0.2">
      <c r="A161" t="s">
        <v>209</v>
      </c>
      <c r="B161" t="s">
        <v>210</v>
      </c>
      <c r="C161" t="s">
        <v>209</v>
      </c>
    </row>
    <row r="162" spans="1:3" x14ac:dyDescent="0.2">
      <c r="A162" t="s">
        <v>952</v>
      </c>
      <c r="B162" t="s">
        <v>212</v>
      </c>
      <c r="C162" t="s">
        <v>952</v>
      </c>
    </row>
    <row r="163" spans="1:3" x14ac:dyDescent="0.2">
      <c r="A163" t="s">
        <v>213</v>
      </c>
      <c r="B163" t="s">
        <v>214</v>
      </c>
      <c r="C163" t="s">
        <v>213</v>
      </c>
    </row>
    <row r="164" spans="1:3" x14ac:dyDescent="0.2">
      <c r="A164" t="s">
        <v>215</v>
      </c>
      <c r="B164" t="s">
        <v>216</v>
      </c>
      <c r="C164" t="s">
        <v>215</v>
      </c>
    </row>
    <row r="165" spans="1:3" x14ac:dyDescent="0.2">
      <c r="A165" t="s">
        <v>217</v>
      </c>
      <c r="B165" t="s">
        <v>218</v>
      </c>
      <c r="C165" t="s">
        <v>217</v>
      </c>
    </row>
    <row r="166" spans="1:3" x14ac:dyDescent="0.2">
      <c r="A166" t="s">
        <v>219</v>
      </c>
      <c r="B166" t="s">
        <v>220</v>
      </c>
      <c r="C166" t="s">
        <v>219</v>
      </c>
    </row>
    <row r="167" spans="1:3" x14ac:dyDescent="0.2">
      <c r="A167" t="s">
        <v>221</v>
      </c>
      <c r="B167" t="s">
        <v>222</v>
      </c>
      <c r="C167" t="s">
        <v>221</v>
      </c>
    </row>
    <row r="168" spans="1:3" x14ac:dyDescent="0.2">
      <c r="A168" t="s">
        <v>223</v>
      </c>
      <c r="B168" t="s">
        <v>224</v>
      </c>
      <c r="C168" t="s">
        <v>223</v>
      </c>
    </row>
    <row r="169" spans="1:3" x14ac:dyDescent="0.2">
      <c r="A169" t="s">
        <v>225</v>
      </c>
      <c r="B169" t="s">
        <v>226</v>
      </c>
      <c r="C169" t="s">
        <v>225</v>
      </c>
    </row>
    <row r="170" spans="1:3" x14ac:dyDescent="0.2">
      <c r="A170" t="s">
        <v>227</v>
      </c>
      <c r="B170" t="s">
        <v>228</v>
      </c>
      <c r="C170" t="s">
        <v>227</v>
      </c>
    </row>
    <row r="171" spans="1:3" x14ac:dyDescent="0.2">
      <c r="A171" s="142" t="s">
        <v>229</v>
      </c>
      <c r="B171" s="142" t="s">
        <v>230</v>
      </c>
      <c r="C171" s="142" t="s">
        <v>229</v>
      </c>
    </row>
    <row r="172" spans="1:3" x14ac:dyDescent="0.2">
      <c r="A172" t="s">
        <v>1336</v>
      </c>
      <c r="B172" s="142" t="s">
        <v>1379</v>
      </c>
      <c r="C172" t="s">
        <v>1336</v>
      </c>
    </row>
    <row r="173" spans="1:3" x14ac:dyDescent="0.2">
      <c r="A173" t="s">
        <v>231</v>
      </c>
      <c r="B173" t="s">
        <v>232</v>
      </c>
      <c r="C173" t="s">
        <v>231</v>
      </c>
    </row>
    <row r="174" spans="1:3" x14ac:dyDescent="0.2">
      <c r="A174" t="s">
        <v>233</v>
      </c>
      <c r="B174" t="s">
        <v>234</v>
      </c>
      <c r="C174" t="s">
        <v>233</v>
      </c>
    </row>
    <row r="175" spans="1:3" x14ac:dyDescent="0.2">
      <c r="A175" t="s">
        <v>235</v>
      </c>
      <c r="B175" t="s">
        <v>236</v>
      </c>
      <c r="C175" t="s">
        <v>235</v>
      </c>
    </row>
    <row r="176" spans="1:3" x14ac:dyDescent="0.2">
      <c r="A176" t="s">
        <v>248</v>
      </c>
      <c r="B176" t="s">
        <v>249</v>
      </c>
      <c r="C176" t="s">
        <v>248</v>
      </c>
    </row>
    <row r="177" spans="1:3" x14ac:dyDescent="0.2">
      <c r="A177" s="142" t="s">
        <v>633</v>
      </c>
      <c r="B177" s="142" t="s">
        <v>2430</v>
      </c>
      <c r="C177" s="142" t="s">
        <v>633</v>
      </c>
    </row>
    <row r="178" spans="1:3" x14ac:dyDescent="0.2">
      <c r="A178" t="s">
        <v>250</v>
      </c>
      <c r="B178" t="s">
        <v>251</v>
      </c>
      <c r="C178" t="s">
        <v>250</v>
      </c>
    </row>
    <row r="179" spans="1:3" x14ac:dyDescent="0.2">
      <c r="A179" t="s">
        <v>252</v>
      </c>
      <c r="B179" t="s">
        <v>253</v>
      </c>
      <c r="C179" t="s">
        <v>252</v>
      </c>
    </row>
    <row r="180" spans="1:3" x14ac:dyDescent="0.2">
      <c r="A180" t="s">
        <v>254</v>
      </c>
      <c r="B180" t="s">
        <v>255</v>
      </c>
      <c r="C180" t="s">
        <v>254</v>
      </c>
    </row>
    <row r="181" spans="1:3" x14ac:dyDescent="0.2">
      <c r="A181" t="s">
        <v>256</v>
      </c>
      <c r="B181" t="s">
        <v>257</v>
      </c>
      <c r="C181" t="s">
        <v>256</v>
      </c>
    </row>
    <row r="182" spans="1:3" x14ac:dyDescent="0.2">
      <c r="A182" t="s">
        <v>258</v>
      </c>
      <c r="B182" t="s">
        <v>259</v>
      </c>
      <c r="C182" t="s">
        <v>258</v>
      </c>
    </row>
    <row r="183" spans="1:3" x14ac:dyDescent="0.2">
      <c r="A183" t="s">
        <v>260</v>
      </c>
      <c r="B183" t="s">
        <v>261</v>
      </c>
      <c r="C183" t="s">
        <v>260</v>
      </c>
    </row>
    <row r="184" spans="1:3" x14ac:dyDescent="0.2">
      <c r="A184" t="s">
        <v>262</v>
      </c>
      <c r="B184" t="s">
        <v>263</v>
      </c>
      <c r="C184" t="s">
        <v>262</v>
      </c>
    </row>
    <row r="185" spans="1:3" x14ac:dyDescent="0.2">
      <c r="A185" t="s">
        <v>264</v>
      </c>
      <c r="B185" t="s">
        <v>265</v>
      </c>
      <c r="C185" t="s">
        <v>264</v>
      </c>
    </row>
    <row r="186" spans="1:3" x14ac:dyDescent="0.2">
      <c r="A186" t="s">
        <v>266</v>
      </c>
      <c r="B186" t="s">
        <v>267</v>
      </c>
      <c r="C186" t="s">
        <v>266</v>
      </c>
    </row>
    <row r="187" spans="1:3" x14ac:dyDescent="0.2">
      <c r="A187" t="s">
        <v>268</v>
      </c>
      <c r="B187" t="s">
        <v>269</v>
      </c>
      <c r="C187" t="s">
        <v>268</v>
      </c>
    </row>
    <row r="188" spans="1:3" x14ac:dyDescent="0.2">
      <c r="A188" t="s">
        <v>270</v>
      </c>
      <c r="B188" t="s">
        <v>271</v>
      </c>
      <c r="C188" t="s">
        <v>270</v>
      </c>
    </row>
    <row r="189" spans="1:3" x14ac:dyDescent="0.2">
      <c r="A189" t="s">
        <v>272</v>
      </c>
      <c r="B189" t="s">
        <v>273</v>
      </c>
      <c r="C189" t="s">
        <v>272</v>
      </c>
    </row>
    <row r="190" spans="1:3" x14ac:dyDescent="0.2">
      <c r="A190" t="s">
        <v>274</v>
      </c>
      <c r="B190" t="s">
        <v>275</v>
      </c>
      <c r="C190" t="s">
        <v>274</v>
      </c>
    </row>
    <row r="191" spans="1:3" x14ac:dyDescent="0.2">
      <c r="A191" t="s">
        <v>276</v>
      </c>
      <c r="B191" t="s">
        <v>277</v>
      </c>
      <c r="C191" t="s">
        <v>276</v>
      </c>
    </row>
    <row r="192" spans="1:3" x14ac:dyDescent="0.2">
      <c r="A192" t="s">
        <v>278</v>
      </c>
      <c r="B192" t="s">
        <v>279</v>
      </c>
      <c r="C192" t="s">
        <v>278</v>
      </c>
    </row>
    <row r="193" spans="1:3" x14ac:dyDescent="0.2">
      <c r="A193" t="s">
        <v>280</v>
      </c>
      <c r="B193" t="s">
        <v>281</v>
      </c>
      <c r="C193" t="s">
        <v>280</v>
      </c>
    </row>
    <row r="194" spans="1:3" x14ac:dyDescent="0.2">
      <c r="A194" t="s">
        <v>282</v>
      </c>
      <c r="B194" t="s">
        <v>283</v>
      </c>
      <c r="C194" t="s">
        <v>282</v>
      </c>
    </row>
    <row r="195" spans="1:3" x14ac:dyDescent="0.2">
      <c r="A195" t="s">
        <v>284</v>
      </c>
      <c r="B195" t="s">
        <v>285</v>
      </c>
      <c r="C195" t="s">
        <v>284</v>
      </c>
    </row>
    <row r="196" spans="1:3" x14ac:dyDescent="0.2">
      <c r="A196" t="s">
        <v>286</v>
      </c>
      <c r="B196" t="s">
        <v>287</v>
      </c>
      <c r="C196" t="s">
        <v>286</v>
      </c>
    </row>
    <row r="197" spans="1:3" x14ac:dyDescent="0.2">
      <c r="A197" t="s">
        <v>288</v>
      </c>
      <c r="B197" t="s">
        <v>289</v>
      </c>
      <c r="C197" t="s">
        <v>288</v>
      </c>
    </row>
    <row r="198" spans="1:3" x14ac:dyDescent="0.2">
      <c r="A198" t="s">
        <v>290</v>
      </c>
      <c r="B198" t="s">
        <v>291</v>
      </c>
      <c r="C198" t="s">
        <v>290</v>
      </c>
    </row>
    <row r="199" spans="1:3" x14ac:dyDescent="0.2">
      <c r="A199" t="s">
        <v>292</v>
      </c>
      <c r="B199" t="s">
        <v>293</v>
      </c>
      <c r="C199" t="s">
        <v>292</v>
      </c>
    </row>
    <row r="200" spans="1:3" x14ac:dyDescent="0.2">
      <c r="A200" t="s">
        <v>294</v>
      </c>
      <c r="B200" t="s">
        <v>295</v>
      </c>
      <c r="C200" t="s">
        <v>294</v>
      </c>
    </row>
    <row r="201" spans="1:3" x14ac:dyDescent="0.2">
      <c r="A201" t="s">
        <v>296</v>
      </c>
      <c r="B201" t="s">
        <v>297</v>
      </c>
      <c r="C201" t="s">
        <v>296</v>
      </c>
    </row>
    <row r="202" spans="1:3" x14ac:dyDescent="0.2">
      <c r="A202" t="s">
        <v>298</v>
      </c>
      <c r="B202" t="s">
        <v>299</v>
      </c>
      <c r="C202" t="s">
        <v>298</v>
      </c>
    </row>
    <row r="203" spans="1:3" x14ac:dyDescent="0.2">
      <c r="A203" t="s">
        <v>300</v>
      </c>
      <c r="B203" t="s">
        <v>301</v>
      </c>
      <c r="C203" t="s">
        <v>300</v>
      </c>
    </row>
    <row r="204" spans="1:3" x14ac:dyDescent="0.2">
      <c r="A204" t="s">
        <v>302</v>
      </c>
      <c r="B204" t="s">
        <v>303</v>
      </c>
      <c r="C204" t="s">
        <v>302</v>
      </c>
    </row>
    <row r="205" spans="1:3" x14ac:dyDescent="0.2">
      <c r="A205" t="s">
        <v>304</v>
      </c>
      <c r="B205" t="s">
        <v>305</v>
      </c>
      <c r="C205" t="s">
        <v>304</v>
      </c>
    </row>
    <row r="206" spans="1:3" x14ac:dyDescent="0.2">
      <c r="A206" t="s">
        <v>306</v>
      </c>
      <c r="B206" t="s">
        <v>307</v>
      </c>
      <c r="C206" t="s">
        <v>306</v>
      </c>
    </row>
    <row r="207" spans="1:3" x14ac:dyDescent="0.2">
      <c r="A207" t="s">
        <v>308</v>
      </c>
      <c r="B207" t="s">
        <v>309</v>
      </c>
      <c r="C207" t="s">
        <v>308</v>
      </c>
    </row>
    <row r="208" spans="1:3" x14ac:dyDescent="0.2">
      <c r="A208" t="s">
        <v>310</v>
      </c>
      <c r="B208" t="s">
        <v>311</v>
      </c>
      <c r="C208" t="s">
        <v>310</v>
      </c>
    </row>
    <row r="209" spans="1:3" x14ac:dyDescent="0.2">
      <c r="A209" t="s">
        <v>312</v>
      </c>
      <c r="B209" t="s">
        <v>313</v>
      </c>
      <c r="C209" t="s">
        <v>312</v>
      </c>
    </row>
    <row r="210" spans="1:3" x14ac:dyDescent="0.2">
      <c r="A210" t="s">
        <v>314</v>
      </c>
      <c r="B210" t="s">
        <v>315</v>
      </c>
      <c r="C210" t="s">
        <v>314</v>
      </c>
    </row>
    <row r="211" spans="1:3" x14ac:dyDescent="0.2">
      <c r="A211" t="s">
        <v>316</v>
      </c>
      <c r="B211" t="s">
        <v>317</v>
      </c>
      <c r="C211" t="s">
        <v>316</v>
      </c>
    </row>
    <row r="212" spans="1:3" x14ac:dyDescent="0.2">
      <c r="A212" t="s">
        <v>318</v>
      </c>
      <c r="B212" t="s">
        <v>319</v>
      </c>
      <c r="C212" t="s">
        <v>318</v>
      </c>
    </row>
    <row r="213" spans="1:3" x14ac:dyDescent="0.2">
      <c r="A213" t="s">
        <v>320</v>
      </c>
      <c r="B213" t="s">
        <v>321</v>
      </c>
      <c r="C213" t="s">
        <v>320</v>
      </c>
    </row>
    <row r="214" spans="1:3" x14ac:dyDescent="0.2">
      <c r="A214" t="s">
        <v>322</v>
      </c>
      <c r="B214" t="s">
        <v>323</v>
      </c>
      <c r="C214" t="s">
        <v>322</v>
      </c>
    </row>
    <row r="215" spans="1:3" x14ac:dyDescent="0.2">
      <c r="A215" t="s">
        <v>324</v>
      </c>
      <c r="B215" t="s">
        <v>325</v>
      </c>
      <c r="C215" t="s">
        <v>324</v>
      </c>
    </row>
    <row r="216" spans="1:3" x14ac:dyDescent="0.2">
      <c r="A216" t="s">
        <v>647</v>
      </c>
      <c r="B216" s="142" t="s">
        <v>2431</v>
      </c>
      <c r="C216" t="s">
        <v>647</v>
      </c>
    </row>
    <row r="217" spans="1:3" x14ac:dyDescent="0.2">
      <c r="A217" t="s">
        <v>326</v>
      </c>
      <c r="B217" t="s">
        <v>327</v>
      </c>
      <c r="C217" t="s">
        <v>326</v>
      </c>
    </row>
    <row r="218" spans="1:3" x14ac:dyDescent="0.2">
      <c r="A218" t="s">
        <v>328</v>
      </c>
      <c r="B218" t="s">
        <v>329</v>
      </c>
      <c r="C218" t="s">
        <v>328</v>
      </c>
    </row>
    <row r="219" spans="1:3" x14ac:dyDescent="0.2">
      <c r="A219" t="s">
        <v>330</v>
      </c>
      <c r="B219" t="s">
        <v>331</v>
      </c>
      <c r="C219" t="s">
        <v>330</v>
      </c>
    </row>
    <row r="220" spans="1:3" x14ac:dyDescent="0.2">
      <c r="A220" t="s">
        <v>332</v>
      </c>
      <c r="B220" t="s">
        <v>333</v>
      </c>
      <c r="C220" t="s">
        <v>332</v>
      </c>
    </row>
    <row r="221" spans="1:3" x14ac:dyDescent="0.2">
      <c r="A221" t="s">
        <v>334</v>
      </c>
      <c r="B221" t="s">
        <v>335</v>
      </c>
      <c r="C221" t="s">
        <v>334</v>
      </c>
    </row>
    <row r="222" spans="1:3" x14ac:dyDescent="0.2">
      <c r="A222" t="s">
        <v>336</v>
      </c>
      <c r="B222" t="s">
        <v>337</v>
      </c>
      <c r="C222" t="s">
        <v>336</v>
      </c>
    </row>
    <row r="223" spans="1:3" x14ac:dyDescent="0.2">
      <c r="A223" t="s">
        <v>338</v>
      </c>
      <c r="B223" t="s">
        <v>339</v>
      </c>
      <c r="C223" t="s">
        <v>338</v>
      </c>
    </row>
    <row r="224" spans="1:3" x14ac:dyDescent="0.2">
      <c r="A224" t="s">
        <v>340</v>
      </c>
      <c r="B224" t="s">
        <v>341</v>
      </c>
      <c r="C224" t="s">
        <v>340</v>
      </c>
    </row>
    <row r="225" spans="1:3" x14ac:dyDescent="0.2">
      <c r="A225" t="s">
        <v>342</v>
      </c>
      <c r="B225" t="s">
        <v>343</v>
      </c>
      <c r="C225" t="s">
        <v>342</v>
      </c>
    </row>
    <row r="226" spans="1:3" x14ac:dyDescent="0.2">
      <c r="A226" t="s">
        <v>344</v>
      </c>
      <c r="B226" t="s">
        <v>345</v>
      </c>
      <c r="C226" t="s">
        <v>344</v>
      </c>
    </row>
    <row r="227" spans="1:3" x14ac:dyDescent="0.2">
      <c r="A227" t="s">
        <v>346</v>
      </c>
      <c r="B227" t="s">
        <v>347</v>
      </c>
      <c r="C227" t="s">
        <v>346</v>
      </c>
    </row>
    <row r="228" spans="1:3" x14ac:dyDescent="0.2">
      <c r="A228" t="s">
        <v>348</v>
      </c>
      <c r="B228" t="s">
        <v>349</v>
      </c>
      <c r="C228" t="s">
        <v>348</v>
      </c>
    </row>
    <row r="229" spans="1:3" x14ac:dyDescent="0.2">
      <c r="A229" t="s">
        <v>350</v>
      </c>
      <c r="B229" t="s">
        <v>351</v>
      </c>
      <c r="C229" t="s">
        <v>350</v>
      </c>
    </row>
    <row r="230" spans="1:3" x14ac:dyDescent="0.2">
      <c r="A230" t="s">
        <v>352</v>
      </c>
      <c r="B230" t="s">
        <v>353</v>
      </c>
      <c r="C230" t="s">
        <v>352</v>
      </c>
    </row>
    <row r="231" spans="1:3" x14ac:dyDescent="0.2">
      <c r="A231" t="s">
        <v>354</v>
      </c>
      <c r="B231" t="s">
        <v>355</v>
      </c>
      <c r="C231" t="s">
        <v>354</v>
      </c>
    </row>
    <row r="232" spans="1:3" x14ac:dyDescent="0.2">
      <c r="A232" t="s">
        <v>356</v>
      </c>
      <c r="B232" t="s">
        <v>357</v>
      </c>
      <c r="C232" t="s">
        <v>356</v>
      </c>
    </row>
    <row r="233" spans="1:3" x14ac:dyDescent="0.2">
      <c r="A233" t="s">
        <v>358</v>
      </c>
      <c r="B233" t="s">
        <v>359</v>
      </c>
      <c r="C233" t="s">
        <v>358</v>
      </c>
    </row>
    <row r="234" spans="1:3" x14ac:dyDescent="0.2">
      <c r="A234" t="s">
        <v>360</v>
      </c>
      <c r="B234" t="s">
        <v>361</v>
      </c>
      <c r="C234" t="s">
        <v>360</v>
      </c>
    </row>
    <row r="235" spans="1:3" x14ac:dyDescent="0.2">
      <c r="A235" t="s">
        <v>362</v>
      </c>
      <c r="B235" t="s">
        <v>363</v>
      </c>
      <c r="C235" t="s">
        <v>362</v>
      </c>
    </row>
    <row r="236" spans="1:3" x14ac:dyDescent="0.2">
      <c r="A236" t="s">
        <v>364</v>
      </c>
      <c r="B236" t="s">
        <v>365</v>
      </c>
      <c r="C236" t="s">
        <v>364</v>
      </c>
    </row>
    <row r="237" spans="1:3" x14ac:dyDescent="0.2">
      <c r="A237" t="s">
        <v>366</v>
      </c>
      <c r="B237" t="s">
        <v>367</v>
      </c>
      <c r="C237" t="s">
        <v>366</v>
      </c>
    </row>
    <row r="238" spans="1:3" x14ac:dyDescent="0.2">
      <c r="A238" t="s">
        <v>368</v>
      </c>
      <c r="B238" t="s">
        <v>369</v>
      </c>
      <c r="C238" t="s">
        <v>368</v>
      </c>
    </row>
    <row r="239" spans="1:3" x14ac:dyDescent="0.2">
      <c r="A239" t="s">
        <v>370</v>
      </c>
      <c r="B239" t="s">
        <v>371</v>
      </c>
      <c r="C239" t="s">
        <v>370</v>
      </c>
    </row>
    <row r="240" spans="1:3" x14ac:dyDescent="0.2">
      <c r="A240" t="s">
        <v>372</v>
      </c>
      <c r="B240" t="s">
        <v>373</v>
      </c>
      <c r="C240" t="s">
        <v>372</v>
      </c>
    </row>
    <row r="241" spans="1:3" x14ac:dyDescent="0.2">
      <c r="A241" t="s">
        <v>374</v>
      </c>
      <c r="B241" t="s">
        <v>375</v>
      </c>
      <c r="C241" t="s">
        <v>374</v>
      </c>
    </row>
    <row r="242" spans="1:3" x14ac:dyDescent="0.2">
      <c r="A242" t="s">
        <v>376</v>
      </c>
      <c r="B242" t="s">
        <v>377</v>
      </c>
      <c r="C242" t="s">
        <v>376</v>
      </c>
    </row>
    <row r="243" spans="1:3" x14ac:dyDescent="0.2">
      <c r="A243" t="s">
        <v>378</v>
      </c>
      <c r="B243" t="s">
        <v>379</v>
      </c>
      <c r="C243" t="s">
        <v>378</v>
      </c>
    </row>
    <row r="244" spans="1:3" x14ac:dyDescent="0.2">
      <c r="A244" t="s">
        <v>380</v>
      </c>
      <c r="B244" t="s">
        <v>381</v>
      </c>
      <c r="C244" t="s">
        <v>380</v>
      </c>
    </row>
    <row r="245" spans="1:3" x14ac:dyDescent="0.2">
      <c r="A245" t="s">
        <v>382</v>
      </c>
      <c r="B245" t="s">
        <v>383</v>
      </c>
      <c r="C245" t="s">
        <v>382</v>
      </c>
    </row>
    <row r="246" spans="1:3" x14ac:dyDescent="0.2">
      <c r="A246" t="s">
        <v>384</v>
      </c>
      <c r="B246" t="s">
        <v>385</v>
      </c>
      <c r="C246" t="s">
        <v>384</v>
      </c>
    </row>
    <row r="247" spans="1:3" x14ac:dyDescent="0.2">
      <c r="A247" t="s">
        <v>386</v>
      </c>
      <c r="B247" t="s">
        <v>387</v>
      </c>
      <c r="C247" t="s">
        <v>386</v>
      </c>
    </row>
    <row r="248" spans="1:3" x14ac:dyDescent="0.2">
      <c r="A248" t="s">
        <v>388</v>
      </c>
      <c r="B248" t="s">
        <v>389</v>
      </c>
      <c r="C248" t="s">
        <v>388</v>
      </c>
    </row>
    <row r="249" spans="1:3" x14ac:dyDescent="0.2">
      <c r="A249" t="s">
        <v>390</v>
      </c>
      <c r="B249" t="s">
        <v>391</v>
      </c>
      <c r="C249" t="s">
        <v>390</v>
      </c>
    </row>
    <row r="250" spans="1:3" x14ac:dyDescent="0.2">
      <c r="A250" t="s">
        <v>392</v>
      </c>
      <c r="B250" t="s">
        <v>393</v>
      </c>
      <c r="C250" t="s">
        <v>392</v>
      </c>
    </row>
    <row r="251" spans="1:3" x14ac:dyDescent="0.2">
      <c r="A251" t="s">
        <v>394</v>
      </c>
      <c r="B251" t="s">
        <v>395</v>
      </c>
      <c r="C251" t="s">
        <v>394</v>
      </c>
    </row>
    <row r="252" spans="1:3" x14ac:dyDescent="0.2">
      <c r="A252" t="s">
        <v>396</v>
      </c>
      <c r="B252" t="s">
        <v>397</v>
      </c>
      <c r="C252" t="s">
        <v>396</v>
      </c>
    </row>
    <row r="253" spans="1:3" x14ac:dyDescent="0.2">
      <c r="A253" t="s">
        <v>398</v>
      </c>
      <c r="B253" t="s">
        <v>399</v>
      </c>
      <c r="C253" t="s">
        <v>398</v>
      </c>
    </row>
    <row r="254" spans="1:3" x14ac:dyDescent="0.2">
      <c r="A254" t="s">
        <v>400</v>
      </c>
      <c r="B254" t="s">
        <v>401</v>
      </c>
      <c r="C254" t="s">
        <v>400</v>
      </c>
    </row>
    <row r="255" spans="1:3" x14ac:dyDescent="0.2">
      <c r="A255" t="s">
        <v>402</v>
      </c>
      <c r="B255" t="s">
        <v>403</v>
      </c>
      <c r="C255" t="s">
        <v>402</v>
      </c>
    </row>
    <row r="256" spans="1:3" x14ac:dyDescent="0.2">
      <c r="A256" t="s">
        <v>404</v>
      </c>
      <c r="B256" t="s">
        <v>405</v>
      </c>
      <c r="C256" t="s">
        <v>404</v>
      </c>
    </row>
    <row r="257" spans="1:3" x14ac:dyDescent="0.2">
      <c r="A257" t="s">
        <v>406</v>
      </c>
      <c r="B257" t="s">
        <v>407</v>
      </c>
      <c r="C257" t="s">
        <v>406</v>
      </c>
    </row>
    <row r="258" spans="1:3" x14ac:dyDescent="0.2">
      <c r="A258" t="s">
        <v>408</v>
      </c>
      <c r="B258" t="s">
        <v>409</v>
      </c>
      <c r="C258" t="s">
        <v>408</v>
      </c>
    </row>
    <row r="259" spans="1:3" x14ac:dyDescent="0.2">
      <c r="A259" t="s">
        <v>410</v>
      </c>
      <c r="B259" t="s">
        <v>411</v>
      </c>
      <c r="C259" t="s">
        <v>410</v>
      </c>
    </row>
    <row r="260" spans="1:3" x14ac:dyDescent="0.2">
      <c r="A260" t="s">
        <v>412</v>
      </c>
      <c r="B260" t="s">
        <v>413</v>
      </c>
      <c r="C260" t="s">
        <v>412</v>
      </c>
    </row>
    <row r="261" spans="1:3" x14ac:dyDescent="0.2">
      <c r="A261" t="s">
        <v>414</v>
      </c>
      <c r="B261" t="s">
        <v>415</v>
      </c>
      <c r="C261" t="s">
        <v>414</v>
      </c>
    </row>
    <row r="262" spans="1:3" x14ac:dyDescent="0.2">
      <c r="A262" t="s">
        <v>416</v>
      </c>
      <c r="B262" t="s">
        <v>417</v>
      </c>
      <c r="C262" t="s">
        <v>416</v>
      </c>
    </row>
    <row r="263" spans="1:3" x14ac:dyDescent="0.2">
      <c r="A263" t="s">
        <v>418</v>
      </c>
      <c r="B263" t="s">
        <v>419</v>
      </c>
      <c r="C263" t="s">
        <v>418</v>
      </c>
    </row>
    <row r="264" spans="1:3" x14ac:dyDescent="0.2">
      <c r="A264" t="s">
        <v>420</v>
      </c>
      <c r="B264" t="s">
        <v>421</v>
      </c>
      <c r="C264" t="s">
        <v>420</v>
      </c>
    </row>
    <row r="265" spans="1:3" x14ac:dyDescent="0.2">
      <c r="A265" t="s">
        <v>422</v>
      </c>
      <c r="B265" t="s">
        <v>423</v>
      </c>
      <c r="C265" t="s">
        <v>422</v>
      </c>
    </row>
    <row r="266" spans="1:3" x14ac:dyDescent="0.2">
      <c r="A266" t="s">
        <v>424</v>
      </c>
      <c r="B266" t="s">
        <v>425</v>
      </c>
      <c r="C266" t="s">
        <v>424</v>
      </c>
    </row>
    <row r="267" spans="1:3" x14ac:dyDescent="0.2">
      <c r="A267" t="s">
        <v>426</v>
      </c>
      <c r="B267" t="s">
        <v>427</v>
      </c>
      <c r="C267" t="s">
        <v>426</v>
      </c>
    </row>
    <row r="268" spans="1:3" x14ac:dyDescent="0.2">
      <c r="A268" t="s">
        <v>428</v>
      </c>
      <c r="B268" t="s">
        <v>429</v>
      </c>
      <c r="C268" t="s">
        <v>428</v>
      </c>
    </row>
    <row r="269" spans="1:3" x14ac:dyDescent="0.2">
      <c r="A269" t="s">
        <v>430</v>
      </c>
      <c r="B269" t="s">
        <v>431</v>
      </c>
      <c r="C269" t="s">
        <v>430</v>
      </c>
    </row>
    <row r="270" spans="1:3" x14ac:dyDescent="0.2">
      <c r="A270" t="s">
        <v>432</v>
      </c>
      <c r="B270" t="s">
        <v>433</v>
      </c>
      <c r="C270" t="s">
        <v>432</v>
      </c>
    </row>
    <row r="271" spans="1:3" x14ac:dyDescent="0.2">
      <c r="A271" t="s">
        <v>434</v>
      </c>
      <c r="B271" t="s">
        <v>435</v>
      </c>
      <c r="C271" t="s">
        <v>434</v>
      </c>
    </row>
    <row r="272" spans="1:3" x14ac:dyDescent="0.2">
      <c r="A272" t="s">
        <v>436</v>
      </c>
      <c r="B272" t="s">
        <v>437</v>
      </c>
      <c r="C272" t="s">
        <v>436</v>
      </c>
    </row>
    <row r="273" spans="1:3" x14ac:dyDescent="0.2">
      <c r="A273" t="s">
        <v>438</v>
      </c>
      <c r="B273" t="s">
        <v>439</v>
      </c>
      <c r="C273" t="s">
        <v>438</v>
      </c>
    </row>
    <row r="274" spans="1:3" x14ac:dyDescent="0.2">
      <c r="A274" t="s">
        <v>440</v>
      </c>
      <c r="B274" t="s">
        <v>441</v>
      </c>
      <c r="C274" t="s">
        <v>440</v>
      </c>
    </row>
    <row r="275" spans="1:3" x14ac:dyDescent="0.2">
      <c r="A275" t="s">
        <v>442</v>
      </c>
      <c r="B275" t="s">
        <v>443</v>
      </c>
      <c r="C275" t="s">
        <v>442</v>
      </c>
    </row>
    <row r="276" spans="1:3" x14ac:dyDescent="0.2">
      <c r="A276" t="s">
        <v>444</v>
      </c>
      <c r="B276" t="s">
        <v>445</v>
      </c>
      <c r="C276" t="s">
        <v>444</v>
      </c>
    </row>
    <row r="277" spans="1:3" x14ac:dyDescent="0.2">
      <c r="A277" t="s">
        <v>446</v>
      </c>
      <c r="B277" t="s">
        <v>447</v>
      </c>
      <c r="C277" t="s">
        <v>446</v>
      </c>
    </row>
    <row r="278" spans="1:3" x14ac:dyDescent="0.2">
      <c r="A278" t="s">
        <v>448</v>
      </c>
      <c r="B278" t="s">
        <v>449</v>
      </c>
      <c r="C278" t="s">
        <v>448</v>
      </c>
    </row>
    <row r="279" spans="1:3" x14ac:dyDescent="0.2">
      <c r="A279" t="s">
        <v>450</v>
      </c>
      <c r="B279" t="s">
        <v>451</v>
      </c>
      <c r="C279" t="s">
        <v>450</v>
      </c>
    </row>
    <row r="280" spans="1:3" x14ac:dyDescent="0.2">
      <c r="A280" t="s">
        <v>1337</v>
      </c>
      <c r="B280" s="142" t="s">
        <v>1380</v>
      </c>
      <c r="C280" t="s">
        <v>1337</v>
      </c>
    </row>
    <row r="281" spans="1:3" x14ac:dyDescent="0.2">
      <c r="A281" t="s">
        <v>452</v>
      </c>
      <c r="B281" t="s">
        <v>453</v>
      </c>
      <c r="C281" t="s">
        <v>452</v>
      </c>
    </row>
    <row r="282" spans="1:3" x14ac:dyDescent="0.2">
      <c r="A282" s="142" t="s">
        <v>1225</v>
      </c>
      <c r="B282" s="142" t="s">
        <v>1226</v>
      </c>
      <c r="C282" s="142" t="s">
        <v>1225</v>
      </c>
    </row>
    <row r="283" spans="1:3" x14ac:dyDescent="0.2">
      <c r="A283" t="s">
        <v>454</v>
      </c>
      <c r="B283" t="s">
        <v>455</v>
      </c>
      <c r="C283" t="s">
        <v>454</v>
      </c>
    </row>
    <row r="284" spans="1:3" x14ac:dyDescent="0.2">
      <c r="A284" s="142" t="s">
        <v>2441</v>
      </c>
      <c r="B284" s="142" t="s">
        <v>2432</v>
      </c>
      <c r="C284" s="142" t="s">
        <v>2441</v>
      </c>
    </row>
    <row r="285" spans="1:3" x14ac:dyDescent="0.2">
      <c r="A285" t="s">
        <v>456</v>
      </c>
      <c r="B285" t="s">
        <v>457</v>
      </c>
      <c r="C285" t="s">
        <v>456</v>
      </c>
    </row>
    <row r="286" spans="1:3" x14ac:dyDescent="0.2">
      <c r="A286" t="s">
        <v>458</v>
      </c>
      <c r="B286" t="s">
        <v>459</v>
      </c>
      <c r="C286" t="s">
        <v>458</v>
      </c>
    </row>
    <row r="287" spans="1:3" x14ac:dyDescent="0.2">
      <c r="A287" t="s">
        <v>460</v>
      </c>
      <c r="B287" t="s">
        <v>461</v>
      </c>
      <c r="C287" t="s">
        <v>460</v>
      </c>
    </row>
    <row r="288" spans="1:3" x14ac:dyDescent="0.2">
      <c r="A288" t="s">
        <v>462</v>
      </c>
      <c r="B288" t="s">
        <v>463</v>
      </c>
      <c r="C288" t="s">
        <v>462</v>
      </c>
    </row>
    <row r="289" spans="1:3" x14ac:dyDescent="0.2">
      <c r="A289" t="s">
        <v>464</v>
      </c>
      <c r="B289" t="s">
        <v>465</v>
      </c>
      <c r="C289" t="s">
        <v>464</v>
      </c>
    </row>
    <row r="290" spans="1:3" x14ac:dyDescent="0.2">
      <c r="A290" t="s">
        <v>466</v>
      </c>
      <c r="B290" t="s">
        <v>467</v>
      </c>
      <c r="C290" t="s">
        <v>466</v>
      </c>
    </row>
    <row r="291" spans="1:3" x14ac:dyDescent="0.2">
      <c r="A291" t="s">
        <v>468</v>
      </c>
      <c r="B291" t="s">
        <v>469</v>
      </c>
      <c r="C291" t="s">
        <v>468</v>
      </c>
    </row>
    <row r="292" spans="1:3" x14ac:dyDescent="0.2">
      <c r="A292" t="s">
        <v>470</v>
      </c>
      <c r="B292" t="s">
        <v>471</v>
      </c>
      <c r="C292" t="s">
        <v>470</v>
      </c>
    </row>
    <row r="293" spans="1:3" x14ac:dyDescent="0.2">
      <c r="A293" t="s">
        <v>472</v>
      </c>
      <c r="B293" t="s">
        <v>473</v>
      </c>
      <c r="C293" t="s">
        <v>472</v>
      </c>
    </row>
    <row r="294" spans="1:3" x14ac:dyDescent="0.2">
      <c r="A294" t="s">
        <v>474</v>
      </c>
      <c r="B294" t="s">
        <v>475</v>
      </c>
      <c r="C294" t="s">
        <v>474</v>
      </c>
    </row>
    <row r="295" spans="1:3" x14ac:dyDescent="0.2">
      <c r="A295" t="s">
        <v>476</v>
      </c>
      <c r="B295" t="s">
        <v>477</v>
      </c>
      <c r="C295" t="s">
        <v>476</v>
      </c>
    </row>
    <row r="296" spans="1:3" x14ac:dyDescent="0.2">
      <c r="A296" t="s">
        <v>478</v>
      </c>
      <c r="B296" t="s">
        <v>479</v>
      </c>
      <c r="C296" t="s">
        <v>478</v>
      </c>
    </row>
    <row r="297" spans="1:3" x14ac:dyDescent="0.2">
      <c r="A297" t="s">
        <v>480</v>
      </c>
      <c r="B297" t="s">
        <v>481</v>
      </c>
      <c r="C297" t="s">
        <v>480</v>
      </c>
    </row>
    <row r="298" spans="1:3" x14ac:dyDescent="0.2">
      <c r="A298" t="s">
        <v>482</v>
      </c>
      <c r="B298" t="s">
        <v>483</v>
      </c>
      <c r="C298" t="s">
        <v>482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D3E1-311C-485A-8934-4193F5F2EB58}">
  <sheetPr codeName="Sheet16">
    <tabColor rgb="FF92D050"/>
  </sheetPr>
  <dimension ref="A1:D8"/>
  <sheetViews>
    <sheetView workbookViewId="0">
      <selection activeCell="C19" sqref="C19"/>
    </sheetView>
  </sheetViews>
  <sheetFormatPr defaultRowHeight="12.75" x14ac:dyDescent="0.2"/>
  <cols>
    <col min="1" max="1" width="60.42578125" bestFit="1" customWidth="1"/>
    <col min="3" max="3" width="122.85546875" customWidth="1"/>
  </cols>
  <sheetData>
    <row r="1" spans="1:4" x14ac:dyDescent="0.2">
      <c r="A1" s="759" t="s">
        <v>2801</v>
      </c>
      <c r="B1" s="759" t="s">
        <v>2802</v>
      </c>
      <c r="C1" s="759" t="s">
        <v>2804</v>
      </c>
      <c r="D1" s="759" t="s">
        <v>2803</v>
      </c>
    </row>
    <row r="2" spans="1:4" x14ac:dyDescent="0.2">
      <c r="A2" s="142" t="s">
        <v>3324</v>
      </c>
      <c r="B2" s="1046" t="s">
        <v>3326</v>
      </c>
      <c r="C2" s="142" t="s">
        <v>2805</v>
      </c>
    </row>
    <row r="3" spans="1:4" x14ac:dyDescent="0.2">
      <c r="A3" s="142" t="s">
        <v>3325</v>
      </c>
      <c r="B3" s="1046" t="s">
        <v>3327</v>
      </c>
      <c r="C3" s="142" t="s">
        <v>3328</v>
      </c>
    </row>
    <row r="4" spans="1:4" x14ac:dyDescent="0.2">
      <c r="A4" s="142" t="s">
        <v>3322</v>
      </c>
      <c r="B4">
        <v>49.9</v>
      </c>
      <c r="C4" s="142" t="s">
        <v>2806</v>
      </c>
    </row>
    <row r="5" spans="1:4" x14ac:dyDescent="0.2">
      <c r="A5" s="142" t="s">
        <v>3323</v>
      </c>
      <c r="B5">
        <v>4.7E-2</v>
      </c>
      <c r="C5" s="142" t="s">
        <v>2807</v>
      </c>
    </row>
    <row r="6" spans="1:4" x14ac:dyDescent="0.2">
      <c r="A6" s="770" t="s">
        <v>2808</v>
      </c>
      <c r="B6" s="354"/>
      <c r="C6" s="770" t="s">
        <v>2809</v>
      </c>
      <c r="D6" s="770" t="s">
        <v>2810</v>
      </c>
    </row>
    <row r="7" spans="1:4" x14ac:dyDescent="0.2">
      <c r="A7" s="142" t="s">
        <v>3385</v>
      </c>
      <c r="B7" t="s">
        <v>3386</v>
      </c>
      <c r="C7" s="142" t="s">
        <v>3387</v>
      </c>
    </row>
    <row r="8" spans="1:4" x14ac:dyDescent="0.2">
      <c r="A8" s="142" t="s">
        <v>3407</v>
      </c>
      <c r="B8">
        <v>1.2999999999999999E-2</v>
      </c>
      <c r="C8" s="142" t="s">
        <v>3408</v>
      </c>
      <c r="D8" s="142" t="s">
        <v>3409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E4A90-AFDA-4DE6-B70A-CD62362E4904}">
  <sheetPr codeName="Sheet21">
    <tabColor rgb="FFFFFF00"/>
    <pageSetUpPr autoPageBreaks="0"/>
  </sheetPr>
  <dimension ref="A1:R305"/>
  <sheetViews>
    <sheetView workbookViewId="0">
      <pane xSplit="1" ySplit="3" topLeftCell="B191" activePane="bottomRight" state="frozen"/>
      <selection pane="topRight" activeCell="B1" sqref="B1"/>
      <selection pane="bottomLeft" activeCell="A3" sqref="A3"/>
      <selection pane="bottomRight" activeCell="I213" sqref="I213"/>
    </sheetView>
  </sheetViews>
  <sheetFormatPr defaultRowHeight="12.75" x14ac:dyDescent="0.2"/>
  <cols>
    <col min="1" max="1" width="31.42578125" bestFit="1" customWidth="1"/>
    <col min="2" max="2" width="6.5703125" bestFit="1" customWidth="1"/>
    <col min="3" max="3" width="7" bestFit="1" customWidth="1"/>
    <col min="4" max="4" width="15.42578125" bestFit="1" customWidth="1"/>
    <col min="5" max="5" width="14.42578125" bestFit="1" customWidth="1"/>
    <col min="6" max="6" width="15.85546875" hidden="1" customWidth="1"/>
    <col min="7" max="7" width="13.85546875" hidden="1" customWidth="1"/>
    <col min="8" max="8" width="15.42578125" bestFit="1" customWidth="1"/>
    <col min="9" max="9" width="11.28515625" bestFit="1" customWidth="1"/>
    <col min="10" max="10" width="18.28515625" customWidth="1"/>
    <col min="11" max="11" width="21.140625" customWidth="1"/>
    <col min="12" max="12" width="15.5703125" bestFit="1" customWidth="1"/>
    <col min="13" max="13" width="17.5703125" bestFit="1" customWidth="1"/>
    <col min="14" max="14" width="19" customWidth="1"/>
    <col min="15" max="15" width="3.42578125" customWidth="1"/>
    <col min="16" max="16" width="14.42578125" bestFit="1" customWidth="1"/>
    <col min="17" max="17" width="10.28515625" bestFit="1" customWidth="1"/>
    <col min="18" max="18" width="12.28515625" bestFit="1" customWidth="1"/>
  </cols>
  <sheetData>
    <row r="1" spans="1:18" ht="13.5" thickBot="1" x14ac:dyDescent="0.25">
      <c r="A1" s="759" t="s">
        <v>3321</v>
      </c>
    </row>
    <row r="2" spans="1:18" ht="24.75" customHeight="1" thickBot="1" x14ac:dyDescent="0.25">
      <c r="A2" s="850" t="s">
        <v>1343</v>
      </c>
      <c r="B2" s="851" t="s">
        <v>1209</v>
      </c>
      <c r="C2" s="852" t="s">
        <v>1344</v>
      </c>
      <c r="D2" s="272" t="s">
        <v>1346</v>
      </c>
      <c r="E2" s="630" t="s">
        <v>1345</v>
      </c>
      <c r="F2" s="631" t="s">
        <v>1373</v>
      </c>
      <c r="G2" s="850" t="s">
        <v>1347</v>
      </c>
      <c r="H2" s="851" t="s">
        <v>1348</v>
      </c>
      <c r="I2" s="852" t="s">
        <v>1349</v>
      </c>
      <c r="J2" s="272" t="s">
        <v>1351</v>
      </c>
      <c r="K2" s="630" t="s">
        <v>1352</v>
      </c>
      <c r="L2" s="852" t="s">
        <v>1353</v>
      </c>
      <c r="M2" s="272" t="s">
        <v>1354</v>
      </c>
      <c r="N2" s="630" t="s">
        <v>1355</v>
      </c>
      <c r="O2" s="390"/>
      <c r="P2" s="852" t="s">
        <v>1356</v>
      </c>
      <c r="Q2" s="272" t="s">
        <v>1357</v>
      </c>
      <c r="R2" s="630" t="s">
        <v>1358</v>
      </c>
    </row>
    <row r="3" spans="1:18" ht="25.5" x14ac:dyDescent="0.2">
      <c r="A3" s="633"/>
      <c r="B3" s="634"/>
      <c r="C3" s="634"/>
      <c r="D3" s="805" t="s">
        <v>957</v>
      </c>
      <c r="E3" s="634" t="s">
        <v>957</v>
      </c>
      <c r="F3" s="634"/>
      <c r="G3" s="633"/>
      <c r="H3" s="634"/>
      <c r="I3" s="634"/>
      <c r="J3" s="805"/>
      <c r="K3" s="634"/>
      <c r="L3" s="634"/>
      <c r="M3" s="805"/>
      <c r="N3" s="634" t="s">
        <v>1359</v>
      </c>
      <c r="P3" s="634" t="s">
        <v>2295</v>
      </c>
      <c r="Q3" s="805"/>
      <c r="R3" s="634"/>
    </row>
    <row r="4" spans="1:18" x14ac:dyDescent="0.2">
      <c r="A4" s="853" t="s">
        <v>731</v>
      </c>
      <c r="B4" s="854" t="s">
        <v>732</v>
      </c>
      <c r="C4" s="855">
        <v>1</v>
      </c>
      <c r="D4" s="864">
        <f>INDEX(Data!$E$8:$E$303,MATCH('Cost of Collecton Calculation'!B4,Data!$C$8:$C$303,0))</f>
        <v>52426754</v>
      </c>
      <c r="E4" s="864">
        <f>INDEX(Data!$F$8:$F$303,MATCH('Cost of Collecton Calculation'!B4,Data!$C$8:$C$303,0))</f>
        <v>2298</v>
      </c>
      <c r="F4" s="868">
        <f>ROUND(D4,-3)</f>
        <v>52427000</v>
      </c>
      <c r="G4" s="868">
        <f>ROUND(E4,-1)</f>
        <v>2300</v>
      </c>
      <c r="H4" s="868">
        <f>F4*C4</f>
        <v>52427000</v>
      </c>
      <c r="I4" s="868">
        <f>G4*C4</f>
        <v>2300</v>
      </c>
      <c r="J4" s="865">
        <f>20160000</f>
        <v>20160000</v>
      </c>
      <c r="K4" s="865">
        <f>63840000</f>
        <v>63840000</v>
      </c>
      <c r="L4" s="868">
        <f t="shared" ref="L4:L67" si="0">(H4*J4)/H$301</f>
        <v>14435.819421100739</v>
      </c>
      <c r="M4" s="868">
        <f t="shared" ref="M4:M67" si="1">(I4*K4)/I$301</f>
        <v>70082.758864276708</v>
      </c>
      <c r="N4" s="871">
        <f>ROUND(L4+M4,0)</f>
        <v>84519</v>
      </c>
      <c r="P4" s="883">
        <v>83739</v>
      </c>
      <c r="Q4" s="874">
        <f>P4-N4</f>
        <v>-780</v>
      </c>
      <c r="R4" s="875">
        <f>Q4/P4</f>
        <v>-9.3146562533586493E-3</v>
      </c>
    </row>
    <row r="5" spans="1:18" x14ac:dyDescent="0.2">
      <c r="A5" s="856" t="s">
        <v>733</v>
      </c>
      <c r="B5" s="857" t="s">
        <v>734</v>
      </c>
      <c r="C5" s="858">
        <v>1</v>
      </c>
      <c r="D5" s="1060">
        <f>INDEX(Data!$E$8:$E$303,MATCH('Cost of Collecton Calculation'!B5,Data!$C$8:$C$303,0))</f>
        <v>93498876</v>
      </c>
      <c r="E5" s="1060">
        <f>INDEX(Data!$F$8:$F$303,MATCH('Cost of Collecton Calculation'!B5,Data!$C$8:$C$303,0))</f>
        <v>3989</v>
      </c>
      <c r="F5" s="869">
        <f t="shared" ref="F5:F63" si="2">ROUND(D5,-3)</f>
        <v>93499000</v>
      </c>
      <c r="G5" s="869">
        <f t="shared" ref="G5:G63" si="3">ROUND(E5,-1)</f>
        <v>3990</v>
      </c>
      <c r="H5" s="869">
        <f t="shared" ref="H5:H63" si="4">F5*C5</f>
        <v>93499000</v>
      </c>
      <c r="I5" s="869">
        <f t="shared" ref="I5:I63" si="5">G5*C5</f>
        <v>3990</v>
      </c>
      <c r="J5" s="866">
        <f t="shared" ref="J5:J63" si="6">20160000</f>
        <v>20160000</v>
      </c>
      <c r="K5" s="866">
        <f t="shared" ref="K5:K63" si="7">63840000</f>
        <v>63840000</v>
      </c>
      <c r="L5" s="869">
        <f t="shared" si="0"/>
        <v>25745.029852051386</v>
      </c>
      <c r="M5" s="869">
        <f t="shared" si="1"/>
        <v>121578.35124715828</v>
      </c>
      <c r="N5" s="872">
        <f t="shared" ref="N5:N63" si="8">ROUND(L5+M5,0)</f>
        <v>147323</v>
      </c>
      <c r="P5" s="884">
        <v>145463</v>
      </c>
      <c r="Q5" s="876">
        <f t="shared" ref="Q5:Q63" si="9">P5-N5</f>
        <v>-1860</v>
      </c>
      <c r="R5" s="877">
        <f t="shared" ref="R5:R63" si="10">Q5/P5</f>
        <v>-1.2786756769762757E-2</v>
      </c>
    </row>
    <row r="6" spans="1:18" x14ac:dyDescent="0.2">
      <c r="A6" s="856" t="s">
        <v>735</v>
      </c>
      <c r="B6" s="857" t="s">
        <v>736</v>
      </c>
      <c r="C6" s="858">
        <v>1</v>
      </c>
      <c r="D6" s="1060">
        <f>INDEX(Data!$E$8:$E$303,MATCH('Cost of Collecton Calculation'!B6,Data!$C$8:$C$303,0))</f>
        <v>105961320</v>
      </c>
      <c r="E6" s="1060">
        <f>INDEX(Data!$F$8:$F$303,MATCH('Cost of Collecton Calculation'!B6,Data!$C$8:$C$303,0))</f>
        <v>4936</v>
      </c>
      <c r="F6" s="869">
        <f t="shared" si="2"/>
        <v>105961000</v>
      </c>
      <c r="G6" s="869">
        <f t="shared" si="3"/>
        <v>4940</v>
      </c>
      <c r="H6" s="869">
        <f t="shared" si="4"/>
        <v>105961000</v>
      </c>
      <c r="I6" s="869">
        <f t="shared" si="5"/>
        <v>4940</v>
      </c>
      <c r="J6" s="866">
        <f t="shared" si="6"/>
        <v>20160000</v>
      </c>
      <c r="K6" s="866">
        <f t="shared" si="7"/>
        <v>63840000</v>
      </c>
      <c r="L6" s="869">
        <f t="shared" si="0"/>
        <v>29176.45224176961</v>
      </c>
      <c r="M6" s="869">
        <f t="shared" si="1"/>
        <v>150525.57773457692</v>
      </c>
      <c r="N6" s="872">
        <f t="shared" si="8"/>
        <v>179702</v>
      </c>
      <c r="P6" s="884">
        <v>179068</v>
      </c>
      <c r="Q6" s="876">
        <f t="shared" si="9"/>
        <v>-634</v>
      </c>
      <c r="R6" s="877">
        <f t="shared" si="10"/>
        <v>-3.5405544262514799E-3</v>
      </c>
    </row>
    <row r="7" spans="1:18" x14ac:dyDescent="0.2">
      <c r="A7" s="856" t="s">
        <v>737</v>
      </c>
      <c r="B7" s="857" t="s">
        <v>738</v>
      </c>
      <c r="C7" s="858">
        <v>1.0121</v>
      </c>
      <c r="D7" s="1060">
        <f>INDEX(Data!$E$8:$E$303,MATCH('Cost of Collecton Calculation'!B7,Data!$C$8:$C$303,0))</f>
        <v>114136253</v>
      </c>
      <c r="E7" s="1060">
        <f>INDEX(Data!$F$8:$F$303,MATCH('Cost of Collecton Calculation'!B7,Data!$C$8:$C$303,0))</f>
        <v>4020</v>
      </c>
      <c r="F7" s="869">
        <f t="shared" si="2"/>
        <v>114136000</v>
      </c>
      <c r="G7" s="869">
        <f t="shared" si="3"/>
        <v>4020</v>
      </c>
      <c r="H7" s="869">
        <f t="shared" si="4"/>
        <v>115517045.59999999</v>
      </c>
      <c r="I7" s="869">
        <f t="shared" si="5"/>
        <v>4068.6419999999998</v>
      </c>
      <c r="J7" s="866">
        <f t="shared" si="6"/>
        <v>20160000</v>
      </c>
      <c r="K7" s="866">
        <f t="shared" si="7"/>
        <v>63840000</v>
      </c>
      <c r="L7" s="869">
        <f t="shared" si="0"/>
        <v>31807.71759476338</v>
      </c>
      <c r="M7" s="869">
        <f t="shared" si="1"/>
        <v>123974.63312655152</v>
      </c>
      <c r="N7" s="872">
        <f t="shared" si="8"/>
        <v>155782</v>
      </c>
      <c r="P7" s="884">
        <v>150649</v>
      </c>
      <c r="Q7" s="876">
        <f t="shared" si="9"/>
        <v>-5133</v>
      </c>
      <c r="R7" s="877">
        <f t="shared" si="10"/>
        <v>-3.4072579306865629E-2</v>
      </c>
    </row>
    <row r="8" spans="1:18" x14ac:dyDescent="0.2">
      <c r="A8" s="856" t="s">
        <v>739</v>
      </c>
      <c r="B8" s="857" t="s">
        <v>740</v>
      </c>
      <c r="C8" s="858">
        <v>1.0067999999999999</v>
      </c>
      <c r="D8" s="1060">
        <f>INDEX(Data!$E$8:$E$303,MATCH('Cost of Collecton Calculation'!B8,Data!$C$8:$C$303,0))</f>
        <v>144726834</v>
      </c>
      <c r="E8" s="1060">
        <f>INDEX(Data!$F$8:$F$303,MATCH('Cost of Collecton Calculation'!B8,Data!$C$8:$C$303,0))</f>
        <v>5443</v>
      </c>
      <c r="F8" s="869">
        <f t="shared" si="2"/>
        <v>144727000</v>
      </c>
      <c r="G8" s="869">
        <f t="shared" si="3"/>
        <v>5440</v>
      </c>
      <c r="H8" s="869">
        <f t="shared" si="4"/>
        <v>145711143.59999999</v>
      </c>
      <c r="I8" s="869">
        <f t="shared" si="5"/>
        <v>5476.9919999999993</v>
      </c>
      <c r="J8" s="866">
        <f t="shared" si="6"/>
        <v>20160000</v>
      </c>
      <c r="K8" s="866">
        <f t="shared" si="7"/>
        <v>63840000</v>
      </c>
      <c r="L8" s="869">
        <f t="shared" si="0"/>
        <v>40121.688379111503</v>
      </c>
      <c r="M8" s="869">
        <f t="shared" si="1"/>
        <v>166888.13462503153</v>
      </c>
      <c r="N8" s="872">
        <f t="shared" si="8"/>
        <v>207010</v>
      </c>
      <c r="P8" s="884">
        <v>198786</v>
      </c>
      <c r="Q8" s="876">
        <f t="shared" si="9"/>
        <v>-8224</v>
      </c>
      <c r="R8" s="877">
        <f t="shared" si="10"/>
        <v>-4.1371122714879319E-2</v>
      </c>
    </row>
    <row r="9" spans="1:18" x14ac:dyDescent="0.2">
      <c r="A9" s="856" t="s">
        <v>741</v>
      </c>
      <c r="B9" s="857" t="s">
        <v>742</v>
      </c>
      <c r="C9" s="858">
        <v>1.0054000000000001</v>
      </c>
      <c r="D9" s="1060">
        <f>INDEX(Data!$E$8:$E$303,MATCH('Cost of Collecton Calculation'!B9,Data!$C$8:$C$303,0))</f>
        <v>72932988</v>
      </c>
      <c r="E9" s="1060">
        <f>INDEX(Data!$F$8:$F$303,MATCH('Cost of Collecton Calculation'!B9,Data!$C$8:$C$303,0))</f>
        <v>3736</v>
      </c>
      <c r="F9" s="869">
        <f t="shared" si="2"/>
        <v>72933000</v>
      </c>
      <c r="G9" s="869">
        <f t="shared" si="3"/>
        <v>3740</v>
      </c>
      <c r="H9" s="869">
        <f t="shared" si="4"/>
        <v>73326838.200000003</v>
      </c>
      <c r="I9" s="869">
        <f t="shared" si="5"/>
        <v>3760.1960000000004</v>
      </c>
      <c r="J9" s="866">
        <f t="shared" si="6"/>
        <v>20160000</v>
      </c>
      <c r="K9" s="866">
        <f t="shared" si="7"/>
        <v>63840000</v>
      </c>
      <c r="L9" s="869">
        <f t="shared" si="0"/>
        <v>20190.607797041059</v>
      </c>
      <c r="M9" s="869">
        <f t="shared" si="1"/>
        <v>114576.04763061645</v>
      </c>
      <c r="N9" s="872">
        <f t="shared" si="8"/>
        <v>134767</v>
      </c>
      <c r="P9" s="884">
        <v>134159</v>
      </c>
      <c r="Q9" s="876">
        <f t="shared" si="9"/>
        <v>-608</v>
      </c>
      <c r="R9" s="877">
        <f t="shared" si="10"/>
        <v>-4.5319359864041918E-3</v>
      </c>
    </row>
    <row r="10" spans="1:18" x14ac:dyDescent="0.2">
      <c r="A10" s="856" t="s">
        <v>743</v>
      </c>
      <c r="B10" s="857" t="s">
        <v>744</v>
      </c>
      <c r="C10" s="858">
        <v>1.0760000000000001</v>
      </c>
      <c r="D10" s="1060">
        <f>INDEX(Data!$E$8:$E$303,MATCH('Cost of Collecton Calculation'!B10,Data!$C$8:$C$303,0))</f>
        <v>186209954</v>
      </c>
      <c r="E10" s="1060">
        <f>INDEX(Data!$F$8:$F$303,MATCH('Cost of Collecton Calculation'!B10,Data!$C$8:$C$303,0))</f>
        <v>4447</v>
      </c>
      <c r="F10" s="869">
        <f t="shared" si="2"/>
        <v>186210000</v>
      </c>
      <c r="G10" s="869">
        <f t="shared" si="3"/>
        <v>4450</v>
      </c>
      <c r="H10" s="869">
        <f t="shared" si="4"/>
        <v>200361960</v>
      </c>
      <c r="I10" s="869">
        <f t="shared" si="5"/>
        <v>4788.2000000000007</v>
      </c>
      <c r="J10" s="866">
        <f t="shared" si="6"/>
        <v>20160000</v>
      </c>
      <c r="K10" s="866">
        <f t="shared" si="7"/>
        <v>63840000</v>
      </c>
      <c r="L10" s="869">
        <f t="shared" si="0"/>
        <v>55169.837553508871</v>
      </c>
      <c r="M10" s="869">
        <f t="shared" si="1"/>
        <v>145900.11564953468</v>
      </c>
      <c r="N10" s="872">
        <f t="shared" si="8"/>
        <v>201070</v>
      </c>
      <c r="P10" s="884">
        <v>196947</v>
      </c>
      <c r="Q10" s="876">
        <f t="shared" si="9"/>
        <v>-4123</v>
      </c>
      <c r="R10" s="877">
        <f t="shared" si="10"/>
        <v>-2.0934566152315089E-2</v>
      </c>
    </row>
    <row r="11" spans="1:18" x14ac:dyDescent="0.2">
      <c r="A11" s="856" t="s">
        <v>745</v>
      </c>
      <c r="B11" s="857" t="s">
        <v>746</v>
      </c>
      <c r="C11" s="858">
        <v>1.1113</v>
      </c>
      <c r="D11" s="1060">
        <f>INDEX(Data!$E$8:$E$303,MATCH('Cost of Collecton Calculation'!B11,Data!$C$8:$C$303,0))</f>
        <v>299948012</v>
      </c>
      <c r="E11" s="1060">
        <f>INDEX(Data!$F$8:$F$303,MATCH('Cost of Collecton Calculation'!B11,Data!$C$8:$C$303,0))</f>
        <v>8192</v>
      </c>
      <c r="F11" s="869">
        <f t="shared" si="2"/>
        <v>299948000</v>
      </c>
      <c r="G11" s="869">
        <f t="shared" si="3"/>
        <v>8190</v>
      </c>
      <c r="H11" s="869">
        <f t="shared" si="4"/>
        <v>333332212.39999998</v>
      </c>
      <c r="I11" s="869">
        <f t="shared" si="5"/>
        <v>9101.5470000000005</v>
      </c>
      <c r="J11" s="866">
        <f t="shared" si="6"/>
        <v>20160000</v>
      </c>
      <c r="K11" s="866">
        <f t="shared" si="7"/>
        <v>63840000</v>
      </c>
      <c r="L11" s="869">
        <f t="shared" si="0"/>
        <v>91783.310611753419</v>
      </c>
      <c r="M11" s="869">
        <f t="shared" si="1"/>
        <v>277331.09725777438</v>
      </c>
      <c r="N11" s="872">
        <f t="shared" si="8"/>
        <v>369114</v>
      </c>
      <c r="P11" s="884">
        <v>384941</v>
      </c>
      <c r="Q11" s="876">
        <f t="shared" si="9"/>
        <v>15827</v>
      </c>
      <c r="R11" s="877">
        <f t="shared" si="10"/>
        <v>4.1115391709378842E-2</v>
      </c>
    </row>
    <row r="12" spans="1:18" x14ac:dyDescent="0.2">
      <c r="A12" s="856" t="s">
        <v>747</v>
      </c>
      <c r="B12" s="857" t="s">
        <v>748</v>
      </c>
      <c r="C12" s="858">
        <v>1</v>
      </c>
      <c r="D12" s="1060">
        <f>INDEX(Data!$E$8:$E$303,MATCH('Cost of Collecton Calculation'!B12,Data!$C$8:$C$303,0))</f>
        <v>163585902</v>
      </c>
      <c r="E12" s="1060">
        <f>INDEX(Data!$F$8:$F$303,MATCH('Cost of Collecton Calculation'!B12,Data!$C$8:$C$303,0))</f>
        <v>9041</v>
      </c>
      <c r="F12" s="869">
        <f t="shared" si="2"/>
        <v>163586000</v>
      </c>
      <c r="G12" s="869">
        <f t="shared" si="3"/>
        <v>9040</v>
      </c>
      <c r="H12" s="869">
        <f t="shared" si="4"/>
        <v>163586000</v>
      </c>
      <c r="I12" s="869">
        <f t="shared" si="5"/>
        <v>9040</v>
      </c>
      <c r="J12" s="866">
        <f t="shared" si="6"/>
        <v>20160000</v>
      </c>
      <c r="K12" s="866">
        <f t="shared" si="7"/>
        <v>63840000</v>
      </c>
      <c r="L12" s="869">
        <f t="shared" si="0"/>
        <v>45043.545421637427</v>
      </c>
      <c r="M12" s="869">
        <f t="shared" si="1"/>
        <v>275455.71310133103</v>
      </c>
      <c r="N12" s="872">
        <f t="shared" si="8"/>
        <v>320499</v>
      </c>
      <c r="P12" s="884">
        <v>313338</v>
      </c>
      <c r="Q12" s="876">
        <f t="shared" si="9"/>
        <v>-7161</v>
      </c>
      <c r="R12" s="877">
        <f t="shared" si="10"/>
        <v>-2.2853914941692359E-2</v>
      </c>
    </row>
    <row r="13" spans="1:18" x14ac:dyDescent="0.2">
      <c r="A13" s="856" t="s">
        <v>749</v>
      </c>
      <c r="B13" s="857" t="s">
        <v>750</v>
      </c>
      <c r="C13" s="858">
        <v>1.0618000000000001</v>
      </c>
      <c r="D13" s="1060">
        <f>INDEX(Data!$E$8:$E$303,MATCH('Cost of Collecton Calculation'!B13,Data!$C$8:$C$303,0))</f>
        <v>210463605</v>
      </c>
      <c r="E13" s="1060">
        <f>INDEX(Data!$F$8:$F$303,MATCH('Cost of Collecton Calculation'!B13,Data!$C$8:$C$303,0))</f>
        <v>4976</v>
      </c>
      <c r="F13" s="869">
        <f t="shared" si="2"/>
        <v>210464000</v>
      </c>
      <c r="G13" s="869">
        <f t="shared" si="3"/>
        <v>4980</v>
      </c>
      <c r="H13" s="869">
        <f t="shared" si="4"/>
        <v>223470675.20000002</v>
      </c>
      <c r="I13" s="869">
        <f t="shared" si="5"/>
        <v>5287.7640000000001</v>
      </c>
      <c r="J13" s="866">
        <f t="shared" si="6"/>
        <v>20160000</v>
      </c>
      <c r="K13" s="866">
        <f t="shared" si="7"/>
        <v>63840000</v>
      </c>
      <c r="L13" s="869">
        <f t="shared" si="0"/>
        <v>61532.842106141019</v>
      </c>
      <c r="M13" s="869">
        <f t="shared" si="1"/>
        <v>161122.21275791444</v>
      </c>
      <c r="N13" s="872">
        <f t="shared" si="8"/>
        <v>222655</v>
      </c>
      <c r="P13" s="884">
        <v>219662</v>
      </c>
      <c r="Q13" s="876">
        <f t="shared" si="9"/>
        <v>-2993</v>
      </c>
      <c r="R13" s="877">
        <f t="shared" si="10"/>
        <v>-1.362547914523222E-2</v>
      </c>
    </row>
    <row r="14" spans="1:18" x14ac:dyDescent="0.2">
      <c r="A14" s="856" t="s">
        <v>998</v>
      </c>
      <c r="B14" s="857" t="s">
        <v>752</v>
      </c>
      <c r="C14" s="858">
        <v>1.036</v>
      </c>
      <c r="D14" s="1060">
        <f>INDEX(Data!$E$8:$E$303,MATCH('Cost of Collecton Calculation'!B14,Data!$C$8:$C$303,0))</f>
        <v>200201480</v>
      </c>
      <c r="E14" s="1060">
        <f>INDEX(Data!$F$8:$F$303,MATCH('Cost of Collecton Calculation'!B14,Data!$C$8:$C$303,0))</f>
        <v>4551</v>
      </c>
      <c r="F14" s="869">
        <f t="shared" si="2"/>
        <v>200201000</v>
      </c>
      <c r="G14" s="869">
        <f t="shared" si="3"/>
        <v>4550</v>
      </c>
      <c r="H14" s="869">
        <f t="shared" si="4"/>
        <v>207408236</v>
      </c>
      <c r="I14" s="869">
        <f t="shared" si="5"/>
        <v>4713.8</v>
      </c>
      <c r="J14" s="866">
        <f t="shared" si="6"/>
        <v>20160000</v>
      </c>
      <c r="K14" s="866">
        <f t="shared" si="7"/>
        <v>63840000</v>
      </c>
      <c r="L14" s="869">
        <f t="shared" si="0"/>
        <v>57110.035694299608</v>
      </c>
      <c r="M14" s="869">
        <f t="shared" si="1"/>
        <v>143633.09075409893</v>
      </c>
      <c r="N14" s="872">
        <f t="shared" si="8"/>
        <v>200743</v>
      </c>
      <c r="P14" s="884">
        <v>199715</v>
      </c>
      <c r="Q14" s="876">
        <f t="shared" si="9"/>
        <v>-1028</v>
      </c>
      <c r="R14" s="877">
        <f t="shared" si="10"/>
        <v>-5.1473349523070379E-3</v>
      </c>
    </row>
    <row r="15" spans="1:18" x14ac:dyDescent="0.2">
      <c r="A15" s="856" t="s">
        <v>753</v>
      </c>
      <c r="B15" s="857" t="s">
        <v>754</v>
      </c>
      <c r="C15" s="858">
        <v>1.0121</v>
      </c>
      <c r="D15" s="1060">
        <f>INDEX(Data!$E$8:$E$303,MATCH('Cost of Collecton Calculation'!B15,Data!$C$8:$C$303,0))</f>
        <v>125629440</v>
      </c>
      <c r="E15" s="1060">
        <f>INDEX(Data!$F$8:$F$303,MATCH('Cost of Collecton Calculation'!B15,Data!$C$8:$C$303,0))</f>
        <v>4507</v>
      </c>
      <c r="F15" s="869">
        <f t="shared" si="2"/>
        <v>125629000</v>
      </c>
      <c r="G15" s="869">
        <f t="shared" si="3"/>
        <v>4510</v>
      </c>
      <c r="H15" s="869">
        <f t="shared" si="4"/>
        <v>127149110.90000001</v>
      </c>
      <c r="I15" s="869">
        <f t="shared" si="5"/>
        <v>4564.5709999999999</v>
      </c>
      <c r="J15" s="866">
        <f t="shared" si="6"/>
        <v>20160000</v>
      </c>
      <c r="K15" s="866">
        <f t="shared" si="7"/>
        <v>63840000</v>
      </c>
      <c r="L15" s="869">
        <f t="shared" si="0"/>
        <v>35010.616752930961</v>
      </c>
      <c r="M15" s="869">
        <f t="shared" si="1"/>
        <v>139085.96900516102</v>
      </c>
      <c r="N15" s="872">
        <f t="shared" si="8"/>
        <v>174097</v>
      </c>
      <c r="P15" s="884">
        <v>167371</v>
      </c>
      <c r="Q15" s="876">
        <f t="shared" si="9"/>
        <v>-6726</v>
      </c>
      <c r="R15" s="877">
        <f t="shared" si="10"/>
        <v>-4.0186173231921897E-2</v>
      </c>
    </row>
    <row r="16" spans="1:18" x14ac:dyDescent="0.2">
      <c r="A16" s="856" t="s">
        <v>999</v>
      </c>
      <c r="B16" s="857" t="s">
        <v>756</v>
      </c>
      <c r="C16" s="858">
        <v>1.0378000000000001</v>
      </c>
      <c r="D16" s="1060">
        <f>INDEX(Data!$E$8:$E$303,MATCH('Cost of Collecton Calculation'!B16,Data!$C$8:$C$303,0))</f>
        <v>193412593</v>
      </c>
      <c r="E16" s="1060">
        <f>INDEX(Data!$F$8:$F$303,MATCH('Cost of Collecton Calculation'!B16,Data!$C$8:$C$303,0))</f>
        <v>6729</v>
      </c>
      <c r="F16" s="869">
        <f t="shared" si="2"/>
        <v>193413000</v>
      </c>
      <c r="G16" s="869">
        <f t="shared" si="3"/>
        <v>6730</v>
      </c>
      <c r="H16" s="869">
        <f t="shared" si="4"/>
        <v>200724011.40000001</v>
      </c>
      <c r="I16" s="869">
        <f t="shared" si="5"/>
        <v>6984.3940000000002</v>
      </c>
      <c r="J16" s="866">
        <f t="shared" si="6"/>
        <v>20160000</v>
      </c>
      <c r="K16" s="866">
        <f t="shared" si="7"/>
        <v>63840000</v>
      </c>
      <c r="L16" s="869">
        <f t="shared" si="0"/>
        <v>55269.52871706117</v>
      </c>
      <c r="M16" s="869">
        <f t="shared" si="1"/>
        <v>212819.82631091349</v>
      </c>
      <c r="N16" s="872">
        <f t="shared" si="8"/>
        <v>268089</v>
      </c>
      <c r="P16" s="884">
        <v>268135</v>
      </c>
      <c r="Q16" s="876">
        <f t="shared" si="9"/>
        <v>46</v>
      </c>
      <c r="R16" s="877">
        <f t="shared" si="10"/>
        <v>1.7155537322617338E-4</v>
      </c>
    </row>
    <row r="17" spans="1:18" x14ac:dyDescent="0.2">
      <c r="A17" s="856" t="s">
        <v>757</v>
      </c>
      <c r="B17" s="857" t="s">
        <v>758</v>
      </c>
      <c r="C17" s="858">
        <v>1.0392999999999999</v>
      </c>
      <c r="D17" s="1060">
        <f>INDEX(Data!$E$8:$E$303,MATCH('Cost of Collecton Calculation'!B17,Data!$C$8:$C$303,0))</f>
        <v>210967179</v>
      </c>
      <c r="E17" s="1060">
        <f>INDEX(Data!$F$8:$F$303,MATCH('Cost of Collecton Calculation'!B17,Data!$C$8:$C$303,0))</f>
        <v>5621</v>
      </c>
      <c r="F17" s="869">
        <f t="shared" si="2"/>
        <v>210967000</v>
      </c>
      <c r="G17" s="869">
        <f t="shared" si="3"/>
        <v>5620</v>
      </c>
      <c r="H17" s="869">
        <f t="shared" si="4"/>
        <v>219258003.09999996</v>
      </c>
      <c r="I17" s="869">
        <f t="shared" si="5"/>
        <v>5840.8659999999991</v>
      </c>
      <c r="J17" s="866">
        <f t="shared" si="6"/>
        <v>20160000</v>
      </c>
      <c r="K17" s="866">
        <f t="shared" si="7"/>
        <v>63840000</v>
      </c>
      <c r="L17" s="869">
        <f t="shared" si="0"/>
        <v>60372.879229838552</v>
      </c>
      <c r="M17" s="869">
        <f t="shared" si="1"/>
        <v>177975.65366806622</v>
      </c>
      <c r="N17" s="872">
        <f t="shared" si="8"/>
        <v>238349</v>
      </c>
      <c r="P17" s="884">
        <v>230353</v>
      </c>
      <c r="Q17" s="876">
        <f t="shared" si="9"/>
        <v>-7996</v>
      </c>
      <c r="R17" s="877">
        <f t="shared" si="10"/>
        <v>-3.4711942106245633E-2</v>
      </c>
    </row>
    <row r="18" spans="1:18" x14ac:dyDescent="0.2">
      <c r="A18" s="856" t="s">
        <v>759</v>
      </c>
      <c r="B18" s="857" t="s">
        <v>760</v>
      </c>
      <c r="C18" s="858">
        <v>1.0760000000000001</v>
      </c>
      <c r="D18" s="1060">
        <f>INDEX(Data!$E$8:$E$303,MATCH('Cost of Collecton Calculation'!B18,Data!$C$8:$C$303,0))</f>
        <v>225991050</v>
      </c>
      <c r="E18" s="1060">
        <f>INDEX(Data!$F$8:$F$303,MATCH('Cost of Collecton Calculation'!B18,Data!$C$8:$C$303,0))</f>
        <v>5353</v>
      </c>
      <c r="F18" s="869">
        <f t="shared" si="2"/>
        <v>225991000</v>
      </c>
      <c r="G18" s="869">
        <f t="shared" si="3"/>
        <v>5350</v>
      </c>
      <c r="H18" s="869">
        <f t="shared" si="4"/>
        <v>243166316.00000003</v>
      </c>
      <c r="I18" s="869">
        <f t="shared" si="5"/>
        <v>5756.6</v>
      </c>
      <c r="J18" s="866">
        <f t="shared" si="6"/>
        <v>20160000</v>
      </c>
      <c r="K18" s="866">
        <f t="shared" si="7"/>
        <v>63840000</v>
      </c>
      <c r="L18" s="869">
        <f t="shared" si="0"/>
        <v>66956.053695048729</v>
      </c>
      <c r="M18" s="869">
        <f t="shared" si="1"/>
        <v>175408.00420786752</v>
      </c>
      <c r="N18" s="872">
        <f t="shared" si="8"/>
        <v>242364</v>
      </c>
      <c r="P18" s="884">
        <v>237708</v>
      </c>
      <c r="Q18" s="876">
        <f t="shared" si="9"/>
        <v>-4656</v>
      </c>
      <c r="R18" s="877">
        <f t="shared" si="10"/>
        <v>-1.9587056388510275E-2</v>
      </c>
    </row>
    <row r="19" spans="1:18" x14ac:dyDescent="0.2">
      <c r="A19" s="856" t="s">
        <v>761</v>
      </c>
      <c r="B19" s="857" t="s">
        <v>762</v>
      </c>
      <c r="C19" s="858">
        <v>1.0134000000000001</v>
      </c>
      <c r="D19" s="1060">
        <f>INDEX(Data!$E$8:$E$303,MATCH('Cost of Collecton Calculation'!B19,Data!$C$8:$C$303,0))</f>
        <v>1219990490</v>
      </c>
      <c r="E19" s="1060">
        <f>INDEX(Data!$F$8:$F$303,MATCH('Cost of Collecton Calculation'!B19,Data!$C$8:$C$303,0))</f>
        <v>47489</v>
      </c>
      <c r="F19" s="869">
        <f t="shared" si="2"/>
        <v>1219990000</v>
      </c>
      <c r="G19" s="869">
        <f t="shared" si="3"/>
        <v>47490</v>
      </c>
      <c r="H19" s="869">
        <f t="shared" si="4"/>
        <v>1236337866</v>
      </c>
      <c r="I19" s="869">
        <f t="shared" si="5"/>
        <v>48126.366000000002</v>
      </c>
      <c r="J19" s="866">
        <f t="shared" si="6"/>
        <v>20160000</v>
      </c>
      <c r="K19" s="866">
        <f t="shared" si="7"/>
        <v>63840000</v>
      </c>
      <c r="L19" s="869">
        <f t="shared" si="0"/>
        <v>340426.69191533071</v>
      </c>
      <c r="M19" s="869">
        <f t="shared" si="1"/>
        <v>1466447.1753877935</v>
      </c>
      <c r="N19" s="872">
        <f t="shared" si="8"/>
        <v>1806874</v>
      </c>
      <c r="P19" s="884">
        <v>1819048</v>
      </c>
      <c r="Q19" s="876">
        <f t="shared" si="9"/>
        <v>12174</v>
      </c>
      <c r="R19" s="877">
        <f t="shared" si="10"/>
        <v>6.6925116874321077E-3</v>
      </c>
    </row>
    <row r="20" spans="1:18" x14ac:dyDescent="0.2">
      <c r="A20" s="856" t="s">
        <v>763</v>
      </c>
      <c r="B20" s="857" t="s">
        <v>764</v>
      </c>
      <c r="C20" s="858">
        <v>1</v>
      </c>
      <c r="D20" s="1060">
        <f>INDEX(Data!$E$8:$E$303,MATCH('Cost of Collecton Calculation'!B20,Data!$C$8:$C$303,0))</f>
        <v>116663418</v>
      </c>
      <c r="E20" s="1060">
        <f>INDEX(Data!$F$8:$F$303,MATCH('Cost of Collecton Calculation'!B20,Data!$C$8:$C$303,0))</f>
        <v>2437</v>
      </c>
      <c r="F20" s="869">
        <f t="shared" si="2"/>
        <v>116663000</v>
      </c>
      <c r="G20" s="869">
        <f t="shared" si="3"/>
        <v>2440</v>
      </c>
      <c r="H20" s="869">
        <f t="shared" si="4"/>
        <v>116663000</v>
      </c>
      <c r="I20" s="869">
        <f t="shared" si="5"/>
        <v>2440</v>
      </c>
      <c r="J20" s="866">
        <f t="shared" si="6"/>
        <v>20160000</v>
      </c>
      <c r="K20" s="866">
        <f t="shared" si="7"/>
        <v>63840000</v>
      </c>
      <c r="L20" s="869">
        <f t="shared" si="0"/>
        <v>32123.257121786017</v>
      </c>
      <c r="M20" s="869">
        <f t="shared" si="1"/>
        <v>74348.665925580499</v>
      </c>
      <c r="N20" s="872">
        <f t="shared" si="8"/>
        <v>106472</v>
      </c>
      <c r="P20" s="884">
        <v>102134</v>
      </c>
      <c r="Q20" s="876">
        <f t="shared" si="9"/>
        <v>-4338</v>
      </c>
      <c r="R20" s="877">
        <f t="shared" si="10"/>
        <v>-4.2473613096520257E-2</v>
      </c>
    </row>
    <row r="21" spans="1:18" x14ac:dyDescent="0.2">
      <c r="A21" s="856" t="s">
        <v>611</v>
      </c>
      <c r="B21" s="857" t="s">
        <v>766</v>
      </c>
      <c r="C21" s="858">
        <v>1</v>
      </c>
      <c r="D21" s="1060">
        <f>INDEX(Data!$E$8:$E$303,MATCH('Cost of Collecton Calculation'!B21,Data!$C$8:$C$303,0))</f>
        <v>129529542</v>
      </c>
      <c r="E21" s="1060">
        <f>INDEX(Data!$F$8:$F$303,MATCH('Cost of Collecton Calculation'!B21,Data!$C$8:$C$303,0))</f>
        <v>8315</v>
      </c>
      <c r="F21" s="869">
        <f t="shared" si="2"/>
        <v>129530000</v>
      </c>
      <c r="G21" s="869">
        <f t="shared" si="3"/>
        <v>8320</v>
      </c>
      <c r="H21" s="869">
        <f t="shared" si="4"/>
        <v>129530000</v>
      </c>
      <c r="I21" s="869">
        <f t="shared" si="5"/>
        <v>8320</v>
      </c>
      <c r="J21" s="866">
        <f t="shared" si="6"/>
        <v>20160000</v>
      </c>
      <c r="K21" s="866">
        <f t="shared" si="7"/>
        <v>63840000</v>
      </c>
      <c r="L21" s="869">
        <f t="shared" si="0"/>
        <v>35666.196608907216</v>
      </c>
      <c r="M21" s="869">
        <f t="shared" si="1"/>
        <v>253516.76250034009</v>
      </c>
      <c r="N21" s="872">
        <f t="shared" si="8"/>
        <v>289183</v>
      </c>
      <c r="P21" s="884">
        <v>246871</v>
      </c>
      <c r="Q21" s="876">
        <f t="shared" si="9"/>
        <v>-42312</v>
      </c>
      <c r="R21" s="877">
        <f t="shared" si="10"/>
        <v>-0.17139315674988151</v>
      </c>
    </row>
    <row r="22" spans="1:18" x14ac:dyDescent="0.2">
      <c r="A22" s="856" t="s">
        <v>614</v>
      </c>
      <c r="B22" s="857" t="s">
        <v>768</v>
      </c>
      <c r="C22" s="858">
        <v>1</v>
      </c>
      <c r="D22" s="1060">
        <f>INDEX(Data!$E$8:$E$303,MATCH('Cost of Collecton Calculation'!B22,Data!$C$8:$C$303,0))</f>
        <v>120324857</v>
      </c>
      <c r="E22" s="1060">
        <f>INDEX(Data!$F$8:$F$303,MATCH('Cost of Collecton Calculation'!B22,Data!$C$8:$C$303,0))</f>
        <v>6664</v>
      </c>
      <c r="F22" s="869">
        <f t="shared" si="2"/>
        <v>120325000</v>
      </c>
      <c r="G22" s="869">
        <f t="shared" si="3"/>
        <v>6660</v>
      </c>
      <c r="H22" s="869">
        <f t="shared" si="4"/>
        <v>120325000</v>
      </c>
      <c r="I22" s="869">
        <f t="shared" si="5"/>
        <v>6660</v>
      </c>
      <c r="J22" s="866">
        <f t="shared" si="6"/>
        <v>20160000</v>
      </c>
      <c r="K22" s="866">
        <f t="shared" si="7"/>
        <v>63840000</v>
      </c>
      <c r="L22" s="869">
        <f t="shared" si="0"/>
        <v>33131.591962995146</v>
      </c>
      <c r="M22" s="869">
        <f t="shared" si="1"/>
        <v>202935.29305916646</v>
      </c>
      <c r="N22" s="872">
        <f t="shared" si="8"/>
        <v>236067</v>
      </c>
      <c r="P22" s="884">
        <v>243934</v>
      </c>
      <c r="Q22" s="876">
        <f t="shared" si="9"/>
        <v>7867</v>
      </c>
      <c r="R22" s="877">
        <f t="shared" si="10"/>
        <v>3.2250526781834432E-2</v>
      </c>
    </row>
    <row r="23" spans="1:18" x14ac:dyDescent="0.2">
      <c r="A23" s="856" t="s">
        <v>769</v>
      </c>
      <c r="B23" s="857" t="s">
        <v>770</v>
      </c>
      <c r="C23" s="858">
        <v>1</v>
      </c>
      <c r="D23" s="1060">
        <f>INDEX(Data!$E$8:$E$303,MATCH('Cost of Collecton Calculation'!B23,Data!$C$8:$C$303,0))</f>
        <v>74009240</v>
      </c>
      <c r="E23" s="1060">
        <f>INDEX(Data!$F$8:$F$303,MATCH('Cost of Collecton Calculation'!B23,Data!$C$8:$C$303,0))</f>
        <v>2419</v>
      </c>
      <c r="F23" s="869">
        <f t="shared" si="2"/>
        <v>74009000</v>
      </c>
      <c r="G23" s="869">
        <f t="shared" si="3"/>
        <v>2420</v>
      </c>
      <c r="H23" s="869">
        <f t="shared" si="4"/>
        <v>74009000</v>
      </c>
      <c r="I23" s="869">
        <f t="shared" si="5"/>
        <v>2420</v>
      </c>
      <c r="J23" s="866">
        <f t="shared" si="6"/>
        <v>20160000</v>
      </c>
      <c r="K23" s="866">
        <f t="shared" si="7"/>
        <v>63840000</v>
      </c>
      <c r="L23" s="869">
        <f t="shared" si="0"/>
        <v>20378.441633819304</v>
      </c>
      <c r="M23" s="869">
        <f t="shared" si="1"/>
        <v>73739.250631108531</v>
      </c>
      <c r="N23" s="872">
        <f t="shared" si="8"/>
        <v>94118</v>
      </c>
      <c r="P23" s="884">
        <v>93898</v>
      </c>
      <c r="Q23" s="876">
        <f t="shared" si="9"/>
        <v>-220</v>
      </c>
      <c r="R23" s="877">
        <f t="shared" si="10"/>
        <v>-2.3429679013397516E-3</v>
      </c>
    </row>
    <row r="24" spans="1:18" x14ac:dyDescent="0.2">
      <c r="A24" s="856" t="s">
        <v>771</v>
      </c>
      <c r="B24" s="857" t="s">
        <v>772</v>
      </c>
      <c r="C24" s="858">
        <v>1.0168999999999999</v>
      </c>
      <c r="D24" s="1060">
        <f>INDEX(Data!$E$8:$E$303,MATCH('Cost of Collecton Calculation'!B24,Data!$C$8:$C$303,0))</f>
        <v>249281694</v>
      </c>
      <c r="E24" s="1060">
        <f>INDEX(Data!$F$8:$F$303,MATCH('Cost of Collecton Calculation'!B24,Data!$C$8:$C$303,0))</f>
        <v>10773</v>
      </c>
      <c r="F24" s="869">
        <f t="shared" si="2"/>
        <v>249282000</v>
      </c>
      <c r="G24" s="869">
        <f t="shared" si="3"/>
        <v>10770</v>
      </c>
      <c r="H24" s="869">
        <f t="shared" si="4"/>
        <v>253494865.79999998</v>
      </c>
      <c r="I24" s="869">
        <f t="shared" si="5"/>
        <v>10952.012999999999</v>
      </c>
      <c r="J24" s="866">
        <f t="shared" si="6"/>
        <v>20160000</v>
      </c>
      <c r="K24" s="866">
        <f t="shared" si="7"/>
        <v>63840000</v>
      </c>
      <c r="L24" s="869">
        <f t="shared" si="0"/>
        <v>69800.028742155104</v>
      </c>
      <c r="M24" s="869">
        <f t="shared" si="1"/>
        <v>333716.21137279284</v>
      </c>
      <c r="N24" s="872">
        <f t="shared" si="8"/>
        <v>403516</v>
      </c>
      <c r="P24" s="884">
        <v>402872</v>
      </c>
      <c r="Q24" s="876">
        <f t="shared" si="9"/>
        <v>-644</v>
      </c>
      <c r="R24" s="877">
        <f t="shared" si="10"/>
        <v>-1.59852260767688E-3</v>
      </c>
    </row>
    <row r="25" spans="1:18" x14ac:dyDescent="0.2">
      <c r="A25" s="856" t="s">
        <v>773</v>
      </c>
      <c r="B25" s="857" t="s">
        <v>774</v>
      </c>
      <c r="C25" s="858">
        <v>1</v>
      </c>
      <c r="D25" s="1060">
        <f>INDEX(Data!$E$8:$E$303,MATCH('Cost of Collecton Calculation'!B25,Data!$C$8:$C$303,0))</f>
        <v>55543588</v>
      </c>
      <c r="E25" s="1060">
        <f>INDEX(Data!$F$8:$F$303,MATCH('Cost of Collecton Calculation'!B25,Data!$C$8:$C$303,0))</f>
        <v>2493</v>
      </c>
      <c r="F25" s="869">
        <f t="shared" si="2"/>
        <v>55544000</v>
      </c>
      <c r="G25" s="869">
        <f t="shared" si="3"/>
        <v>2490</v>
      </c>
      <c r="H25" s="869">
        <f t="shared" si="4"/>
        <v>55544000</v>
      </c>
      <c r="I25" s="869">
        <f t="shared" si="5"/>
        <v>2490</v>
      </c>
      <c r="J25" s="866">
        <f t="shared" si="6"/>
        <v>20160000</v>
      </c>
      <c r="K25" s="866">
        <f t="shared" si="7"/>
        <v>63840000</v>
      </c>
      <c r="L25" s="869">
        <f t="shared" si="0"/>
        <v>15294.088044816974</v>
      </c>
      <c r="M25" s="869">
        <f t="shared" si="1"/>
        <v>75872.204161760426</v>
      </c>
      <c r="N25" s="872">
        <f t="shared" si="8"/>
        <v>91166</v>
      </c>
      <c r="P25" s="884">
        <v>91315</v>
      </c>
      <c r="Q25" s="876">
        <f t="shared" si="9"/>
        <v>149</v>
      </c>
      <c r="R25" s="877">
        <f t="shared" si="10"/>
        <v>1.6317143952253189E-3</v>
      </c>
    </row>
    <row r="26" spans="1:18" x14ac:dyDescent="0.2">
      <c r="A26" s="859" t="s">
        <v>1235</v>
      </c>
      <c r="B26" s="860" t="s">
        <v>1220</v>
      </c>
      <c r="C26" s="858">
        <v>1</v>
      </c>
      <c r="D26" s="1060">
        <f>INDEX(Data!$E$8:$E$303,MATCH('Cost of Collecton Calculation'!B26,Data!$C$8:$C$303,0))</f>
        <v>398550912</v>
      </c>
      <c r="E26" s="1060">
        <f>INDEX(Data!$F$8:$F$303,MATCH('Cost of Collecton Calculation'!B26,Data!$C$8:$C$303,0))</f>
        <v>16064</v>
      </c>
      <c r="F26" s="869">
        <f t="shared" si="2"/>
        <v>398551000</v>
      </c>
      <c r="G26" s="869">
        <f t="shared" si="3"/>
        <v>16060</v>
      </c>
      <c r="H26" s="869">
        <f t="shared" si="4"/>
        <v>398551000</v>
      </c>
      <c r="I26" s="869">
        <f t="shared" si="5"/>
        <v>16060</v>
      </c>
      <c r="J26" s="866">
        <f t="shared" si="6"/>
        <v>20160000</v>
      </c>
      <c r="K26" s="866">
        <f t="shared" si="7"/>
        <v>63840000</v>
      </c>
      <c r="L26" s="869">
        <f t="shared" si="0"/>
        <v>109741.35972111928</v>
      </c>
      <c r="M26" s="869">
        <f t="shared" si="1"/>
        <v>489360.481460993</v>
      </c>
      <c r="N26" s="872">
        <f t="shared" si="8"/>
        <v>599102</v>
      </c>
      <c r="P26" s="884">
        <v>600092</v>
      </c>
      <c r="Q26" s="876">
        <f t="shared" si="9"/>
        <v>990</v>
      </c>
      <c r="R26" s="877">
        <f t="shared" si="10"/>
        <v>1.6497470387873859E-3</v>
      </c>
    </row>
    <row r="27" spans="1:18" x14ac:dyDescent="0.2">
      <c r="A27" s="856" t="s">
        <v>524</v>
      </c>
      <c r="B27" s="857" t="s">
        <v>776</v>
      </c>
      <c r="C27" s="858">
        <v>1.1039000000000001</v>
      </c>
      <c r="D27" s="1060">
        <f>INDEX(Data!$E$8:$E$303,MATCH('Cost of Collecton Calculation'!B27,Data!$C$8:$C$303,0))</f>
        <v>138344985</v>
      </c>
      <c r="E27" s="1060">
        <f>INDEX(Data!$F$8:$F$303,MATCH('Cost of Collecton Calculation'!B27,Data!$C$8:$C$303,0))</f>
        <v>2633</v>
      </c>
      <c r="F27" s="869">
        <f t="shared" si="2"/>
        <v>138345000</v>
      </c>
      <c r="G27" s="869">
        <f t="shared" si="3"/>
        <v>2630</v>
      </c>
      <c r="H27" s="869">
        <f t="shared" si="4"/>
        <v>152719045.5</v>
      </c>
      <c r="I27" s="869">
        <f t="shared" si="5"/>
        <v>2903.2570000000001</v>
      </c>
      <c r="J27" s="866">
        <f t="shared" si="6"/>
        <v>20160000</v>
      </c>
      <c r="K27" s="866">
        <f t="shared" si="7"/>
        <v>63840000</v>
      </c>
      <c r="L27" s="869">
        <f t="shared" si="0"/>
        <v>42051.320178550508</v>
      </c>
      <c r="M27" s="869">
        <f t="shared" si="1"/>
        <v>88464.460979140611</v>
      </c>
      <c r="N27" s="872">
        <f t="shared" si="8"/>
        <v>130516</v>
      </c>
      <c r="P27" s="884">
        <v>142630</v>
      </c>
      <c r="Q27" s="876">
        <f t="shared" si="9"/>
        <v>12114</v>
      </c>
      <c r="R27" s="877">
        <f t="shared" si="10"/>
        <v>8.4933043539227371E-2</v>
      </c>
    </row>
    <row r="28" spans="1:18" x14ac:dyDescent="0.2">
      <c r="A28" s="856" t="s">
        <v>777</v>
      </c>
      <c r="B28" s="857" t="s">
        <v>778</v>
      </c>
      <c r="C28" s="858">
        <v>1.0055000000000001</v>
      </c>
      <c r="D28" s="1060">
        <f>INDEX(Data!$E$8:$E$303,MATCH('Cost of Collecton Calculation'!B28,Data!$C$8:$C$303,0))</f>
        <v>386899639</v>
      </c>
      <c r="E28" s="1060">
        <f>INDEX(Data!$F$8:$F$303,MATCH('Cost of Collecton Calculation'!B28,Data!$C$8:$C$303,0))</f>
        <v>19742</v>
      </c>
      <c r="F28" s="869">
        <f t="shared" si="2"/>
        <v>386900000</v>
      </c>
      <c r="G28" s="869">
        <f t="shared" si="3"/>
        <v>19740</v>
      </c>
      <c r="H28" s="869">
        <f t="shared" si="4"/>
        <v>389027950</v>
      </c>
      <c r="I28" s="869">
        <f t="shared" si="5"/>
        <v>19848.57</v>
      </c>
      <c r="J28" s="866">
        <f t="shared" si="6"/>
        <v>20160000</v>
      </c>
      <c r="K28" s="866">
        <f t="shared" si="7"/>
        <v>63840000</v>
      </c>
      <c r="L28" s="869">
        <f t="shared" si="0"/>
        <v>107119.17973488865</v>
      </c>
      <c r="M28" s="869">
        <f t="shared" si="1"/>
        <v>604801.10656987678</v>
      </c>
      <c r="N28" s="872">
        <f t="shared" si="8"/>
        <v>711920</v>
      </c>
      <c r="P28" s="884">
        <v>717287</v>
      </c>
      <c r="Q28" s="876">
        <f t="shared" si="9"/>
        <v>5367</v>
      </c>
      <c r="R28" s="877">
        <f t="shared" si="10"/>
        <v>7.4823606171588218E-3</v>
      </c>
    </row>
    <row r="29" spans="1:18" x14ac:dyDescent="0.2">
      <c r="A29" s="856" t="s">
        <v>779</v>
      </c>
      <c r="B29" s="857" t="s">
        <v>780</v>
      </c>
      <c r="C29" s="858">
        <v>1.0129999999999999</v>
      </c>
      <c r="D29" s="1060">
        <f>INDEX(Data!$E$8:$E$303,MATCH('Cost of Collecton Calculation'!B29,Data!$C$8:$C$303,0))</f>
        <v>136241020</v>
      </c>
      <c r="E29" s="1060">
        <f>INDEX(Data!$F$8:$F$303,MATCH('Cost of Collecton Calculation'!B29,Data!$C$8:$C$303,0))</f>
        <v>5075</v>
      </c>
      <c r="F29" s="869">
        <f t="shared" si="2"/>
        <v>136241000</v>
      </c>
      <c r="G29" s="869">
        <f t="shared" si="3"/>
        <v>5080</v>
      </c>
      <c r="H29" s="869">
        <f t="shared" si="4"/>
        <v>138012133</v>
      </c>
      <c r="I29" s="869">
        <f t="shared" si="5"/>
        <v>5146.0399999999991</v>
      </c>
      <c r="J29" s="866">
        <f t="shared" si="6"/>
        <v>20160000</v>
      </c>
      <c r="K29" s="866">
        <f t="shared" si="7"/>
        <v>63840000</v>
      </c>
      <c r="L29" s="869">
        <f t="shared" si="0"/>
        <v>38001.759206304734</v>
      </c>
      <c r="M29" s="869">
        <f t="shared" si="1"/>
        <v>156803.77409822715</v>
      </c>
      <c r="N29" s="872">
        <f t="shared" si="8"/>
        <v>194806</v>
      </c>
      <c r="P29" s="884">
        <v>188216</v>
      </c>
      <c r="Q29" s="876">
        <f t="shared" si="9"/>
        <v>-6590</v>
      </c>
      <c r="R29" s="877">
        <f t="shared" si="10"/>
        <v>-3.5012963828792452E-2</v>
      </c>
    </row>
    <row r="30" spans="1:18" x14ac:dyDescent="0.2">
      <c r="A30" s="856" t="s">
        <v>781</v>
      </c>
      <c r="B30" s="857" t="s">
        <v>782</v>
      </c>
      <c r="C30" s="858">
        <v>1</v>
      </c>
      <c r="D30" s="1060">
        <f>INDEX(Data!$E$8:$E$303,MATCH('Cost of Collecton Calculation'!B30,Data!$C$8:$C$303,0))</f>
        <v>104816017</v>
      </c>
      <c r="E30" s="1060">
        <f>INDEX(Data!$F$8:$F$303,MATCH('Cost of Collecton Calculation'!B30,Data!$C$8:$C$303,0))</f>
        <v>4698</v>
      </c>
      <c r="F30" s="869">
        <f t="shared" si="2"/>
        <v>104816000</v>
      </c>
      <c r="G30" s="869">
        <f t="shared" si="3"/>
        <v>4700</v>
      </c>
      <c r="H30" s="869">
        <f t="shared" si="4"/>
        <v>104816000</v>
      </c>
      <c r="I30" s="869">
        <f t="shared" si="5"/>
        <v>4700</v>
      </c>
      <c r="J30" s="866">
        <f t="shared" si="6"/>
        <v>20160000</v>
      </c>
      <c r="K30" s="866">
        <f t="shared" si="7"/>
        <v>63840000</v>
      </c>
      <c r="L30" s="869">
        <f t="shared" si="0"/>
        <v>28861.175509605644</v>
      </c>
      <c r="M30" s="869">
        <f t="shared" si="1"/>
        <v>143212.59420091327</v>
      </c>
      <c r="N30" s="872">
        <f t="shared" si="8"/>
        <v>172074</v>
      </c>
      <c r="P30" s="884">
        <v>168315</v>
      </c>
      <c r="Q30" s="876">
        <f t="shared" si="9"/>
        <v>-3759</v>
      </c>
      <c r="R30" s="877">
        <f t="shared" si="10"/>
        <v>-2.2333125389893949E-2</v>
      </c>
    </row>
    <row r="31" spans="1:18" x14ac:dyDescent="0.2">
      <c r="A31" s="856" t="s">
        <v>783</v>
      </c>
      <c r="B31" s="857" t="s">
        <v>784</v>
      </c>
      <c r="C31" s="858">
        <v>1.1113</v>
      </c>
      <c r="D31" s="1060">
        <f>INDEX(Data!$E$8:$E$303,MATCH('Cost of Collecton Calculation'!B31,Data!$C$8:$C$303,0))</f>
        <v>372574206</v>
      </c>
      <c r="E31" s="1060">
        <f>INDEX(Data!$F$8:$F$303,MATCH('Cost of Collecton Calculation'!B31,Data!$C$8:$C$303,0))</f>
        <v>9020</v>
      </c>
      <c r="F31" s="869">
        <f t="shared" si="2"/>
        <v>372574000</v>
      </c>
      <c r="G31" s="869">
        <f t="shared" si="3"/>
        <v>9020</v>
      </c>
      <c r="H31" s="869">
        <f t="shared" si="4"/>
        <v>414041486.19999999</v>
      </c>
      <c r="I31" s="869">
        <f t="shared" si="5"/>
        <v>10023.925999999999</v>
      </c>
      <c r="J31" s="866">
        <f t="shared" si="6"/>
        <v>20160000</v>
      </c>
      <c r="K31" s="866">
        <f t="shared" si="7"/>
        <v>63840000</v>
      </c>
      <c r="L31" s="869">
        <f t="shared" si="0"/>
        <v>114006.67838379792</v>
      </c>
      <c r="M31" s="869">
        <f t="shared" si="1"/>
        <v>305436.69075276249</v>
      </c>
      <c r="N31" s="872">
        <f t="shared" si="8"/>
        <v>419443</v>
      </c>
      <c r="P31" s="884">
        <v>407956</v>
      </c>
      <c r="Q31" s="876">
        <f t="shared" si="9"/>
        <v>-11487</v>
      </c>
      <c r="R31" s="877">
        <f t="shared" si="10"/>
        <v>-2.8157448352273285E-2</v>
      </c>
    </row>
    <row r="32" spans="1:18" x14ac:dyDescent="0.2">
      <c r="A32" s="856" t="s">
        <v>785</v>
      </c>
      <c r="B32" s="857" t="s">
        <v>786</v>
      </c>
      <c r="C32" s="858">
        <v>1.0618000000000001</v>
      </c>
      <c r="D32" s="1060">
        <f>INDEX(Data!$E$8:$E$303,MATCH('Cost of Collecton Calculation'!B32,Data!$C$8:$C$303,0))</f>
        <v>71160243</v>
      </c>
      <c r="E32" s="1060">
        <f>INDEX(Data!$F$8:$F$303,MATCH('Cost of Collecton Calculation'!B32,Data!$C$8:$C$303,0))</f>
        <v>2553</v>
      </c>
      <c r="F32" s="869">
        <f t="shared" si="2"/>
        <v>71160000</v>
      </c>
      <c r="G32" s="869">
        <f t="shared" si="3"/>
        <v>2550</v>
      </c>
      <c r="H32" s="869">
        <f t="shared" si="4"/>
        <v>75557688</v>
      </c>
      <c r="I32" s="869">
        <f t="shared" si="5"/>
        <v>2707.59</v>
      </c>
      <c r="J32" s="866">
        <f t="shared" si="6"/>
        <v>20160000</v>
      </c>
      <c r="K32" s="866">
        <f t="shared" si="7"/>
        <v>63840000</v>
      </c>
      <c r="L32" s="869">
        <f t="shared" si="0"/>
        <v>20804.874203060834</v>
      </c>
      <c r="M32" s="869">
        <f t="shared" si="1"/>
        <v>82502.337857968247</v>
      </c>
      <c r="N32" s="872">
        <f t="shared" si="8"/>
        <v>103307</v>
      </c>
      <c r="P32" s="884">
        <v>104130</v>
      </c>
      <c r="Q32" s="876">
        <f t="shared" si="9"/>
        <v>823</v>
      </c>
      <c r="R32" s="877">
        <f t="shared" si="10"/>
        <v>7.9035820608854314E-3</v>
      </c>
    </row>
    <row r="33" spans="1:18" x14ac:dyDescent="0.2">
      <c r="A33" s="856" t="s">
        <v>997</v>
      </c>
      <c r="B33" s="857" t="s">
        <v>788</v>
      </c>
      <c r="C33" s="858">
        <v>1.0089999999999999</v>
      </c>
      <c r="D33" s="1060">
        <f>INDEX(Data!$E$8:$E$303,MATCH('Cost of Collecton Calculation'!B33,Data!$C$8:$C$303,0))</f>
        <v>315427353</v>
      </c>
      <c r="E33" s="1060">
        <f>INDEX(Data!$F$8:$F$303,MATCH('Cost of Collecton Calculation'!B33,Data!$C$8:$C$303,0))</f>
        <v>11434</v>
      </c>
      <c r="F33" s="869">
        <f t="shared" si="2"/>
        <v>315427000</v>
      </c>
      <c r="G33" s="869">
        <f t="shared" si="3"/>
        <v>11430</v>
      </c>
      <c r="H33" s="869">
        <f t="shared" si="4"/>
        <v>318265842.99999994</v>
      </c>
      <c r="I33" s="869">
        <f t="shared" si="5"/>
        <v>11532.869999999999</v>
      </c>
      <c r="J33" s="866">
        <f t="shared" si="6"/>
        <v>20160000</v>
      </c>
      <c r="K33" s="866">
        <f t="shared" si="7"/>
        <v>63840000</v>
      </c>
      <c r="L33" s="869">
        <f t="shared" si="0"/>
        <v>87634.77287375585</v>
      </c>
      <c r="M33" s="869">
        <f t="shared" si="1"/>
        <v>351415.36835784814</v>
      </c>
      <c r="N33" s="872">
        <f t="shared" si="8"/>
        <v>439050</v>
      </c>
      <c r="P33" s="884">
        <v>446263</v>
      </c>
      <c r="Q33" s="876">
        <f t="shared" si="9"/>
        <v>7213</v>
      </c>
      <c r="R33" s="877">
        <f t="shared" si="10"/>
        <v>1.6163114575933921E-2</v>
      </c>
    </row>
    <row r="34" spans="1:18" x14ac:dyDescent="0.2">
      <c r="A34" s="856" t="s">
        <v>518</v>
      </c>
      <c r="B34" s="857" t="s">
        <v>790</v>
      </c>
      <c r="C34" s="858">
        <v>1.0378000000000001</v>
      </c>
      <c r="D34" s="1060">
        <f>INDEX(Data!$E$8:$E$303,MATCH('Cost of Collecton Calculation'!B34,Data!$C$8:$C$303,0))</f>
        <v>594526579</v>
      </c>
      <c r="E34" s="1060">
        <f>INDEX(Data!$F$8:$F$303,MATCH('Cost of Collecton Calculation'!B34,Data!$C$8:$C$303,0))</f>
        <v>16789</v>
      </c>
      <c r="F34" s="869">
        <f t="shared" si="2"/>
        <v>594527000</v>
      </c>
      <c r="G34" s="869">
        <f t="shared" si="3"/>
        <v>16790</v>
      </c>
      <c r="H34" s="869">
        <f t="shared" si="4"/>
        <v>617000120.60000002</v>
      </c>
      <c r="I34" s="869">
        <f t="shared" si="5"/>
        <v>17424.662</v>
      </c>
      <c r="J34" s="866">
        <f t="shared" si="6"/>
        <v>20160000</v>
      </c>
      <c r="K34" s="866">
        <f t="shared" si="7"/>
        <v>63840000</v>
      </c>
      <c r="L34" s="869">
        <f t="shared" si="0"/>
        <v>169891.51246073545</v>
      </c>
      <c r="M34" s="869">
        <f t="shared" si="1"/>
        <v>530942.77619022841</v>
      </c>
      <c r="N34" s="872">
        <f t="shared" si="8"/>
        <v>700834</v>
      </c>
      <c r="P34" s="884">
        <v>694564</v>
      </c>
      <c r="Q34" s="876">
        <f t="shared" si="9"/>
        <v>-6270</v>
      </c>
      <c r="R34" s="877">
        <f t="shared" si="10"/>
        <v>-9.0272458693511325E-3</v>
      </c>
    </row>
    <row r="35" spans="1:18" x14ac:dyDescent="0.2">
      <c r="A35" s="856" t="s">
        <v>791</v>
      </c>
      <c r="B35" s="857" t="s">
        <v>792</v>
      </c>
      <c r="C35" s="858">
        <v>1</v>
      </c>
      <c r="D35" s="1060">
        <f>INDEX(Data!$E$8:$E$303,MATCH('Cost of Collecton Calculation'!B35,Data!$C$8:$C$303,0))</f>
        <v>87185759</v>
      </c>
      <c r="E35" s="1060">
        <f>INDEX(Data!$F$8:$F$303,MATCH('Cost of Collecton Calculation'!B35,Data!$C$8:$C$303,0))</f>
        <v>3890</v>
      </c>
      <c r="F35" s="869">
        <f t="shared" si="2"/>
        <v>87186000</v>
      </c>
      <c r="G35" s="869">
        <f t="shared" si="3"/>
        <v>3890</v>
      </c>
      <c r="H35" s="869">
        <f t="shared" si="4"/>
        <v>87186000</v>
      </c>
      <c r="I35" s="869">
        <f t="shared" si="5"/>
        <v>3890</v>
      </c>
      <c r="J35" s="866">
        <f t="shared" si="6"/>
        <v>20160000</v>
      </c>
      <c r="K35" s="866">
        <f t="shared" si="7"/>
        <v>63840000</v>
      </c>
      <c r="L35" s="869">
        <f t="shared" si="0"/>
        <v>24006.739886853891</v>
      </c>
      <c r="M35" s="869">
        <f t="shared" si="1"/>
        <v>118531.27477479842</v>
      </c>
      <c r="N35" s="872">
        <f t="shared" si="8"/>
        <v>142538</v>
      </c>
      <c r="P35" s="884">
        <v>138985</v>
      </c>
      <c r="Q35" s="876">
        <f t="shared" si="9"/>
        <v>-3553</v>
      </c>
      <c r="R35" s="877">
        <f t="shared" si="10"/>
        <v>-2.5563909774436091E-2</v>
      </c>
    </row>
    <row r="36" spans="1:18" x14ac:dyDescent="0.2">
      <c r="A36" s="856" t="s">
        <v>793</v>
      </c>
      <c r="B36" s="857" t="s">
        <v>794</v>
      </c>
      <c r="C36" s="858">
        <v>1.0760000000000001</v>
      </c>
      <c r="D36" s="1060">
        <f>INDEX(Data!$E$8:$E$303,MATCH('Cost of Collecton Calculation'!B36,Data!$C$8:$C$303,0))</f>
        <v>244862169</v>
      </c>
      <c r="E36" s="1060">
        <f>INDEX(Data!$F$8:$F$303,MATCH('Cost of Collecton Calculation'!B36,Data!$C$8:$C$303,0))</f>
        <v>7343</v>
      </c>
      <c r="F36" s="869">
        <f t="shared" si="2"/>
        <v>244862000</v>
      </c>
      <c r="G36" s="869">
        <f t="shared" si="3"/>
        <v>7340</v>
      </c>
      <c r="H36" s="869">
        <f t="shared" si="4"/>
        <v>263471512.00000003</v>
      </c>
      <c r="I36" s="869">
        <f t="shared" si="5"/>
        <v>7897.84</v>
      </c>
      <c r="J36" s="866">
        <f t="shared" si="6"/>
        <v>20160000</v>
      </c>
      <c r="K36" s="866">
        <f t="shared" si="7"/>
        <v>63840000</v>
      </c>
      <c r="L36" s="869">
        <f t="shared" si="0"/>
        <v>72547.106831143814</v>
      </c>
      <c r="M36" s="869">
        <f t="shared" si="1"/>
        <v>240653.2244646257</v>
      </c>
      <c r="N36" s="872">
        <f t="shared" si="8"/>
        <v>313200</v>
      </c>
      <c r="P36" s="884">
        <v>321996</v>
      </c>
      <c r="Q36" s="876">
        <f t="shared" si="9"/>
        <v>8796</v>
      </c>
      <c r="R36" s="877">
        <f t="shared" si="10"/>
        <v>2.7317109529310924E-2</v>
      </c>
    </row>
    <row r="37" spans="1:18" x14ac:dyDescent="0.2">
      <c r="A37" s="856" t="s">
        <v>795</v>
      </c>
      <c r="B37" s="857" t="s">
        <v>796</v>
      </c>
      <c r="C37" s="858">
        <v>1</v>
      </c>
      <c r="D37" s="1060">
        <f>INDEX(Data!$E$8:$E$303,MATCH('Cost of Collecton Calculation'!B37,Data!$C$8:$C$303,0))</f>
        <v>79124220</v>
      </c>
      <c r="E37" s="1060">
        <f>INDEX(Data!$F$8:$F$303,MATCH('Cost of Collecton Calculation'!B37,Data!$C$8:$C$303,0))</f>
        <v>3435</v>
      </c>
      <c r="F37" s="869">
        <f t="shared" si="2"/>
        <v>79124000</v>
      </c>
      <c r="G37" s="869">
        <f t="shared" si="3"/>
        <v>3440</v>
      </c>
      <c r="H37" s="869">
        <f t="shared" si="4"/>
        <v>79124000</v>
      </c>
      <c r="I37" s="869">
        <f t="shared" si="5"/>
        <v>3440</v>
      </c>
      <c r="J37" s="866">
        <f t="shared" si="6"/>
        <v>20160000</v>
      </c>
      <c r="K37" s="866">
        <f t="shared" si="7"/>
        <v>63840000</v>
      </c>
      <c r="L37" s="869">
        <f t="shared" si="0"/>
        <v>21786.861271390215</v>
      </c>
      <c r="M37" s="869">
        <f t="shared" si="1"/>
        <v>104819.43064917906</v>
      </c>
      <c r="N37" s="872">
        <f t="shared" si="8"/>
        <v>126606</v>
      </c>
      <c r="P37" s="884">
        <v>127053</v>
      </c>
      <c r="Q37" s="876">
        <f t="shared" si="9"/>
        <v>447</v>
      </c>
      <c r="R37" s="877">
        <f t="shared" si="10"/>
        <v>3.5182168071592169E-3</v>
      </c>
    </row>
    <row r="38" spans="1:18" x14ac:dyDescent="0.2">
      <c r="A38" s="856" t="s">
        <v>797</v>
      </c>
      <c r="B38" s="857" t="s">
        <v>798</v>
      </c>
      <c r="C38" s="858">
        <v>1.0815999999999999</v>
      </c>
      <c r="D38" s="1060">
        <f>INDEX(Data!$E$8:$E$303,MATCH('Cost of Collecton Calculation'!B38,Data!$C$8:$C$303,0))</f>
        <v>107084204</v>
      </c>
      <c r="E38" s="1060">
        <f>INDEX(Data!$F$8:$F$303,MATCH('Cost of Collecton Calculation'!B38,Data!$C$8:$C$303,0))</f>
        <v>2343</v>
      </c>
      <c r="F38" s="869">
        <f t="shared" si="2"/>
        <v>107084000</v>
      </c>
      <c r="G38" s="869">
        <f t="shared" si="3"/>
        <v>2340</v>
      </c>
      <c r="H38" s="869">
        <f t="shared" si="4"/>
        <v>115822054.39999999</v>
      </c>
      <c r="I38" s="869">
        <f t="shared" si="5"/>
        <v>2530.944</v>
      </c>
      <c r="J38" s="866">
        <f t="shared" si="6"/>
        <v>20160000</v>
      </c>
      <c r="K38" s="866">
        <f t="shared" si="7"/>
        <v>63840000</v>
      </c>
      <c r="L38" s="869">
        <f t="shared" si="0"/>
        <v>31891.702029475389</v>
      </c>
      <c r="M38" s="869">
        <f t="shared" si="1"/>
        <v>77119.799152603446</v>
      </c>
      <c r="N38" s="872">
        <f t="shared" si="8"/>
        <v>109012</v>
      </c>
      <c r="P38" s="884">
        <v>105901</v>
      </c>
      <c r="Q38" s="876">
        <f t="shared" si="9"/>
        <v>-3111</v>
      </c>
      <c r="R38" s="877">
        <f t="shared" si="10"/>
        <v>-2.9376493139819264E-2</v>
      </c>
    </row>
    <row r="39" spans="1:18" x14ac:dyDescent="0.2">
      <c r="A39" s="856" t="s">
        <v>799</v>
      </c>
      <c r="B39" s="857" t="s">
        <v>800</v>
      </c>
      <c r="C39" s="858">
        <v>1.0121</v>
      </c>
      <c r="D39" s="1060">
        <f>INDEX(Data!$E$8:$E$303,MATCH('Cost of Collecton Calculation'!B39,Data!$C$8:$C$303,0))</f>
        <v>73607636</v>
      </c>
      <c r="E39" s="1060">
        <f>INDEX(Data!$F$8:$F$303,MATCH('Cost of Collecton Calculation'!B39,Data!$C$8:$C$303,0))</f>
        <v>2682</v>
      </c>
      <c r="F39" s="869">
        <f t="shared" si="2"/>
        <v>73608000</v>
      </c>
      <c r="G39" s="869">
        <f t="shared" si="3"/>
        <v>2680</v>
      </c>
      <c r="H39" s="869">
        <f t="shared" si="4"/>
        <v>74498656.799999997</v>
      </c>
      <c r="I39" s="869">
        <f t="shared" si="5"/>
        <v>2712.4279999999999</v>
      </c>
      <c r="J39" s="866">
        <f t="shared" si="6"/>
        <v>20160000</v>
      </c>
      <c r="K39" s="866">
        <f t="shared" si="7"/>
        <v>63840000</v>
      </c>
      <c r="L39" s="869">
        <f t="shared" si="0"/>
        <v>20513.269053719621</v>
      </c>
      <c r="M39" s="869">
        <f t="shared" si="1"/>
        <v>82649.755417701017</v>
      </c>
      <c r="N39" s="872">
        <f t="shared" si="8"/>
        <v>103163</v>
      </c>
      <c r="P39" s="884">
        <v>103808</v>
      </c>
      <c r="Q39" s="876">
        <f t="shared" si="9"/>
        <v>645</v>
      </c>
      <c r="R39" s="877">
        <f t="shared" si="10"/>
        <v>6.2133939580764491E-3</v>
      </c>
    </row>
    <row r="40" spans="1:18" x14ac:dyDescent="0.2">
      <c r="A40" s="856" t="s">
        <v>535</v>
      </c>
      <c r="B40" s="857" t="s">
        <v>1257</v>
      </c>
      <c r="C40" s="858">
        <v>1.0719000000000001</v>
      </c>
      <c r="D40" s="1060">
        <f>INDEX(Data!$E$8:$E$303,MATCH('Cost of Collecton Calculation'!B40,Data!$C$8:$C$303,0))</f>
        <v>549439591</v>
      </c>
      <c r="E40" s="1060">
        <f>INDEX(Data!$F$8:$F$303,MATCH('Cost of Collecton Calculation'!B40,Data!$C$8:$C$303,0))</f>
        <v>15372</v>
      </c>
      <c r="F40" s="869">
        <f t="shared" si="2"/>
        <v>549440000</v>
      </c>
      <c r="G40" s="869">
        <f t="shared" si="3"/>
        <v>15370</v>
      </c>
      <c r="H40" s="869">
        <f t="shared" si="4"/>
        <v>588944736</v>
      </c>
      <c r="I40" s="869">
        <f t="shared" si="5"/>
        <v>16475.103000000003</v>
      </c>
      <c r="J40" s="866">
        <f t="shared" si="6"/>
        <v>20160000</v>
      </c>
      <c r="K40" s="866">
        <f t="shared" si="7"/>
        <v>63840000</v>
      </c>
      <c r="L40" s="869">
        <f t="shared" si="0"/>
        <v>162166.43824563388</v>
      </c>
      <c r="M40" s="869">
        <f t="shared" si="1"/>
        <v>502008.98731005297</v>
      </c>
      <c r="N40" s="872">
        <f t="shared" si="8"/>
        <v>664175</v>
      </c>
      <c r="P40" s="884">
        <v>652229</v>
      </c>
      <c r="Q40" s="876">
        <f t="shared" si="9"/>
        <v>-11946</v>
      </c>
      <c r="R40" s="877">
        <f t="shared" si="10"/>
        <v>-1.8315652937848516E-2</v>
      </c>
    </row>
    <row r="41" spans="1:18" x14ac:dyDescent="0.2">
      <c r="A41" s="856" t="s">
        <v>801</v>
      </c>
      <c r="B41" s="857" t="s">
        <v>802</v>
      </c>
      <c r="C41" s="858">
        <v>1</v>
      </c>
      <c r="D41" s="1060">
        <f>INDEX(Data!$E$8:$E$303,MATCH('Cost of Collecton Calculation'!B41,Data!$C$8:$C$303,0))</f>
        <v>83718315</v>
      </c>
      <c r="E41" s="1060">
        <f>INDEX(Data!$F$8:$F$303,MATCH('Cost of Collecton Calculation'!B41,Data!$C$8:$C$303,0))</f>
        <v>5414</v>
      </c>
      <c r="F41" s="869">
        <f t="shared" si="2"/>
        <v>83718000</v>
      </c>
      <c r="G41" s="869">
        <f t="shared" si="3"/>
        <v>5410</v>
      </c>
      <c r="H41" s="869">
        <f t="shared" si="4"/>
        <v>83718000</v>
      </c>
      <c r="I41" s="869">
        <f t="shared" si="5"/>
        <v>5410</v>
      </c>
      <c r="J41" s="866">
        <f t="shared" si="6"/>
        <v>20160000</v>
      </c>
      <c r="K41" s="866">
        <f t="shared" si="7"/>
        <v>63840000</v>
      </c>
      <c r="L41" s="869">
        <f t="shared" si="0"/>
        <v>23051.823112055081</v>
      </c>
      <c r="M41" s="869">
        <f t="shared" si="1"/>
        <v>164846.83715466823</v>
      </c>
      <c r="N41" s="872">
        <f t="shared" si="8"/>
        <v>187899</v>
      </c>
      <c r="P41" s="884">
        <v>186795</v>
      </c>
      <c r="Q41" s="876">
        <f t="shared" si="9"/>
        <v>-1104</v>
      </c>
      <c r="R41" s="877">
        <f t="shared" si="10"/>
        <v>-5.9102224363607164E-3</v>
      </c>
    </row>
    <row r="42" spans="1:18" x14ac:dyDescent="0.2">
      <c r="A42" s="856" t="s">
        <v>803</v>
      </c>
      <c r="B42" s="857" t="s">
        <v>804</v>
      </c>
      <c r="C42" s="858">
        <v>1.0168999999999999</v>
      </c>
      <c r="D42" s="1060">
        <f>INDEX(Data!$E$8:$E$303,MATCH('Cost of Collecton Calculation'!B42,Data!$C$8:$C$303,0))</f>
        <v>134833098</v>
      </c>
      <c r="E42" s="1060">
        <f>INDEX(Data!$F$8:$F$303,MATCH('Cost of Collecton Calculation'!B42,Data!$C$8:$C$303,0))</f>
        <v>6329</v>
      </c>
      <c r="F42" s="869">
        <f t="shared" si="2"/>
        <v>134833000</v>
      </c>
      <c r="G42" s="869">
        <f t="shared" si="3"/>
        <v>6330</v>
      </c>
      <c r="H42" s="869">
        <f t="shared" si="4"/>
        <v>137111677.69999999</v>
      </c>
      <c r="I42" s="869">
        <f t="shared" si="5"/>
        <v>6436.9769999999999</v>
      </c>
      <c r="J42" s="866">
        <f t="shared" si="6"/>
        <v>20160000</v>
      </c>
      <c r="K42" s="866">
        <f t="shared" si="7"/>
        <v>63840000</v>
      </c>
      <c r="L42" s="869">
        <f t="shared" si="0"/>
        <v>37753.818067052569</v>
      </c>
      <c r="M42" s="869">
        <f t="shared" si="1"/>
        <v>196139.61169821533</v>
      </c>
      <c r="N42" s="872">
        <f t="shared" si="8"/>
        <v>233893</v>
      </c>
      <c r="P42" s="884">
        <v>234687</v>
      </c>
      <c r="Q42" s="876">
        <f t="shared" si="9"/>
        <v>794</v>
      </c>
      <c r="R42" s="877">
        <f t="shared" si="10"/>
        <v>3.3832295781189414E-3</v>
      </c>
    </row>
    <row r="43" spans="1:18" x14ac:dyDescent="0.2">
      <c r="A43" s="856" t="s">
        <v>805</v>
      </c>
      <c r="B43" s="857" t="s">
        <v>806</v>
      </c>
      <c r="C43" s="858">
        <v>1.0055000000000001</v>
      </c>
      <c r="D43" s="1060">
        <f>INDEX(Data!$E$8:$E$303,MATCH('Cost of Collecton Calculation'!B43,Data!$C$8:$C$303,0))</f>
        <v>170870893</v>
      </c>
      <c r="E43" s="1060">
        <f>INDEX(Data!$F$8:$F$303,MATCH('Cost of Collecton Calculation'!B43,Data!$C$8:$C$303,0))</f>
        <v>9811</v>
      </c>
      <c r="F43" s="869">
        <f t="shared" si="2"/>
        <v>170871000</v>
      </c>
      <c r="G43" s="869">
        <f t="shared" si="3"/>
        <v>9810</v>
      </c>
      <c r="H43" s="869">
        <f t="shared" si="4"/>
        <v>171810790.5</v>
      </c>
      <c r="I43" s="869">
        <f t="shared" si="5"/>
        <v>9863.9549999999999</v>
      </c>
      <c r="J43" s="866">
        <f t="shared" si="6"/>
        <v>20160000</v>
      </c>
      <c r="K43" s="866">
        <f t="shared" si="7"/>
        <v>63840000</v>
      </c>
      <c r="L43" s="869">
        <f t="shared" si="0"/>
        <v>47308.248540915374</v>
      </c>
      <c r="M43" s="869">
        <f t="shared" si="1"/>
        <v>300562.25204916368</v>
      </c>
      <c r="N43" s="872">
        <f t="shared" si="8"/>
        <v>347871</v>
      </c>
      <c r="P43" s="884">
        <v>346743</v>
      </c>
      <c r="Q43" s="876">
        <f t="shared" si="9"/>
        <v>-1128</v>
      </c>
      <c r="R43" s="877">
        <f t="shared" si="10"/>
        <v>-3.2531298396795321E-3</v>
      </c>
    </row>
    <row r="44" spans="1:18" x14ac:dyDescent="0.2">
      <c r="A44" s="856" t="s">
        <v>807</v>
      </c>
      <c r="B44" s="857" t="s">
        <v>808</v>
      </c>
      <c r="C44" s="858">
        <v>1.0339</v>
      </c>
      <c r="D44" s="1060">
        <f>INDEX(Data!$E$8:$E$303,MATCH('Cost of Collecton Calculation'!B44,Data!$C$8:$C$303,0))</f>
        <v>342379724</v>
      </c>
      <c r="E44" s="1060">
        <f>INDEX(Data!$F$8:$F$303,MATCH('Cost of Collecton Calculation'!B44,Data!$C$8:$C$303,0))</f>
        <v>4403</v>
      </c>
      <c r="F44" s="869">
        <f t="shared" si="2"/>
        <v>342380000</v>
      </c>
      <c r="G44" s="869">
        <f t="shared" si="3"/>
        <v>4400</v>
      </c>
      <c r="H44" s="869">
        <f t="shared" si="4"/>
        <v>353986682</v>
      </c>
      <c r="I44" s="869">
        <f t="shared" si="5"/>
        <v>4549.16</v>
      </c>
      <c r="J44" s="866">
        <f t="shared" si="6"/>
        <v>20160000</v>
      </c>
      <c r="K44" s="866">
        <f t="shared" si="7"/>
        <v>63840000</v>
      </c>
      <c r="L44" s="869">
        <f t="shared" si="0"/>
        <v>97470.536533210208</v>
      </c>
      <c r="M44" s="869">
        <f t="shared" si="1"/>
        <v>138616.38405000567</v>
      </c>
      <c r="N44" s="872">
        <f t="shared" si="8"/>
        <v>236087</v>
      </c>
      <c r="P44" s="884">
        <v>233037</v>
      </c>
      <c r="Q44" s="876">
        <f t="shared" si="9"/>
        <v>-3050</v>
      </c>
      <c r="R44" s="877">
        <f t="shared" si="10"/>
        <v>-1.3088050395430768E-2</v>
      </c>
    </row>
    <row r="45" spans="1:18" x14ac:dyDescent="0.2">
      <c r="A45" s="856" t="s">
        <v>809</v>
      </c>
      <c r="B45" s="857" t="s">
        <v>810</v>
      </c>
      <c r="C45" s="858">
        <v>1.2208000000000001</v>
      </c>
      <c r="D45" s="1060">
        <f>INDEX(Data!$E$8:$E$303,MATCH('Cost of Collecton Calculation'!B45,Data!$C$8:$C$303,0))</f>
        <v>1557421595</v>
      </c>
      <c r="E45" s="1060">
        <f>INDEX(Data!$F$8:$F$303,MATCH('Cost of Collecton Calculation'!B45,Data!$C$8:$C$303,0))</f>
        <v>18507</v>
      </c>
      <c r="F45" s="869">
        <f t="shared" si="2"/>
        <v>1557422000</v>
      </c>
      <c r="G45" s="869">
        <f t="shared" si="3"/>
        <v>18510</v>
      </c>
      <c r="H45" s="869">
        <f t="shared" si="4"/>
        <v>1901300777.6000001</v>
      </c>
      <c r="I45" s="869">
        <f t="shared" si="5"/>
        <v>22597.008000000002</v>
      </c>
      <c r="J45" s="866">
        <f t="shared" si="6"/>
        <v>20160000</v>
      </c>
      <c r="K45" s="866">
        <f t="shared" si="7"/>
        <v>63840000</v>
      </c>
      <c r="L45" s="869">
        <f t="shared" si="0"/>
        <v>523524.80001968483</v>
      </c>
      <c r="M45" s="869">
        <f t="shared" si="1"/>
        <v>688548.11422527465</v>
      </c>
      <c r="N45" s="872">
        <f t="shared" si="8"/>
        <v>1212073</v>
      </c>
      <c r="P45" s="884">
        <v>1270643</v>
      </c>
      <c r="Q45" s="876">
        <f t="shared" si="9"/>
        <v>58570</v>
      </c>
      <c r="R45" s="877">
        <f t="shared" si="10"/>
        <v>4.6094772489204287E-2</v>
      </c>
    </row>
    <row r="46" spans="1:18" x14ac:dyDescent="0.2">
      <c r="A46" s="856" t="s">
        <v>811</v>
      </c>
      <c r="B46" s="857" t="s">
        <v>812</v>
      </c>
      <c r="C46" s="858">
        <v>1</v>
      </c>
      <c r="D46" s="1060">
        <f>INDEX(Data!$E$8:$E$303,MATCH('Cost of Collecton Calculation'!B46,Data!$C$8:$C$303,0))</f>
        <v>96454014</v>
      </c>
      <c r="E46" s="1060">
        <f>INDEX(Data!$F$8:$F$303,MATCH('Cost of Collecton Calculation'!B46,Data!$C$8:$C$303,0))</f>
        <v>3655</v>
      </c>
      <c r="F46" s="869">
        <f t="shared" si="2"/>
        <v>96454000</v>
      </c>
      <c r="G46" s="869">
        <f t="shared" si="3"/>
        <v>3660</v>
      </c>
      <c r="H46" s="869">
        <f t="shared" si="4"/>
        <v>96454000</v>
      </c>
      <c r="I46" s="869">
        <f t="shared" si="5"/>
        <v>3660</v>
      </c>
      <c r="J46" s="866">
        <f t="shared" si="6"/>
        <v>20160000</v>
      </c>
      <c r="K46" s="866">
        <f t="shared" si="7"/>
        <v>63840000</v>
      </c>
      <c r="L46" s="869">
        <f t="shared" si="0"/>
        <v>26558.69163680643</v>
      </c>
      <c r="M46" s="869">
        <f t="shared" si="1"/>
        <v>111522.99888837076</v>
      </c>
      <c r="N46" s="872">
        <f t="shared" si="8"/>
        <v>138082</v>
      </c>
      <c r="P46" s="884">
        <v>137870</v>
      </c>
      <c r="Q46" s="876">
        <f t="shared" si="9"/>
        <v>-212</v>
      </c>
      <c r="R46" s="877">
        <f t="shared" si="10"/>
        <v>-1.5376804235874375E-3</v>
      </c>
    </row>
    <row r="47" spans="1:18" x14ac:dyDescent="0.2">
      <c r="A47" s="856" t="s">
        <v>813</v>
      </c>
      <c r="B47" s="857" t="s">
        <v>814</v>
      </c>
      <c r="C47" s="858">
        <v>1.0067999999999999</v>
      </c>
      <c r="D47" s="1060">
        <f>INDEX(Data!$E$8:$E$303,MATCH('Cost of Collecton Calculation'!B47,Data!$C$8:$C$303,0))</f>
        <v>153241309</v>
      </c>
      <c r="E47" s="1060">
        <f>INDEX(Data!$F$8:$F$303,MATCH('Cost of Collecton Calculation'!B47,Data!$C$8:$C$303,0))</f>
        <v>6353</v>
      </c>
      <c r="F47" s="869">
        <f t="shared" si="2"/>
        <v>153241000</v>
      </c>
      <c r="G47" s="869">
        <f t="shared" si="3"/>
        <v>6350</v>
      </c>
      <c r="H47" s="869">
        <f t="shared" si="4"/>
        <v>154283038.79999998</v>
      </c>
      <c r="I47" s="869">
        <f t="shared" si="5"/>
        <v>6393.1799999999994</v>
      </c>
      <c r="J47" s="866">
        <f t="shared" si="6"/>
        <v>20160000</v>
      </c>
      <c r="K47" s="866">
        <f t="shared" si="7"/>
        <v>63840000</v>
      </c>
      <c r="L47" s="869">
        <f t="shared" si="0"/>
        <v>42481.967075275687</v>
      </c>
      <c r="M47" s="869">
        <f t="shared" si="1"/>
        <v>194805.08361561585</v>
      </c>
      <c r="N47" s="872">
        <f t="shared" si="8"/>
        <v>237287</v>
      </c>
      <c r="P47" s="884">
        <v>236717</v>
      </c>
      <c r="Q47" s="876">
        <f t="shared" si="9"/>
        <v>-570</v>
      </c>
      <c r="R47" s="877">
        <f t="shared" si="10"/>
        <v>-2.407938593341416E-3</v>
      </c>
    </row>
    <row r="48" spans="1:18" x14ac:dyDescent="0.2">
      <c r="A48" s="856" t="s">
        <v>815</v>
      </c>
      <c r="B48" s="857" t="s">
        <v>816</v>
      </c>
      <c r="C48" s="858">
        <v>1.0129999999999999</v>
      </c>
      <c r="D48" s="1060">
        <f>INDEX(Data!$E$8:$E$303,MATCH('Cost of Collecton Calculation'!B48,Data!$C$8:$C$303,0))</f>
        <v>46129280</v>
      </c>
      <c r="E48" s="1060">
        <f>INDEX(Data!$F$8:$F$303,MATCH('Cost of Collecton Calculation'!B48,Data!$C$8:$C$303,0))</f>
        <v>2021</v>
      </c>
      <c r="F48" s="869">
        <f t="shared" si="2"/>
        <v>46129000</v>
      </c>
      <c r="G48" s="869">
        <f t="shared" si="3"/>
        <v>2020</v>
      </c>
      <c r="H48" s="869">
        <f t="shared" si="4"/>
        <v>46728676.999999993</v>
      </c>
      <c r="I48" s="869">
        <f t="shared" si="5"/>
        <v>2046.2599999999998</v>
      </c>
      <c r="J48" s="866">
        <f t="shared" si="6"/>
        <v>20160000</v>
      </c>
      <c r="K48" s="866">
        <f t="shared" si="7"/>
        <v>63840000</v>
      </c>
      <c r="L48" s="869">
        <f t="shared" si="0"/>
        <v>12866.781295114031</v>
      </c>
      <c r="M48" s="869">
        <f t="shared" si="1"/>
        <v>62351.107023310797</v>
      </c>
      <c r="N48" s="872">
        <f t="shared" si="8"/>
        <v>75218</v>
      </c>
      <c r="P48" s="884">
        <v>75252</v>
      </c>
      <c r="Q48" s="876">
        <f t="shared" si="9"/>
        <v>34</v>
      </c>
      <c r="R48" s="877">
        <f t="shared" si="10"/>
        <v>4.5181523414660076E-4</v>
      </c>
    </row>
    <row r="49" spans="1:18" x14ac:dyDescent="0.2">
      <c r="A49" s="859" t="s">
        <v>817</v>
      </c>
      <c r="B49" s="860" t="s">
        <v>818</v>
      </c>
      <c r="C49" s="858">
        <v>1.0392999999999999</v>
      </c>
      <c r="D49" s="1060">
        <f>INDEX(Data!$E$8:$E$303,MATCH('Cost of Collecton Calculation'!B49,Data!$C$8:$C$303,0))</f>
        <v>301051250</v>
      </c>
      <c r="E49" s="1060">
        <f>INDEX(Data!$F$8:$F$303,MATCH('Cost of Collecton Calculation'!B49,Data!$C$8:$C$303,0))</f>
        <v>7341</v>
      </c>
      <c r="F49" s="869">
        <f t="shared" si="2"/>
        <v>301051000</v>
      </c>
      <c r="G49" s="869">
        <f t="shared" si="3"/>
        <v>7340</v>
      </c>
      <c r="H49" s="869">
        <f t="shared" si="4"/>
        <v>312882304.29999995</v>
      </c>
      <c r="I49" s="869">
        <f t="shared" si="5"/>
        <v>7628.4619999999995</v>
      </c>
      <c r="J49" s="866">
        <f t="shared" si="6"/>
        <v>20160000</v>
      </c>
      <c r="K49" s="866">
        <f t="shared" si="7"/>
        <v>63840000</v>
      </c>
      <c r="L49" s="869">
        <f t="shared" si="0"/>
        <v>86152.410874791429</v>
      </c>
      <c r="M49" s="869">
        <f t="shared" si="1"/>
        <v>232445.07080491216</v>
      </c>
      <c r="N49" s="872">
        <f t="shared" si="8"/>
        <v>318597</v>
      </c>
      <c r="P49" s="884">
        <v>300326</v>
      </c>
      <c r="Q49" s="876">
        <f t="shared" si="9"/>
        <v>-18271</v>
      </c>
      <c r="R49" s="877">
        <f t="shared" si="10"/>
        <v>-6.0837223550408555E-2</v>
      </c>
    </row>
    <row r="50" spans="1:18" x14ac:dyDescent="0.2">
      <c r="A50" s="856" t="s">
        <v>819</v>
      </c>
      <c r="B50" s="857" t="s">
        <v>820</v>
      </c>
      <c r="C50" s="858">
        <v>1</v>
      </c>
      <c r="D50" s="1060">
        <f>INDEX(Data!$E$8:$E$303,MATCH('Cost of Collecton Calculation'!B50,Data!$C$8:$C$303,0))</f>
        <v>142616816</v>
      </c>
      <c r="E50" s="1060">
        <f>INDEX(Data!$F$8:$F$303,MATCH('Cost of Collecton Calculation'!B50,Data!$C$8:$C$303,0))</f>
        <v>4845</v>
      </c>
      <c r="F50" s="869">
        <f t="shared" si="2"/>
        <v>142617000</v>
      </c>
      <c r="G50" s="869">
        <f t="shared" si="3"/>
        <v>4850</v>
      </c>
      <c r="H50" s="869">
        <f t="shared" si="4"/>
        <v>142617000</v>
      </c>
      <c r="I50" s="869">
        <f t="shared" si="5"/>
        <v>4850</v>
      </c>
      <c r="J50" s="866">
        <f t="shared" si="6"/>
        <v>20160000</v>
      </c>
      <c r="K50" s="866">
        <f t="shared" si="7"/>
        <v>63840000</v>
      </c>
      <c r="L50" s="869">
        <f t="shared" si="0"/>
        <v>39269.713284741149</v>
      </c>
      <c r="M50" s="869">
        <f t="shared" si="1"/>
        <v>147783.20890945304</v>
      </c>
      <c r="N50" s="872">
        <f t="shared" si="8"/>
        <v>187053</v>
      </c>
      <c r="P50" s="884">
        <v>185648</v>
      </c>
      <c r="Q50" s="876">
        <f t="shared" si="9"/>
        <v>-1405</v>
      </c>
      <c r="R50" s="877">
        <f t="shared" si="10"/>
        <v>-7.5680858398689994E-3</v>
      </c>
    </row>
    <row r="51" spans="1:18" x14ac:dyDescent="0.2">
      <c r="A51" s="856" t="s">
        <v>821</v>
      </c>
      <c r="B51" s="857" t="s">
        <v>822</v>
      </c>
      <c r="C51" s="858">
        <v>1.0129999999999999</v>
      </c>
      <c r="D51" s="1060">
        <f>INDEX(Data!$E$8:$E$303,MATCH('Cost of Collecton Calculation'!B51,Data!$C$8:$C$303,0))</f>
        <v>209009578</v>
      </c>
      <c r="E51" s="1060">
        <f>INDEX(Data!$F$8:$F$303,MATCH('Cost of Collecton Calculation'!B51,Data!$C$8:$C$303,0))</f>
        <v>5216</v>
      </c>
      <c r="F51" s="869">
        <f t="shared" si="2"/>
        <v>209010000</v>
      </c>
      <c r="G51" s="869">
        <f t="shared" si="3"/>
        <v>5220</v>
      </c>
      <c r="H51" s="869">
        <f t="shared" si="4"/>
        <v>211727129.99999997</v>
      </c>
      <c r="I51" s="869">
        <f t="shared" si="5"/>
        <v>5287.86</v>
      </c>
      <c r="J51" s="866">
        <f t="shared" si="6"/>
        <v>20160000</v>
      </c>
      <c r="K51" s="866">
        <f t="shared" si="7"/>
        <v>63840000</v>
      </c>
      <c r="L51" s="869">
        <f t="shared" si="0"/>
        <v>58299.246861882631</v>
      </c>
      <c r="M51" s="869">
        <f t="shared" si="1"/>
        <v>161125.13795132792</v>
      </c>
      <c r="N51" s="872">
        <f t="shared" si="8"/>
        <v>219424</v>
      </c>
      <c r="P51" s="884">
        <v>219553</v>
      </c>
      <c r="Q51" s="876">
        <f t="shared" si="9"/>
        <v>129</v>
      </c>
      <c r="R51" s="877">
        <f t="shared" si="10"/>
        <v>5.8755744626582188E-4</v>
      </c>
    </row>
    <row r="52" spans="1:18" x14ac:dyDescent="0.2">
      <c r="A52" s="856" t="s">
        <v>823</v>
      </c>
      <c r="B52" s="857" t="s">
        <v>824</v>
      </c>
      <c r="C52" s="858">
        <v>1.0197000000000001</v>
      </c>
      <c r="D52" s="1060">
        <f>INDEX(Data!$E$8:$E$303,MATCH('Cost of Collecton Calculation'!B52,Data!$C$8:$C$303,0))</f>
        <v>148770311</v>
      </c>
      <c r="E52" s="1060">
        <f>INDEX(Data!$F$8:$F$303,MATCH('Cost of Collecton Calculation'!B52,Data!$C$8:$C$303,0))</f>
        <v>4035</v>
      </c>
      <c r="F52" s="869">
        <f t="shared" si="2"/>
        <v>148770000</v>
      </c>
      <c r="G52" s="869">
        <f t="shared" si="3"/>
        <v>4040</v>
      </c>
      <c r="H52" s="869">
        <f t="shared" si="4"/>
        <v>151700769</v>
      </c>
      <c r="I52" s="869">
        <f t="shared" si="5"/>
        <v>4119.5880000000006</v>
      </c>
      <c r="J52" s="866">
        <f t="shared" si="6"/>
        <v>20160000</v>
      </c>
      <c r="K52" s="866">
        <f t="shared" si="7"/>
        <v>63840000</v>
      </c>
      <c r="L52" s="869">
        <f t="shared" si="0"/>
        <v>41770.936870813071</v>
      </c>
      <c r="M52" s="869">
        <f t="shared" si="1"/>
        <v>125526.99670615999</v>
      </c>
      <c r="N52" s="872">
        <f t="shared" si="8"/>
        <v>167298</v>
      </c>
      <c r="P52" s="884">
        <v>165888</v>
      </c>
      <c r="Q52" s="876">
        <f t="shared" si="9"/>
        <v>-1410</v>
      </c>
      <c r="R52" s="877">
        <f t="shared" si="10"/>
        <v>-8.4997106481481486E-3</v>
      </c>
    </row>
    <row r="53" spans="1:18" x14ac:dyDescent="0.2">
      <c r="A53" s="856" t="s">
        <v>825</v>
      </c>
      <c r="B53" s="857" t="s">
        <v>826</v>
      </c>
      <c r="C53" s="858">
        <v>1.0533999999999999</v>
      </c>
      <c r="D53" s="1060">
        <f>INDEX(Data!$E$8:$E$303,MATCH('Cost of Collecton Calculation'!B53,Data!$C$8:$C$303,0))</f>
        <v>260611178</v>
      </c>
      <c r="E53" s="1060">
        <f>INDEX(Data!$F$8:$F$303,MATCH('Cost of Collecton Calculation'!B53,Data!$C$8:$C$303,0))</f>
        <v>5201</v>
      </c>
      <c r="F53" s="869">
        <f t="shared" si="2"/>
        <v>260611000</v>
      </c>
      <c r="G53" s="869">
        <f t="shared" si="3"/>
        <v>5200</v>
      </c>
      <c r="H53" s="869">
        <f t="shared" si="4"/>
        <v>274527627.39999998</v>
      </c>
      <c r="I53" s="869">
        <f t="shared" si="5"/>
        <v>5477.6799999999994</v>
      </c>
      <c r="J53" s="866">
        <f t="shared" si="6"/>
        <v>20160000</v>
      </c>
      <c r="K53" s="866">
        <f t="shared" si="7"/>
        <v>63840000</v>
      </c>
      <c r="L53" s="869">
        <f t="shared" si="0"/>
        <v>75591.417690305141</v>
      </c>
      <c r="M53" s="869">
        <f t="shared" si="1"/>
        <v>166909.09851116137</v>
      </c>
      <c r="N53" s="872">
        <f t="shared" si="8"/>
        <v>242501</v>
      </c>
      <c r="P53" s="884">
        <v>237849</v>
      </c>
      <c r="Q53" s="876">
        <f t="shared" si="9"/>
        <v>-4652</v>
      </c>
      <c r="R53" s="877">
        <f t="shared" si="10"/>
        <v>-1.955862753259421E-2</v>
      </c>
    </row>
    <row r="54" spans="1:18" x14ac:dyDescent="0.2">
      <c r="A54" s="856" t="s">
        <v>827</v>
      </c>
      <c r="B54" s="857" t="s">
        <v>828</v>
      </c>
      <c r="C54" s="858">
        <v>1.0129999999999999</v>
      </c>
      <c r="D54" s="1060">
        <f>INDEX(Data!$E$8:$E$303,MATCH('Cost of Collecton Calculation'!B54,Data!$C$8:$C$303,0))</f>
        <v>384501594</v>
      </c>
      <c r="E54" s="1060">
        <f>INDEX(Data!$F$8:$F$303,MATCH('Cost of Collecton Calculation'!B54,Data!$C$8:$C$303,0))</f>
        <v>15264</v>
      </c>
      <c r="F54" s="869">
        <f t="shared" si="2"/>
        <v>384502000</v>
      </c>
      <c r="G54" s="869">
        <f t="shared" si="3"/>
        <v>15260</v>
      </c>
      <c r="H54" s="869">
        <f t="shared" si="4"/>
        <v>389500525.99999994</v>
      </c>
      <c r="I54" s="869">
        <f t="shared" si="5"/>
        <v>15458.38</v>
      </c>
      <c r="J54" s="866">
        <f t="shared" si="6"/>
        <v>20160000</v>
      </c>
      <c r="K54" s="866">
        <f t="shared" si="7"/>
        <v>63840000</v>
      </c>
      <c r="L54" s="869">
        <f t="shared" si="0"/>
        <v>107249.3039418573</v>
      </c>
      <c r="M54" s="869">
        <f t="shared" si="1"/>
        <v>471028.65998798161</v>
      </c>
      <c r="N54" s="872">
        <f t="shared" si="8"/>
        <v>578278</v>
      </c>
      <c r="P54" s="884">
        <v>572837</v>
      </c>
      <c r="Q54" s="876">
        <f t="shared" si="9"/>
        <v>-5441</v>
      </c>
      <c r="R54" s="877">
        <f t="shared" si="10"/>
        <v>-9.4983389690260923E-3</v>
      </c>
    </row>
    <row r="55" spans="1:18" x14ac:dyDescent="0.2">
      <c r="A55" s="856" t="s">
        <v>545</v>
      </c>
      <c r="B55" s="857" t="s">
        <v>829</v>
      </c>
      <c r="C55" s="858">
        <v>1.0129999999999999</v>
      </c>
      <c r="D55" s="1060">
        <f>INDEX(Data!$E$8:$E$303,MATCH('Cost of Collecton Calculation'!B55,Data!$C$8:$C$303,0))</f>
        <v>400787065</v>
      </c>
      <c r="E55" s="1060">
        <f>INDEX(Data!$F$8:$F$303,MATCH('Cost of Collecton Calculation'!B55,Data!$C$8:$C$303,0))</f>
        <v>12416</v>
      </c>
      <c r="F55" s="869">
        <f t="shared" si="2"/>
        <v>400787000</v>
      </c>
      <c r="G55" s="869">
        <f t="shared" si="3"/>
        <v>12420</v>
      </c>
      <c r="H55" s="869">
        <f t="shared" si="4"/>
        <v>405997230.99999994</v>
      </c>
      <c r="I55" s="869">
        <f t="shared" si="5"/>
        <v>12581.46</v>
      </c>
      <c r="J55" s="866">
        <f t="shared" si="6"/>
        <v>20160000</v>
      </c>
      <c r="K55" s="866">
        <f t="shared" si="7"/>
        <v>63840000</v>
      </c>
      <c r="L55" s="869">
        <f t="shared" si="0"/>
        <v>111791.68581423546</v>
      </c>
      <c r="M55" s="869">
        <f t="shared" si="1"/>
        <v>383366.70753936644</v>
      </c>
      <c r="N55" s="872">
        <f t="shared" si="8"/>
        <v>495158</v>
      </c>
      <c r="P55" s="884">
        <v>489731</v>
      </c>
      <c r="Q55" s="876">
        <f t="shared" si="9"/>
        <v>-5427</v>
      </c>
      <c r="R55" s="877">
        <f t="shared" si="10"/>
        <v>-1.1081593772907985E-2</v>
      </c>
    </row>
    <row r="56" spans="1:18" x14ac:dyDescent="0.2">
      <c r="A56" s="856" t="s">
        <v>830</v>
      </c>
      <c r="B56" s="857" t="s">
        <v>831</v>
      </c>
      <c r="C56" s="858">
        <v>1</v>
      </c>
      <c r="D56" s="1060">
        <f>INDEX(Data!$E$8:$E$303,MATCH('Cost of Collecton Calculation'!B56,Data!$C$8:$C$303,0))</f>
        <v>106562134</v>
      </c>
      <c r="E56" s="1060">
        <f>INDEX(Data!$F$8:$F$303,MATCH('Cost of Collecton Calculation'!B56,Data!$C$8:$C$303,0))</f>
        <v>4382</v>
      </c>
      <c r="F56" s="869">
        <f t="shared" si="2"/>
        <v>106562000</v>
      </c>
      <c r="G56" s="869">
        <f t="shared" si="3"/>
        <v>4380</v>
      </c>
      <c r="H56" s="869">
        <f t="shared" si="4"/>
        <v>106562000</v>
      </c>
      <c r="I56" s="869">
        <f t="shared" si="5"/>
        <v>4380</v>
      </c>
      <c r="J56" s="866">
        <f t="shared" si="6"/>
        <v>20160000</v>
      </c>
      <c r="K56" s="866">
        <f t="shared" si="7"/>
        <v>63840000</v>
      </c>
      <c r="L56" s="869">
        <f t="shared" si="0"/>
        <v>29341.938107298472</v>
      </c>
      <c r="M56" s="869">
        <f t="shared" si="1"/>
        <v>133461.94948936172</v>
      </c>
      <c r="N56" s="872">
        <f t="shared" si="8"/>
        <v>162804</v>
      </c>
      <c r="P56" s="884">
        <v>161125</v>
      </c>
      <c r="Q56" s="876">
        <f t="shared" si="9"/>
        <v>-1679</v>
      </c>
      <c r="R56" s="877">
        <f t="shared" si="10"/>
        <v>-1.0420480993017843E-2</v>
      </c>
    </row>
    <row r="57" spans="1:18" x14ac:dyDescent="0.2">
      <c r="A57" s="856" t="s">
        <v>832</v>
      </c>
      <c r="B57" s="857" t="s">
        <v>833</v>
      </c>
      <c r="C57" s="858">
        <v>1</v>
      </c>
      <c r="D57" s="1060">
        <f>INDEX(Data!$E$8:$E$303,MATCH('Cost of Collecton Calculation'!B57,Data!$C$8:$C$303,0))</f>
        <v>134045306</v>
      </c>
      <c r="E57" s="1060">
        <f>INDEX(Data!$F$8:$F$303,MATCH('Cost of Collecton Calculation'!B57,Data!$C$8:$C$303,0))</f>
        <v>5475</v>
      </c>
      <c r="F57" s="869">
        <f t="shared" si="2"/>
        <v>134045000</v>
      </c>
      <c r="G57" s="869">
        <f t="shared" si="3"/>
        <v>5480</v>
      </c>
      <c r="H57" s="869">
        <f t="shared" si="4"/>
        <v>134045000</v>
      </c>
      <c r="I57" s="869">
        <f t="shared" si="5"/>
        <v>5480</v>
      </c>
      <c r="J57" s="866">
        <f t="shared" si="6"/>
        <v>20160000</v>
      </c>
      <c r="K57" s="866">
        <f t="shared" si="7"/>
        <v>63840000</v>
      </c>
      <c r="L57" s="869">
        <f t="shared" si="0"/>
        <v>36909.405731807055</v>
      </c>
      <c r="M57" s="869">
        <f t="shared" si="1"/>
        <v>166979.79068532016</v>
      </c>
      <c r="N57" s="872">
        <f t="shared" si="8"/>
        <v>203889</v>
      </c>
      <c r="P57" s="884">
        <v>203445</v>
      </c>
      <c r="Q57" s="876">
        <f t="shared" si="9"/>
        <v>-444</v>
      </c>
      <c r="R57" s="877">
        <f t="shared" si="10"/>
        <v>-2.1824080218240801E-3</v>
      </c>
    </row>
    <row r="58" spans="1:18" x14ac:dyDescent="0.2">
      <c r="A58" s="856" t="s">
        <v>834</v>
      </c>
      <c r="B58" s="857" t="s">
        <v>835</v>
      </c>
      <c r="C58" s="858">
        <v>1</v>
      </c>
      <c r="D58" s="1060">
        <f>INDEX(Data!$E$8:$E$303,MATCH('Cost of Collecton Calculation'!B58,Data!$C$8:$C$303,0))</f>
        <v>77266183</v>
      </c>
      <c r="E58" s="1060">
        <f>INDEX(Data!$F$8:$F$303,MATCH('Cost of Collecton Calculation'!B58,Data!$C$8:$C$303,0))</f>
        <v>3744</v>
      </c>
      <c r="F58" s="869">
        <f t="shared" si="2"/>
        <v>77266000</v>
      </c>
      <c r="G58" s="869">
        <f t="shared" si="3"/>
        <v>3740</v>
      </c>
      <c r="H58" s="869">
        <f t="shared" si="4"/>
        <v>77266000</v>
      </c>
      <c r="I58" s="869">
        <f t="shared" si="5"/>
        <v>3740</v>
      </c>
      <c r="J58" s="866">
        <f t="shared" si="6"/>
        <v>20160000</v>
      </c>
      <c r="K58" s="866">
        <f t="shared" si="7"/>
        <v>63840000</v>
      </c>
      <c r="L58" s="869">
        <f t="shared" si="0"/>
        <v>21275.259377625454</v>
      </c>
      <c r="M58" s="869">
        <f t="shared" si="1"/>
        <v>113960.66006625864</v>
      </c>
      <c r="N58" s="872">
        <f t="shared" si="8"/>
        <v>135236</v>
      </c>
      <c r="P58" s="884">
        <v>131485</v>
      </c>
      <c r="Q58" s="876">
        <f t="shared" si="9"/>
        <v>-3751</v>
      </c>
      <c r="R58" s="877">
        <f t="shared" si="10"/>
        <v>-2.8527968969844469E-2</v>
      </c>
    </row>
    <row r="59" spans="1:18" x14ac:dyDescent="0.2">
      <c r="A59" s="856" t="s">
        <v>836</v>
      </c>
      <c r="B59" s="857" t="s">
        <v>0</v>
      </c>
      <c r="C59" s="858">
        <v>1.4058999999999999</v>
      </c>
      <c r="D59" s="1060">
        <f>INDEX(Data!$E$8:$E$303,MATCH('Cost of Collecton Calculation'!B59,Data!$C$8:$C$303,0))</f>
        <v>2568839013</v>
      </c>
      <c r="E59" s="1060">
        <f>INDEX(Data!$F$8:$F$303,MATCH('Cost of Collecton Calculation'!B59,Data!$C$8:$C$303,0))</f>
        <v>20112</v>
      </c>
      <c r="F59" s="869">
        <f t="shared" si="2"/>
        <v>2568839000</v>
      </c>
      <c r="G59" s="869">
        <f t="shared" si="3"/>
        <v>20110</v>
      </c>
      <c r="H59" s="869">
        <f t="shared" si="4"/>
        <v>3611530750.0999999</v>
      </c>
      <c r="I59" s="869">
        <f t="shared" si="5"/>
        <v>28272.648999999998</v>
      </c>
      <c r="J59" s="866">
        <f t="shared" si="6"/>
        <v>20160000</v>
      </c>
      <c r="K59" s="866">
        <f t="shared" si="7"/>
        <v>63840000</v>
      </c>
      <c r="L59" s="869">
        <f t="shared" si="0"/>
        <v>994438.08995739021</v>
      </c>
      <c r="M59" s="869">
        <f t="shared" si="1"/>
        <v>861489.23579188413</v>
      </c>
      <c r="N59" s="872">
        <f t="shared" si="8"/>
        <v>1855927</v>
      </c>
      <c r="P59" s="884">
        <v>2012192</v>
      </c>
      <c r="Q59" s="876">
        <f t="shared" si="9"/>
        <v>156265</v>
      </c>
      <c r="R59" s="877">
        <f t="shared" si="10"/>
        <v>7.7659090186224772E-2</v>
      </c>
    </row>
    <row r="60" spans="1:18" x14ac:dyDescent="0.2">
      <c r="A60" s="856" t="s">
        <v>1</v>
      </c>
      <c r="B60" s="857" t="s">
        <v>2</v>
      </c>
      <c r="C60" s="858">
        <v>1.0129999999999999</v>
      </c>
      <c r="D60" s="1060">
        <f>INDEX(Data!$E$8:$E$303,MATCH('Cost of Collecton Calculation'!B60,Data!$C$8:$C$303,0))</f>
        <v>173972677</v>
      </c>
      <c r="E60" s="1060">
        <f>INDEX(Data!$F$8:$F$303,MATCH('Cost of Collecton Calculation'!B60,Data!$C$8:$C$303,0))</f>
        <v>6164</v>
      </c>
      <c r="F60" s="869">
        <f t="shared" si="2"/>
        <v>173973000</v>
      </c>
      <c r="G60" s="869">
        <f t="shared" si="3"/>
        <v>6160</v>
      </c>
      <c r="H60" s="869">
        <f t="shared" si="4"/>
        <v>176234648.99999997</v>
      </c>
      <c r="I60" s="869">
        <f t="shared" si="5"/>
        <v>6240.079999999999</v>
      </c>
      <c r="J60" s="866">
        <f t="shared" si="6"/>
        <v>20160000</v>
      </c>
      <c r="K60" s="866">
        <f t="shared" si="7"/>
        <v>63840000</v>
      </c>
      <c r="L60" s="869">
        <f t="shared" si="0"/>
        <v>48526.361773610384</v>
      </c>
      <c r="M60" s="869">
        <f t="shared" si="1"/>
        <v>190140.00953643292</v>
      </c>
      <c r="N60" s="872">
        <f t="shared" si="8"/>
        <v>238666</v>
      </c>
      <c r="P60" s="884">
        <v>236350</v>
      </c>
      <c r="Q60" s="876">
        <f t="shared" si="9"/>
        <v>-2316</v>
      </c>
      <c r="R60" s="877">
        <f t="shared" si="10"/>
        <v>-9.7990268669346306E-3</v>
      </c>
    </row>
    <row r="61" spans="1:18" x14ac:dyDescent="0.2">
      <c r="A61" s="856" t="s">
        <v>3</v>
      </c>
      <c r="B61" s="857" t="s">
        <v>4</v>
      </c>
      <c r="C61" s="858">
        <v>1</v>
      </c>
      <c r="D61" s="1060">
        <f>INDEX(Data!$E$8:$E$303,MATCH('Cost of Collecton Calculation'!B61,Data!$C$8:$C$303,0))</f>
        <v>522805366</v>
      </c>
      <c r="E61" s="1060">
        <f>INDEX(Data!$F$8:$F$303,MATCH('Cost of Collecton Calculation'!B61,Data!$C$8:$C$303,0))</f>
        <v>36470</v>
      </c>
      <c r="F61" s="869">
        <f t="shared" si="2"/>
        <v>522805000</v>
      </c>
      <c r="G61" s="869">
        <f t="shared" si="3"/>
        <v>36470</v>
      </c>
      <c r="H61" s="869">
        <f t="shared" si="4"/>
        <v>522805000</v>
      </c>
      <c r="I61" s="869">
        <f t="shared" si="5"/>
        <v>36470</v>
      </c>
      <c r="J61" s="866">
        <f t="shared" si="6"/>
        <v>20160000</v>
      </c>
      <c r="K61" s="866">
        <f t="shared" si="7"/>
        <v>63840000</v>
      </c>
      <c r="L61" s="869">
        <f t="shared" si="0"/>
        <v>143954.80520435219</v>
      </c>
      <c r="M61" s="869">
        <f t="shared" si="1"/>
        <v>1111268.7894696398</v>
      </c>
      <c r="N61" s="872">
        <f t="shared" si="8"/>
        <v>1255224</v>
      </c>
      <c r="P61" s="884">
        <v>1219927</v>
      </c>
      <c r="Q61" s="876">
        <f t="shared" si="9"/>
        <v>-35297</v>
      </c>
      <c r="R61" s="877">
        <f t="shared" si="10"/>
        <v>-2.8933698491795001E-2</v>
      </c>
    </row>
    <row r="62" spans="1:18" x14ac:dyDescent="0.2">
      <c r="A62" s="856" t="s">
        <v>5</v>
      </c>
      <c r="B62" s="857" t="s">
        <v>6</v>
      </c>
      <c r="C62" s="858">
        <v>1.0197000000000001</v>
      </c>
      <c r="D62" s="1060">
        <f>INDEX(Data!$E$8:$E$303,MATCH('Cost of Collecton Calculation'!B62,Data!$C$8:$C$303,0))</f>
        <v>103080593</v>
      </c>
      <c r="E62" s="1060">
        <f>INDEX(Data!$F$8:$F$303,MATCH('Cost of Collecton Calculation'!B62,Data!$C$8:$C$303,0))</f>
        <v>5385</v>
      </c>
      <c r="F62" s="869">
        <f t="shared" si="2"/>
        <v>103081000</v>
      </c>
      <c r="G62" s="869">
        <f t="shared" si="3"/>
        <v>5390</v>
      </c>
      <c r="H62" s="869">
        <f t="shared" si="4"/>
        <v>105111695.7</v>
      </c>
      <c r="I62" s="869">
        <f t="shared" si="5"/>
        <v>5496.183</v>
      </c>
      <c r="J62" s="866">
        <f t="shared" si="6"/>
        <v>20160000</v>
      </c>
      <c r="K62" s="866">
        <f t="shared" si="7"/>
        <v>63840000</v>
      </c>
      <c r="L62" s="869">
        <f t="shared" si="0"/>
        <v>28942.595574244016</v>
      </c>
      <c r="M62" s="869">
        <f t="shared" si="1"/>
        <v>167472.89907084213</v>
      </c>
      <c r="N62" s="872">
        <f t="shared" si="8"/>
        <v>196415</v>
      </c>
      <c r="P62" s="884">
        <v>189323</v>
      </c>
      <c r="Q62" s="876">
        <f t="shared" si="9"/>
        <v>-7092</v>
      </c>
      <c r="R62" s="877">
        <f t="shared" si="10"/>
        <v>-3.7459790939294225E-2</v>
      </c>
    </row>
    <row r="63" spans="1:18" x14ac:dyDescent="0.2">
      <c r="A63" s="856" t="s">
        <v>7</v>
      </c>
      <c r="B63" s="857" t="s">
        <v>8</v>
      </c>
      <c r="C63" s="858">
        <v>1.0134000000000001</v>
      </c>
      <c r="D63" s="1060">
        <f>INDEX(Data!$E$8:$E$303,MATCH('Cost of Collecton Calculation'!B63,Data!$C$8:$C$303,0))</f>
        <v>340347412</v>
      </c>
      <c r="E63" s="1060">
        <f>INDEX(Data!$F$8:$F$303,MATCH('Cost of Collecton Calculation'!B63,Data!$C$8:$C$303,0))</f>
        <v>8848</v>
      </c>
      <c r="F63" s="869">
        <f t="shared" si="2"/>
        <v>340347000</v>
      </c>
      <c r="G63" s="869">
        <f t="shared" si="3"/>
        <v>8850</v>
      </c>
      <c r="H63" s="869">
        <f t="shared" si="4"/>
        <v>344907649.80000001</v>
      </c>
      <c r="I63" s="869">
        <f t="shared" si="5"/>
        <v>8968.59</v>
      </c>
      <c r="J63" s="866">
        <f t="shared" si="6"/>
        <v>20160000</v>
      </c>
      <c r="K63" s="866">
        <f t="shared" si="7"/>
        <v>63840000</v>
      </c>
      <c r="L63" s="869">
        <f t="shared" si="0"/>
        <v>94970.617229081428</v>
      </c>
      <c r="M63" s="869">
        <f t="shared" si="1"/>
        <v>273279.79579241888</v>
      </c>
      <c r="N63" s="872">
        <f t="shared" si="8"/>
        <v>368250</v>
      </c>
      <c r="P63" s="884">
        <v>368973</v>
      </c>
      <c r="Q63" s="876">
        <f t="shared" si="9"/>
        <v>723</v>
      </c>
      <c r="R63" s="877">
        <f t="shared" si="10"/>
        <v>1.9594929710304008E-3</v>
      </c>
    </row>
    <row r="64" spans="1:18" x14ac:dyDescent="0.2">
      <c r="A64" s="856" t="s">
        <v>9</v>
      </c>
      <c r="B64" s="857" t="s">
        <v>10</v>
      </c>
      <c r="C64" s="858">
        <v>1.1039000000000001</v>
      </c>
      <c r="D64" s="1060">
        <f>INDEX(Data!$E$8:$E$303,MATCH('Cost of Collecton Calculation'!B64,Data!$C$8:$C$303,0))</f>
        <v>292974524</v>
      </c>
      <c r="E64" s="1060">
        <f>INDEX(Data!$F$8:$F$303,MATCH('Cost of Collecton Calculation'!B64,Data!$C$8:$C$303,0))</f>
        <v>3726</v>
      </c>
      <c r="F64" s="869">
        <f t="shared" ref="F64:F122" si="11">ROUND(D64,-3)</f>
        <v>292975000</v>
      </c>
      <c r="G64" s="869">
        <f t="shared" ref="G64:G122" si="12">ROUND(E64,-1)</f>
        <v>3730</v>
      </c>
      <c r="H64" s="869">
        <f t="shared" ref="H64:H122" si="13">F64*C64</f>
        <v>323415102.50000006</v>
      </c>
      <c r="I64" s="869">
        <f t="shared" ref="I64:I122" si="14">G64*C64</f>
        <v>4117.5470000000005</v>
      </c>
      <c r="J64" s="866">
        <f t="shared" ref="J64:J122" si="15">20160000</f>
        <v>20160000</v>
      </c>
      <c r="K64" s="866">
        <f t="shared" ref="K64:K122" si="16">63840000</f>
        <v>63840000</v>
      </c>
      <c r="L64" s="869">
        <f t="shared" si="0"/>
        <v>89052.625894039084</v>
      </c>
      <c r="M64" s="869">
        <f t="shared" si="1"/>
        <v>125464.80587535912</v>
      </c>
      <c r="N64" s="872">
        <f t="shared" ref="N64:N122" si="17">ROUND(L64+M64,0)</f>
        <v>214517</v>
      </c>
      <c r="P64" s="884">
        <v>214738</v>
      </c>
      <c r="Q64" s="876">
        <f t="shared" ref="Q64:Q122" si="18">P64-N64</f>
        <v>221</v>
      </c>
      <c r="R64" s="877">
        <f t="shared" ref="R64:R122" si="19">Q64/P64</f>
        <v>1.0291611172684853E-3</v>
      </c>
    </row>
    <row r="65" spans="1:18" x14ac:dyDescent="0.2">
      <c r="A65" s="856" t="s">
        <v>11</v>
      </c>
      <c r="B65" s="857" t="s">
        <v>12</v>
      </c>
      <c r="C65" s="858">
        <v>1.0760000000000001</v>
      </c>
      <c r="D65" s="1060">
        <f>INDEX(Data!$E$8:$E$303,MATCH('Cost of Collecton Calculation'!B65,Data!$C$8:$C$303,0))</f>
        <v>323483286</v>
      </c>
      <c r="E65" s="1060">
        <f>INDEX(Data!$F$8:$F$303,MATCH('Cost of Collecton Calculation'!B65,Data!$C$8:$C$303,0))</f>
        <v>8791</v>
      </c>
      <c r="F65" s="869">
        <f t="shared" si="11"/>
        <v>323483000</v>
      </c>
      <c r="G65" s="869">
        <f t="shared" si="12"/>
        <v>8790</v>
      </c>
      <c r="H65" s="869">
        <f t="shared" si="13"/>
        <v>348067708</v>
      </c>
      <c r="I65" s="869">
        <f t="shared" si="14"/>
        <v>9458.0400000000009</v>
      </c>
      <c r="J65" s="866">
        <f t="shared" si="15"/>
        <v>20160000</v>
      </c>
      <c r="K65" s="866">
        <f t="shared" si="16"/>
        <v>63840000</v>
      </c>
      <c r="L65" s="869">
        <f t="shared" si="0"/>
        <v>95840.741965102352</v>
      </c>
      <c r="M65" s="869">
        <f t="shared" si="1"/>
        <v>288193.71158638416</v>
      </c>
      <c r="N65" s="872">
        <f t="shared" si="17"/>
        <v>384034</v>
      </c>
      <c r="P65" s="884">
        <v>397626</v>
      </c>
      <c r="Q65" s="876">
        <f t="shared" si="18"/>
        <v>13592</v>
      </c>
      <c r="R65" s="877">
        <f t="shared" si="19"/>
        <v>3.4182875365293013E-2</v>
      </c>
    </row>
    <row r="66" spans="1:18" x14ac:dyDescent="0.2">
      <c r="A66" s="1041" t="s">
        <v>2403</v>
      </c>
      <c r="B66" s="1042" t="s">
        <v>2429</v>
      </c>
      <c r="C66" s="1043">
        <v>1</v>
      </c>
      <c r="D66" s="1060">
        <f>INDEX(Data!$E$8:$E$303,MATCH('Cost of Collecton Calculation'!B66,Data!$C$8:$C$303,0))</f>
        <v>285907844</v>
      </c>
      <c r="E66" s="1060">
        <f>INDEX(Data!$F$8:$F$303,MATCH('Cost of Collecton Calculation'!B66,Data!$C$8:$C$303,0))</f>
        <v>12854</v>
      </c>
      <c r="F66" s="869">
        <f t="shared" ref="F66" si="20">ROUND(D66,-3)</f>
        <v>285908000</v>
      </c>
      <c r="G66" s="869">
        <f t="shared" ref="G66" si="21">ROUND(E66,-1)</f>
        <v>12850</v>
      </c>
      <c r="H66" s="869">
        <f t="shared" ref="H66" si="22">F66*C66</f>
        <v>285908000</v>
      </c>
      <c r="I66" s="869">
        <f t="shared" ref="I66" si="23">G66*C66</f>
        <v>12850</v>
      </c>
      <c r="J66" s="866">
        <f t="shared" si="15"/>
        <v>20160000</v>
      </c>
      <c r="K66" s="866">
        <f t="shared" si="16"/>
        <v>63840000</v>
      </c>
      <c r="L66" s="869">
        <f t="shared" si="0"/>
        <v>78725.013047629473</v>
      </c>
      <c r="M66" s="869">
        <f t="shared" si="1"/>
        <v>391549.32669824158</v>
      </c>
      <c r="N66" s="872">
        <f t="shared" ref="N66" si="24">ROUND(L66+M66,0)</f>
        <v>470274</v>
      </c>
      <c r="P66" s="884">
        <v>467264</v>
      </c>
      <c r="Q66" s="876">
        <f t="shared" ref="Q66" si="25">P66-N66</f>
        <v>-3010</v>
      </c>
      <c r="R66" s="877">
        <f t="shared" ref="R66" si="26">Q66/P66</f>
        <v>-6.4417545541706617E-3</v>
      </c>
    </row>
    <row r="67" spans="1:18" x14ac:dyDescent="0.2">
      <c r="A67" s="856" t="s">
        <v>13</v>
      </c>
      <c r="B67" s="857" t="s">
        <v>14</v>
      </c>
      <c r="C67" s="858">
        <v>1.0815999999999999</v>
      </c>
      <c r="D67" s="1060">
        <f>INDEX(Data!$E$8:$E$303,MATCH('Cost of Collecton Calculation'!B67,Data!$C$8:$C$303,0))</f>
        <v>198857637</v>
      </c>
      <c r="E67" s="1060">
        <f>INDEX(Data!$F$8:$F$303,MATCH('Cost of Collecton Calculation'!B67,Data!$C$8:$C$303,0))</f>
        <v>4426</v>
      </c>
      <c r="F67" s="869">
        <f t="shared" si="11"/>
        <v>198858000</v>
      </c>
      <c r="G67" s="869">
        <f t="shared" si="12"/>
        <v>4430</v>
      </c>
      <c r="H67" s="869">
        <f t="shared" si="13"/>
        <v>215084812.79999998</v>
      </c>
      <c r="I67" s="869">
        <f t="shared" si="14"/>
        <v>4791.4879999999994</v>
      </c>
      <c r="J67" s="866">
        <f t="shared" si="15"/>
        <v>20160000</v>
      </c>
      <c r="K67" s="866">
        <f t="shared" si="16"/>
        <v>63840000</v>
      </c>
      <c r="L67" s="869">
        <f t="shared" si="0"/>
        <v>59223.78770103299</v>
      </c>
      <c r="M67" s="869">
        <f t="shared" si="1"/>
        <v>146000.30352394583</v>
      </c>
      <c r="N67" s="872">
        <f t="shared" si="17"/>
        <v>205224</v>
      </c>
      <c r="P67" s="884">
        <v>200244</v>
      </c>
      <c r="Q67" s="876">
        <f t="shared" si="18"/>
        <v>-4980</v>
      </c>
      <c r="R67" s="877">
        <f t="shared" si="19"/>
        <v>-2.4869659016000481E-2</v>
      </c>
    </row>
    <row r="68" spans="1:18" x14ac:dyDescent="0.2">
      <c r="A68" s="856" t="s">
        <v>569</v>
      </c>
      <c r="B68" s="857" t="s">
        <v>16</v>
      </c>
      <c r="C68" s="858">
        <v>1</v>
      </c>
      <c r="D68" s="1060">
        <f>INDEX(Data!$E$8:$E$303,MATCH('Cost of Collecton Calculation'!B68,Data!$C$8:$C$303,0))</f>
        <v>90685756</v>
      </c>
      <c r="E68" s="1060">
        <f>INDEX(Data!$F$8:$F$303,MATCH('Cost of Collecton Calculation'!B68,Data!$C$8:$C$303,0))</f>
        <v>3993</v>
      </c>
      <c r="F68" s="869">
        <f t="shared" si="11"/>
        <v>90686000</v>
      </c>
      <c r="G68" s="869">
        <f t="shared" si="12"/>
        <v>3990</v>
      </c>
      <c r="H68" s="869">
        <f t="shared" si="13"/>
        <v>90686000</v>
      </c>
      <c r="I68" s="869">
        <f t="shared" si="14"/>
        <v>3990</v>
      </c>
      <c r="J68" s="866">
        <f t="shared" si="15"/>
        <v>20160000</v>
      </c>
      <c r="K68" s="866">
        <f t="shared" si="16"/>
        <v>63840000</v>
      </c>
      <c r="L68" s="869">
        <f t="shared" ref="L68:L131" si="27">(H68*J68)/H$301</f>
        <v>24970.46788910183</v>
      </c>
      <c r="M68" s="869">
        <f t="shared" ref="M68:M131" si="28">(I68*K68)/I$301</f>
        <v>121578.35124715828</v>
      </c>
      <c r="N68" s="872">
        <f t="shared" si="17"/>
        <v>146549</v>
      </c>
      <c r="P68" s="884">
        <v>145314</v>
      </c>
      <c r="Q68" s="876">
        <f t="shared" si="18"/>
        <v>-1235</v>
      </c>
      <c r="R68" s="877">
        <f t="shared" si="19"/>
        <v>-8.4988370012524603E-3</v>
      </c>
    </row>
    <row r="69" spans="1:18" x14ac:dyDescent="0.2">
      <c r="A69" s="856" t="s">
        <v>17</v>
      </c>
      <c r="B69" s="857" t="s">
        <v>18</v>
      </c>
      <c r="C69" s="858">
        <v>1.0618000000000001</v>
      </c>
      <c r="D69" s="1060">
        <f>INDEX(Data!$E$8:$E$303,MATCH('Cost of Collecton Calculation'!B69,Data!$C$8:$C$303,0))</f>
        <v>214738486</v>
      </c>
      <c r="E69" s="1060">
        <f>INDEX(Data!$F$8:$F$303,MATCH('Cost of Collecton Calculation'!B69,Data!$C$8:$C$303,0))</f>
        <v>3309</v>
      </c>
      <c r="F69" s="869">
        <f t="shared" si="11"/>
        <v>214738000</v>
      </c>
      <c r="G69" s="869">
        <f t="shared" si="12"/>
        <v>3310</v>
      </c>
      <c r="H69" s="869">
        <f t="shared" si="13"/>
        <v>228008808.40000001</v>
      </c>
      <c r="I69" s="869">
        <f t="shared" si="14"/>
        <v>3514.5580000000004</v>
      </c>
      <c r="J69" s="866">
        <f t="shared" si="15"/>
        <v>20160000</v>
      </c>
      <c r="K69" s="866">
        <f t="shared" si="16"/>
        <v>63840000</v>
      </c>
      <c r="L69" s="869">
        <f t="shared" si="27"/>
        <v>62782.420975504174</v>
      </c>
      <c r="M69" s="869">
        <f t="shared" si="28"/>
        <v>107091.26992544114</v>
      </c>
      <c r="N69" s="872">
        <f t="shared" si="17"/>
        <v>169874</v>
      </c>
      <c r="P69" s="884">
        <v>169386</v>
      </c>
      <c r="Q69" s="876">
        <f t="shared" si="18"/>
        <v>-488</v>
      </c>
      <c r="R69" s="877">
        <f t="shared" si="19"/>
        <v>-2.88099370668178E-3</v>
      </c>
    </row>
    <row r="70" spans="1:18" x14ac:dyDescent="0.2">
      <c r="A70" s="856" t="s">
        <v>553</v>
      </c>
      <c r="B70" s="857" t="s">
        <v>20</v>
      </c>
      <c r="C70" s="858">
        <v>1</v>
      </c>
      <c r="D70" s="1060">
        <f>INDEX(Data!$E$8:$E$303,MATCH('Cost of Collecton Calculation'!B70,Data!$C$8:$C$303,0))</f>
        <v>232416374</v>
      </c>
      <c r="E70" s="1060">
        <f>INDEX(Data!$F$8:$F$303,MATCH('Cost of Collecton Calculation'!B70,Data!$C$8:$C$303,0))</f>
        <v>8657</v>
      </c>
      <c r="F70" s="869">
        <f t="shared" si="11"/>
        <v>232416000</v>
      </c>
      <c r="G70" s="869">
        <f t="shared" si="12"/>
        <v>8660</v>
      </c>
      <c r="H70" s="869">
        <f t="shared" si="13"/>
        <v>232416000</v>
      </c>
      <c r="I70" s="869">
        <f t="shared" si="14"/>
        <v>8660</v>
      </c>
      <c r="J70" s="866">
        <f t="shared" si="15"/>
        <v>20160000</v>
      </c>
      <c r="K70" s="866">
        <f t="shared" si="16"/>
        <v>63840000</v>
      </c>
      <c r="L70" s="869">
        <f t="shared" si="27"/>
        <v>63995.944962987567</v>
      </c>
      <c r="M70" s="869">
        <f t="shared" si="28"/>
        <v>263876.82250636356</v>
      </c>
      <c r="N70" s="872">
        <f t="shared" si="17"/>
        <v>327873</v>
      </c>
      <c r="P70" s="884">
        <v>335622</v>
      </c>
      <c r="Q70" s="876">
        <f t="shared" si="18"/>
        <v>7749</v>
      </c>
      <c r="R70" s="877">
        <f t="shared" si="19"/>
        <v>2.3088474533850583E-2</v>
      </c>
    </row>
    <row r="71" spans="1:18" x14ac:dyDescent="0.2">
      <c r="A71" s="856" t="s">
        <v>21</v>
      </c>
      <c r="B71" s="857" t="s">
        <v>22</v>
      </c>
      <c r="C71" s="858">
        <v>1</v>
      </c>
      <c r="D71" s="1060">
        <f>INDEX(Data!$E$8:$E$303,MATCH('Cost of Collecton Calculation'!B71,Data!$C$8:$C$303,0))</f>
        <v>60767714</v>
      </c>
      <c r="E71" s="1060">
        <f>INDEX(Data!$F$8:$F$303,MATCH('Cost of Collecton Calculation'!B71,Data!$C$8:$C$303,0))</f>
        <v>4725</v>
      </c>
      <c r="F71" s="869">
        <f t="shared" si="11"/>
        <v>60768000</v>
      </c>
      <c r="G71" s="869">
        <f t="shared" si="12"/>
        <v>4730</v>
      </c>
      <c r="H71" s="869">
        <f t="shared" si="13"/>
        <v>60768000</v>
      </c>
      <c r="I71" s="869">
        <f t="shared" si="14"/>
        <v>4730</v>
      </c>
      <c r="J71" s="866">
        <f t="shared" si="15"/>
        <v>20160000</v>
      </c>
      <c r="K71" s="866">
        <f t="shared" si="16"/>
        <v>63840000</v>
      </c>
      <c r="L71" s="869">
        <f t="shared" si="27"/>
        <v>16732.520925886463</v>
      </c>
      <c r="M71" s="869">
        <f t="shared" si="28"/>
        <v>144126.71714262123</v>
      </c>
      <c r="N71" s="872">
        <f t="shared" si="17"/>
        <v>160859</v>
      </c>
      <c r="P71" s="884">
        <v>156903</v>
      </c>
      <c r="Q71" s="876">
        <f t="shared" si="18"/>
        <v>-3956</v>
      </c>
      <c r="R71" s="877">
        <f t="shared" si="19"/>
        <v>-2.5213029706251631E-2</v>
      </c>
    </row>
    <row r="72" spans="1:18" x14ac:dyDescent="0.2">
      <c r="A72" s="856" t="s">
        <v>23</v>
      </c>
      <c r="B72" s="857" t="s">
        <v>24</v>
      </c>
      <c r="C72" s="858">
        <v>1</v>
      </c>
      <c r="D72" s="1060">
        <f>INDEX(Data!$E$8:$E$303,MATCH('Cost of Collecton Calculation'!B72,Data!$C$8:$C$303,0))</f>
        <v>284521574</v>
      </c>
      <c r="E72" s="1060">
        <f>INDEX(Data!$F$8:$F$303,MATCH('Cost of Collecton Calculation'!B72,Data!$C$8:$C$303,0))</f>
        <v>9893</v>
      </c>
      <c r="F72" s="869">
        <f t="shared" si="11"/>
        <v>284522000</v>
      </c>
      <c r="G72" s="869">
        <f t="shared" si="12"/>
        <v>9890</v>
      </c>
      <c r="H72" s="869">
        <f t="shared" si="13"/>
        <v>284522000</v>
      </c>
      <c r="I72" s="869">
        <f t="shared" si="14"/>
        <v>9890</v>
      </c>
      <c r="J72" s="866">
        <f t="shared" si="15"/>
        <v>20160000</v>
      </c>
      <c r="K72" s="866">
        <f t="shared" si="16"/>
        <v>63840000</v>
      </c>
      <c r="L72" s="869">
        <f t="shared" si="27"/>
        <v>78343.376758739279</v>
      </c>
      <c r="M72" s="869">
        <f t="shared" si="28"/>
        <v>301355.86311638984</v>
      </c>
      <c r="N72" s="872">
        <f t="shared" si="17"/>
        <v>379699</v>
      </c>
      <c r="P72" s="884">
        <v>372850</v>
      </c>
      <c r="Q72" s="876">
        <f t="shared" si="18"/>
        <v>-6849</v>
      </c>
      <c r="R72" s="877">
        <f t="shared" si="19"/>
        <v>-1.8369317419873944E-2</v>
      </c>
    </row>
    <row r="73" spans="1:18" x14ac:dyDescent="0.2">
      <c r="A73" s="859" t="s">
        <v>1221</v>
      </c>
      <c r="B73" s="857" t="s">
        <v>1222</v>
      </c>
      <c r="C73" s="858">
        <v>1</v>
      </c>
      <c r="D73" s="1060">
        <f>INDEX(Data!$E$8:$E$303,MATCH('Cost of Collecton Calculation'!B73,Data!$C$8:$C$303,0))</f>
        <v>321593334</v>
      </c>
      <c r="E73" s="1060">
        <f>INDEX(Data!$F$8:$F$303,MATCH('Cost of Collecton Calculation'!B73,Data!$C$8:$C$303,0))</f>
        <v>18197</v>
      </c>
      <c r="F73" s="869">
        <f t="shared" si="11"/>
        <v>321593000</v>
      </c>
      <c r="G73" s="869">
        <f t="shared" si="12"/>
        <v>18200</v>
      </c>
      <c r="H73" s="869">
        <f t="shared" si="13"/>
        <v>321593000</v>
      </c>
      <c r="I73" s="869">
        <f t="shared" si="14"/>
        <v>18200</v>
      </c>
      <c r="J73" s="866">
        <f t="shared" si="15"/>
        <v>20160000</v>
      </c>
      <c r="K73" s="866">
        <f t="shared" si="16"/>
        <v>63840000</v>
      </c>
      <c r="L73" s="869">
        <f t="shared" si="27"/>
        <v>88550.908407691648</v>
      </c>
      <c r="M73" s="869">
        <f t="shared" si="28"/>
        <v>554567.91796949389</v>
      </c>
      <c r="N73" s="872">
        <f t="shared" si="17"/>
        <v>643119</v>
      </c>
      <c r="P73" s="884">
        <v>627921</v>
      </c>
      <c r="Q73" s="876">
        <f t="shared" si="18"/>
        <v>-15198</v>
      </c>
      <c r="R73" s="877">
        <f t="shared" si="19"/>
        <v>-2.4203681673331517E-2</v>
      </c>
    </row>
    <row r="74" spans="1:18" x14ac:dyDescent="0.2">
      <c r="A74" s="856" t="s">
        <v>33</v>
      </c>
      <c r="B74" s="857" t="s">
        <v>34</v>
      </c>
      <c r="C74" s="858">
        <v>1.0067999999999999</v>
      </c>
      <c r="D74" s="1060">
        <f>INDEX(Data!$E$8:$E$303,MATCH('Cost of Collecton Calculation'!B74,Data!$C$8:$C$303,0))</f>
        <v>129118232</v>
      </c>
      <c r="E74" s="1060">
        <f>INDEX(Data!$F$8:$F$303,MATCH('Cost of Collecton Calculation'!B74,Data!$C$8:$C$303,0))</f>
        <v>4206</v>
      </c>
      <c r="F74" s="869">
        <f t="shared" si="11"/>
        <v>129118000</v>
      </c>
      <c r="G74" s="869">
        <f t="shared" si="12"/>
        <v>4210</v>
      </c>
      <c r="H74" s="869">
        <f t="shared" si="13"/>
        <v>129996002.39999999</v>
      </c>
      <c r="I74" s="869">
        <f t="shared" si="14"/>
        <v>4238.6279999999997</v>
      </c>
      <c r="J74" s="866">
        <f t="shared" si="15"/>
        <v>20160000</v>
      </c>
      <c r="K74" s="866">
        <f t="shared" si="16"/>
        <v>63840000</v>
      </c>
      <c r="L74" s="869">
        <f t="shared" si="27"/>
        <v>35794.510769477143</v>
      </c>
      <c r="M74" s="869">
        <f t="shared" si="28"/>
        <v>129154.23653885713</v>
      </c>
      <c r="N74" s="872">
        <f t="shared" si="17"/>
        <v>164949</v>
      </c>
      <c r="P74" s="884">
        <v>161724</v>
      </c>
      <c r="Q74" s="876">
        <f t="shared" si="18"/>
        <v>-3225</v>
      </c>
      <c r="R74" s="877">
        <f t="shared" si="19"/>
        <v>-1.9941381613118647E-2</v>
      </c>
    </row>
    <row r="75" spans="1:18" x14ac:dyDescent="0.2">
      <c r="A75" s="856" t="s">
        <v>35</v>
      </c>
      <c r="B75" s="857" t="s">
        <v>36</v>
      </c>
      <c r="C75" s="858">
        <v>1.0134000000000001</v>
      </c>
      <c r="D75" s="1060">
        <f>INDEX(Data!$E$8:$E$303,MATCH('Cost of Collecton Calculation'!B75,Data!$C$8:$C$303,0))</f>
        <v>236986342</v>
      </c>
      <c r="E75" s="1060">
        <f>INDEX(Data!$F$8:$F$303,MATCH('Cost of Collecton Calculation'!B75,Data!$C$8:$C$303,0))</f>
        <v>10551</v>
      </c>
      <c r="F75" s="869">
        <f t="shared" si="11"/>
        <v>236986000</v>
      </c>
      <c r="G75" s="869">
        <f t="shared" si="12"/>
        <v>10550</v>
      </c>
      <c r="H75" s="869">
        <f t="shared" si="13"/>
        <v>240161612.40000001</v>
      </c>
      <c r="I75" s="869">
        <f t="shared" si="14"/>
        <v>10691.37</v>
      </c>
      <c r="J75" s="866">
        <f t="shared" si="15"/>
        <v>20160000</v>
      </c>
      <c r="K75" s="866">
        <f t="shared" si="16"/>
        <v>63840000</v>
      </c>
      <c r="L75" s="869">
        <f t="shared" si="27"/>
        <v>66128.705981398671</v>
      </c>
      <c r="M75" s="869">
        <f t="shared" si="28"/>
        <v>325774.21984293999</v>
      </c>
      <c r="N75" s="872">
        <f t="shared" si="17"/>
        <v>391903</v>
      </c>
      <c r="P75" s="884">
        <v>395974</v>
      </c>
      <c r="Q75" s="876">
        <f t="shared" si="18"/>
        <v>4071</v>
      </c>
      <c r="R75" s="877">
        <f t="shared" si="19"/>
        <v>1.0280978044012991E-2</v>
      </c>
    </row>
    <row r="76" spans="1:18" x14ac:dyDescent="0.2">
      <c r="A76" s="856" t="s">
        <v>37</v>
      </c>
      <c r="B76" s="857" t="s">
        <v>38</v>
      </c>
      <c r="C76" s="858">
        <v>1</v>
      </c>
      <c r="D76" s="1060">
        <f>INDEX(Data!$E$8:$E$303,MATCH('Cost of Collecton Calculation'!B76,Data!$C$8:$C$303,0))</f>
        <v>340214949</v>
      </c>
      <c r="E76" s="1060">
        <f>INDEX(Data!$F$8:$F$303,MATCH('Cost of Collecton Calculation'!B76,Data!$C$8:$C$303,0))</f>
        <v>16192</v>
      </c>
      <c r="F76" s="869">
        <f t="shared" si="11"/>
        <v>340215000</v>
      </c>
      <c r="G76" s="869">
        <f t="shared" si="12"/>
        <v>16190</v>
      </c>
      <c r="H76" s="869">
        <f t="shared" si="13"/>
        <v>340215000</v>
      </c>
      <c r="I76" s="869">
        <f t="shared" si="14"/>
        <v>16190</v>
      </c>
      <c r="J76" s="866">
        <f t="shared" si="15"/>
        <v>20160000</v>
      </c>
      <c r="K76" s="866">
        <f t="shared" si="16"/>
        <v>63840000</v>
      </c>
      <c r="L76" s="869">
        <f t="shared" si="27"/>
        <v>93678.492081366247</v>
      </c>
      <c r="M76" s="869">
        <f t="shared" si="28"/>
        <v>493321.68087506079</v>
      </c>
      <c r="N76" s="872">
        <f t="shared" si="17"/>
        <v>587000</v>
      </c>
      <c r="P76" s="884">
        <v>582996</v>
      </c>
      <c r="Q76" s="876">
        <f t="shared" si="18"/>
        <v>-4004</v>
      </c>
      <c r="R76" s="877">
        <f t="shared" si="19"/>
        <v>-6.8679716498912515E-3</v>
      </c>
    </row>
    <row r="77" spans="1:18" x14ac:dyDescent="0.2">
      <c r="A77" s="856" t="s">
        <v>39</v>
      </c>
      <c r="B77" s="857" t="s">
        <v>40</v>
      </c>
      <c r="C77" s="858">
        <v>1.1113</v>
      </c>
      <c r="D77" s="1060">
        <f>INDEX(Data!$E$8:$E$303,MATCH('Cost of Collecton Calculation'!B77,Data!$C$8:$C$303,0))</f>
        <v>441035883</v>
      </c>
      <c r="E77" s="1060">
        <f>INDEX(Data!$F$8:$F$303,MATCH('Cost of Collecton Calculation'!B77,Data!$C$8:$C$303,0))</f>
        <v>10828</v>
      </c>
      <c r="F77" s="869">
        <f t="shared" si="11"/>
        <v>441036000</v>
      </c>
      <c r="G77" s="869">
        <f t="shared" si="12"/>
        <v>10830</v>
      </c>
      <c r="H77" s="869">
        <f t="shared" si="13"/>
        <v>490123306.79999995</v>
      </c>
      <c r="I77" s="869">
        <f t="shared" si="14"/>
        <v>12035.378999999999</v>
      </c>
      <c r="J77" s="866">
        <f t="shared" si="15"/>
        <v>20160000</v>
      </c>
      <c r="K77" s="866">
        <f t="shared" si="16"/>
        <v>63840000</v>
      </c>
      <c r="L77" s="869">
        <f t="shared" si="27"/>
        <v>134955.87294786191</v>
      </c>
      <c r="M77" s="869">
        <f t="shared" si="28"/>
        <v>366727.20186833892</v>
      </c>
      <c r="N77" s="872">
        <f t="shared" si="17"/>
        <v>501683</v>
      </c>
      <c r="P77" s="884">
        <v>492277</v>
      </c>
      <c r="Q77" s="876">
        <f t="shared" si="18"/>
        <v>-9406</v>
      </c>
      <c r="R77" s="877">
        <f t="shared" si="19"/>
        <v>-1.9107128710055519E-2</v>
      </c>
    </row>
    <row r="78" spans="1:18" x14ac:dyDescent="0.2">
      <c r="A78" s="856" t="s">
        <v>41</v>
      </c>
      <c r="B78" s="857" t="s">
        <v>42</v>
      </c>
      <c r="C78" s="858">
        <v>1.0339</v>
      </c>
      <c r="D78" s="1060">
        <f>INDEX(Data!$E$8:$E$303,MATCH('Cost of Collecton Calculation'!B78,Data!$C$8:$C$303,0))</f>
        <v>70749064</v>
      </c>
      <c r="E78" s="1060">
        <f>INDEX(Data!$F$8:$F$303,MATCH('Cost of Collecton Calculation'!B78,Data!$C$8:$C$303,0))</f>
        <v>2579</v>
      </c>
      <c r="F78" s="869">
        <f t="shared" si="11"/>
        <v>70749000</v>
      </c>
      <c r="G78" s="869">
        <f t="shared" si="12"/>
        <v>2580</v>
      </c>
      <c r="H78" s="869">
        <f t="shared" si="13"/>
        <v>73147391.100000009</v>
      </c>
      <c r="I78" s="869">
        <f t="shared" si="14"/>
        <v>2667.462</v>
      </c>
      <c r="J78" s="866">
        <f t="shared" si="15"/>
        <v>20160000</v>
      </c>
      <c r="K78" s="866">
        <f t="shared" si="16"/>
        <v>63840000</v>
      </c>
      <c r="L78" s="869">
        <f t="shared" si="27"/>
        <v>20141.196884129007</v>
      </c>
      <c r="M78" s="869">
        <f t="shared" si="28"/>
        <v>81279.607011139684</v>
      </c>
      <c r="N78" s="872">
        <f t="shared" si="17"/>
        <v>101421</v>
      </c>
      <c r="P78" s="884">
        <v>96582</v>
      </c>
      <c r="Q78" s="876">
        <f t="shared" si="18"/>
        <v>-4839</v>
      </c>
      <c r="R78" s="877">
        <f t="shared" si="19"/>
        <v>-5.0102503572094177E-2</v>
      </c>
    </row>
    <row r="79" spans="1:18" x14ac:dyDescent="0.2">
      <c r="A79" s="856" t="s">
        <v>43</v>
      </c>
      <c r="B79" s="857" t="s">
        <v>44</v>
      </c>
      <c r="C79" s="858">
        <v>1</v>
      </c>
      <c r="D79" s="1060">
        <f>INDEX(Data!$E$8:$E$303,MATCH('Cost of Collecton Calculation'!B79,Data!$C$8:$C$303,0))</f>
        <v>120564503</v>
      </c>
      <c r="E79" s="1060">
        <f>INDEX(Data!$F$8:$F$303,MATCH('Cost of Collecton Calculation'!B79,Data!$C$8:$C$303,0))</f>
        <v>7651</v>
      </c>
      <c r="F79" s="869">
        <f t="shared" si="11"/>
        <v>120565000</v>
      </c>
      <c r="G79" s="869">
        <f t="shared" si="12"/>
        <v>7650</v>
      </c>
      <c r="H79" s="869">
        <f t="shared" si="13"/>
        <v>120565000</v>
      </c>
      <c r="I79" s="869">
        <f t="shared" si="14"/>
        <v>7650</v>
      </c>
      <c r="J79" s="866">
        <f t="shared" si="15"/>
        <v>20160000</v>
      </c>
      <c r="K79" s="866">
        <f t="shared" si="16"/>
        <v>63840000</v>
      </c>
      <c r="L79" s="869">
        <f t="shared" si="27"/>
        <v>33197.676168863574</v>
      </c>
      <c r="M79" s="869">
        <f t="shared" si="28"/>
        <v>233101.35013552904</v>
      </c>
      <c r="N79" s="872">
        <f t="shared" si="17"/>
        <v>266299</v>
      </c>
      <c r="P79" s="884">
        <v>252100</v>
      </c>
      <c r="Q79" s="876">
        <f t="shared" si="18"/>
        <v>-14199</v>
      </c>
      <c r="R79" s="877">
        <f t="shared" si="19"/>
        <v>-5.6322887742959141E-2</v>
      </c>
    </row>
    <row r="80" spans="1:18" x14ac:dyDescent="0.2">
      <c r="A80" s="856" t="s">
        <v>45</v>
      </c>
      <c r="B80" s="857" t="s">
        <v>46</v>
      </c>
      <c r="C80" s="858">
        <v>1.036</v>
      </c>
      <c r="D80" s="1060">
        <f>INDEX(Data!$E$8:$E$303,MATCH('Cost of Collecton Calculation'!B80,Data!$C$8:$C$303,0))</f>
        <v>98254661</v>
      </c>
      <c r="E80" s="1060">
        <f>INDEX(Data!$F$8:$F$303,MATCH('Cost of Collecton Calculation'!B80,Data!$C$8:$C$303,0))</f>
        <v>4150</v>
      </c>
      <c r="F80" s="869">
        <f t="shared" si="11"/>
        <v>98255000</v>
      </c>
      <c r="G80" s="869">
        <f t="shared" si="12"/>
        <v>4150</v>
      </c>
      <c r="H80" s="869">
        <f t="shared" si="13"/>
        <v>101792180</v>
      </c>
      <c r="I80" s="869">
        <f t="shared" si="14"/>
        <v>4299.4000000000005</v>
      </c>
      <c r="J80" s="866">
        <f t="shared" si="15"/>
        <v>20160000</v>
      </c>
      <c r="K80" s="866">
        <f t="shared" si="16"/>
        <v>63840000</v>
      </c>
      <c r="L80" s="869">
        <f t="shared" si="27"/>
        <v>28028.564078817828</v>
      </c>
      <c r="M80" s="869">
        <f t="shared" si="28"/>
        <v>131006.00585263969</v>
      </c>
      <c r="N80" s="872">
        <f t="shared" si="17"/>
        <v>159035</v>
      </c>
      <c r="P80" s="884">
        <v>156477</v>
      </c>
      <c r="Q80" s="876">
        <f t="shared" si="18"/>
        <v>-2558</v>
      </c>
      <c r="R80" s="877">
        <f t="shared" si="19"/>
        <v>-1.6347450424023979E-2</v>
      </c>
    </row>
    <row r="81" spans="1:18" x14ac:dyDescent="0.2">
      <c r="A81" s="856" t="s">
        <v>47</v>
      </c>
      <c r="B81" s="857" t="s">
        <v>48</v>
      </c>
      <c r="C81" s="858">
        <v>1.0815999999999999</v>
      </c>
      <c r="D81" s="1060">
        <f>INDEX(Data!$E$8:$E$303,MATCH('Cost of Collecton Calculation'!B81,Data!$C$8:$C$303,0))</f>
        <v>139090542</v>
      </c>
      <c r="E81" s="1060">
        <f>INDEX(Data!$F$8:$F$303,MATCH('Cost of Collecton Calculation'!B81,Data!$C$8:$C$303,0))</f>
        <v>4888</v>
      </c>
      <c r="F81" s="869">
        <f t="shared" si="11"/>
        <v>139091000</v>
      </c>
      <c r="G81" s="869">
        <f t="shared" si="12"/>
        <v>4890</v>
      </c>
      <c r="H81" s="869">
        <f t="shared" si="13"/>
        <v>150440825.59999999</v>
      </c>
      <c r="I81" s="869">
        <f t="shared" si="14"/>
        <v>5289.0239999999994</v>
      </c>
      <c r="J81" s="866">
        <f t="shared" si="15"/>
        <v>20160000</v>
      </c>
      <c r="K81" s="866">
        <f t="shared" si="16"/>
        <v>63840000</v>
      </c>
      <c r="L81" s="869">
        <f t="shared" si="27"/>
        <v>41424.010374862366</v>
      </c>
      <c r="M81" s="869">
        <f t="shared" si="28"/>
        <v>161160.60592146617</v>
      </c>
      <c r="N81" s="872">
        <f t="shared" si="17"/>
        <v>202585</v>
      </c>
      <c r="P81" s="884">
        <v>198585</v>
      </c>
      <c r="Q81" s="876">
        <f t="shared" si="18"/>
        <v>-4000</v>
      </c>
      <c r="R81" s="877">
        <f t="shared" si="19"/>
        <v>-2.0142508245839314E-2</v>
      </c>
    </row>
    <row r="82" spans="1:18" x14ac:dyDescent="0.2">
      <c r="A82" s="856" t="s">
        <v>49</v>
      </c>
      <c r="B82" s="857" t="s">
        <v>50</v>
      </c>
      <c r="C82" s="858">
        <v>1</v>
      </c>
      <c r="D82" s="1060">
        <f>INDEX(Data!$E$8:$E$303,MATCH('Cost of Collecton Calculation'!B82,Data!$C$8:$C$303,0))</f>
        <v>117184252</v>
      </c>
      <c r="E82" s="1060">
        <f>INDEX(Data!$F$8:$F$303,MATCH('Cost of Collecton Calculation'!B82,Data!$C$8:$C$303,0))</f>
        <v>7445</v>
      </c>
      <c r="F82" s="869">
        <f t="shared" si="11"/>
        <v>117184000</v>
      </c>
      <c r="G82" s="869">
        <f t="shared" si="12"/>
        <v>7450</v>
      </c>
      <c r="H82" s="869">
        <f t="shared" si="13"/>
        <v>117184000</v>
      </c>
      <c r="I82" s="869">
        <f t="shared" si="14"/>
        <v>7450</v>
      </c>
      <c r="J82" s="866">
        <f t="shared" si="15"/>
        <v>20160000</v>
      </c>
      <c r="K82" s="866">
        <f t="shared" si="16"/>
        <v>63840000</v>
      </c>
      <c r="L82" s="869">
        <f t="shared" si="27"/>
        <v>32266.714918692065</v>
      </c>
      <c r="M82" s="869">
        <f t="shared" si="28"/>
        <v>227007.19719080933</v>
      </c>
      <c r="N82" s="872">
        <f t="shared" si="17"/>
        <v>259274</v>
      </c>
      <c r="P82" s="884">
        <v>256139</v>
      </c>
      <c r="Q82" s="876">
        <f t="shared" si="18"/>
        <v>-3135</v>
      </c>
      <c r="R82" s="877">
        <f t="shared" si="19"/>
        <v>-1.2239448112157852E-2</v>
      </c>
    </row>
    <row r="83" spans="1:18" x14ac:dyDescent="0.2">
      <c r="A83" s="856" t="s">
        <v>598</v>
      </c>
      <c r="B83" s="857" t="s">
        <v>52</v>
      </c>
      <c r="C83" s="858">
        <v>1</v>
      </c>
      <c r="D83" s="1060">
        <f>INDEX(Data!$E$8:$E$303,MATCH('Cost of Collecton Calculation'!B83,Data!$C$8:$C$303,0))</f>
        <v>291354606</v>
      </c>
      <c r="E83" s="1060">
        <f>INDEX(Data!$F$8:$F$303,MATCH('Cost of Collecton Calculation'!B83,Data!$C$8:$C$303,0))</f>
        <v>12462</v>
      </c>
      <c r="F83" s="869">
        <f t="shared" si="11"/>
        <v>291355000</v>
      </c>
      <c r="G83" s="869">
        <f t="shared" si="12"/>
        <v>12460</v>
      </c>
      <c r="H83" s="869">
        <f t="shared" si="13"/>
        <v>291355000</v>
      </c>
      <c r="I83" s="869">
        <f t="shared" si="14"/>
        <v>12460</v>
      </c>
      <c r="J83" s="866">
        <f t="shared" si="15"/>
        <v>20160000</v>
      </c>
      <c r="K83" s="866">
        <f t="shared" si="16"/>
        <v>63840000</v>
      </c>
      <c r="L83" s="869">
        <f t="shared" si="27"/>
        <v>80224.849169985042</v>
      </c>
      <c r="M83" s="869">
        <f t="shared" si="28"/>
        <v>379665.72845603817</v>
      </c>
      <c r="N83" s="872">
        <f t="shared" si="17"/>
        <v>459891</v>
      </c>
      <c r="P83" s="884">
        <v>446496</v>
      </c>
      <c r="Q83" s="876">
        <f t="shared" si="18"/>
        <v>-13395</v>
      </c>
      <c r="R83" s="877">
        <f t="shared" si="19"/>
        <v>-3.0000268759406579E-2</v>
      </c>
    </row>
    <row r="84" spans="1:18" x14ac:dyDescent="0.2">
      <c r="A84" s="856" t="s">
        <v>55</v>
      </c>
      <c r="B84" s="857" t="s">
        <v>56</v>
      </c>
      <c r="C84" s="858">
        <v>1</v>
      </c>
      <c r="D84" s="1060">
        <f>INDEX(Data!$E$8:$E$303,MATCH('Cost of Collecton Calculation'!B84,Data!$C$8:$C$303,0))</f>
        <v>155676046</v>
      </c>
      <c r="E84" s="1060">
        <f>INDEX(Data!$F$8:$F$303,MATCH('Cost of Collecton Calculation'!B84,Data!$C$8:$C$303,0))</f>
        <v>4174</v>
      </c>
      <c r="F84" s="869">
        <f t="shared" si="11"/>
        <v>155676000</v>
      </c>
      <c r="G84" s="869">
        <f t="shared" si="12"/>
        <v>4170</v>
      </c>
      <c r="H84" s="869">
        <f t="shared" si="13"/>
        <v>155676000</v>
      </c>
      <c r="I84" s="869">
        <f t="shared" si="14"/>
        <v>4170</v>
      </c>
      <c r="J84" s="866">
        <f t="shared" si="15"/>
        <v>20160000</v>
      </c>
      <c r="K84" s="866">
        <f t="shared" si="16"/>
        <v>63840000</v>
      </c>
      <c r="L84" s="869">
        <f t="shared" si="27"/>
        <v>42865.52013655709</v>
      </c>
      <c r="M84" s="869">
        <f t="shared" si="28"/>
        <v>127063.08889740602</v>
      </c>
      <c r="N84" s="872">
        <f t="shared" si="17"/>
        <v>169929</v>
      </c>
      <c r="P84" s="884">
        <v>167391</v>
      </c>
      <c r="Q84" s="876">
        <f t="shared" si="18"/>
        <v>-2538</v>
      </c>
      <c r="R84" s="877">
        <f t="shared" si="19"/>
        <v>-1.5162105489542449E-2</v>
      </c>
    </row>
    <row r="85" spans="1:18" x14ac:dyDescent="0.2">
      <c r="A85" s="859" t="s">
        <v>1223</v>
      </c>
      <c r="B85" s="860" t="s">
        <v>1224</v>
      </c>
      <c r="C85" s="858">
        <v>1.0054000000000001</v>
      </c>
      <c r="D85" s="1060">
        <f>INDEX(Data!$E$8:$E$303,MATCH('Cost of Collecton Calculation'!B85,Data!$C$8:$C$303,0))</f>
        <v>258667580</v>
      </c>
      <c r="E85" s="1060">
        <f>INDEX(Data!$F$8:$F$303,MATCH('Cost of Collecton Calculation'!B85,Data!$C$8:$C$303,0))</f>
        <v>13110</v>
      </c>
      <c r="F85" s="869">
        <f t="shared" si="11"/>
        <v>258668000</v>
      </c>
      <c r="G85" s="869">
        <f t="shared" si="12"/>
        <v>13110</v>
      </c>
      <c r="H85" s="869">
        <f t="shared" si="13"/>
        <v>260064807.20000002</v>
      </c>
      <c r="I85" s="869">
        <f t="shared" si="14"/>
        <v>13180.794000000002</v>
      </c>
      <c r="J85" s="866">
        <f t="shared" si="15"/>
        <v>20160000</v>
      </c>
      <c r="K85" s="866">
        <f t="shared" si="16"/>
        <v>63840000</v>
      </c>
      <c r="L85" s="869">
        <f t="shared" si="27"/>
        <v>71609.067742243104</v>
      </c>
      <c r="M85" s="869">
        <f t="shared" si="28"/>
        <v>401628.87284421973</v>
      </c>
      <c r="N85" s="872">
        <f t="shared" si="17"/>
        <v>473238</v>
      </c>
      <c r="P85" s="884">
        <v>465352</v>
      </c>
      <c r="Q85" s="876">
        <f t="shared" si="18"/>
        <v>-7886</v>
      </c>
      <c r="R85" s="877">
        <f t="shared" si="19"/>
        <v>-1.694631160927642E-2</v>
      </c>
    </row>
    <row r="86" spans="1:18" x14ac:dyDescent="0.2">
      <c r="A86" s="856" t="s">
        <v>57</v>
      </c>
      <c r="B86" s="857" t="s">
        <v>58</v>
      </c>
      <c r="C86" s="858">
        <v>1.0089999999999999</v>
      </c>
      <c r="D86" s="1060">
        <f>INDEX(Data!$E$8:$E$303,MATCH('Cost of Collecton Calculation'!B86,Data!$C$8:$C$303,0))</f>
        <v>90642403</v>
      </c>
      <c r="E86" s="1060">
        <f>INDEX(Data!$F$8:$F$303,MATCH('Cost of Collecton Calculation'!B86,Data!$C$8:$C$303,0))</f>
        <v>3117</v>
      </c>
      <c r="F86" s="869">
        <f t="shared" si="11"/>
        <v>90642000</v>
      </c>
      <c r="G86" s="869">
        <f t="shared" si="12"/>
        <v>3120</v>
      </c>
      <c r="H86" s="869">
        <f t="shared" si="13"/>
        <v>91457777.999999985</v>
      </c>
      <c r="I86" s="869">
        <f t="shared" si="14"/>
        <v>3148.0799999999995</v>
      </c>
      <c r="J86" s="866">
        <f t="shared" si="15"/>
        <v>20160000</v>
      </c>
      <c r="K86" s="866">
        <f t="shared" si="16"/>
        <v>63840000</v>
      </c>
      <c r="L86" s="869">
        <f t="shared" si="27"/>
        <v>25182.977623421513</v>
      </c>
      <c r="M86" s="869">
        <f t="shared" si="28"/>
        <v>95924.405011066163</v>
      </c>
      <c r="N86" s="872">
        <f t="shared" si="17"/>
        <v>121107</v>
      </c>
      <c r="P86" s="884">
        <v>125342</v>
      </c>
      <c r="Q86" s="876">
        <f t="shared" si="18"/>
        <v>4235</v>
      </c>
      <c r="R86" s="877">
        <f t="shared" si="19"/>
        <v>3.3787557243382109E-2</v>
      </c>
    </row>
    <row r="87" spans="1:18" x14ac:dyDescent="0.2">
      <c r="A87" s="856" t="s">
        <v>59</v>
      </c>
      <c r="B87" s="857" t="s">
        <v>60</v>
      </c>
      <c r="C87" s="858">
        <v>1.036</v>
      </c>
      <c r="D87" s="1060">
        <f>INDEX(Data!$E$8:$E$303,MATCH('Cost of Collecton Calculation'!B87,Data!$C$8:$C$303,0))</f>
        <v>147324628</v>
      </c>
      <c r="E87" s="1060">
        <f>INDEX(Data!$F$8:$F$303,MATCH('Cost of Collecton Calculation'!B87,Data!$C$8:$C$303,0))</f>
        <v>3149</v>
      </c>
      <c r="F87" s="869">
        <f t="shared" si="11"/>
        <v>147325000</v>
      </c>
      <c r="G87" s="869">
        <f t="shared" si="12"/>
        <v>3150</v>
      </c>
      <c r="H87" s="869">
        <f t="shared" si="13"/>
        <v>152628700</v>
      </c>
      <c r="I87" s="869">
        <f t="shared" si="14"/>
        <v>3263.4</v>
      </c>
      <c r="J87" s="866">
        <f t="shared" si="15"/>
        <v>20160000</v>
      </c>
      <c r="K87" s="866">
        <f t="shared" si="16"/>
        <v>63840000</v>
      </c>
      <c r="L87" s="869">
        <f t="shared" si="27"/>
        <v>42026.44346762848</v>
      </c>
      <c r="M87" s="869">
        <f t="shared" si="28"/>
        <v>99438.293598991557</v>
      </c>
      <c r="N87" s="872">
        <f t="shared" si="17"/>
        <v>141465</v>
      </c>
      <c r="P87" s="884">
        <v>143425</v>
      </c>
      <c r="Q87" s="876">
        <f t="shared" si="18"/>
        <v>1960</v>
      </c>
      <c r="R87" s="877">
        <f t="shared" si="19"/>
        <v>1.3665678926268084E-2</v>
      </c>
    </row>
    <row r="88" spans="1:18" x14ac:dyDescent="0.2">
      <c r="A88" s="856" t="s">
        <v>61</v>
      </c>
      <c r="B88" s="857" t="s">
        <v>62</v>
      </c>
      <c r="C88" s="858">
        <v>1.1039000000000001</v>
      </c>
      <c r="D88" s="1060">
        <f>INDEX(Data!$E$8:$E$303,MATCH('Cost of Collecton Calculation'!B88,Data!$C$8:$C$303,0))</f>
        <v>159065783</v>
      </c>
      <c r="E88" s="1060">
        <f>INDEX(Data!$F$8:$F$303,MATCH('Cost of Collecton Calculation'!B88,Data!$C$8:$C$303,0))</f>
        <v>3835</v>
      </c>
      <c r="F88" s="869">
        <f t="shared" si="11"/>
        <v>159066000</v>
      </c>
      <c r="G88" s="869">
        <f t="shared" si="12"/>
        <v>3840</v>
      </c>
      <c r="H88" s="869">
        <f t="shared" si="13"/>
        <v>175592957.40000001</v>
      </c>
      <c r="I88" s="869">
        <f t="shared" si="14"/>
        <v>4238.9760000000006</v>
      </c>
      <c r="J88" s="866">
        <f t="shared" si="15"/>
        <v>20160000</v>
      </c>
      <c r="K88" s="866">
        <f t="shared" si="16"/>
        <v>63840000</v>
      </c>
      <c r="L88" s="869">
        <f t="shared" si="27"/>
        <v>48349.67144111688</v>
      </c>
      <c r="M88" s="869">
        <f t="shared" si="28"/>
        <v>129164.84036498098</v>
      </c>
      <c r="N88" s="872">
        <f t="shared" si="17"/>
        <v>177515</v>
      </c>
      <c r="P88" s="884">
        <v>181073</v>
      </c>
      <c r="Q88" s="876">
        <f t="shared" si="18"/>
        <v>3558</v>
      </c>
      <c r="R88" s="877">
        <f t="shared" si="19"/>
        <v>1.9649533613514993E-2</v>
      </c>
    </row>
    <row r="89" spans="1:18" x14ac:dyDescent="0.2">
      <c r="A89" s="856" t="s">
        <v>63</v>
      </c>
      <c r="B89" s="857" t="s">
        <v>64</v>
      </c>
      <c r="C89" s="858">
        <v>1.0760000000000001</v>
      </c>
      <c r="D89" s="1060">
        <f>INDEX(Data!$E$8:$E$303,MATCH('Cost of Collecton Calculation'!B89,Data!$C$8:$C$303,0))</f>
        <v>329654024</v>
      </c>
      <c r="E89" s="1060">
        <f>INDEX(Data!$F$8:$F$303,MATCH('Cost of Collecton Calculation'!B89,Data!$C$8:$C$303,0))</f>
        <v>7031</v>
      </c>
      <c r="F89" s="869">
        <f t="shared" si="11"/>
        <v>329654000</v>
      </c>
      <c r="G89" s="869">
        <f t="shared" si="12"/>
        <v>7030</v>
      </c>
      <c r="H89" s="869">
        <f t="shared" si="13"/>
        <v>354707704</v>
      </c>
      <c r="I89" s="869">
        <f t="shared" si="14"/>
        <v>7564.2800000000007</v>
      </c>
      <c r="J89" s="866">
        <f t="shared" si="15"/>
        <v>20160000</v>
      </c>
      <c r="K89" s="866">
        <f t="shared" si="16"/>
        <v>63840000</v>
      </c>
      <c r="L89" s="869">
        <f t="shared" si="27"/>
        <v>97669.070559392145</v>
      </c>
      <c r="M89" s="869">
        <f t="shared" si="28"/>
        <v>230489.39618342218</v>
      </c>
      <c r="N89" s="872">
        <f t="shared" si="17"/>
        <v>328158</v>
      </c>
      <c r="P89" s="884">
        <v>315089</v>
      </c>
      <c r="Q89" s="876">
        <f t="shared" si="18"/>
        <v>-13069</v>
      </c>
      <c r="R89" s="877">
        <f t="shared" si="19"/>
        <v>-4.1477169942460701E-2</v>
      </c>
    </row>
    <row r="90" spans="1:18" x14ac:dyDescent="0.2">
      <c r="A90" s="856" t="s">
        <v>65</v>
      </c>
      <c r="B90" s="857" t="s">
        <v>66</v>
      </c>
      <c r="C90" s="858">
        <v>1.0618000000000001</v>
      </c>
      <c r="D90" s="1060">
        <f>INDEX(Data!$E$8:$E$303,MATCH('Cost of Collecton Calculation'!B90,Data!$C$8:$C$303,0))</f>
        <v>109895254</v>
      </c>
      <c r="E90" s="1060">
        <f>INDEX(Data!$F$8:$F$303,MATCH('Cost of Collecton Calculation'!B90,Data!$C$8:$C$303,0))</f>
        <v>4556</v>
      </c>
      <c r="F90" s="869">
        <f t="shared" si="11"/>
        <v>109895000</v>
      </c>
      <c r="G90" s="869">
        <f t="shared" si="12"/>
        <v>4560</v>
      </c>
      <c r="H90" s="869">
        <f t="shared" si="13"/>
        <v>116686511.00000001</v>
      </c>
      <c r="I90" s="869">
        <f t="shared" si="14"/>
        <v>4841.808</v>
      </c>
      <c r="J90" s="866">
        <f t="shared" si="15"/>
        <v>20160000</v>
      </c>
      <c r="K90" s="866">
        <f t="shared" si="16"/>
        <v>63840000</v>
      </c>
      <c r="L90" s="869">
        <f t="shared" si="27"/>
        <v>32129.730895803408</v>
      </c>
      <c r="M90" s="869">
        <f t="shared" si="28"/>
        <v>147533.59240483734</v>
      </c>
      <c r="N90" s="872">
        <f t="shared" si="17"/>
        <v>179663</v>
      </c>
      <c r="P90" s="884">
        <v>176388</v>
      </c>
      <c r="Q90" s="876">
        <f t="shared" si="18"/>
        <v>-3275</v>
      </c>
      <c r="R90" s="877">
        <f t="shared" si="19"/>
        <v>-1.8567022699956914E-2</v>
      </c>
    </row>
    <row r="91" spans="1:18" x14ac:dyDescent="0.2">
      <c r="A91" s="856" t="s">
        <v>995</v>
      </c>
      <c r="B91" s="857" t="s">
        <v>68</v>
      </c>
      <c r="C91" s="858">
        <v>1.1039000000000001</v>
      </c>
      <c r="D91" s="1060">
        <f>INDEX(Data!$E$8:$E$303,MATCH('Cost of Collecton Calculation'!B91,Data!$C$8:$C$303,0))</f>
        <v>64729296</v>
      </c>
      <c r="E91" s="1060">
        <f>INDEX(Data!$F$8:$F$303,MATCH('Cost of Collecton Calculation'!B91,Data!$C$8:$C$303,0))</f>
        <v>1751</v>
      </c>
      <c r="F91" s="869">
        <f t="shared" si="11"/>
        <v>64729000</v>
      </c>
      <c r="G91" s="869">
        <f t="shared" si="12"/>
        <v>1750</v>
      </c>
      <c r="H91" s="869">
        <f t="shared" si="13"/>
        <v>71454343.100000009</v>
      </c>
      <c r="I91" s="869">
        <f t="shared" si="14"/>
        <v>1931.8250000000003</v>
      </c>
      <c r="J91" s="866">
        <f t="shared" si="15"/>
        <v>20160000</v>
      </c>
      <c r="K91" s="866">
        <f t="shared" si="16"/>
        <v>63840000</v>
      </c>
      <c r="L91" s="869">
        <f t="shared" si="27"/>
        <v>19675.014665057617</v>
      </c>
      <c r="M91" s="869">
        <f t="shared" si="28"/>
        <v>58864.185062165809</v>
      </c>
      <c r="N91" s="872">
        <f t="shared" si="17"/>
        <v>78539</v>
      </c>
      <c r="P91" s="884">
        <v>79695</v>
      </c>
      <c r="Q91" s="876">
        <f t="shared" si="18"/>
        <v>1156</v>
      </c>
      <c r="R91" s="877">
        <f t="shared" si="19"/>
        <v>1.4505301461823201E-2</v>
      </c>
    </row>
    <row r="92" spans="1:18" x14ac:dyDescent="0.2">
      <c r="A92" s="856" t="s">
        <v>69</v>
      </c>
      <c r="B92" s="857" t="s">
        <v>70</v>
      </c>
      <c r="C92" s="858">
        <v>1</v>
      </c>
      <c r="D92" s="1060">
        <f>INDEX(Data!$E$8:$E$303,MATCH('Cost of Collecton Calculation'!B92,Data!$C$8:$C$303,0))</f>
        <v>69171808</v>
      </c>
      <c r="E92" s="1060">
        <f>INDEX(Data!$F$8:$F$303,MATCH('Cost of Collecton Calculation'!B92,Data!$C$8:$C$303,0))</f>
        <v>3711</v>
      </c>
      <c r="F92" s="869">
        <f t="shared" si="11"/>
        <v>69172000</v>
      </c>
      <c r="G92" s="869">
        <f t="shared" si="12"/>
        <v>3710</v>
      </c>
      <c r="H92" s="869">
        <f t="shared" si="13"/>
        <v>69172000</v>
      </c>
      <c r="I92" s="869">
        <f t="shared" si="14"/>
        <v>3710</v>
      </c>
      <c r="J92" s="866">
        <f t="shared" si="15"/>
        <v>20160000</v>
      </c>
      <c r="K92" s="866">
        <f t="shared" si="16"/>
        <v>63840000</v>
      </c>
      <c r="L92" s="869">
        <f t="shared" si="27"/>
        <v>19046.569534712653</v>
      </c>
      <c r="M92" s="869">
        <f t="shared" si="28"/>
        <v>113046.53712455068</v>
      </c>
      <c r="N92" s="872">
        <f t="shared" si="17"/>
        <v>132093</v>
      </c>
      <c r="P92" s="884">
        <v>130564</v>
      </c>
      <c r="Q92" s="876">
        <f t="shared" si="18"/>
        <v>-1529</v>
      </c>
      <c r="R92" s="877">
        <f t="shared" si="19"/>
        <v>-1.1710731901596152E-2</v>
      </c>
    </row>
    <row r="93" spans="1:18" x14ac:dyDescent="0.2">
      <c r="A93" s="856" t="s">
        <v>71</v>
      </c>
      <c r="B93" s="857" t="s">
        <v>72</v>
      </c>
      <c r="C93" s="858">
        <v>1</v>
      </c>
      <c r="D93" s="1060">
        <f>INDEX(Data!$E$8:$E$303,MATCH('Cost of Collecton Calculation'!B93,Data!$C$8:$C$303,0))</f>
        <v>193660441</v>
      </c>
      <c r="E93" s="1060">
        <f>INDEX(Data!$F$8:$F$303,MATCH('Cost of Collecton Calculation'!B93,Data!$C$8:$C$303,0))</f>
        <v>5166</v>
      </c>
      <c r="F93" s="869">
        <f t="shared" si="11"/>
        <v>193660000</v>
      </c>
      <c r="G93" s="869">
        <f t="shared" si="12"/>
        <v>5170</v>
      </c>
      <c r="H93" s="869">
        <f t="shared" si="13"/>
        <v>193660000</v>
      </c>
      <c r="I93" s="869">
        <f t="shared" si="14"/>
        <v>5170</v>
      </c>
      <c r="J93" s="866">
        <f t="shared" si="15"/>
        <v>20160000</v>
      </c>
      <c r="K93" s="866">
        <f t="shared" si="16"/>
        <v>63840000</v>
      </c>
      <c r="L93" s="869">
        <f t="shared" si="27"/>
        <v>53324.447118667274</v>
      </c>
      <c r="M93" s="869">
        <f t="shared" si="28"/>
        <v>157533.85362100459</v>
      </c>
      <c r="N93" s="872">
        <f t="shared" si="17"/>
        <v>210858</v>
      </c>
      <c r="P93" s="884">
        <v>211662</v>
      </c>
      <c r="Q93" s="876">
        <f t="shared" si="18"/>
        <v>804</v>
      </c>
      <c r="R93" s="877">
        <f t="shared" si="19"/>
        <v>3.7985089435042664E-3</v>
      </c>
    </row>
    <row r="94" spans="1:18" x14ac:dyDescent="0.2">
      <c r="A94" s="856" t="s">
        <v>73</v>
      </c>
      <c r="B94" s="857" t="s">
        <v>74</v>
      </c>
      <c r="C94" s="858">
        <v>1.036</v>
      </c>
      <c r="D94" s="1060">
        <f>INDEX(Data!$E$8:$E$303,MATCH('Cost of Collecton Calculation'!B94,Data!$C$8:$C$303,0))</f>
        <v>114425716</v>
      </c>
      <c r="E94" s="1060">
        <f>INDEX(Data!$F$8:$F$303,MATCH('Cost of Collecton Calculation'!B94,Data!$C$8:$C$303,0))</f>
        <v>3360</v>
      </c>
      <c r="F94" s="869">
        <f t="shared" si="11"/>
        <v>114426000</v>
      </c>
      <c r="G94" s="869">
        <f t="shared" si="12"/>
        <v>3360</v>
      </c>
      <c r="H94" s="869">
        <f t="shared" si="13"/>
        <v>118545336</v>
      </c>
      <c r="I94" s="869">
        <f t="shared" si="14"/>
        <v>3480.96</v>
      </c>
      <c r="J94" s="866">
        <f t="shared" si="15"/>
        <v>20160000</v>
      </c>
      <c r="K94" s="866">
        <f t="shared" si="16"/>
        <v>63840000</v>
      </c>
      <c r="L94" s="869">
        <f t="shared" si="27"/>
        <v>32641.559954025837</v>
      </c>
      <c r="M94" s="869">
        <f t="shared" si="28"/>
        <v>106067.51317225766</v>
      </c>
      <c r="N94" s="872">
        <f t="shared" si="17"/>
        <v>138709</v>
      </c>
      <c r="P94" s="884">
        <v>138237</v>
      </c>
      <c r="Q94" s="876">
        <f t="shared" si="18"/>
        <v>-472</v>
      </c>
      <c r="R94" s="877">
        <f t="shared" si="19"/>
        <v>-3.4144259496372174E-3</v>
      </c>
    </row>
    <row r="95" spans="1:18" x14ac:dyDescent="0.2">
      <c r="A95" s="856" t="s">
        <v>75</v>
      </c>
      <c r="B95" s="857" t="s">
        <v>76</v>
      </c>
      <c r="C95" s="858">
        <v>1.0339</v>
      </c>
      <c r="D95" s="1060">
        <f>INDEX(Data!$E$8:$E$303,MATCH('Cost of Collecton Calculation'!B95,Data!$C$8:$C$303,0))</f>
        <v>76879225</v>
      </c>
      <c r="E95" s="1060">
        <f>INDEX(Data!$F$8:$F$303,MATCH('Cost of Collecton Calculation'!B95,Data!$C$8:$C$303,0))</f>
        <v>3141</v>
      </c>
      <c r="F95" s="869">
        <f t="shared" si="11"/>
        <v>76879000</v>
      </c>
      <c r="G95" s="869">
        <f t="shared" si="12"/>
        <v>3140</v>
      </c>
      <c r="H95" s="869">
        <f t="shared" si="13"/>
        <v>79485198.100000009</v>
      </c>
      <c r="I95" s="869">
        <f t="shared" si="14"/>
        <v>3246.4459999999999</v>
      </c>
      <c r="J95" s="866">
        <f t="shared" si="15"/>
        <v>20160000</v>
      </c>
      <c r="K95" s="866">
        <f t="shared" si="16"/>
        <v>63840000</v>
      </c>
      <c r="L95" s="869">
        <f t="shared" si="27"/>
        <v>21886.317478055578</v>
      </c>
      <c r="M95" s="869">
        <f t="shared" si="28"/>
        <v>98921.692253867674</v>
      </c>
      <c r="N95" s="872">
        <f t="shared" si="17"/>
        <v>120808</v>
      </c>
      <c r="P95" s="884">
        <v>119471</v>
      </c>
      <c r="Q95" s="876">
        <f t="shared" si="18"/>
        <v>-1337</v>
      </c>
      <c r="R95" s="877">
        <f t="shared" si="19"/>
        <v>-1.1191000326439052E-2</v>
      </c>
    </row>
    <row r="96" spans="1:18" x14ac:dyDescent="0.2">
      <c r="A96" s="856" t="s">
        <v>1205</v>
      </c>
      <c r="B96" s="857" t="s">
        <v>319</v>
      </c>
      <c r="C96" s="858">
        <v>1.0067999999999999</v>
      </c>
      <c r="D96" s="1060">
        <f>INDEX(Data!$E$8:$E$303,MATCH('Cost of Collecton Calculation'!B96,Data!$C$8:$C$303,0))</f>
        <v>78719612</v>
      </c>
      <c r="E96" s="1060">
        <f>INDEX(Data!$F$8:$F$303,MATCH('Cost of Collecton Calculation'!B96,Data!$C$8:$C$303,0))</f>
        <v>4136</v>
      </c>
      <c r="F96" s="869">
        <f t="shared" si="11"/>
        <v>78720000</v>
      </c>
      <c r="G96" s="869">
        <f t="shared" si="12"/>
        <v>4140</v>
      </c>
      <c r="H96" s="869">
        <f t="shared" si="13"/>
        <v>79255296</v>
      </c>
      <c r="I96" s="869">
        <f t="shared" si="14"/>
        <v>4168.152</v>
      </c>
      <c r="J96" s="866">
        <f t="shared" si="15"/>
        <v>20160000</v>
      </c>
      <c r="K96" s="866">
        <f t="shared" si="16"/>
        <v>63840000</v>
      </c>
      <c r="L96" s="869">
        <f t="shared" si="27"/>
        <v>21823.013737613972</v>
      </c>
      <c r="M96" s="869">
        <f t="shared" si="28"/>
        <v>127006.77892419681</v>
      </c>
      <c r="N96" s="872">
        <f t="shared" si="17"/>
        <v>148830</v>
      </c>
      <c r="P96" s="884">
        <v>144692</v>
      </c>
      <c r="Q96" s="876">
        <f t="shared" si="18"/>
        <v>-4138</v>
      </c>
      <c r="R96" s="877">
        <f t="shared" si="19"/>
        <v>-2.8598678572415891E-2</v>
      </c>
    </row>
    <row r="97" spans="1:18" x14ac:dyDescent="0.2">
      <c r="A97" s="856" t="s">
        <v>77</v>
      </c>
      <c r="B97" s="857" t="s">
        <v>78</v>
      </c>
      <c r="C97" s="858">
        <v>1.0197000000000001</v>
      </c>
      <c r="D97" s="1060">
        <f>INDEX(Data!$E$8:$E$303,MATCH('Cost of Collecton Calculation'!B97,Data!$C$8:$C$303,0))</f>
        <v>51239385</v>
      </c>
      <c r="E97" s="1060">
        <f>INDEX(Data!$F$8:$F$303,MATCH('Cost of Collecton Calculation'!B97,Data!$C$8:$C$303,0))</f>
        <v>3442</v>
      </c>
      <c r="F97" s="869">
        <f t="shared" si="11"/>
        <v>51239000</v>
      </c>
      <c r="G97" s="869">
        <f t="shared" si="12"/>
        <v>3440</v>
      </c>
      <c r="H97" s="869">
        <f t="shared" si="13"/>
        <v>52248408.300000004</v>
      </c>
      <c r="I97" s="869">
        <f t="shared" si="14"/>
        <v>3507.768</v>
      </c>
      <c r="J97" s="866">
        <f t="shared" si="15"/>
        <v>20160000</v>
      </c>
      <c r="K97" s="866">
        <f t="shared" si="16"/>
        <v>63840000</v>
      </c>
      <c r="L97" s="869">
        <f t="shared" si="27"/>
        <v>14386.644043312437</v>
      </c>
      <c r="M97" s="869">
        <f t="shared" si="28"/>
        <v>106884.3734329679</v>
      </c>
      <c r="N97" s="872">
        <f t="shared" si="17"/>
        <v>121271</v>
      </c>
      <c r="P97" s="884">
        <v>118383</v>
      </c>
      <c r="Q97" s="876">
        <f t="shared" si="18"/>
        <v>-2888</v>
      </c>
      <c r="R97" s="877">
        <f t="shared" si="19"/>
        <v>-2.4395394609023256E-2</v>
      </c>
    </row>
    <row r="98" spans="1:18" x14ac:dyDescent="0.2">
      <c r="A98" s="856" t="s">
        <v>79</v>
      </c>
      <c r="B98" s="857" t="s">
        <v>80</v>
      </c>
      <c r="C98" s="858">
        <v>1</v>
      </c>
      <c r="D98" s="1060">
        <f>INDEX(Data!$E$8:$E$303,MATCH('Cost of Collecton Calculation'!B98,Data!$C$8:$C$303,0))</f>
        <v>69078752</v>
      </c>
      <c r="E98" s="1060">
        <f>INDEX(Data!$F$8:$F$303,MATCH('Cost of Collecton Calculation'!B98,Data!$C$8:$C$303,0))</f>
        <v>3102</v>
      </c>
      <c r="F98" s="869">
        <f t="shared" si="11"/>
        <v>69079000</v>
      </c>
      <c r="G98" s="869">
        <f t="shared" si="12"/>
        <v>3100</v>
      </c>
      <c r="H98" s="869">
        <f t="shared" si="13"/>
        <v>69079000</v>
      </c>
      <c r="I98" s="869">
        <f t="shared" si="14"/>
        <v>3100</v>
      </c>
      <c r="J98" s="866">
        <f t="shared" si="15"/>
        <v>20160000</v>
      </c>
      <c r="K98" s="866">
        <f t="shared" si="16"/>
        <v>63840000</v>
      </c>
      <c r="L98" s="869">
        <f t="shared" si="27"/>
        <v>19020.961904938638</v>
      </c>
      <c r="M98" s="869">
        <f t="shared" si="28"/>
        <v>94459.370643155562</v>
      </c>
      <c r="N98" s="872">
        <f t="shared" si="17"/>
        <v>113480</v>
      </c>
      <c r="P98" s="884">
        <v>112263</v>
      </c>
      <c r="Q98" s="876">
        <f t="shared" si="18"/>
        <v>-1217</v>
      </c>
      <c r="R98" s="877">
        <f t="shared" si="19"/>
        <v>-1.0840615340762317E-2</v>
      </c>
    </row>
    <row r="99" spans="1:18" x14ac:dyDescent="0.2">
      <c r="A99" s="856" t="s">
        <v>81</v>
      </c>
      <c r="B99" s="857" t="s">
        <v>82</v>
      </c>
      <c r="C99" s="858">
        <v>1</v>
      </c>
      <c r="D99" s="1060">
        <f>INDEX(Data!$E$8:$E$303,MATCH('Cost of Collecton Calculation'!B99,Data!$C$8:$C$303,0))</f>
        <v>204611132</v>
      </c>
      <c r="E99" s="1060">
        <f>INDEX(Data!$F$8:$F$303,MATCH('Cost of Collecton Calculation'!B99,Data!$C$8:$C$303,0))</f>
        <v>6932</v>
      </c>
      <c r="F99" s="869">
        <f t="shared" si="11"/>
        <v>204611000</v>
      </c>
      <c r="G99" s="869">
        <f t="shared" si="12"/>
        <v>6930</v>
      </c>
      <c r="H99" s="869">
        <f t="shared" si="13"/>
        <v>204611000</v>
      </c>
      <c r="I99" s="869">
        <f t="shared" si="14"/>
        <v>6930</v>
      </c>
      <c r="J99" s="866">
        <f t="shared" si="15"/>
        <v>20160000</v>
      </c>
      <c r="K99" s="866">
        <f t="shared" si="16"/>
        <v>63840000</v>
      </c>
      <c r="L99" s="869">
        <f t="shared" si="27"/>
        <v>56339.814362272176</v>
      </c>
      <c r="M99" s="869">
        <f t="shared" si="28"/>
        <v>211162.39953453807</v>
      </c>
      <c r="N99" s="872">
        <f t="shared" si="17"/>
        <v>267502</v>
      </c>
      <c r="P99" s="884">
        <v>279141</v>
      </c>
      <c r="Q99" s="876">
        <f t="shared" si="18"/>
        <v>11639</v>
      </c>
      <c r="R99" s="877">
        <f t="shared" si="19"/>
        <v>4.1695773820399011E-2</v>
      </c>
    </row>
    <row r="100" spans="1:18" x14ac:dyDescent="0.2">
      <c r="A100" s="856" t="s">
        <v>83</v>
      </c>
      <c r="B100" s="857" t="s">
        <v>84</v>
      </c>
      <c r="C100" s="858">
        <v>1.0121</v>
      </c>
      <c r="D100" s="1060">
        <f>INDEX(Data!$E$8:$E$303,MATCH('Cost of Collecton Calculation'!B100,Data!$C$8:$C$303,0))</f>
        <v>66242595</v>
      </c>
      <c r="E100" s="1060">
        <f>INDEX(Data!$F$8:$F$303,MATCH('Cost of Collecton Calculation'!B100,Data!$C$8:$C$303,0))</f>
        <v>2636</v>
      </c>
      <c r="F100" s="869">
        <f t="shared" si="11"/>
        <v>66243000</v>
      </c>
      <c r="G100" s="869">
        <f t="shared" si="12"/>
        <v>2640</v>
      </c>
      <c r="H100" s="869">
        <f t="shared" si="13"/>
        <v>67044540.299999997</v>
      </c>
      <c r="I100" s="869">
        <f t="shared" si="14"/>
        <v>2671.944</v>
      </c>
      <c r="J100" s="866">
        <f t="shared" si="15"/>
        <v>20160000</v>
      </c>
      <c r="K100" s="866">
        <f t="shared" si="16"/>
        <v>63840000</v>
      </c>
      <c r="L100" s="869">
        <f t="shared" si="27"/>
        <v>18460.771681414371</v>
      </c>
      <c r="M100" s="869">
        <f t="shared" si="28"/>
        <v>81416.176978630843</v>
      </c>
      <c r="N100" s="872">
        <f t="shared" si="17"/>
        <v>99877</v>
      </c>
      <c r="P100" s="884">
        <v>97835</v>
      </c>
      <c r="Q100" s="876">
        <f t="shared" si="18"/>
        <v>-2042</v>
      </c>
      <c r="R100" s="877">
        <f t="shared" si="19"/>
        <v>-2.0871876117953696E-2</v>
      </c>
    </row>
    <row r="101" spans="1:18" x14ac:dyDescent="0.2">
      <c r="A101" s="856" t="s">
        <v>85</v>
      </c>
      <c r="B101" s="857" t="s">
        <v>86</v>
      </c>
      <c r="C101" s="858">
        <v>1.0197000000000001</v>
      </c>
      <c r="D101" s="1060">
        <f>INDEX(Data!$E$8:$E$303,MATCH('Cost of Collecton Calculation'!B101,Data!$C$8:$C$303,0))</f>
        <v>141463539</v>
      </c>
      <c r="E101" s="1060">
        <f>INDEX(Data!$F$8:$F$303,MATCH('Cost of Collecton Calculation'!B101,Data!$C$8:$C$303,0))</f>
        <v>4170</v>
      </c>
      <c r="F101" s="869">
        <f t="shared" si="11"/>
        <v>141464000</v>
      </c>
      <c r="G101" s="869">
        <f t="shared" si="12"/>
        <v>4170</v>
      </c>
      <c r="H101" s="869">
        <f t="shared" si="13"/>
        <v>144250840.80000001</v>
      </c>
      <c r="I101" s="869">
        <f t="shared" si="14"/>
        <v>4252.1490000000003</v>
      </c>
      <c r="J101" s="866">
        <f t="shared" si="15"/>
        <v>20160000</v>
      </c>
      <c r="K101" s="866">
        <f t="shared" si="16"/>
        <v>63840000</v>
      </c>
      <c r="L101" s="869">
        <f t="shared" si="27"/>
        <v>39719.592750505479</v>
      </c>
      <c r="M101" s="869">
        <f t="shared" si="28"/>
        <v>129566.23174868494</v>
      </c>
      <c r="N101" s="872">
        <f t="shared" si="17"/>
        <v>169286</v>
      </c>
      <c r="P101" s="884">
        <v>170539</v>
      </c>
      <c r="Q101" s="876">
        <f t="shared" si="18"/>
        <v>1253</v>
      </c>
      <c r="R101" s="877">
        <f t="shared" si="19"/>
        <v>7.347292994564293E-3</v>
      </c>
    </row>
    <row r="102" spans="1:18" x14ac:dyDescent="0.2">
      <c r="A102" s="856" t="s">
        <v>87</v>
      </c>
      <c r="B102" s="857" t="s">
        <v>88</v>
      </c>
      <c r="C102" s="858">
        <v>1.036</v>
      </c>
      <c r="D102" s="1060">
        <f>INDEX(Data!$E$8:$E$303,MATCH('Cost of Collecton Calculation'!B102,Data!$C$8:$C$303,0))</f>
        <v>49662997</v>
      </c>
      <c r="E102" s="1060">
        <f>INDEX(Data!$F$8:$F$303,MATCH('Cost of Collecton Calculation'!B102,Data!$C$8:$C$303,0))</f>
        <v>2035</v>
      </c>
      <c r="F102" s="869">
        <f t="shared" si="11"/>
        <v>49663000</v>
      </c>
      <c r="G102" s="869">
        <f t="shared" si="12"/>
        <v>2040</v>
      </c>
      <c r="H102" s="869">
        <f t="shared" si="13"/>
        <v>51450868</v>
      </c>
      <c r="I102" s="869">
        <f t="shared" si="14"/>
        <v>2113.44</v>
      </c>
      <c r="J102" s="866">
        <f t="shared" si="15"/>
        <v>20160000</v>
      </c>
      <c r="K102" s="866">
        <f t="shared" si="16"/>
        <v>63840000</v>
      </c>
      <c r="L102" s="869">
        <f t="shared" si="27"/>
        <v>14167.040637589229</v>
      </c>
      <c r="M102" s="869">
        <f t="shared" si="28"/>
        <v>64398.132997442153</v>
      </c>
      <c r="N102" s="872">
        <f t="shared" si="17"/>
        <v>78565</v>
      </c>
      <c r="P102" s="884">
        <v>77005</v>
      </c>
      <c r="Q102" s="876">
        <f t="shared" si="18"/>
        <v>-1560</v>
      </c>
      <c r="R102" s="877">
        <f t="shared" si="19"/>
        <v>-2.0258424777611844E-2</v>
      </c>
    </row>
    <row r="103" spans="1:18" x14ac:dyDescent="0.2">
      <c r="A103" s="856" t="s">
        <v>89</v>
      </c>
      <c r="B103" s="857" t="s">
        <v>90</v>
      </c>
      <c r="C103" s="858">
        <v>1.0067999999999999</v>
      </c>
      <c r="D103" s="1060">
        <f>INDEX(Data!$E$8:$E$303,MATCH('Cost of Collecton Calculation'!B103,Data!$C$8:$C$303,0))</f>
        <v>75842964</v>
      </c>
      <c r="E103" s="1060">
        <f>INDEX(Data!$F$8:$F$303,MATCH('Cost of Collecton Calculation'!B103,Data!$C$8:$C$303,0))</f>
        <v>2299</v>
      </c>
      <c r="F103" s="869">
        <f t="shared" si="11"/>
        <v>75843000</v>
      </c>
      <c r="G103" s="869">
        <f t="shared" si="12"/>
        <v>2300</v>
      </c>
      <c r="H103" s="869">
        <f t="shared" si="13"/>
        <v>76358732.399999991</v>
      </c>
      <c r="I103" s="869">
        <f t="shared" si="14"/>
        <v>2315.64</v>
      </c>
      <c r="J103" s="866">
        <f t="shared" si="15"/>
        <v>20160000</v>
      </c>
      <c r="K103" s="866">
        <f t="shared" si="16"/>
        <v>63840000</v>
      </c>
      <c r="L103" s="869">
        <f t="shared" si="27"/>
        <v>21025.442465724798</v>
      </c>
      <c r="M103" s="869">
        <f t="shared" si="28"/>
        <v>70559.321624553791</v>
      </c>
      <c r="N103" s="872">
        <f t="shared" si="17"/>
        <v>91585</v>
      </c>
      <c r="P103" s="884">
        <v>90466</v>
      </c>
      <c r="Q103" s="876">
        <f t="shared" si="18"/>
        <v>-1119</v>
      </c>
      <c r="R103" s="877">
        <f t="shared" si="19"/>
        <v>-1.2369287909269781E-2</v>
      </c>
    </row>
    <row r="104" spans="1:18" x14ac:dyDescent="0.2">
      <c r="A104" s="856" t="s">
        <v>91</v>
      </c>
      <c r="B104" s="857" t="s">
        <v>92</v>
      </c>
      <c r="C104" s="858">
        <v>1</v>
      </c>
      <c r="D104" s="1060">
        <f>INDEX(Data!$E$8:$E$303,MATCH('Cost of Collecton Calculation'!B104,Data!$C$8:$C$303,0))</f>
        <v>81873460</v>
      </c>
      <c r="E104" s="1060">
        <f>INDEX(Data!$F$8:$F$303,MATCH('Cost of Collecton Calculation'!B104,Data!$C$8:$C$303,0))</f>
        <v>5297</v>
      </c>
      <c r="F104" s="869">
        <f t="shared" si="11"/>
        <v>81873000</v>
      </c>
      <c r="G104" s="869">
        <f t="shared" si="12"/>
        <v>5300</v>
      </c>
      <c r="H104" s="869">
        <f t="shared" si="13"/>
        <v>81873000</v>
      </c>
      <c r="I104" s="869">
        <f t="shared" si="14"/>
        <v>5300</v>
      </c>
      <c r="J104" s="866">
        <f t="shared" si="15"/>
        <v>20160000</v>
      </c>
      <c r="K104" s="866">
        <f t="shared" si="16"/>
        <v>63840000</v>
      </c>
      <c r="L104" s="869">
        <f t="shared" si="27"/>
        <v>22543.800779441524</v>
      </c>
      <c r="M104" s="869">
        <f t="shared" si="28"/>
        <v>161495.0530350724</v>
      </c>
      <c r="N104" s="872">
        <f t="shared" si="17"/>
        <v>184039</v>
      </c>
      <c r="P104" s="884">
        <v>187481</v>
      </c>
      <c r="Q104" s="876">
        <f t="shared" si="18"/>
        <v>3442</v>
      </c>
      <c r="R104" s="877">
        <f t="shared" si="19"/>
        <v>1.8359193731631474E-2</v>
      </c>
    </row>
    <row r="105" spans="1:18" x14ac:dyDescent="0.2">
      <c r="A105" s="856" t="s">
        <v>93</v>
      </c>
      <c r="B105" s="857" t="s">
        <v>94</v>
      </c>
      <c r="C105" s="858">
        <v>1.2208000000000001</v>
      </c>
      <c r="D105" s="1060">
        <f>INDEX(Data!$E$8:$E$303,MATCH('Cost of Collecton Calculation'!B105,Data!$C$8:$C$303,0))</f>
        <v>266762393</v>
      </c>
      <c r="E105" s="1060">
        <f>INDEX(Data!$F$8:$F$303,MATCH('Cost of Collecton Calculation'!B105,Data!$C$8:$C$303,0))</f>
        <v>6171</v>
      </c>
      <c r="F105" s="869">
        <f t="shared" si="11"/>
        <v>266762000</v>
      </c>
      <c r="G105" s="869">
        <f t="shared" si="12"/>
        <v>6170</v>
      </c>
      <c r="H105" s="869">
        <f t="shared" si="13"/>
        <v>325663049.60000002</v>
      </c>
      <c r="I105" s="869">
        <f t="shared" si="14"/>
        <v>7532.3360000000002</v>
      </c>
      <c r="J105" s="866">
        <f t="shared" si="15"/>
        <v>20160000</v>
      </c>
      <c r="K105" s="866">
        <f t="shared" si="16"/>
        <v>63840000</v>
      </c>
      <c r="L105" s="869">
        <f t="shared" si="27"/>
        <v>89671.600056279654</v>
      </c>
      <c r="M105" s="869">
        <f t="shared" si="28"/>
        <v>229516.03807509152</v>
      </c>
      <c r="N105" s="872">
        <f t="shared" si="17"/>
        <v>319188</v>
      </c>
      <c r="P105" s="884">
        <v>304502</v>
      </c>
      <c r="Q105" s="876">
        <f t="shared" si="18"/>
        <v>-14686</v>
      </c>
      <c r="R105" s="877">
        <f t="shared" si="19"/>
        <v>-4.8229568278697676E-2</v>
      </c>
    </row>
    <row r="106" spans="1:18" x14ac:dyDescent="0.2">
      <c r="A106" s="856" t="s">
        <v>95</v>
      </c>
      <c r="B106" s="857" t="s">
        <v>96</v>
      </c>
      <c r="C106" s="858">
        <v>1.1039000000000001</v>
      </c>
      <c r="D106" s="1060">
        <f>INDEX(Data!$E$8:$E$303,MATCH('Cost of Collecton Calculation'!B106,Data!$C$8:$C$303,0))</f>
        <v>218825123</v>
      </c>
      <c r="E106" s="1060">
        <f>INDEX(Data!$F$8:$F$303,MATCH('Cost of Collecton Calculation'!B106,Data!$C$8:$C$303,0))</f>
        <v>4467</v>
      </c>
      <c r="F106" s="869">
        <f t="shared" si="11"/>
        <v>218825000</v>
      </c>
      <c r="G106" s="869">
        <f t="shared" si="12"/>
        <v>4470</v>
      </c>
      <c r="H106" s="869">
        <f t="shared" si="13"/>
        <v>241560917.50000003</v>
      </c>
      <c r="I106" s="869">
        <f t="shared" si="14"/>
        <v>4934.4330000000009</v>
      </c>
      <c r="J106" s="866">
        <f t="shared" si="15"/>
        <v>20160000</v>
      </c>
      <c r="K106" s="866">
        <f t="shared" si="16"/>
        <v>63840000</v>
      </c>
      <c r="L106" s="869">
        <f t="shared" si="27"/>
        <v>66514.005840986778</v>
      </c>
      <c r="M106" s="869">
        <f t="shared" si="28"/>
        <v>150355.94698736069</v>
      </c>
      <c r="N106" s="872">
        <f t="shared" si="17"/>
        <v>216870</v>
      </c>
      <c r="P106" s="884">
        <v>220109</v>
      </c>
      <c r="Q106" s="876">
        <f t="shared" si="18"/>
        <v>3239</v>
      </c>
      <c r="R106" s="877">
        <f t="shared" si="19"/>
        <v>1.4715436442853313E-2</v>
      </c>
    </row>
    <row r="107" spans="1:18" x14ac:dyDescent="0.2">
      <c r="A107" s="856" t="s">
        <v>97</v>
      </c>
      <c r="B107" s="857" t="s">
        <v>98</v>
      </c>
      <c r="C107" s="858">
        <v>1.2208000000000001</v>
      </c>
      <c r="D107" s="1060">
        <f>INDEX(Data!$E$8:$E$303,MATCH('Cost of Collecton Calculation'!B107,Data!$C$8:$C$303,0))</f>
        <v>473061145</v>
      </c>
      <c r="E107" s="1060">
        <f>INDEX(Data!$F$8:$F$303,MATCH('Cost of Collecton Calculation'!B107,Data!$C$8:$C$303,0))</f>
        <v>12277</v>
      </c>
      <c r="F107" s="869">
        <f t="shared" si="11"/>
        <v>473061000</v>
      </c>
      <c r="G107" s="869">
        <f t="shared" si="12"/>
        <v>12280</v>
      </c>
      <c r="H107" s="869">
        <f t="shared" si="13"/>
        <v>577512868.80000007</v>
      </c>
      <c r="I107" s="869">
        <f t="shared" si="14"/>
        <v>14991.424000000001</v>
      </c>
      <c r="J107" s="866">
        <f t="shared" si="15"/>
        <v>20160000</v>
      </c>
      <c r="K107" s="866">
        <f t="shared" si="16"/>
        <v>63840000</v>
      </c>
      <c r="L107" s="869">
        <f t="shared" si="27"/>
        <v>159018.66380602829</v>
      </c>
      <c r="M107" s="869">
        <f t="shared" si="28"/>
        <v>456800.15357570892</v>
      </c>
      <c r="N107" s="872">
        <f t="shared" si="17"/>
        <v>615819</v>
      </c>
      <c r="P107" s="884">
        <v>606963</v>
      </c>
      <c r="Q107" s="876">
        <f t="shared" si="18"/>
        <v>-8856</v>
      </c>
      <c r="R107" s="877">
        <f t="shared" si="19"/>
        <v>-1.4590675214139906E-2</v>
      </c>
    </row>
    <row r="108" spans="1:18" x14ac:dyDescent="0.2">
      <c r="A108" s="856" t="s">
        <v>541</v>
      </c>
      <c r="B108" s="857" t="s">
        <v>100</v>
      </c>
      <c r="C108" s="858">
        <v>1.0129999999999999</v>
      </c>
      <c r="D108" s="1060">
        <f>INDEX(Data!$E$8:$E$303,MATCH('Cost of Collecton Calculation'!B108,Data!$C$8:$C$303,0))</f>
        <v>145404753</v>
      </c>
      <c r="E108" s="1060">
        <f>INDEX(Data!$F$8:$F$303,MATCH('Cost of Collecton Calculation'!B108,Data!$C$8:$C$303,0))</f>
        <v>3782</v>
      </c>
      <c r="F108" s="869">
        <f t="shared" si="11"/>
        <v>145405000</v>
      </c>
      <c r="G108" s="869">
        <f t="shared" si="12"/>
        <v>3780</v>
      </c>
      <c r="H108" s="869">
        <f t="shared" si="13"/>
        <v>147295265</v>
      </c>
      <c r="I108" s="869">
        <f t="shared" si="14"/>
        <v>3829.1399999999994</v>
      </c>
      <c r="J108" s="866">
        <f t="shared" si="15"/>
        <v>20160000</v>
      </c>
      <c r="K108" s="866">
        <f t="shared" si="16"/>
        <v>63840000</v>
      </c>
      <c r="L108" s="869">
        <f t="shared" si="27"/>
        <v>40557.877565437273</v>
      </c>
      <c r="M108" s="869">
        <f t="shared" si="28"/>
        <v>116676.8240337202</v>
      </c>
      <c r="N108" s="872">
        <f t="shared" si="17"/>
        <v>157235</v>
      </c>
      <c r="P108" s="884">
        <v>154114</v>
      </c>
      <c r="Q108" s="876">
        <f t="shared" si="18"/>
        <v>-3121</v>
      </c>
      <c r="R108" s="877">
        <f t="shared" si="19"/>
        <v>-2.0251242586656632E-2</v>
      </c>
    </row>
    <row r="109" spans="1:18" x14ac:dyDescent="0.2">
      <c r="A109" s="856" t="s">
        <v>101</v>
      </c>
      <c r="B109" s="857" t="s">
        <v>102</v>
      </c>
      <c r="C109" s="858">
        <v>1.2208000000000001</v>
      </c>
      <c r="D109" s="1060">
        <f>INDEX(Data!$E$8:$E$303,MATCH('Cost of Collecton Calculation'!B109,Data!$C$8:$C$303,0))</f>
        <v>560684393</v>
      </c>
      <c r="E109" s="1060">
        <f>INDEX(Data!$F$8:$F$303,MATCH('Cost of Collecton Calculation'!B109,Data!$C$8:$C$303,0))</f>
        <v>10205</v>
      </c>
      <c r="F109" s="869">
        <f t="shared" si="11"/>
        <v>560684000</v>
      </c>
      <c r="G109" s="869">
        <f t="shared" si="12"/>
        <v>10210</v>
      </c>
      <c r="H109" s="869">
        <f t="shared" si="13"/>
        <v>684483027.20000005</v>
      </c>
      <c r="I109" s="869">
        <f t="shared" si="14"/>
        <v>12464.368</v>
      </c>
      <c r="J109" s="866">
        <f t="shared" si="15"/>
        <v>20160000</v>
      </c>
      <c r="K109" s="866">
        <f t="shared" si="16"/>
        <v>63840000</v>
      </c>
      <c r="L109" s="869">
        <f t="shared" si="27"/>
        <v>188472.98867887893</v>
      </c>
      <c r="M109" s="869">
        <f t="shared" si="28"/>
        <v>379798.82475635083</v>
      </c>
      <c r="N109" s="872">
        <f t="shared" si="17"/>
        <v>568272</v>
      </c>
      <c r="P109" s="884">
        <v>586542</v>
      </c>
      <c r="Q109" s="876">
        <f t="shared" si="18"/>
        <v>18270</v>
      </c>
      <c r="R109" s="877">
        <f t="shared" si="19"/>
        <v>3.1148664545761429E-2</v>
      </c>
    </row>
    <row r="110" spans="1:18" x14ac:dyDescent="0.2">
      <c r="A110" s="856" t="s">
        <v>103</v>
      </c>
      <c r="B110" s="857" t="s">
        <v>104</v>
      </c>
      <c r="C110" s="858">
        <v>1</v>
      </c>
      <c r="D110" s="1060">
        <f>INDEX(Data!$E$8:$E$303,MATCH('Cost of Collecton Calculation'!B110,Data!$C$8:$C$303,0))</f>
        <v>146065417</v>
      </c>
      <c r="E110" s="1060">
        <f>INDEX(Data!$F$8:$F$303,MATCH('Cost of Collecton Calculation'!B110,Data!$C$8:$C$303,0))</f>
        <v>3268</v>
      </c>
      <c r="F110" s="869">
        <f t="shared" si="11"/>
        <v>146065000</v>
      </c>
      <c r="G110" s="869">
        <f t="shared" si="12"/>
        <v>3270</v>
      </c>
      <c r="H110" s="869">
        <f t="shared" si="13"/>
        <v>146065000</v>
      </c>
      <c r="I110" s="869">
        <f t="shared" si="14"/>
        <v>3270</v>
      </c>
      <c r="J110" s="866">
        <f t="shared" si="15"/>
        <v>20160000</v>
      </c>
      <c r="K110" s="866">
        <f t="shared" si="16"/>
        <v>63840000</v>
      </c>
      <c r="L110" s="869">
        <f t="shared" si="27"/>
        <v>40219.123042384257</v>
      </c>
      <c r="M110" s="869">
        <f t="shared" si="28"/>
        <v>99639.400646167313</v>
      </c>
      <c r="N110" s="872">
        <f t="shared" si="17"/>
        <v>139859</v>
      </c>
      <c r="P110" s="884">
        <v>129456</v>
      </c>
      <c r="Q110" s="876">
        <f t="shared" si="18"/>
        <v>-10403</v>
      </c>
      <c r="R110" s="877">
        <f t="shared" si="19"/>
        <v>-8.0359349894945004E-2</v>
      </c>
    </row>
    <row r="111" spans="1:18" x14ac:dyDescent="0.2">
      <c r="A111" s="856" t="s">
        <v>105</v>
      </c>
      <c r="B111" s="857" t="s">
        <v>106</v>
      </c>
      <c r="C111" s="858">
        <v>1.0760000000000001</v>
      </c>
      <c r="D111" s="1060">
        <f>INDEX(Data!$E$8:$E$303,MATCH('Cost of Collecton Calculation'!B111,Data!$C$8:$C$303,0))</f>
        <v>211822575</v>
      </c>
      <c r="E111" s="1060">
        <f>INDEX(Data!$F$8:$F$303,MATCH('Cost of Collecton Calculation'!B111,Data!$C$8:$C$303,0))</f>
        <v>7173</v>
      </c>
      <c r="F111" s="869">
        <f t="shared" si="11"/>
        <v>211823000</v>
      </c>
      <c r="G111" s="869">
        <f t="shared" si="12"/>
        <v>7170</v>
      </c>
      <c r="H111" s="869">
        <f t="shared" si="13"/>
        <v>227921548</v>
      </c>
      <c r="I111" s="869">
        <f t="shared" si="14"/>
        <v>7714.92</v>
      </c>
      <c r="J111" s="866">
        <f t="shared" si="15"/>
        <v>20160000</v>
      </c>
      <c r="K111" s="866">
        <f t="shared" si="16"/>
        <v>63840000</v>
      </c>
      <c r="L111" s="869">
        <f t="shared" si="27"/>
        <v>62758.393749513503</v>
      </c>
      <c r="M111" s="869">
        <f t="shared" si="28"/>
        <v>235079.51218138504</v>
      </c>
      <c r="N111" s="872">
        <f t="shared" si="17"/>
        <v>297838</v>
      </c>
      <c r="P111" s="884">
        <v>300221</v>
      </c>
      <c r="Q111" s="876">
        <f t="shared" si="18"/>
        <v>2383</v>
      </c>
      <c r="R111" s="877">
        <f t="shared" si="19"/>
        <v>7.9374860519417362E-3</v>
      </c>
    </row>
    <row r="112" spans="1:18" x14ac:dyDescent="0.2">
      <c r="A112" s="856" t="s">
        <v>107</v>
      </c>
      <c r="B112" s="857" t="s">
        <v>108</v>
      </c>
      <c r="C112" s="858">
        <v>1.0618000000000001</v>
      </c>
      <c r="D112" s="1060">
        <f>INDEX(Data!$E$8:$E$303,MATCH('Cost of Collecton Calculation'!B112,Data!$C$8:$C$303,0))</f>
        <v>117787417</v>
      </c>
      <c r="E112" s="1060">
        <f>INDEX(Data!$F$8:$F$303,MATCH('Cost of Collecton Calculation'!B112,Data!$C$8:$C$303,0))</f>
        <v>2414</v>
      </c>
      <c r="F112" s="869">
        <f t="shared" si="11"/>
        <v>117787000</v>
      </c>
      <c r="G112" s="869">
        <f t="shared" si="12"/>
        <v>2410</v>
      </c>
      <c r="H112" s="869">
        <f t="shared" si="13"/>
        <v>125066236.60000001</v>
      </c>
      <c r="I112" s="869">
        <f t="shared" si="14"/>
        <v>2558.9380000000001</v>
      </c>
      <c r="J112" s="866">
        <f t="shared" si="15"/>
        <v>20160000</v>
      </c>
      <c r="K112" s="866">
        <f t="shared" si="16"/>
        <v>63840000</v>
      </c>
      <c r="L112" s="869">
        <f t="shared" si="27"/>
        <v>34437.095527767371</v>
      </c>
      <c r="M112" s="869">
        <f t="shared" si="28"/>
        <v>77972.79774027587</v>
      </c>
      <c r="N112" s="872">
        <f t="shared" si="17"/>
        <v>112410</v>
      </c>
      <c r="P112" s="884">
        <v>111499</v>
      </c>
      <c r="Q112" s="876">
        <f t="shared" si="18"/>
        <v>-911</v>
      </c>
      <c r="R112" s="877">
        <f t="shared" si="19"/>
        <v>-8.1704768652633656E-3</v>
      </c>
    </row>
    <row r="113" spans="1:18" x14ac:dyDescent="0.2">
      <c r="A113" s="856" t="s">
        <v>109</v>
      </c>
      <c r="B113" s="857" t="s">
        <v>110</v>
      </c>
      <c r="C113" s="858">
        <v>1.1113</v>
      </c>
      <c r="D113" s="1060">
        <f>INDEX(Data!$E$8:$E$303,MATCH('Cost of Collecton Calculation'!B113,Data!$C$8:$C$303,0))</f>
        <v>144374486</v>
      </c>
      <c r="E113" s="1060">
        <f>INDEX(Data!$F$8:$F$303,MATCH('Cost of Collecton Calculation'!B113,Data!$C$8:$C$303,0))</f>
        <v>5522</v>
      </c>
      <c r="F113" s="869">
        <f t="shared" si="11"/>
        <v>144374000</v>
      </c>
      <c r="G113" s="869">
        <f t="shared" si="12"/>
        <v>5520</v>
      </c>
      <c r="H113" s="869">
        <f t="shared" si="13"/>
        <v>160442826.19999999</v>
      </c>
      <c r="I113" s="869">
        <f t="shared" si="14"/>
        <v>6134.3760000000002</v>
      </c>
      <c r="J113" s="866">
        <f t="shared" si="15"/>
        <v>20160000</v>
      </c>
      <c r="K113" s="866">
        <f t="shared" si="16"/>
        <v>63840000</v>
      </c>
      <c r="L113" s="869">
        <f t="shared" si="27"/>
        <v>44178.069819639699</v>
      </c>
      <c r="M113" s="869">
        <f t="shared" si="28"/>
        <v>186919.12782208968</v>
      </c>
      <c r="N113" s="872">
        <f t="shared" si="17"/>
        <v>231097</v>
      </c>
      <c r="P113" s="884">
        <v>231109</v>
      </c>
      <c r="Q113" s="876">
        <f t="shared" si="18"/>
        <v>12</v>
      </c>
      <c r="R113" s="877">
        <f t="shared" si="19"/>
        <v>5.1923551224746767E-5</v>
      </c>
    </row>
    <row r="114" spans="1:18" x14ac:dyDescent="0.2">
      <c r="A114" s="856" t="s">
        <v>111</v>
      </c>
      <c r="B114" s="857" t="s">
        <v>112</v>
      </c>
      <c r="C114" s="858">
        <v>1.036</v>
      </c>
      <c r="D114" s="1060">
        <f>INDEX(Data!$E$8:$E$303,MATCH('Cost of Collecton Calculation'!B114,Data!$C$8:$C$303,0))</f>
        <v>81203940</v>
      </c>
      <c r="E114" s="1060">
        <f>INDEX(Data!$F$8:$F$303,MATCH('Cost of Collecton Calculation'!B114,Data!$C$8:$C$303,0))</f>
        <v>2334</v>
      </c>
      <c r="F114" s="869">
        <f t="shared" si="11"/>
        <v>81204000</v>
      </c>
      <c r="G114" s="869">
        <f t="shared" si="12"/>
        <v>2330</v>
      </c>
      <c r="H114" s="869">
        <f t="shared" si="13"/>
        <v>84127344</v>
      </c>
      <c r="I114" s="869">
        <f t="shared" si="14"/>
        <v>2413.88</v>
      </c>
      <c r="J114" s="866">
        <f t="shared" si="15"/>
        <v>20160000</v>
      </c>
      <c r="K114" s="866">
        <f t="shared" si="16"/>
        <v>63840000</v>
      </c>
      <c r="L114" s="869">
        <f t="shared" si="27"/>
        <v>23164.536333584274</v>
      </c>
      <c r="M114" s="869">
        <f t="shared" si="28"/>
        <v>73552.769551000107</v>
      </c>
      <c r="N114" s="872">
        <f t="shared" si="17"/>
        <v>96717</v>
      </c>
      <c r="P114" s="884">
        <v>96031</v>
      </c>
      <c r="Q114" s="876">
        <f t="shared" si="18"/>
        <v>-686</v>
      </c>
      <c r="R114" s="877">
        <f t="shared" si="19"/>
        <v>-7.1435265695452511E-3</v>
      </c>
    </row>
    <row r="115" spans="1:18" x14ac:dyDescent="0.2">
      <c r="A115" s="856" t="s">
        <v>546</v>
      </c>
      <c r="B115" s="857" t="s">
        <v>114</v>
      </c>
      <c r="C115" s="858">
        <v>1</v>
      </c>
      <c r="D115" s="1060">
        <f>INDEX(Data!$E$8:$E$303,MATCH('Cost of Collecton Calculation'!B115,Data!$C$8:$C$303,0))</f>
        <v>79751307</v>
      </c>
      <c r="E115" s="1060">
        <f>INDEX(Data!$F$8:$F$303,MATCH('Cost of Collecton Calculation'!B115,Data!$C$8:$C$303,0))</f>
        <v>2959</v>
      </c>
      <c r="F115" s="869">
        <f t="shared" si="11"/>
        <v>79751000</v>
      </c>
      <c r="G115" s="869">
        <f t="shared" si="12"/>
        <v>2960</v>
      </c>
      <c r="H115" s="869">
        <f t="shared" si="13"/>
        <v>79751000</v>
      </c>
      <c r="I115" s="869">
        <f t="shared" si="14"/>
        <v>2960</v>
      </c>
      <c r="J115" s="866">
        <f t="shared" si="15"/>
        <v>20160000</v>
      </c>
      <c r="K115" s="866">
        <f t="shared" si="16"/>
        <v>63840000</v>
      </c>
      <c r="L115" s="869">
        <f t="shared" si="27"/>
        <v>21959.506259221489</v>
      </c>
      <c r="M115" s="869">
        <f t="shared" si="28"/>
        <v>90193.463581851756</v>
      </c>
      <c r="N115" s="872">
        <f t="shared" si="17"/>
        <v>112153</v>
      </c>
      <c r="P115" s="884">
        <v>113992</v>
      </c>
      <c r="Q115" s="876">
        <f t="shared" si="18"/>
        <v>1839</v>
      </c>
      <c r="R115" s="877">
        <f t="shared" si="19"/>
        <v>1.613271106744333E-2</v>
      </c>
    </row>
    <row r="116" spans="1:18" x14ac:dyDescent="0.2">
      <c r="A116" s="856" t="s">
        <v>115</v>
      </c>
      <c r="B116" s="857" t="s">
        <v>116</v>
      </c>
      <c r="C116" s="858">
        <v>1.0089999999999999</v>
      </c>
      <c r="D116" s="1060">
        <f>INDEX(Data!$E$8:$E$303,MATCH('Cost of Collecton Calculation'!B116,Data!$C$8:$C$303,0))</f>
        <v>64963338</v>
      </c>
      <c r="E116" s="1060">
        <f>INDEX(Data!$F$8:$F$303,MATCH('Cost of Collecton Calculation'!B116,Data!$C$8:$C$303,0))</f>
        <v>3577</v>
      </c>
      <c r="F116" s="869">
        <f t="shared" si="11"/>
        <v>64963000</v>
      </c>
      <c r="G116" s="869">
        <f t="shared" si="12"/>
        <v>3580</v>
      </c>
      <c r="H116" s="869">
        <f t="shared" si="13"/>
        <v>65547666.999999993</v>
      </c>
      <c r="I116" s="869">
        <f t="shared" si="14"/>
        <v>3612.22</v>
      </c>
      <c r="J116" s="866">
        <f t="shared" si="15"/>
        <v>20160000</v>
      </c>
      <c r="K116" s="866">
        <f t="shared" si="16"/>
        <v>63840000</v>
      </c>
      <c r="L116" s="869">
        <f t="shared" si="27"/>
        <v>18048.606334263717</v>
      </c>
      <c r="M116" s="869">
        <f t="shared" si="28"/>
        <v>110067.10574987721</v>
      </c>
      <c r="N116" s="872">
        <f t="shared" si="17"/>
        <v>128116</v>
      </c>
      <c r="P116" s="884">
        <v>131306</v>
      </c>
      <c r="Q116" s="876">
        <f t="shared" si="18"/>
        <v>3190</v>
      </c>
      <c r="R116" s="877">
        <f t="shared" si="19"/>
        <v>2.4294396295675751E-2</v>
      </c>
    </row>
    <row r="117" spans="1:18" x14ac:dyDescent="0.2">
      <c r="A117" s="856" t="s">
        <v>117</v>
      </c>
      <c r="B117" s="857" t="s">
        <v>118</v>
      </c>
      <c r="C117" s="858">
        <v>1.036</v>
      </c>
      <c r="D117" s="1060">
        <f>INDEX(Data!$E$8:$E$303,MATCH('Cost of Collecton Calculation'!B117,Data!$C$8:$C$303,0))</f>
        <v>90141303</v>
      </c>
      <c r="E117" s="1060">
        <f>INDEX(Data!$F$8:$F$303,MATCH('Cost of Collecton Calculation'!B117,Data!$C$8:$C$303,0))</f>
        <v>3397</v>
      </c>
      <c r="F117" s="869">
        <f t="shared" si="11"/>
        <v>90141000</v>
      </c>
      <c r="G117" s="869">
        <f t="shared" si="12"/>
        <v>3400</v>
      </c>
      <c r="H117" s="869">
        <f t="shared" si="13"/>
        <v>93386076</v>
      </c>
      <c r="I117" s="869">
        <f t="shared" si="14"/>
        <v>3522.4</v>
      </c>
      <c r="J117" s="866">
        <f t="shared" si="15"/>
        <v>20160000</v>
      </c>
      <c r="K117" s="866">
        <f t="shared" si="16"/>
        <v>63840000</v>
      </c>
      <c r="L117" s="869">
        <f t="shared" si="27"/>
        <v>25713.936131786857</v>
      </c>
      <c r="M117" s="869">
        <f t="shared" si="28"/>
        <v>107330.22166240359</v>
      </c>
      <c r="N117" s="872">
        <f t="shared" si="17"/>
        <v>133044</v>
      </c>
      <c r="P117" s="884">
        <v>132800</v>
      </c>
      <c r="Q117" s="876">
        <f t="shared" si="18"/>
        <v>-244</v>
      </c>
      <c r="R117" s="877">
        <f t="shared" si="19"/>
        <v>-1.8373493975903615E-3</v>
      </c>
    </row>
    <row r="118" spans="1:18" x14ac:dyDescent="0.2">
      <c r="A118" s="856" t="s">
        <v>119</v>
      </c>
      <c r="B118" s="857" t="s">
        <v>120</v>
      </c>
      <c r="C118" s="858">
        <v>1.0760000000000001</v>
      </c>
      <c r="D118" s="1060">
        <f>INDEX(Data!$E$8:$E$303,MATCH('Cost of Collecton Calculation'!B118,Data!$C$8:$C$303,0))</f>
        <v>223143921</v>
      </c>
      <c r="E118" s="1060">
        <f>INDEX(Data!$F$8:$F$303,MATCH('Cost of Collecton Calculation'!B118,Data!$C$8:$C$303,0))</f>
        <v>6021</v>
      </c>
      <c r="F118" s="869">
        <f t="shared" si="11"/>
        <v>223144000</v>
      </c>
      <c r="G118" s="869">
        <f t="shared" si="12"/>
        <v>6020</v>
      </c>
      <c r="H118" s="869">
        <f t="shared" si="13"/>
        <v>240102944.00000003</v>
      </c>
      <c r="I118" s="869">
        <f t="shared" si="14"/>
        <v>6477.52</v>
      </c>
      <c r="J118" s="866">
        <f t="shared" si="15"/>
        <v>20160000</v>
      </c>
      <c r="K118" s="866">
        <f t="shared" si="16"/>
        <v>63840000</v>
      </c>
      <c r="L118" s="869">
        <f t="shared" si="27"/>
        <v>66112.551587133799</v>
      </c>
      <c r="M118" s="869">
        <f t="shared" si="28"/>
        <v>197374.98791240418</v>
      </c>
      <c r="N118" s="872">
        <f t="shared" si="17"/>
        <v>263488</v>
      </c>
      <c r="P118" s="884">
        <v>262013</v>
      </c>
      <c r="Q118" s="876">
        <f t="shared" si="18"/>
        <v>-1475</v>
      </c>
      <c r="R118" s="877">
        <f t="shared" si="19"/>
        <v>-5.6294916664440314E-3</v>
      </c>
    </row>
    <row r="119" spans="1:18" x14ac:dyDescent="0.2">
      <c r="A119" s="856" t="s">
        <v>591</v>
      </c>
      <c r="B119" s="857" t="s">
        <v>122</v>
      </c>
      <c r="C119" s="858">
        <v>1</v>
      </c>
      <c r="D119" s="1060">
        <f>INDEX(Data!$E$8:$E$303,MATCH('Cost of Collecton Calculation'!B119,Data!$C$8:$C$303,0))</f>
        <v>147276705</v>
      </c>
      <c r="E119" s="1060">
        <f>INDEX(Data!$F$8:$F$303,MATCH('Cost of Collecton Calculation'!B119,Data!$C$8:$C$303,0))</f>
        <v>8455</v>
      </c>
      <c r="F119" s="869">
        <f t="shared" si="11"/>
        <v>147277000</v>
      </c>
      <c r="G119" s="869">
        <f t="shared" si="12"/>
        <v>8460</v>
      </c>
      <c r="H119" s="869">
        <f t="shared" si="13"/>
        <v>147277000</v>
      </c>
      <c r="I119" s="869">
        <f t="shared" si="14"/>
        <v>8460</v>
      </c>
      <c r="J119" s="866">
        <f t="shared" si="15"/>
        <v>20160000</v>
      </c>
      <c r="K119" s="866">
        <f t="shared" si="16"/>
        <v>63840000</v>
      </c>
      <c r="L119" s="869">
        <f t="shared" si="27"/>
        <v>40552.848282019826</v>
      </c>
      <c r="M119" s="869">
        <f t="shared" si="28"/>
        <v>257782.66956164388</v>
      </c>
      <c r="N119" s="872">
        <f t="shared" si="17"/>
        <v>298336</v>
      </c>
      <c r="P119" s="884">
        <v>298355</v>
      </c>
      <c r="Q119" s="876">
        <f t="shared" si="18"/>
        <v>19</v>
      </c>
      <c r="R119" s="877">
        <f t="shared" si="19"/>
        <v>6.3682525850077923E-5</v>
      </c>
    </row>
    <row r="120" spans="1:18" x14ac:dyDescent="0.2">
      <c r="A120" s="856" t="s">
        <v>123</v>
      </c>
      <c r="B120" s="857" t="s">
        <v>124</v>
      </c>
      <c r="C120" s="858">
        <v>1.0815999999999999</v>
      </c>
      <c r="D120" s="1060">
        <f>INDEX(Data!$E$8:$E$303,MATCH('Cost of Collecton Calculation'!B120,Data!$C$8:$C$303,0))</f>
        <v>188246819</v>
      </c>
      <c r="E120" s="1060">
        <f>INDEX(Data!$F$8:$F$303,MATCH('Cost of Collecton Calculation'!B120,Data!$C$8:$C$303,0))</f>
        <v>3202</v>
      </c>
      <c r="F120" s="869">
        <f t="shared" si="11"/>
        <v>188247000</v>
      </c>
      <c r="G120" s="869">
        <f t="shared" si="12"/>
        <v>3200</v>
      </c>
      <c r="H120" s="869">
        <f t="shared" si="13"/>
        <v>203607955.19999999</v>
      </c>
      <c r="I120" s="869">
        <f t="shared" si="14"/>
        <v>3461.12</v>
      </c>
      <c r="J120" s="866">
        <f t="shared" si="15"/>
        <v>20160000</v>
      </c>
      <c r="K120" s="866">
        <f t="shared" si="16"/>
        <v>63840000</v>
      </c>
      <c r="L120" s="869">
        <f t="shared" si="27"/>
        <v>56063.625116195268</v>
      </c>
      <c r="M120" s="869">
        <f t="shared" si="28"/>
        <v>105462.97320014147</v>
      </c>
      <c r="N120" s="872">
        <f t="shared" si="17"/>
        <v>161527</v>
      </c>
      <c r="P120" s="884">
        <v>142737</v>
      </c>
      <c r="Q120" s="876">
        <f t="shared" si="18"/>
        <v>-18790</v>
      </c>
      <c r="R120" s="877">
        <f t="shared" si="19"/>
        <v>-0.1316407098369729</v>
      </c>
    </row>
    <row r="121" spans="1:18" x14ac:dyDescent="0.2">
      <c r="A121" s="856" t="s">
        <v>125</v>
      </c>
      <c r="B121" s="857" t="s">
        <v>126</v>
      </c>
      <c r="C121" s="858">
        <v>1</v>
      </c>
      <c r="D121" s="1060">
        <f>INDEX(Data!$E$8:$E$303,MATCH('Cost of Collecton Calculation'!B121,Data!$C$8:$C$303,0))</f>
        <v>78044150</v>
      </c>
      <c r="E121" s="1060">
        <f>INDEX(Data!$F$8:$F$303,MATCH('Cost of Collecton Calculation'!B121,Data!$C$8:$C$303,0))</f>
        <v>3848</v>
      </c>
      <c r="F121" s="869">
        <f t="shared" si="11"/>
        <v>78044000</v>
      </c>
      <c r="G121" s="869">
        <f t="shared" si="12"/>
        <v>3850</v>
      </c>
      <c r="H121" s="869">
        <f t="shared" si="13"/>
        <v>78044000</v>
      </c>
      <c r="I121" s="869">
        <f t="shared" si="14"/>
        <v>3850</v>
      </c>
      <c r="J121" s="866">
        <f t="shared" si="15"/>
        <v>20160000</v>
      </c>
      <c r="K121" s="866">
        <f t="shared" si="16"/>
        <v>63840000</v>
      </c>
      <c r="L121" s="869">
        <f t="shared" si="27"/>
        <v>21489.48234498228</v>
      </c>
      <c r="M121" s="869">
        <f t="shared" si="28"/>
        <v>117312.44418585449</v>
      </c>
      <c r="N121" s="872">
        <f t="shared" si="17"/>
        <v>138802</v>
      </c>
      <c r="P121" s="884">
        <v>135654</v>
      </c>
      <c r="Q121" s="876">
        <f t="shared" si="18"/>
        <v>-3148</v>
      </c>
      <c r="R121" s="877">
        <f t="shared" si="19"/>
        <v>-2.3206097866631283E-2</v>
      </c>
    </row>
    <row r="122" spans="1:18" x14ac:dyDescent="0.2">
      <c r="A122" s="856" t="s">
        <v>127</v>
      </c>
      <c r="B122" s="857" t="s">
        <v>128</v>
      </c>
      <c r="C122" s="858">
        <v>1.1113</v>
      </c>
      <c r="D122" s="1060">
        <f>INDEX(Data!$E$8:$E$303,MATCH('Cost of Collecton Calculation'!B122,Data!$C$8:$C$303,0))</f>
        <v>839011683</v>
      </c>
      <c r="E122" s="1060">
        <f>INDEX(Data!$F$8:$F$303,MATCH('Cost of Collecton Calculation'!B122,Data!$C$8:$C$303,0))</f>
        <v>8977</v>
      </c>
      <c r="F122" s="869">
        <f t="shared" si="11"/>
        <v>839012000</v>
      </c>
      <c r="G122" s="869">
        <f t="shared" si="12"/>
        <v>8980</v>
      </c>
      <c r="H122" s="869">
        <f t="shared" si="13"/>
        <v>932394035.5999999</v>
      </c>
      <c r="I122" s="869">
        <f t="shared" si="14"/>
        <v>9979.4740000000002</v>
      </c>
      <c r="J122" s="866">
        <f t="shared" si="15"/>
        <v>20160000</v>
      </c>
      <c r="K122" s="866">
        <f t="shared" si="16"/>
        <v>63840000</v>
      </c>
      <c r="L122" s="869">
        <f t="shared" si="27"/>
        <v>256735.49749619421</v>
      </c>
      <c r="M122" s="869">
        <f t="shared" si="28"/>
        <v>304082.20431926911</v>
      </c>
      <c r="N122" s="872">
        <f t="shared" si="17"/>
        <v>560818</v>
      </c>
      <c r="P122" s="884">
        <v>566748</v>
      </c>
      <c r="Q122" s="876">
        <f t="shared" si="18"/>
        <v>5930</v>
      </c>
      <c r="R122" s="877">
        <f t="shared" si="19"/>
        <v>1.0463204104822602E-2</v>
      </c>
    </row>
    <row r="123" spans="1:18" x14ac:dyDescent="0.2">
      <c r="A123" s="856" t="s">
        <v>129</v>
      </c>
      <c r="B123" s="857" t="s">
        <v>130</v>
      </c>
      <c r="C123" s="858">
        <v>1</v>
      </c>
      <c r="D123" s="1060">
        <f>INDEX(Data!$E$8:$E$303,MATCH('Cost of Collecton Calculation'!B123,Data!$C$8:$C$303,0))</f>
        <v>106494552</v>
      </c>
      <c r="E123" s="1060">
        <f>INDEX(Data!$F$8:$F$303,MATCH('Cost of Collecton Calculation'!B123,Data!$C$8:$C$303,0))</f>
        <v>3313</v>
      </c>
      <c r="F123" s="869">
        <f t="shared" ref="F123:F185" si="29">ROUND(D123,-3)</f>
        <v>106495000</v>
      </c>
      <c r="G123" s="869">
        <f t="shared" ref="G123:G185" si="30">ROUND(E123,-1)</f>
        <v>3310</v>
      </c>
      <c r="H123" s="869">
        <f t="shared" ref="H123:H185" si="31">F123*C123</f>
        <v>106495000</v>
      </c>
      <c r="I123" s="869">
        <f t="shared" ref="I123:I185" si="32">G123*C123</f>
        <v>3310</v>
      </c>
      <c r="J123" s="866">
        <f t="shared" ref="J123:J185" si="33">20160000</f>
        <v>20160000</v>
      </c>
      <c r="K123" s="866">
        <f t="shared" ref="K123:K185" si="34">63840000</f>
        <v>63840000</v>
      </c>
      <c r="L123" s="869">
        <f t="shared" si="27"/>
        <v>29323.489599826869</v>
      </c>
      <c r="M123" s="869">
        <f t="shared" si="28"/>
        <v>100858.23123511126</v>
      </c>
      <c r="N123" s="872">
        <f t="shared" ref="N123:N185" si="35">ROUND(L123+M123,0)</f>
        <v>130182</v>
      </c>
      <c r="P123" s="884">
        <v>124917</v>
      </c>
      <c r="Q123" s="876">
        <f t="shared" ref="Q123:Q185" si="36">P123-N123</f>
        <v>-5265</v>
      </c>
      <c r="R123" s="877">
        <f t="shared" ref="R123:R185" si="37">Q123/P123</f>
        <v>-4.2147986262878551E-2</v>
      </c>
    </row>
    <row r="124" spans="1:18" x14ac:dyDescent="0.2">
      <c r="A124" s="856" t="s">
        <v>131</v>
      </c>
      <c r="B124" s="857" t="s">
        <v>132</v>
      </c>
      <c r="C124" s="858">
        <v>1</v>
      </c>
      <c r="D124" s="1060">
        <f>INDEX(Data!$E$8:$E$303,MATCH('Cost of Collecton Calculation'!B124,Data!$C$8:$C$303,0))</f>
        <v>131220705</v>
      </c>
      <c r="E124" s="1060">
        <f>INDEX(Data!$F$8:$F$303,MATCH('Cost of Collecton Calculation'!B124,Data!$C$8:$C$303,0))</f>
        <v>4970</v>
      </c>
      <c r="F124" s="869">
        <f t="shared" si="29"/>
        <v>131221000</v>
      </c>
      <c r="G124" s="869">
        <f t="shared" si="30"/>
        <v>4970</v>
      </c>
      <c r="H124" s="869">
        <f t="shared" si="31"/>
        <v>131221000</v>
      </c>
      <c r="I124" s="869">
        <f t="shared" si="32"/>
        <v>4970</v>
      </c>
      <c r="J124" s="866">
        <f t="shared" si="33"/>
        <v>20160000</v>
      </c>
      <c r="K124" s="866">
        <f t="shared" si="34"/>
        <v>63840000</v>
      </c>
      <c r="L124" s="869">
        <f t="shared" si="27"/>
        <v>36131.814909421861</v>
      </c>
      <c r="M124" s="869">
        <f t="shared" si="28"/>
        <v>151439.70067628488</v>
      </c>
      <c r="N124" s="872">
        <f t="shared" si="35"/>
        <v>187572</v>
      </c>
      <c r="P124" s="884">
        <v>185580</v>
      </c>
      <c r="Q124" s="876">
        <f t="shared" si="36"/>
        <v>-1992</v>
      </c>
      <c r="R124" s="877">
        <f t="shared" si="37"/>
        <v>-1.0733915292596185E-2</v>
      </c>
    </row>
    <row r="125" spans="1:18" x14ac:dyDescent="0.2">
      <c r="A125" s="856" t="s">
        <v>133</v>
      </c>
      <c r="B125" s="857" t="s">
        <v>134</v>
      </c>
      <c r="C125" s="858">
        <v>1.1113</v>
      </c>
      <c r="D125" s="1060">
        <f>INDEX(Data!$E$8:$E$303,MATCH('Cost of Collecton Calculation'!B125,Data!$C$8:$C$303,0))</f>
        <v>491539981</v>
      </c>
      <c r="E125" s="1060">
        <f>INDEX(Data!$F$8:$F$303,MATCH('Cost of Collecton Calculation'!B125,Data!$C$8:$C$303,0))</f>
        <v>7638</v>
      </c>
      <c r="F125" s="869">
        <f t="shared" si="29"/>
        <v>491540000</v>
      </c>
      <c r="G125" s="869">
        <f t="shared" si="30"/>
        <v>7640</v>
      </c>
      <c r="H125" s="869">
        <f t="shared" si="31"/>
        <v>546248402</v>
      </c>
      <c r="I125" s="869">
        <f t="shared" si="32"/>
        <v>8490.3320000000003</v>
      </c>
      <c r="J125" s="866">
        <f t="shared" si="33"/>
        <v>20160000</v>
      </c>
      <c r="K125" s="866">
        <f t="shared" si="34"/>
        <v>63840000</v>
      </c>
      <c r="L125" s="869">
        <f t="shared" si="27"/>
        <v>150409.96605445369</v>
      </c>
      <c r="M125" s="869">
        <f t="shared" si="28"/>
        <v>258706.90879724006</v>
      </c>
      <c r="N125" s="872">
        <f t="shared" si="35"/>
        <v>409117</v>
      </c>
      <c r="P125" s="884">
        <v>401808</v>
      </c>
      <c r="Q125" s="876">
        <f t="shared" si="36"/>
        <v>-7309</v>
      </c>
      <c r="R125" s="877">
        <f t="shared" si="37"/>
        <v>-1.8190279934695179E-2</v>
      </c>
    </row>
    <row r="126" spans="1:18" x14ac:dyDescent="0.2">
      <c r="A126" s="856" t="s">
        <v>135</v>
      </c>
      <c r="B126" s="857" t="s">
        <v>136</v>
      </c>
      <c r="C126" s="858">
        <v>1.0339</v>
      </c>
      <c r="D126" s="1060">
        <f>INDEX(Data!$E$8:$E$303,MATCH('Cost of Collecton Calculation'!B126,Data!$C$8:$C$303,0))</f>
        <v>177795517</v>
      </c>
      <c r="E126" s="1060">
        <f>INDEX(Data!$F$8:$F$303,MATCH('Cost of Collecton Calculation'!B126,Data!$C$8:$C$303,0))</f>
        <v>5710</v>
      </c>
      <c r="F126" s="869">
        <f t="shared" si="29"/>
        <v>177796000</v>
      </c>
      <c r="G126" s="869">
        <f t="shared" si="30"/>
        <v>5710</v>
      </c>
      <c r="H126" s="869">
        <f t="shared" si="31"/>
        <v>183823284.40000001</v>
      </c>
      <c r="I126" s="869">
        <f t="shared" si="32"/>
        <v>5903.5690000000004</v>
      </c>
      <c r="J126" s="866">
        <f t="shared" si="33"/>
        <v>20160000</v>
      </c>
      <c r="K126" s="866">
        <f t="shared" si="34"/>
        <v>63840000</v>
      </c>
      <c r="L126" s="869">
        <f t="shared" si="27"/>
        <v>50615.899040418954</v>
      </c>
      <c r="M126" s="869">
        <f t="shared" si="28"/>
        <v>179886.26202853007</v>
      </c>
      <c r="N126" s="872">
        <f t="shared" si="35"/>
        <v>230502</v>
      </c>
      <c r="P126" s="884">
        <v>221584</v>
      </c>
      <c r="Q126" s="876">
        <f t="shared" si="36"/>
        <v>-8918</v>
      </c>
      <c r="R126" s="877">
        <f t="shared" si="37"/>
        <v>-4.0246588201314173E-2</v>
      </c>
    </row>
    <row r="127" spans="1:18" x14ac:dyDescent="0.2">
      <c r="A127" s="856" t="s">
        <v>137</v>
      </c>
      <c r="B127" s="857" t="s">
        <v>138</v>
      </c>
      <c r="C127" s="858">
        <v>1</v>
      </c>
      <c r="D127" s="1060">
        <f>INDEX(Data!$E$8:$E$303,MATCH('Cost of Collecton Calculation'!B127,Data!$C$8:$C$303,0))</f>
        <v>66550734</v>
      </c>
      <c r="E127" s="1060">
        <f>INDEX(Data!$F$8:$F$303,MATCH('Cost of Collecton Calculation'!B127,Data!$C$8:$C$303,0))</f>
        <v>3449</v>
      </c>
      <c r="F127" s="869">
        <f t="shared" si="29"/>
        <v>66551000</v>
      </c>
      <c r="G127" s="869">
        <f t="shared" si="30"/>
        <v>3450</v>
      </c>
      <c r="H127" s="869">
        <f t="shared" si="31"/>
        <v>66551000</v>
      </c>
      <c r="I127" s="869">
        <f t="shared" si="32"/>
        <v>3450</v>
      </c>
      <c r="J127" s="866">
        <f t="shared" si="33"/>
        <v>20160000</v>
      </c>
      <c r="K127" s="866">
        <f t="shared" si="34"/>
        <v>63840000</v>
      </c>
      <c r="L127" s="869">
        <f t="shared" si="27"/>
        <v>18324.874936457843</v>
      </c>
      <c r="M127" s="869">
        <f t="shared" si="28"/>
        <v>105124.13829641505</v>
      </c>
      <c r="N127" s="872">
        <f t="shared" si="35"/>
        <v>123449</v>
      </c>
      <c r="P127" s="884">
        <v>121235</v>
      </c>
      <c r="Q127" s="876">
        <f t="shared" si="36"/>
        <v>-2214</v>
      </c>
      <c r="R127" s="877">
        <f t="shared" si="37"/>
        <v>-1.8262053037489175E-2</v>
      </c>
    </row>
    <row r="128" spans="1:18" x14ac:dyDescent="0.2">
      <c r="A128" s="856" t="s">
        <v>139</v>
      </c>
      <c r="B128" s="857" t="s">
        <v>140</v>
      </c>
      <c r="C128" s="858">
        <v>1.0054000000000001</v>
      </c>
      <c r="D128" s="1060">
        <f>INDEX(Data!$E$8:$E$303,MATCH('Cost of Collecton Calculation'!B128,Data!$C$8:$C$303,0))</f>
        <v>141965589</v>
      </c>
      <c r="E128" s="1060">
        <f>INDEX(Data!$F$8:$F$303,MATCH('Cost of Collecton Calculation'!B128,Data!$C$8:$C$303,0))</f>
        <v>4702</v>
      </c>
      <c r="F128" s="869">
        <f t="shared" si="29"/>
        <v>141966000</v>
      </c>
      <c r="G128" s="869">
        <f t="shared" si="30"/>
        <v>4700</v>
      </c>
      <c r="H128" s="869">
        <f t="shared" si="31"/>
        <v>142732616.40000001</v>
      </c>
      <c r="I128" s="869">
        <f t="shared" si="32"/>
        <v>4725.38</v>
      </c>
      <c r="J128" s="866">
        <f t="shared" si="33"/>
        <v>20160000</v>
      </c>
      <c r="K128" s="866">
        <f t="shared" si="34"/>
        <v>63840000</v>
      </c>
      <c r="L128" s="869">
        <f t="shared" si="27"/>
        <v>39301.548359655171</v>
      </c>
      <c r="M128" s="869">
        <f t="shared" si="28"/>
        <v>143985.9422095982</v>
      </c>
      <c r="N128" s="872">
        <f t="shared" si="35"/>
        <v>183287</v>
      </c>
      <c r="P128" s="884">
        <v>185618</v>
      </c>
      <c r="Q128" s="876">
        <f t="shared" si="36"/>
        <v>2331</v>
      </c>
      <c r="R128" s="877">
        <f t="shared" si="37"/>
        <v>1.2558049327112672E-2</v>
      </c>
    </row>
    <row r="129" spans="1:18" x14ac:dyDescent="0.2">
      <c r="A129" s="856" t="s">
        <v>993</v>
      </c>
      <c r="B129" s="857" t="s">
        <v>142</v>
      </c>
      <c r="C129" s="858">
        <v>1.036</v>
      </c>
      <c r="D129" s="1060">
        <f>INDEX(Data!$E$8:$E$303,MATCH('Cost of Collecton Calculation'!B129,Data!$C$8:$C$303,0))</f>
        <v>116981096</v>
      </c>
      <c r="E129" s="1060">
        <f>INDEX(Data!$F$8:$F$303,MATCH('Cost of Collecton Calculation'!B129,Data!$C$8:$C$303,0))</f>
        <v>7608</v>
      </c>
      <c r="F129" s="869">
        <f t="shared" si="29"/>
        <v>116981000</v>
      </c>
      <c r="G129" s="869">
        <f t="shared" si="30"/>
        <v>7610</v>
      </c>
      <c r="H129" s="869">
        <f t="shared" si="31"/>
        <v>121192316</v>
      </c>
      <c r="I129" s="869">
        <f t="shared" si="32"/>
        <v>7883.96</v>
      </c>
      <c r="J129" s="866">
        <f t="shared" si="33"/>
        <v>20160000</v>
      </c>
      <c r="K129" s="866">
        <f t="shared" si="34"/>
        <v>63840000</v>
      </c>
      <c r="L129" s="869">
        <f t="shared" si="27"/>
        <v>33370.408167565911</v>
      </c>
      <c r="M129" s="869">
        <f t="shared" si="28"/>
        <v>240230.29025026216</v>
      </c>
      <c r="N129" s="872">
        <f t="shared" si="35"/>
        <v>273601</v>
      </c>
      <c r="P129" s="884">
        <v>275052</v>
      </c>
      <c r="Q129" s="876">
        <f t="shared" si="36"/>
        <v>1451</v>
      </c>
      <c r="R129" s="877">
        <f t="shared" si="37"/>
        <v>5.2753661125896191E-3</v>
      </c>
    </row>
    <row r="130" spans="1:18" x14ac:dyDescent="0.2">
      <c r="A130" s="856" t="s">
        <v>994</v>
      </c>
      <c r="B130" s="857" t="s">
        <v>144</v>
      </c>
      <c r="C130" s="858">
        <v>1.5</v>
      </c>
      <c r="D130" s="1060">
        <f>INDEX(Data!$E$8:$E$303,MATCH('Cost of Collecton Calculation'!B130,Data!$C$8:$C$303,0))</f>
        <v>4717320</v>
      </c>
      <c r="E130" s="1060">
        <f>INDEX(Data!$F$8:$F$303,MATCH('Cost of Collecton Calculation'!B130,Data!$C$8:$C$303,0))</f>
        <v>536</v>
      </c>
      <c r="F130" s="869">
        <f t="shared" si="29"/>
        <v>4717000</v>
      </c>
      <c r="G130" s="869">
        <f t="shared" si="30"/>
        <v>540</v>
      </c>
      <c r="H130" s="869">
        <f t="shared" si="31"/>
        <v>7075500</v>
      </c>
      <c r="I130" s="869">
        <f t="shared" si="32"/>
        <v>810</v>
      </c>
      <c r="J130" s="866">
        <f t="shared" si="33"/>
        <v>20160000</v>
      </c>
      <c r="K130" s="866">
        <f t="shared" si="34"/>
        <v>63840000</v>
      </c>
      <c r="L130" s="869">
        <f t="shared" si="27"/>
        <v>1948.2449942586506</v>
      </c>
      <c r="M130" s="869">
        <f t="shared" si="28"/>
        <v>24681.319426114838</v>
      </c>
      <c r="N130" s="872">
        <f t="shared" si="35"/>
        <v>26630</v>
      </c>
      <c r="P130" s="884">
        <v>25894</v>
      </c>
      <c r="Q130" s="876">
        <f t="shared" si="36"/>
        <v>-736</v>
      </c>
      <c r="R130" s="877">
        <f t="shared" si="37"/>
        <v>-2.842357302850081E-2</v>
      </c>
    </row>
    <row r="131" spans="1:18" x14ac:dyDescent="0.2">
      <c r="A131" s="856" t="s">
        <v>145</v>
      </c>
      <c r="B131" s="857" t="s">
        <v>146</v>
      </c>
      <c r="C131" s="858">
        <v>1.2208000000000001</v>
      </c>
      <c r="D131" s="1060">
        <f>INDEX(Data!$E$8:$E$303,MATCH('Cost of Collecton Calculation'!B131,Data!$C$8:$C$303,0))</f>
        <v>697863368</v>
      </c>
      <c r="E131" s="1060">
        <f>INDEX(Data!$F$8:$F$303,MATCH('Cost of Collecton Calculation'!B131,Data!$C$8:$C$303,0))</f>
        <v>12084</v>
      </c>
      <c r="F131" s="869">
        <f t="shared" si="29"/>
        <v>697863000</v>
      </c>
      <c r="G131" s="869">
        <f t="shared" si="30"/>
        <v>12080</v>
      </c>
      <c r="H131" s="869">
        <f t="shared" si="31"/>
        <v>851951150.4000001</v>
      </c>
      <c r="I131" s="869">
        <f t="shared" si="32"/>
        <v>14747.264000000001</v>
      </c>
      <c r="J131" s="866">
        <f t="shared" si="33"/>
        <v>20160000</v>
      </c>
      <c r="K131" s="866">
        <f t="shared" si="34"/>
        <v>63840000</v>
      </c>
      <c r="L131" s="869">
        <f t="shared" si="27"/>
        <v>234585.48005366392</v>
      </c>
      <c r="M131" s="869">
        <f t="shared" si="28"/>
        <v>449360.41166079516</v>
      </c>
      <c r="N131" s="872">
        <f t="shared" si="35"/>
        <v>683946</v>
      </c>
      <c r="P131" s="884">
        <v>721324</v>
      </c>
      <c r="Q131" s="876">
        <f t="shared" si="36"/>
        <v>37378</v>
      </c>
      <c r="R131" s="877">
        <f t="shared" si="37"/>
        <v>5.1818600240668547E-2</v>
      </c>
    </row>
    <row r="132" spans="1:18" x14ac:dyDescent="0.2">
      <c r="A132" s="856" t="s">
        <v>147</v>
      </c>
      <c r="B132" s="857" t="s">
        <v>148</v>
      </c>
      <c r="C132" s="858">
        <v>1.2208000000000001</v>
      </c>
      <c r="D132" s="1060">
        <f>INDEX(Data!$E$8:$E$303,MATCH('Cost of Collecton Calculation'!B132,Data!$C$8:$C$303,0))</f>
        <v>665875735</v>
      </c>
      <c r="E132" s="1060">
        <f>INDEX(Data!$F$8:$F$303,MATCH('Cost of Collecton Calculation'!B132,Data!$C$8:$C$303,0))</f>
        <v>8829</v>
      </c>
      <c r="F132" s="869">
        <f t="shared" si="29"/>
        <v>665876000</v>
      </c>
      <c r="G132" s="869">
        <f t="shared" si="30"/>
        <v>8830</v>
      </c>
      <c r="H132" s="869">
        <f t="shared" si="31"/>
        <v>812901420.80000007</v>
      </c>
      <c r="I132" s="869">
        <f t="shared" si="32"/>
        <v>10779.664000000001</v>
      </c>
      <c r="J132" s="866">
        <f t="shared" si="33"/>
        <v>20160000</v>
      </c>
      <c r="K132" s="866">
        <f t="shared" si="34"/>
        <v>63840000</v>
      </c>
      <c r="L132" s="869">
        <f t="shared" ref="L132:L195" si="38">(H132*J132)/H$301</f>
        <v>223833.10351202675</v>
      </c>
      <c r="M132" s="869">
        <f t="shared" ref="M132:M195" si="39">(I132*K132)/I$301</f>
        <v>328464.60554344545</v>
      </c>
      <c r="N132" s="872">
        <f t="shared" si="35"/>
        <v>552298</v>
      </c>
      <c r="P132" s="884">
        <v>626402</v>
      </c>
      <c r="Q132" s="876">
        <f t="shared" si="36"/>
        <v>74104</v>
      </c>
      <c r="R132" s="877">
        <f t="shared" si="37"/>
        <v>0.11830102713592869</v>
      </c>
    </row>
    <row r="133" spans="1:18" x14ac:dyDescent="0.2">
      <c r="A133" s="856" t="s">
        <v>996</v>
      </c>
      <c r="B133" s="857" t="s">
        <v>150</v>
      </c>
      <c r="C133" s="858">
        <v>1</v>
      </c>
      <c r="D133" s="1060">
        <f>INDEX(Data!$E$8:$E$303,MATCH('Cost of Collecton Calculation'!B133,Data!$C$8:$C$303,0))</f>
        <v>133274677</v>
      </c>
      <c r="E133" s="1060">
        <f>INDEX(Data!$F$8:$F$303,MATCH('Cost of Collecton Calculation'!B133,Data!$C$8:$C$303,0))</f>
        <v>6714</v>
      </c>
      <c r="F133" s="869">
        <f t="shared" si="29"/>
        <v>133275000</v>
      </c>
      <c r="G133" s="869">
        <f t="shared" si="30"/>
        <v>6710</v>
      </c>
      <c r="H133" s="869">
        <f t="shared" si="31"/>
        <v>133275000</v>
      </c>
      <c r="I133" s="869">
        <f t="shared" si="32"/>
        <v>6710</v>
      </c>
      <c r="J133" s="866">
        <f t="shared" si="33"/>
        <v>20160000</v>
      </c>
      <c r="K133" s="866">
        <f t="shared" si="34"/>
        <v>63840000</v>
      </c>
      <c r="L133" s="869">
        <f t="shared" si="38"/>
        <v>36697.385571312509</v>
      </c>
      <c r="M133" s="869">
        <f t="shared" si="39"/>
        <v>204458.83129534638</v>
      </c>
      <c r="N133" s="872">
        <f t="shared" si="35"/>
        <v>241156</v>
      </c>
      <c r="P133" s="884">
        <v>239298</v>
      </c>
      <c r="Q133" s="876">
        <f t="shared" si="36"/>
        <v>-1858</v>
      </c>
      <c r="R133" s="877">
        <f t="shared" si="37"/>
        <v>-7.7643774707686648E-3</v>
      </c>
    </row>
    <row r="134" spans="1:18" x14ac:dyDescent="0.2">
      <c r="A134" s="856" t="s">
        <v>992</v>
      </c>
      <c r="B134" s="857" t="s">
        <v>152</v>
      </c>
      <c r="C134" s="858">
        <v>1</v>
      </c>
      <c r="D134" s="1060">
        <f>INDEX(Data!$E$8:$E$303,MATCH('Cost of Collecton Calculation'!B134,Data!$C$8:$C$303,0))</f>
        <v>229276190</v>
      </c>
      <c r="E134" s="1060">
        <f>INDEX(Data!$F$8:$F$303,MATCH('Cost of Collecton Calculation'!B134,Data!$C$8:$C$303,0))</f>
        <v>9280</v>
      </c>
      <c r="F134" s="869">
        <f t="shared" si="29"/>
        <v>229276000</v>
      </c>
      <c r="G134" s="869">
        <f t="shared" si="30"/>
        <v>9280</v>
      </c>
      <c r="H134" s="869">
        <f t="shared" si="31"/>
        <v>229276000</v>
      </c>
      <c r="I134" s="869">
        <f t="shared" si="32"/>
        <v>9280</v>
      </c>
      <c r="J134" s="866">
        <f t="shared" si="33"/>
        <v>20160000</v>
      </c>
      <c r="K134" s="866">
        <f t="shared" si="34"/>
        <v>63840000</v>
      </c>
      <c r="L134" s="869">
        <f t="shared" si="38"/>
        <v>63131.343269542282</v>
      </c>
      <c r="M134" s="869">
        <f t="shared" si="39"/>
        <v>282768.6966349947</v>
      </c>
      <c r="N134" s="872">
        <f t="shared" si="35"/>
        <v>345900</v>
      </c>
      <c r="P134" s="884">
        <v>349057</v>
      </c>
      <c r="Q134" s="876">
        <f t="shared" si="36"/>
        <v>3157</v>
      </c>
      <c r="R134" s="877">
        <f t="shared" si="37"/>
        <v>9.0443681117983593E-3</v>
      </c>
    </row>
    <row r="135" spans="1:18" x14ac:dyDescent="0.2">
      <c r="A135" s="856" t="s">
        <v>153</v>
      </c>
      <c r="B135" s="857" t="s">
        <v>154</v>
      </c>
      <c r="C135" s="858">
        <v>1.1113</v>
      </c>
      <c r="D135" s="1060">
        <f>INDEX(Data!$E$8:$E$303,MATCH('Cost of Collecton Calculation'!B135,Data!$C$8:$C$303,0))</f>
        <v>205038767</v>
      </c>
      <c r="E135" s="1060">
        <f>INDEX(Data!$F$8:$F$303,MATCH('Cost of Collecton Calculation'!B135,Data!$C$8:$C$303,0))</f>
        <v>4533</v>
      </c>
      <c r="F135" s="869">
        <f t="shared" si="29"/>
        <v>205039000</v>
      </c>
      <c r="G135" s="869">
        <f t="shared" si="30"/>
        <v>4530</v>
      </c>
      <c r="H135" s="869">
        <f t="shared" si="31"/>
        <v>227859840.69999999</v>
      </c>
      <c r="I135" s="869">
        <f t="shared" si="32"/>
        <v>5034.1889999999994</v>
      </c>
      <c r="J135" s="866">
        <f t="shared" si="33"/>
        <v>20160000</v>
      </c>
      <c r="K135" s="866">
        <f t="shared" si="34"/>
        <v>63840000</v>
      </c>
      <c r="L135" s="869">
        <f t="shared" si="38"/>
        <v>62741.402591526894</v>
      </c>
      <c r="M135" s="869">
        <f t="shared" si="39"/>
        <v>153395.5885931279</v>
      </c>
      <c r="N135" s="872">
        <f t="shared" si="35"/>
        <v>216137</v>
      </c>
      <c r="P135" s="884">
        <v>223110</v>
      </c>
      <c r="Q135" s="876">
        <f t="shared" si="36"/>
        <v>6973</v>
      </c>
      <c r="R135" s="877">
        <f t="shared" si="37"/>
        <v>3.1253641701402893E-2</v>
      </c>
    </row>
    <row r="136" spans="1:18" x14ac:dyDescent="0.2">
      <c r="A136" s="856" t="s">
        <v>155</v>
      </c>
      <c r="B136" s="857" t="s">
        <v>156</v>
      </c>
      <c r="C136" s="858">
        <v>1.0055000000000001</v>
      </c>
      <c r="D136" s="1060">
        <f>INDEX(Data!$E$8:$E$303,MATCH('Cost of Collecton Calculation'!B136,Data!$C$8:$C$303,0))</f>
        <v>302711798</v>
      </c>
      <c r="E136" s="1060">
        <f>INDEX(Data!$F$8:$F$303,MATCH('Cost of Collecton Calculation'!B136,Data!$C$8:$C$303,0))</f>
        <v>16434</v>
      </c>
      <c r="F136" s="869">
        <f t="shared" si="29"/>
        <v>302712000</v>
      </c>
      <c r="G136" s="869">
        <f t="shared" si="30"/>
        <v>16430</v>
      </c>
      <c r="H136" s="869">
        <f t="shared" si="31"/>
        <v>304376916</v>
      </c>
      <c r="I136" s="869">
        <f t="shared" si="32"/>
        <v>16520.365000000002</v>
      </c>
      <c r="J136" s="866">
        <f t="shared" si="33"/>
        <v>20160000</v>
      </c>
      <c r="K136" s="866">
        <f t="shared" si="34"/>
        <v>63840000</v>
      </c>
      <c r="L136" s="869">
        <f t="shared" si="38"/>
        <v>83810.444910590886</v>
      </c>
      <c r="M136" s="869">
        <f t="shared" si="39"/>
        <v>503388.15506297251</v>
      </c>
      <c r="N136" s="872">
        <f t="shared" si="35"/>
        <v>587199</v>
      </c>
      <c r="P136" s="884">
        <v>586142</v>
      </c>
      <c r="Q136" s="876">
        <f t="shared" si="36"/>
        <v>-1057</v>
      </c>
      <c r="R136" s="877">
        <f t="shared" si="37"/>
        <v>-1.8033172848900096E-3</v>
      </c>
    </row>
    <row r="137" spans="1:18" x14ac:dyDescent="0.2">
      <c r="A137" s="856" t="s">
        <v>157</v>
      </c>
      <c r="B137" s="857" t="s">
        <v>158</v>
      </c>
      <c r="C137" s="858">
        <v>1.0075000000000001</v>
      </c>
      <c r="D137" s="1060">
        <f>INDEX(Data!$E$8:$E$303,MATCH('Cost of Collecton Calculation'!B137,Data!$C$8:$C$303,0))</f>
        <v>124554898</v>
      </c>
      <c r="E137" s="1060">
        <f>INDEX(Data!$F$8:$F$303,MATCH('Cost of Collecton Calculation'!B137,Data!$C$8:$C$303,0))</f>
        <v>3243</v>
      </c>
      <c r="F137" s="869">
        <f t="shared" si="29"/>
        <v>124555000</v>
      </c>
      <c r="G137" s="869">
        <f t="shared" si="30"/>
        <v>3240</v>
      </c>
      <c r="H137" s="869">
        <f t="shared" si="31"/>
        <v>125489162.50000001</v>
      </c>
      <c r="I137" s="869">
        <f t="shared" si="32"/>
        <v>3264.3</v>
      </c>
      <c r="J137" s="866">
        <f t="shared" si="33"/>
        <v>20160000</v>
      </c>
      <c r="K137" s="866">
        <f t="shared" si="34"/>
        <v>63840000</v>
      </c>
      <c r="L137" s="869">
        <f t="shared" si="38"/>
        <v>34553.548537111928</v>
      </c>
      <c r="M137" s="869">
        <f t="shared" si="39"/>
        <v>99465.717287242805</v>
      </c>
      <c r="N137" s="872">
        <f t="shared" si="35"/>
        <v>134019</v>
      </c>
      <c r="P137" s="884">
        <v>131489</v>
      </c>
      <c r="Q137" s="876">
        <f t="shared" si="36"/>
        <v>-2530</v>
      </c>
      <c r="R137" s="877">
        <f t="shared" si="37"/>
        <v>-1.9241153252363315E-2</v>
      </c>
    </row>
    <row r="138" spans="1:18" x14ac:dyDescent="0.2">
      <c r="A138" s="856" t="s">
        <v>159</v>
      </c>
      <c r="B138" s="857" t="s">
        <v>160</v>
      </c>
      <c r="C138" s="858">
        <v>1.2208000000000001</v>
      </c>
      <c r="D138" s="1060">
        <f>INDEX(Data!$E$8:$E$303,MATCH('Cost of Collecton Calculation'!B138,Data!$C$8:$C$303,0))</f>
        <v>453027286</v>
      </c>
      <c r="E138" s="1060">
        <f>INDEX(Data!$F$8:$F$303,MATCH('Cost of Collecton Calculation'!B138,Data!$C$8:$C$303,0))</f>
        <v>9010</v>
      </c>
      <c r="F138" s="869">
        <f t="shared" si="29"/>
        <v>453027000</v>
      </c>
      <c r="G138" s="869">
        <f t="shared" si="30"/>
        <v>9010</v>
      </c>
      <c r="H138" s="869">
        <f t="shared" si="31"/>
        <v>553055361.60000002</v>
      </c>
      <c r="I138" s="869">
        <f t="shared" si="32"/>
        <v>10999.408000000001</v>
      </c>
      <c r="J138" s="866">
        <f t="shared" si="33"/>
        <v>20160000</v>
      </c>
      <c r="K138" s="866">
        <f t="shared" si="34"/>
        <v>63840000</v>
      </c>
      <c r="L138" s="869">
        <f t="shared" si="38"/>
        <v>152284.26821922237</v>
      </c>
      <c r="M138" s="869">
        <f t="shared" si="39"/>
        <v>335160.37326686794</v>
      </c>
      <c r="N138" s="872">
        <f t="shared" si="35"/>
        <v>487445</v>
      </c>
      <c r="P138" s="884">
        <v>497073</v>
      </c>
      <c r="Q138" s="876">
        <f t="shared" si="36"/>
        <v>9628</v>
      </c>
      <c r="R138" s="877">
        <f t="shared" si="37"/>
        <v>1.9369388399691795E-2</v>
      </c>
    </row>
    <row r="139" spans="1:18" x14ac:dyDescent="0.2">
      <c r="A139" s="856" t="s">
        <v>161</v>
      </c>
      <c r="B139" s="857" t="s">
        <v>162</v>
      </c>
      <c r="C139" s="858">
        <v>1</v>
      </c>
      <c r="D139" s="1060">
        <f>INDEX(Data!$E$8:$E$303,MATCH('Cost of Collecton Calculation'!B139,Data!$C$8:$C$303,0))</f>
        <v>168492044</v>
      </c>
      <c r="E139" s="1060">
        <f>INDEX(Data!$F$8:$F$303,MATCH('Cost of Collecton Calculation'!B139,Data!$C$8:$C$303,0))</f>
        <v>5354</v>
      </c>
      <c r="F139" s="869">
        <f t="shared" si="29"/>
        <v>168492000</v>
      </c>
      <c r="G139" s="869">
        <f t="shared" si="30"/>
        <v>5350</v>
      </c>
      <c r="H139" s="869">
        <f t="shared" si="31"/>
        <v>168492000</v>
      </c>
      <c r="I139" s="869">
        <f t="shared" si="32"/>
        <v>5350</v>
      </c>
      <c r="J139" s="866">
        <f t="shared" si="33"/>
        <v>20160000</v>
      </c>
      <c r="K139" s="866">
        <f t="shared" si="34"/>
        <v>63840000</v>
      </c>
      <c r="L139" s="869">
        <f t="shared" si="38"/>
        <v>46394.416729931254</v>
      </c>
      <c r="M139" s="869">
        <f t="shared" si="39"/>
        <v>163018.59127125234</v>
      </c>
      <c r="N139" s="872">
        <f t="shared" si="35"/>
        <v>209413</v>
      </c>
      <c r="P139" s="884">
        <v>210204</v>
      </c>
      <c r="Q139" s="876">
        <f t="shared" si="36"/>
        <v>791</v>
      </c>
      <c r="R139" s="877">
        <f t="shared" si="37"/>
        <v>3.7630111701014253E-3</v>
      </c>
    </row>
    <row r="140" spans="1:18" x14ac:dyDescent="0.2">
      <c r="A140" s="856" t="s">
        <v>163</v>
      </c>
      <c r="B140" s="857" t="s">
        <v>164</v>
      </c>
      <c r="C140" s="858">
        <v>1.0055000000000001</v>
      </c>
      <c r="D140" s="1060">
        <f>INDEX(Data!$E$8:$E$303,MATCH('Cost of Collecton Calculation'!B140,Data!$C$8:$C$303,0))</f>
        <v>951664802</v>
      </c>
      <c r="E140" s="1060">
        <f>INDEX(Data!$F$8:$F$303,MATCH('Cost of Collecton Calculation'!B140,Data!$C$8:$C$303,0))</f>
        <v>31598</v>
      </c>
      <c r="F140" s="869">
        <f t="shared" si="29"/>
        <v>951665000</v>
      </c>
      <c r="G140" s="869">
        <f t="shared" si="30"/>
        <v>31600</v>
      </c>
      <c r="H140" s="869">
        <f t="shared" si="31"/>
        <v>956899157.5</v>
      </c>
      <c r="I140" s="869">
        <f t="shared" si="32"/>
        <v>31773.800000000003</v>
      </c>
      <c r="J140" s="866">
        <f t="shared" si="33"/>
        <v>20160000</v>
      </c>
      <c r="K140" s="866">
        <f t="shared" si="34"/>
        <v>63840000</v>
      </c>
      <c r="L140" s="869">
        <f t="shared" si="38"/>
        <v>263483.00383148825</v>
      </c>
      <c r="M140" s="869">
        <f t="shared" si="39"/>
        <v>968171.98417467624</v>
      </c>
      <c r="N140" s="872">
        <f t="shared" si="35"/>
        <v>1231655</v>
      </c>
      <c r="P140" s="884">
        <v>1243266</v>
      </c>
      <c r="Q140" s="876">
        <f t="shared" si="36"/>
        <v>11611</v>
      </c>
      <c r="R140" s="877">
        <f t="shared" si="37"/>
        <v>9.339111662347398E-3</v>
      </c>
    </row>
    <row r="141" spans="1:18" x14ac:dyDescent="0.2">
      <c r="A141" s="856" t="s">
        <v>617</v>
      </c>
      <c r="B141" s="857" t="s">
        <v>166</v>
      </c>
      <c r="C141" s="858">
        <v>1</v>
      </c>
      <c r="D141" s="1060">
        <f>INDEX(Data!$E$8:$E$303,MATCH('Cost of Collecton Calculation'!B141,Data!$C$8:$C$303,0))</f>
        <v>309010193</v>
      </c>
      <c r="E141" s="1060">
        <f>INDEX(Data!$F$8:$F$303,MATCH('Cost of Collecton Calculation'!B141,Data!$C$8:$C$303,0))</f>
        <v>12738</v>
      </c>
      <c r="F141" s="869">
        <f t="shared" si="29"/>
        <v>309010000</v>
      </c>
      <c r="G141" s="869">
        <f t="shared" si="30"/>
        <v>12740</v>
      </c>
      <c r="H141" s="869">
        <f t="shared" si="31"/>
        <v>309010000</v>
      </c>
      <c r="I141" s="869">
        <f t="shared" si="32"/>
        <v>12740</v>
      </c>
      <c r="J141" s="866">
        <f t="shared" si="33"/>
        <v>20160000</v>
      </c>
      <c r="K141" s="866">
        <f t="shared" si="34"/>
        <v>63840000</v>
      </c>
      <c r="L141" s="869">
        <f t="shared" si="38"/>
        <v>85086.168564181426</v>
      </c>
      <c r="M141" s="869">
        <f t="shared" si="39"/>
        <v>388197.54257864575</v>
      </c>
      <c r="N141" s="872">
        <f t="shared" si="35"/>
        <v>473284</v>
      </c>
      <c r="P141" s="884">
        <v>482699</v>
      </c>
      <c r="Q141" s="876">
        <f t="shared" si="36"/>
        <v>9415</v>
      </c>
      <c r="R141" s="877">
        <f t="shared" si="37"/>
        <v>1.9504908856243747E-2</v>
      </c>
    </row>
    <row r="142" spans="1:18" x14ac:dyDescent="0.2">
      <c r="A142" s="856" t="s">
        <v>167</v>
      </c>
      <c r="B142" s="857" t="s">
        <v>168</v>
      </c>
      <c r="C142" s="858">
        <v>1.0089999999999999</v>
      </c>
      <c r="D142" s="1060">
        <f>INDEX(Data!$E$8:$E$303,MATCH('Cost of Collecton Calculation'!B142,Data!$C$8:$C$303,0))</f>
        <v>80705119</v>
      </c>
      <c r="E142" s="1060">
        <f>INDEX(Data!$F$8:$F$303,MATCH('Cost of Collecton Calculation'!B142,Data!$C$8:$C$303,0))</f>
        <v>3710</v>
      </c>
      <c r="F142" s="869">
        <f t="shared" si="29"/>
        <v>80705000</v>
      </c>
      <c r="G142" s="869">
        <f t="shared" si="30"/>
        <v>3710</v>
      </c>
      <c r="H142" s="869">
        <f t="shared" si="31"/>
        <v>81431344.999999985</v>
      </c>
      <c r="I142" s="869">
        <f t="shared" si="32"/>
        <v>3743.3899999999994</v>
      </c>
      <c r="J142" s="866">
        <f t="shared" si="33"/>
        <v>20160000</v>
      </c>
      <c r="K142" s="866">
        <f t="shared" si="34"/>
        <v>63840000</v>
      </c>
      <c r="L142" s="869">
        <f t="shared" si="38"/>
        <v>22422.190696346432</v>
      </c>
      <c r="M142" s="869">
        <f t="shared" si="39"/>
        <v>114063.95595867162</v>
      </c>
      <c r="N142" s="872">
        <f t="shared" si="35"/>
        <v>136486</v>
      </c>
      <c r="P142" s="884">
        <v>136839</v>
      </c>
      <c r="Q142" s="876">
        <f t="shared" si="36"/>
        <v>353</v>
      </c>
      <c r="R142" s="877">
        <f t="shared" si="37"/>
        <v>2.5796739233697997E-3</v>
      </c>
    </row>
    <row r="143" spans="1:18" x14ac:dyDescent="0.2">
      <c r="A143" s="856" t="s">
        <v>169</v>
      </c>
      <c r="B143" s="857" t="s">
        <v>170</v>
      </c>
      <c r="C143" s="858">
        <v>1.2208000000000001</v>
      </c>
      <c r="D143" s="1060">
        <f>INDEX(Data!$E$8:$E$303,MATCH('Cost of Collecton Calculation'!B143,Data!$C$8:$C$303,0))</f>
        <v>172421663</v>
      </c>
      <c r="E143" s="1060">
        <f>INDEX(Data!$F$8:$F$303,MATCH('Cost of Collecton Calculation'!B143,Data!$C$8:$C$303,0))</f>
        <v>6309</v>
      </c>
      <c r="F143" s="869">
        <f t="shared" si="29"/>
        <v>172422000</v>
      </c>
      <c r="G143" s="869">
        <f t="shared" si="30"/>
        <v>6310</v>
      </c>
      <c r="H143" s="869">
        <f t="shared" si="31"/>
        <v>210492777.60000002</v>
      </c>
      <c r="I143" s="869">
        <f t="shared" si="32"/>
        <v>7703.2480000000005</v>
      </c>
      <c r="J143" s="866">
        <f t="shared" si="33"/>
        <v>20160000</v>
      </c>
      <c r="K143" s="866">
        <f t="shared" si="34"/>
        <v>63840000</v>
      </c>
      <c r="L143" s="869">
        <f t="shared" si="38"/>
        <v>57959.366869733516</v>
      </c>
      <c r="M143" s="869">
        <f t="shared" si="39"/>
        <v>234723.85741553124</v>
      </c>
      <c r="N143" s="872">
        <f t="shared" si="35"/>
        <v>292683</v>
      </c>
      <c r="P143" s="884">
        <v>302868</v>
      </c>
      <c r="Q143" s="876">
        <f t="shared" si="36"/>
        <v>10185</v>
      </c>
      <c r="R143" s="877">
        <f t="shared" si="37"/>
        <v>3.3628511430722298E-2</v>
      </c>
    </row>
    <row r="144" spans="1:18" x14ac:dyDescent="0.2">
      <c r="A144" s="856" t="s">
        <v>171</v>
      </c>
      <c r="B144" s="857" t="s">
        <v>172</v>
      </c>
      <c r="C144" s="858">
        <v>1</v>
      </c>
      <c r="D144" s="1060">
        <f>INDEX(Data!$E$8:$E$303,MATCH('Cost of Collecton Calculation'!B144,Data!$C$8:$C$303,0))</f>
        <v>100597290</v>
      </c>
      <c r="E144" s="1060">
        <f>INDEX(Data!$F$8:$F$303,MATCH('Cost of Collecton Calculation'!B144,Data!$C$8:$C$303,0))</f>
        <v>3033</v>
      </c>
      <c r="F144" s="869">
        <f t="shared" si="29"/>
        <v>100597000</v>
      </c>
      <c r="G144" s="869">
        <f t="shared" si="30"/>
        <v>3030</v>
      </c>
      <c r="H144" s="869">
        <f t="shared" si="31"/>
        <v>100597000</v>
      </c>
      <c r="I144" s="869">
        <f t="shared" si="32"/>
        <v>3030</v>
      </c>
      <c r="J144" s="866">
        <f t="shared" si="33"/>
        <v>20160000</v>
      </c>
      <c r="K144" s="866">
        <f t="shared" si="34"/>
        <v>63840000</v>
      </c>
      <c r="L144" s="869">
        <f t="shared" si="38"/>
        <v>27699.470240610201</v>
      </c>
      <c r="M144" s="869">
        <f t="shared" si="39"/>
        <v>92326.417112503652</v>
      </c>
      <c r="N144" s="872">
        <f t="shared" si="35"/>
        <v>120026</v>
      </c>
      <c r="P144" s="884">
        <v>119486</v>
      </c>
      <c r="Q144" s="876">
        <f t="shared" si="36"/>
        <v>-540</v>
      </c>
      <c r="R144" s="877">
        <f t="shared" si="37"/>
        <v>-4.5193579164086173E-3</v>
      </c>
    </row>
    <row r="145" spans="1:18" x14ac:dyDescent="0.2">
      <c r="A145" s="856" t="s">
        <v>173</v>
      </c>
      <c r="B145" s="857" t="s">
        <v>174</v>
      </c>
      <c r="C145" s="858">
        <v>1</v>
      </c>
      <c r="D145" s="1060">
        <f>INDEX(Data!$E$8:$E$303,MATCH('Cost of Collecton Calculation'!B145,Data!$C$8:$C$303,0))</f>
        <v>109143164</v>
      </c>
      <c r="E145" s="1060">
        <f>INDEX(Data!$F$8:$F$303,MATCH('Cost of Collecton Calculation'!B145,Data!$C$8:$C$303,0))</f>
        <v>3574</v>
      </c>
      <c r="F145" s="869">
        <f t="shared" si="29"/>
        <v>109143000</v>
      </c>
      <c r="G145" s="869">
        <f t="shared" si="30"/>
        <v>3570</v>
      </c>
      <c r="H145" s="869">
        <f t="shared" si="31"/>
        <v>109143000</v>
      </c>
      <c r="I145" s="869">
        <f t="shared" si="32"/>
        <v>3570</v>
      </c>
      <c r="J145" s="866">
        <f t="shared" si="33"/>
        <v>20160000</v>
      </c>
      <c r="K145" s="866">
        <f t="shared" si="34"/>
        <v>63840000</v>
      </c>
      <c r="L145" s="869">
        <f t="shared" si="38"/>
        <v>30052.618671241878</v>
      </c>
      <c r="M145" s="869">
        <f t="shared" si="39"/>
        <v>108780.63006324688</v>
      </c>
      <c r="N145" s="872">
        <f t="shared" si="35"/>
        <v>138833</v>
      </c>
      <c r="P145" s="884">
        <v>142186</v>
      </c>
      <c r="Q145" s="876">
        <f t="shared" si="36"/>
        <v>3353</v>
      </c>
      <c r="R145" s="877">
        <f t="shared" si="37"/>
        <v>2.358178723643678E-2</v>
      </c>
    </row>
    <row r="146" spans="1:18" x14ac:dyDescent="0.2">
      <c r="A146" s="856" t="s">
        <v>175</v>
      </c>
      <c r="B146" s="857" t="s">
        <v>176</v>
      </c>
      <c r="C146" s="858">
        <v>1.0075000000000001</v>
      </c>
      <c r="D146" s="1060">
        <f>INDEX(Data!$E$8:$E$303,MATCH('Cost of Collecton Calculation'!B146,Data!$C$8:$C$303,0))</f>
        <v>555555735</v>
      </c>
      <c r="E146" s="1060">
        <f>INDEX(Data!$F$8:$F$303,MATCH('Cost of Collecton Calculation'!B146,Data!$C$8:$C$303,0))</f>
        <v>20379</v>
      </c>
      <c r="F146" s="869">
        <f t="shared" si="29"/>
        <v>555556000</v>
      </c>
      <c r="G146" s="869">
        <f t="shared" si="30"/>
        <v>20380</v>
      </c>
      <c r="H146" s="869">
        <f t="shared" si="31"/>
        <v>559722670</v>
      </c>
      <c r="I146" s="869">
        <f t="shared" si="32"/>
        <v>20532.850000000002</v>
      </c>
      <c r="J146" s="866">
        <f t="shared" si="33"/>
        <v>20160000</v>
      </c>
      <c r="K146" s="866">
        <f t="shared" si="34"/>
        <v>63840000</v>
      </c>
      <c r="L146" s="869">
        <f t="shared" si="38"/>
        <v>154120.11730628036</v>
      </c>
      <c r="M146" s="869">
        <f t="shared" si="39"/>
        <v>625651.64145494089</v>
      </c>
      <c r="N146" s="872">
        <f t="shared" si="35"/>
        <v>779772</v>
      </c>
      <c r="P146" s="884">
        <v>789243</v>
      </c>
      <c r="Q146" s="876">
        <f t="shared" si="36"/>
        <v>9471</v>
      </c>
      <c r="R146" s="877">
        <f t="shared" si="37"/>
        <v>1.2000106431099167E-2</v>
      </c>
    </row>
    <row r="147" spans="1:18" x14ac:dyDescent="0.2">
      <c r="A147" s="856" t="s">
        <v>521</v>
      </c>
      <c r="B147" s="857" t="s">
        <v>178</v>
      </c>
      <c r="C147" s="858">
        <v>1.0392999999999999</v>
      </c>
      <c r="D147" s="1060">
        <f>INDEX(Data!$E$8:$E$303,MATCH('Cost of Collecton Calculation'!B147,Data!$C$8:$C$303,0))</f>
        <v>186785532</v>
      </c>
      <c r="E147" s="1060">
        <f>INDEX(Data!$F$8:$F$303,MATCH('Cost of Collecton Calculation'!B147,Data!$C$8:$C$303,0))</f>
        <v>5779</v>
      </c>
      <c r="F147" s="869">
        <f t="shared" si="29"/>
        <v>186786000</v>
      </c>
      <c r="G147" s="869">
        <f t="shared" si="30"/>
        <v>5780</v>
      </c>
      <c r="H147" s="869">
        <f t="shared" si="31"/>
        <v>194126689.79999998</v>
      </c>
      <c r="I147" s="869">
        <f t="shared" si="32"/>
        <v>6007.1539999999995</v>
      </c>
      <c r="J147" s="866">
        <f t="shared" si="33"/>
        <v>20160000</v>
      </c>
      <c r="K147" s="866">
        <f t="shared" si="34"/>
        <v>63840000</v>
      </c>
      <c r="L147" s="869">
        <f t="shared" si="38"/>
        <v>53452.950555416835</v>
      </c>
      <c r="M147" s="869">
        <f t="shared" si="39"/>
        <v>183042.57619242402</v>
      </c>
      <c r="N147" s="872">
        <f t="shared" si="35"/>
        <v>236496</v>
      </c>
      <c r="P147" s="884">
        <v>236223</v>
      </c>
      <c r="Q147" s="876">
        <f t="shared" si="36"/>
        <v>-273</v>
      </c>
      <c r="R147" s="877">
        <f t="shared" si="37"/>
        <v>-1.1556876341423147E-3</v>
      </c>
    </row>
    <row r="148" spans="1:18" x14ac:dyDescent="0.2">
      <c r="A148" s="856" t="s">
        <v>179</v>
      </c>
      <c r="B148" s="857" t="s">
        <v>180</v>
      </c>
      <c r="C148" s="858">
        <v>1.0067999999999999</v>
      </c>
      <c r="D148" s="1060">
        <f>INDEX(Data!$E$8:$E$303,MATCH('Cost of Collecton Calculation'!B148,Data!$C$8:$C$303,0))</f>
        <v>167074107</v>
      </c>
      <c r="E148" s="1060">
        <f>INDEX(Data!$F$8:$F$303,MATCH('Cost of Collecton Calculation'!B148,Data!$C$8:$C$303,0))</f>
        <v>5308</v>
      </c>
      <c r="F148" s="869">
        <f t="shared" si="29"/>
        <v>167074000</v>
      </c>
      <c r="G148" s="869">
        <f t="shared" si="30"/>
        <v>5310</v>
      </c>
      <c r="H148" s="869">
        <f t="shared" si="31"/>
        <v>168210103.19999999</v>
      </c>
      <c r="I148" s="869">
        <f t="shared" si="32"/>
        <v>5346.1079999999993</v>
      </c>
      <c r="J148" s="866">
        <f t="shared" si="33"/>
        <v>20160000</v>
      </c>
      <c r="K148" s="866">
        <f t="shared" si="34"/>
        <v>63840000</v>
      </c>
      <c r="L148" s="869">
        <f t="shared" si="38"/>
        <v>46316.796204244369</v>
      </c>
      <c r="M148" s="869">
        <f t="shared" si="39"/>
        <v>162899.99905494807</v>
      </c>
      <c r="N148" s="872">
        <f t="shared" si="35"/>
        <v>209217</v>
      </c>
      <c r="P148" s="884">
        <v>205352</v>
      </c>
      <c r="Q148" s="876">
        <f t="shared" si="36"/>
        <v>-3865</v>
      </c>
      <c r="R148" s="877">
        <f t="shared" si="37"/>
        <v>-1.882134091705949E-2</v>
      </c>
    </row>
    <row r="149" spans="1:18" x14ac:dyDescent="0.2">
      <c r="A149" s="856" t="s">
        <v>181</v>
      </c>
      <c r="B149" s="857" t="s">
        <v>182</v>
      </c>
      <c r="C149" s="858">
        <v>1.0129999999999999</v>
      </c>
      <c r="D149" s="1060">
        <f>INDEX(Data!$E$8:$E$303,MATCH('Cost of Collecton Calculation'!B149,Data!$C$8:$C$303,0))</f>
        <v>46139098</v>
      </c>
      <c r="E149" s="1060">
        <f>INDEX(Data!$F$8:$F$303,MATCH('Cost of Collecton Calculation'!B149,Data!$C$8:$C$303,0))</f>
        <v>2544</v>
      </c>
      <c r="F149" s="869">
        <f t="shared" si="29"/>
        <v>46139000</v>
      </c>
      <c r="G149" s="869">
        <f t="shared" si="30"/>
        <v>2540</v>
      </c>
      <c r="H149" s="869">
        <f t="shared" si="31"/>
        <v>46738806.999999993</v>
      </c>
      <c r="I149" s="869">
        <f t="shared" si="32"/>
        <v>2573.0199999999995</v>
      </c>
      <c r="J149" s="866">
        <f t="shared" si="33"/>
        <v>20160000</v>
      </c>
      <c r="K149" s="866">
        <f t="shared" si="34"/>
        <v>63840000</v>
      </c>
      <c r="L149" s="869">
        <f t="shared" si="38"/>
        <v>12869.570599303395</v>
      </c>
      <c r="M149" s="869">
        <f t="shared" si="39"/>
        <v>78401.887049113575</v>
      </c>
      <c r="N149" s="872">
        <f t="shared" si="35"/>
        <v>91271</v>
      </c>
      <c r="P149" s="884">
        <v>89970</v>
      </c>
      <c r="Q149" s="876">
        <f t="shared" si="36"/>
        <v>-1301</v>
      </c>
      <c r="R149" s="877">
        <f t="shared" si="37"/>
        <v>-1.4460375680782483E-2</v>
      </c>
    </row>
    <row r="150" spans="1:18" x14ac:dyDescent="0.2">
      <c r="A150" s="856" t="s">
        <v>183</v>
      </c>
      <c r="B150" s="857" t="s">
        <v>184</v>
      </c>
      <c r="C150" s="858">
        <v>1</v>
      </c>
      <c r="D150" s="1060">
        <f>INDEX(Data!$E$8:$E$303,MATCH('Cost of Collecton Calculation'!B150,Data!$C$8:$C$303,0))</f>
        <v>51947654</v>
      </c>
      <c r="E150" s="1060">
        <f>INDEX(Data!$F$8:$F$303,MATCH('Cost of Collecton Calculation'!B150,Data!$C$8:$C$303,0))</f>
        <v>3020</v>
      </c>
      <c r="F150" s="869">
        <f t="shared" si="29"/>
        <v>51948000</v>
      </c>
      <c r="G150" s="869">
        <f t="shared" si="30"/>
        <v>3020</v>
      </c>
      <c r="H150" s="869">
        <f t="shared" si="31"/>
        <v>51948000</v>
      </c>
      <c r="I150" s="869">
        <f t="shared" si="32"/>
        <v>3020</v>
      </c>
      <c r="J150" s="866">
        <f t="shared" si="33"/>
        <v>20160000</v>
      </c>
      <c r="K150" s="866">
        <f t="shared" si="34"/>
        <v>63840000</v>
      </c>
      <c r="L150" s="869">
        <f t="shared" si="38"/>
        <v>14303.926360221663</v>
      </c>
      <c r="M150" s="869">
        <f t="shared" si="39"/>
        <v>92021.709465267675</v>
      </c>
      <c r="N150" s="872">
        <f t="shared" si="35"/>
        <v>106326</v>
      </c>
      <c r="P150" s="884">
        <v>104794</v>
      </c>
      <c r="Q150" s="876">
        <f t="shared" si="36"/>
        <v>-1532</v>
      </c>
      <c r="R150" s="877">
        <f t="shared" si="37"/>
        <v>-1.461915758535794E-2</v>
      </c>
    </row>
    <row r="151" spans="1:18" x14ac:dyDescent="0.2">
      <c r="A151" s="856" t="s">
        <v>185</v>
      </c>
      <c r="B151" s="857" t="s">
        <v>186</v>
      </c>
      <c r="C151" s="858">
        <v>1.0168999999999999</v>
      </c>
      <c r="D151" s="1060">
        <f>INDEX(Data!$E$8:$E$303,MATCH('Cost of Collecton Calculation'!B151,Data!$C$8:$C$303,0))</f>
        <v>975726664</v>
      </c>
      <c r="E151" s="1060">
        <f>INDEX(Data!$F$8:$F$303,MATCH('Cost of Collecton Calculation'!B151,Data!$C$8:$C$303,0))</f>
        <v>27361</v>
      </c>
      <c r="F151" s="869">
        <f t="shared" si="29"/>
        <v>975727000</v>
      </c>
      <c r="G151" s="869">
        <f t="shared" si="30"/>
        <v>27360</v>
      </c>
      <c r="H151" s="869">
        <f t="shared" si="31"/>
        <v>992216786.29999995</v>
      </c>
      <c r="I151" s="869">
        <f t="shared" si="32"/>
        <v>27822.383999999998</v>
      </c>
      <c r="J151" s="866">
        <f t="shared" si="33"/>
        <v>20160000</v>
      </c>
      <c r="K151" s="866">
        <f t="shared" si="34"/>
        <v>63840000</v>
      </c>
      <c r="L151" s="869">
        <f t="shared" si="38"/>
        <v>273207.74321650487</v>
      </c>
      <c r="M151" s="869">
        <f t="shared" si="39"/>
        <v>847769.31691361323</v>
      </c>
      <c r="N151" s="872">
        <f t="shared" si="35"/>
        <v>1120977</v>
      </c>
      <c r="P151" s="884">
        <v>1114343</v>
      </c>
      <c r="Q151" s="876">
        <f t="shared" si="36"/>
        <v>-6634</v>
      </c>
      <c r="R151" s="877">
        <f t="shared" si="37"/>
        <v>-5.9532836837490792E-3</v>
      </c>
    </row>
    <row r="152" spans="1:18" x14ac:dyDescent="0.2">
      <c r="A152" s="856" t="s">
        <v>187</v>
      </c>
      <c r="B152" s="857" t="s">
        <v>188</v>
      </c>
      <c r="C152" s="858">
        <v>1.0121</v>
      </c>
      <c r="D152" s="1060">
        <f>INDEX(Data!$E$8:$E$303,MATCH('Cost of Collecton Calculation'!B152,Data!$C$8:$C$303,0))</f>
        <v>75730088</v>
      </c>
      <c r="E152" s="1060">
        <f>INDEX(Data!$F$8:$F$303,MATCH('Cost of Collecton Calculation'!B152,Data!$C$8:$C$303,0))</f>
        <v>3375</v>
      </c>
      <c r="F152" s="869">
        <f t="shared" si="29"/>
        <v>75730000</v>
      </c>
      <c r="G152" s="869">
        <f t="shared" si="30"/>
        <v>3380</v>
      </c>
      <c r="H152" s="869">
        <f t="shared" si="31"/>
        <v>76646333</v>
      </c>
      <c r="I152" s="869">
        <f t="shared" si="32"/>
        <v>3420.8980000000001</v>
      </c>
      <c r="J152" s="866">
        <f t="shared" si="33"/>
        <v>20160000</v>
      </c>
      <c r="K152" s="866">
        <f t="shared" si="34"/>
        <v>63840000</v>
      </c>
      <c r="L152" s="869">
        <f t="shared" si="38"/>
        <v>21104.63353763432</v>
      </c>
      <c r="M152" s="869">
        <f t="shared" si="39"/>
        <v>104237.37810142888</v>
      </c>
      <c r="N152" s="872">
        <f t="shared" si="35"/>
        <v>125342</v>
      </c>
      <c r="P152" s="884">
        <v>124901</v>
      </c>
      <c r="Q152" s="876">
        <f t="shared" si="36"/>
        <v>-441</v>
      </c>
      <c r="R152" s="877">
        <f t="shared" si="37"/>
        <v>-3.5307963907414671E-3</v>
      </c>
    </row>
    <row r="153" spans="1:18" x14ac:dyDescent="0.2">
      <c r="A153" s="856" t="s">
        <v>605</v>
      </c>
      <c r="B153" s="857" t="s">
        <v>190</v>
      </c>
      <c r="C153" s="858">
        <v>1.0067999999999999</v>
      </c>
      <c r="D153" s="1060">
        <f>INDEX(Data!$E$8:$E$303,MATCH('Cost of Collecton Calculation'!B153,Data!$C$8:$C$303,0))</f>
        <v>249081389</v>
      </c>
      <c r="E153" s="1060">
        <f>INDEX(Data!$F$8:$F$303,MATCH('Cost of Collecton Calculation'!B153,Data!$C$8:$C$303,0))</f>
        <v>6446</v>
      </c>
      <c r="F153" s="869">
        <f t="shared" si="29"/>
        <v>249081000</v>
      </c>
      <c r="G153" s="869">
        <f t="shared" si="30"/>
        <v>6450</v>
      </c>
      <c r="H153" s="869">
        <f t="shared" si="31"/>
        <v>250774750.79999998</v>
      </c>
      <c r="I153" s="869">
        <f t="shared" si="32"/>
        <v>6493.86</v>
      </c>
      <c r="J153" s="866">
        <f t="shared" si="33"/>
        <v>20160000</v>
      </c>
      <c r="K153" s="866">
        <f t="shared" si="34"/>
        <v>63840000</v>
      </c>
      <c r="L153" s="869">
        <f t="shared" si="38"/>
        <v>69051.042743630911</v>
      </c>
      <c r="M153" s="869">
        <f t="shared" si="39"/>
        <v>197872.88020798779</v>
      </c>
      <c r="N153" s="872">
        <f t="shared" si="35"/>
        <v>266924</v>
      </c>
      <c r="P153" s="884">
        <v>267869</v>
      </c>
      <c r="Q153" s="876">
        <f t="shared" si="36"/>
        <v>945</v>
      </c>
      <c r="R153" s="877">
        <f t="shared" si="37"/>
        <v>3.5278438341129433E-3</v>
      </c>
    </row>
    <row r="154" spans="1:18" x14ac:dyDescent="0.2">
      <c r="A154" s="856" t="s">
        <v>191</v>
      </c>
      <c r="B154" s="857" t="s">
        <v>192</v>
      </c>
      <c r="C154" s="858">
        <v>1</v>
      </c>
      <c r="D154" s="1060">
        <f>INDEX(Data!$E$8:$E$303,MATCH('Cost of Collecton Calculation'!B154,Data!$C$8:$C$303,0))</f>
        <v>42895334</v>
      </c>
      <c r="E154" s="1060">
        <f>INDEX(Data!$F$8:$F$303,MATCH('Cost of Collecton Calculation'!B154,Data!$C$8:$C$303,0))</f>
        <v>1686</v>
      </c>
      <c r="F154" s="869">
        <f t="shared" si="29"/>
        <v>42895000</v>
      </c>
      <c r="G154" s="869">
        <f t="shared" si="30"/>
        <v>1690</v>
      </c>
      <c r="H154" s="869">
        <f t="shared" si="31"/>
        <v>42895000</v>
      </c>
      <c r="I154" s="869">
        <f t="shared" si="32"/>
        <v>1690</v>
      </c>
      <c r="J154" s="866">
        <f t="shared" si="33"/>
        <v>20160000</v>
      </c>
      <c r="K154" s="866">
        <f t="shared" si="34"/>
        <v>63840000</v>
      </c>
      <c r="L154" s="869">
        <f t="shared" si="38"/>
        <v>11811.175044692929</v>
      </c>
      <c r="M154" s="869">
        <f t="shared" si="39"/>
        <v>51495.592382881579</v>
      </c>
      <c r="N154" s="872">
        <f t="shared" si="35"/>
        <v>63307</v>
      </c>
      <c r="P154" s="884">
        <v>62212</v>
      </c>
      <c r="Q154" s="876">
        <f t="shared" si="36"/>
        <v>-1095</v>
      </c>
      <c r="R154" s="877">
        <f t="shared" si="37"/>
        <v>-1.7601105895968625E-2</v>
      </c>
    </row>
    <row r="155" spans="1:18" x14ac:dyDescent="0.2">
      <c r="A155" s="856" t="s">
        <v>193</v>
      </c>
      <c r="B155" s="857" t="s">
        <v>194</v>
      </c>
      <c r="C155" s="858">
        <v>1.1113</v>
      </c>
      <c r="D155" s="1060">
        <f>INDEX(Data!$E$8:$E$303,MATCH('Cost of Collecton Calculation'!B155,Data!$C$8:$C$303,0))</f>
        <v>242583162</v>
      </c>
      <c r="E155" s="1060">
        <f>INDEX(Data!$F$8:$F$303,MATCH('Cost of Collecton Calculation'!B155,Data!$C$8:$C$303,0))</f>
        <v>5301</v>
      </c>
      <c r="F155" s="869">
        <f t="shared" si="29"/>
        <v>242583000</v>
      </c>
      <c r="G155" s="869">
        <f t="shared" si="30"/>
        <v>5300</v>
      </c>
      <c r="H155" s="869">
        <f t="shared" si="31"/>
        <v>269582487.89999998</v>
      </c>
      <c r="I155" s="869">
        <f t="shared" si="32"/>
        <v>5889.8899999999994</v>
      </c>
      <c r="J155" s="866">
        <f t="shared" si="33"/>
        <v>20160000</v>
      </c>
      <c r="K155" s="866">
        <f t="shared" si="34"/>
        <v>63840000</v>
      </c>
      <c r="L155" s="869">
        <f t="shared" si="38"/>
        <v>74229.769287113028</v>
      </c>
      <c r="M155" s="869">
        <f t="shared" si="39"/>
        <v>179469.45243787594</v>
      </c>
      <c r="N155" s="872">
        <f t="shared" si="35"/>
        <v>253699</v>
      </c>
      <c r="P155" s="884">
        <v>254310</v>
      </c>
      <c r="Q155" s="876">
        <f t="shared" si="36"/>
        <v>611</v>
      </c>
      <c r="R155" s="877">
        <f t="shared" si="37"/>
        <v>2.4025795289213951E-3</v>
      </c>
    </row>
    <row r="156" spans="1:18" x14ac:dyDescent="0.2">
      <c r="A156" s="856" t="s">
        <v>195</v>
      </c>
      <c r="B156" s="857" t="s">
        <v>196</v>
      </c>
      <c r="C156" s="858">
        <v>1</v>
      </c>
      <c r="D156" s="1060">
        <f>INDEX(Data!$E$8:$E$303,MATCH('Cost of Collecton Calculation'!B156,Data!$C$8:$C$303,0))</f>
        <v>53755987</v>
      </c>
      <c r="E156" s="1060">
        <f>INDEX(Data!$F$8:$F$303,MATCH('Cost of Collecton Calculation'!B156,Data!$C$8:$C$303,0))</f>
        <v>3556</v>
      </c>
      <c r="F156" s="869">
        <f t="shared" si="29"/>
        <v>53756000</v>
      </c>
      <c r="G156" s="869">
        <f t="shared" si="30"/>
        <v>3560</v>
      </c>
      <c r="H156" s="869">
        <f t="shared" si="31"/>
        <v>53756000</v>
      </c>
      <c r="I156" s="869">
        <f t="shared" si="32"/>
        <v>3560</v>
      </c>
      <c r="J156" s="866">
        <f t="shared" si="33"/>
        <v>20160000</v>
      </c>
      <c r="K156" s="866">
        <f t="shared" si="34"/>
        <v>63840000</v>
      </c>
      <c r="L156" s="869">
        <f t="shared" si="38"/>
        <v>14801.760711097169</v>
      </c>
      <c r="M156" s="869">
        <f t="shared" si="39"/>
        <v>108475.9224160109</v>
      </c>
      <c r="N156" s="872">
        <f t="shared" si="35"/>
        <v>123278</v>
      </c>
      <c r="P156" s="884">
        <v>117631</v>
      </c>
      <c r="Q156" s="876">
        <f t="shared" si="36"/>
        <v>-5647</v>
      </c>
      <c r="R156" s="877">
        <f t="shared" si="37"/>
        <v>-4.8006052826210781E-2</v>
      </c>
    </row>
    <row r="157" spans="1:18" x14ac:dyDescent="0.2">
      <c r="A157" s="856" t="s">
        <v>197</v>
      </c>
      <c r="B157" s="857" t="s">
        <v>198</v>
      </c>
      <c r="C157" s="858">
        <v>1.0054000000000001</v>
      </c>
      <c r="D157" s="1060">
        <f>INDEX(Data!$E$8:$E$303,MATCH('Cost of Collecton Calculation'!B157,Data!$C$8:$C$303,0))</f>
        <v>81233668</v>
      </c>
      <c r="E157" s="1060">
        <f>INDEX(Data!$F$8:$F$303,MATCH('Cost of Collecton Calculation'!B157,Data!$C$8:$C$303,0))</f>
        <v>3596</v>
      </c>
      <c r="F157" s="869">
        <f t="shared" si="29"/>
        <v>81234000</v>
      </c>
      <c r="G157" s="869">
        <f t="shared" si="30"/>
        <v>3600</v>
      </c>
      <c r="H157" s="869">
        <f t="shared" si="31"/>
        <v>81672663.600000009</v>
      </c>
      <c r="I157" s="869">
        <f t="shared" si="32"/>
        <v>3619.44</v>
      </c>
      <c r="J157" s="866">
        <f t="shared" si="33"/>
        <v>20160000</v>
      </c>
      <c r="K157" s="866">
        <f t="shared" si="34"/>
        <v>63840000</v>
      </c>
      <c r="L157" s="869">
        <f t="shared" si="38"/>
        <v>22488.637979855943</v>
      </c>
      <c r="M157" s="869">
        <f t="shared" si="39"/>
        <v>110287.1046711816</v>
      </c>
      <c r="N157" s="872">
        <f t="shared" si="35"/>
        <v>132776</v>
      </c>
      <c r="P157" s="884">
        <v>130229</v>
      </c>
      <c r="Q157" s="876">
        <f t="shared" si="36"/>
        <v>-2547</v>
      </c>
      <c r="R157" s="877">
        <f t="shared" si="37"/>
        <v>-1.9557855777131053E-2</v>
      </c>
    </row>
    <row r="158" spans="1:18" x14ac:dyDescent="0.2">
      <c r="A158" s="856" t="s">
        <v>199</v>
      </c>
      <c r="B158" s="857" t="s">
        <v>200</v>
      </c>
      <c r="C158" s="858">
        <v>1</v>
      </c>
      <c r="D158" s="1060">
        <f>INDEX(Data!$E$8:$E$303,MATCH('Cost of Collecton Calculation'!B158,Data!$C$8:$C$303,0))</f>
        <v>142902097</v>
      </c>
      <c r="E158" s="1060">
        <f>INDEX(Data!$F$8:$F$303,MATCH('Cost of Collecton Calculation'!B158,Data!$C$8:$C$303,0))</f>
        <v>4587</v>
      </c>
      <c r="F158" s="869">
        <f t="shared" si="29"/>
        <v>142902000</v>
      </c>
      <c r="G158" s="869">
        <f t="shared" si="30"/>
        <v>4590</v>
      </c>
      <c r="H158" s="869">
        <f t="shared" si="31"/>
        <v>142902000</v>
      </c>
      <c r="I158" s="869">
        <f t="shared" si="32"/>
        <v>4590</v>
      </c>
      <c r="J158" s="866">
        <f t="shared" si="33"/>
        <v>20160000</v>
      </c>
      <c r="K158" s="866">
        <f t="shared" si="34"/>
        <v>63840000</v>
      </c>
      <c r="L158" s="869">
        <f t="shared" si="38"/>
        <v>39348.188279209906</v>
      </c>
      <c r="M158" s="869">
        <f t="shared" si="39"/>
        <v>139860.81008131741</v>
      </c>
      <c r="N158" s="872">
        <f t="shared" si="35"/>
        <v>179209</v>
      </c>
      <c r="P158" s="884">
        <v>177261</v>
      </c>
      <c r="Q158" s="876">
        <f t="shared" si="36"/>
        <v>-1948</v>
      </c>
      <c r="R158" s="877">
        <f t="shared" si="37"/>
        <v>-1.0989444942768009E-2</v>
      </c>
    </row>
    <row r="159" spans="1:18" x14ac:dyDescent="0.2">
      <c r="A159" s="856" t="s">
        <v>549</v>
      </c>
      <c r="B159" s="857" t="s">
        <v>202</v>
      </c>
      <c r="C159" s="858">
        <v>1</v>
      </c>
      <c r="D159" s="1060">
        <f>INDEX(Data!$E$8:$E$303,MATCH('Cost of Collecton Calculation'!B159,Data!$C$8:$C$303,0))</f>
        <v>101979506</v>
      </c>
      <c r="E159" s="1060">
        <f>INDEX(Data!$F$8:$F$303,MATCH('Cost of Collecton Calculation'!B159,Data!$C$8:$C$303,0))</f>
        <v>4638</v>
      </c>
      <c r="F159" s="869">
        <f t="shared" si="29"/>
        <v>101980000</v>
      </c>
      <c r="G159" s="869">
        <f t="shared" si="30"/>
        <v>4640</v>
      </c>
      <c r="H159" s="869">
        <f t="shared" si="31"/>
        <v>101980000</v>
      </c>
      <c r="I159" s="869">
        <f t="shared" si="32"/>
        <v>4640</v>
      </c>
      <c r="J159" s="866">
        <f t="shared" si="33"/>
        <v>20160000</v>
      </c>
      <c r="K159" s="866">
        <f t="shared" si="34"/>
        <v>63840000</v>
      </c>
      <c r="L159" s="869">
        <f t="shared" si="38"/>
        <v>28080.28047692703</v>
      </c>
      <c r="M159" s="869">
        <f t="shared" si="39"/>
        <v>141384.34831749735</v>
      </c>
      <c r="N159" s="872">
        <f t="shared" si="35"/>
        <v>169465</v>
      </c>
      <c r="P159" s="884">
        <v>171550</v>
      </c>
      <c r="Q159" s="876">
        <f t="shared" si="36"/>
        <v>2085</v>
      </c>
      <c r="R159" s="877">
        <f t="shared" si="37"/>
        <v>1.2153890993879335E-2</v>
      </c>
    </row>
    <row r="160" spans="1:18" x14ac:dyDescent="0.2">
      <c r="A160" s="856" t="s">
        <v>532</v>
      </c>
      <c r="B160" s="857" t="s">
        <v>204</v>
      </c>
      <c r="C160" s="858">
        <v>1.0674999999999999</v>
      </c>
      <c r="D160" s="1060">
        <f>INDEX(Data!$E$8:$E$303,MATCH('Cost of Collecton Calculation'!B160,Data!$C$8:$C$303,0))</f>
        <v>496290544</v>
      </c>
      <c r="E160" s="1060">
        <f>INDEX(Data!$F$8:$F$303,MATCH('Cost of Collecton Calculation'!B160,Data!$C$8:$C$303,0))</f>
        <v>8610</v>
      </c>
      <c r="F160" s="869">
        <f t="shared" si="29"/>
        <v>496291000</v>
      </c>
      <c r="G160" s="869">
        <f t="shared" si="30"/>
        <v>8610</v>
      </c>
      <c r="H160" s="869">
        <f t="shared" si="31"/>
        <v>529790642.49999994</v>
      </c>
      <c r="I160" s="869">
        <f t="shared" si="32"/>
        <v>9191.1749999999993</v>
      </c>
      <c r="J160" s="866">
        <f t="shared" si="33"/>
        <v>20160000</v>
      </c>
      <c r="K160" s="866">
        <f t="shared" si="34"/>
        <v>63840000</v>
      </c>
      <c r="L160" s="869">
        <f t="shared" si="38"/>
        <v>145878.30785890738</v>
      </c>
      <c r="M160" s="869">
        <f t="shared" si="39"/>
        <v>280062.13095842104</v>
      </c>
      <c r="N160" s="872">
        <f t="shared" si="35"/>
        <v>425940</v>
      </c>
      <c r="P160" s="884">
        <v>411389</v>
      </c>
      <c r="Q160" s="876">
        <f t="shared" si="36"/>
        <v>-14551</v>
      </c>
      <c r="R160" s="877">
        <f t="shared" si="37"/>
        <v>-3.5370415835134145E-2</v>
      </c>
    </row>
    <row r="161" spans="1:18" x14ac:dyDescent="0.2">
      <c r="A161" s="856" t="s">
        <v>205</v>
      </c>
      <c r="B161" s="857" t="s">
        <v>206</v>
      </c>
      <c r="C161" s="858">
        <v>1.1039000000000001</v>
      </c>
      <c r="D161" s="1060">
        <f>INDEX(Data!$E$8:$E$303,MATCH('Cost of Collecton Calculation'!B161,Data!$C$8:$C$303,0))</f>
        <v>109361577</v>
      </c>
      <c r="E161" s="1060">
        <f>INDEX(Data!$F$8:$F$303,MATCH('Cost of Collecton Calculation'!B161,Data!$C$8:$C$303,0))</f>
        <v>3187</v>
      </c>
      <c r="F161" s="869">
        <f t="shared" si="29"/>
        <v>109362000</v>
      </c>
      <c r="G161" s="869">
        <f t="shared" si="30"/>
        <v>3190</v>
      </c>
      <c r="H161" s="869">
        <f t="shared" si="31"/>
        <v>120724711.80000001</v>
      </c>
      <c r="I161" s="869">
        <f t="shared" si="32"/>
        <v>3521.4410000000003</v>
      </c>
      <c r="J161" s="866">
        <f t="shared" si="33"/>
        <v>20160000</v>
      </c>
      <c r="K161" s="866">
        <f t="shared" si="34"/>
        <v>63840000</v>
      </c>
      <c r="L161" s="869">
        <f t="shared" si="38"/>
        <v>33241.652949991978</v>
      </c>
      <c r="M161" s="869">
        <f t="shared" si="39"/>
        <v>107301.00019903368</v>
      </c>
      <c r="N161" s="872">
        <f t="shared" si="35"/>
        <v>140543</v>
      </c>
      <c r="P161" s="884">
        <v>146097</v>
      </c>
      <c r="Q161" s="876">
        <f t="shared" si="36"/>
        <v>5554</v>
      </c>
      <c r="R161" s="877">
        <f t="shared" si="37"/>
        <v>3.8015838792035427E-2</v>
      </c>
    </row>
    <row r="162" spans="1:18" x14ac:dyDescent="0.2">
      <c r="A162" s="856" t="s">
        <v>207</v>
      </c>
      <c r="B162" s="857" t="s">
        <v>208</v>
      </c>
      <c r="C162" s="858">
        <v>1.036</v>
      </c>
      <c r="D162" s="1060">
        <f>INDEX(Data!$E$8:$E$303,MATCH('Cost of Collecton Calculation'!B162,Data!$C$8:$C$303,0))</f>
        <v>195821550</v>
      </c>
      <c r="E162" s="1060">
        <f>INDEX(Data!$F$8:$F$303,MATCH('Cost of Collecton Calculation'!B162,Data!$C$8:$C$303,0))</f>
        <v>7359</v>
      </c>
      <c r="F162" s="869">
        <f t="shared" si="29"/>
        <v>195822000</v>
      </c>
      <c r="G162" s="869">
        <f t="shared" si="30"/>
        <v>7360</v>
      </c>
      <c r="H162" s="869">
        <f t="shared" si="31"/>
        <v>202871592</v>
      </c>
      <c r="I162" s="869">
        <f t="shared" si="32"/>
        <v>7624.96</v>
      </c>
      <c r="J162" s="866">
        <f t="shared" si="33"/>
        <v>20160000</v>
      </c>
      <c r="K162" s="866">
        <f t="shared" si="34"/>
        <v>63840000</v>
      </c>
      <c r="L162" s="869">
        <f t="shared" si="38"/>
        <v>55860.866877433866</v>
      </c>
      <c r="M162" s="869">
        <f t="shared" si="39"/>
        <v>232338.36218685014</v>
      </c>
      <c r="N162" s="872">
        <f t="shared" si="35"/>
        <v>288199</v>
      </c>
      <c r="P162" s="884">
        <v>279505</v>
      </c>
      <c r="Q162" s="876">
        <f t="shared" si="36"/>
        <v>-8694</v>
      </c>
      <c r="R162" s="877">
        <f t="shared" si="37"/>
        <v>-3.1104989177295577E-2</v>
      </c>
    </row>
    <row r="163" spans="1:18" x14ac:dyDescent="0.2">
      <c r="A163" s="856" t="s">
        <v>209</v>
      </c>
      <c r="B163" s="857" t="s">
        <v>210</v>
      </c>
      <c r="C163" s="858">
        <v>1.0121</v>
      </c>
      <c r="D163" s="1060">
        <f>INDEX(Data!$E$8:$E$303,MATCH('Cost of Collecton Calculation'!B163,Data!$C$8:$C$303,0))</f>
        <v>114438584</v>
      </c>
      <c r="E163" s="1060">
        <f>INDEX(Data!$F$8:$F$303,MATCH('Cost of Collecton Calculation'!B163,Data!$C$8:$C$303,0))</f>
        <v>4512</v>
      </c>
      <c r="F163" s="869">
        <f t="shared" si="29"/>
        <v>114439000</v>
      </c>
      <c r="G163" s="869">
        <f t="shared" si="30"/>
        <v>4510</v>
      </c>
      <c r="H163" s="869">
        <f t="shared" si="31"/>
        <v>115823711.90000001</v>
      </c>
      <c r="I163" s="869">
        <f t="shared" si="32"/>
        <v>4564.5709999999999</v>
      </c>
      <c r="J163" s="866">
        <f t="shared" si="33"/>
        <v>20160000</v>
      </c>
      <c r="K163" s="866">
        <f t="shared" si="34"/>
        <v>63840000</v>
      </c>
      <c r="L163" s="869">
        <f t="shared" si="38"/>
        <v>31892.158423522171</v>
      </c>
      <c r="M163" s="869">
        <f t="shared" si="39"/>
        <v>139085.96900516102</v>
      </c>
      <c r="N163" s="872">
        <f t="shared" si="35"/>
        <v>170978</v>
      </c>
      <c r="P163" s="884">
        <v>164410</v>
      </c>
      <c r="Q163" s="876">
        <f t="shared" si="36"/>
        <v>-6568</v>
      </c>
      <c r="R163" s="877">
        <f t="shared" si="37"/>
        <v>-3.9948908217261721E-2</v>
      </c>
    </row>
    <row r="164" spans="1:18" x14ac:dyDescent="0.2">
      <c r="A164" s="856" t="s">
        <v>952</v>
      </c>
      <c r="B164" s="857" t="s">
        <v>212</v>
      </c>
      <c r="C164" s="858">
        <v>1</v>
      </c>
      <c r="D164" s="1060">
        <f>INDEX(Data!$E$8:$E$303,MATCH('Cost of Collecton Calculation'!B164,Data!$C$8:$C$303,0))</f>
        <v>339203719</v>
      </c>
      <c r="E164" s="1060">
        <f>INDEX(Data!$F$8:$F$303,MATCH('Cost of Collecton Calculation'!B164,Data!$C$8:$C$303,0))</f>
        <v>11987</v>
      </c>
      <c r="F164" s="869">
        <f t="shared" si="29"/>
        <v>339204000</v>
      </c>
      <c r="G164" s="869">
        <f t="shared" si="30"/>
        <v>11990</v>
      </c>
      <c r="H164" s="869">
        <f t="shared" si="31"/>
        <v>339204000</v>
      </c>
      <c r="I164" s="869">
        <f t="shared" si="32"/>
        <v>11990</v>
      </c>
      <c r="J164" s="866">
        <f t="shared" si="33"/>
        <v>20160000</v>
      </c>
      <c r="K164" s="866">
        <f t="shared" si="34"/>
        <v>63840000</v>
      </c>
      <c r="L164" s="869">
        <f t="shared" si="38"/>
        <v>93400.112364145476</v>
      </c>
      <c r="M164" s="869">
        <f t="shared" si="39"/>
        <v>365344.46903594682</v>
      </c>
      <c r="N164" s="872">
        <f t="shared" si="35"/>
        <v>458745</v>
      </c>
      <c r="P164" s="884">
        <v>472838</v>
      </c>
      <c r="Q164" s="876">
        <f t="shared" si="36"/>
        <v>14093</v>
      </c>
      <c r="R164" s="877">
        <f t="shared" si="37"/>
        <v>2.9805134105126915E-2</v>
      </c>
    </row>
    <row r="165" spans="1:18" x14ac:dyDescent="0.2">
      <c r="A165" s="856" t="s">
        <v>213</v>
      </c>
      <c r="B165" s="857" t="s">
        <v>214</v>
      </c>
      <c r="C165" s="858">
        <v>1</v>
      </c>
      <c r="D165" s="1060">
        <f>INDEX(Data!$E$8:$E$303,MATCH('Cost of Collecton Calculation'!B165,Data!$C$8:$C$303,0))</f>
        <v>102380963</v>
      </c>
      <c r="E165" s="1060">
        <f>INDEX(Data!$F$8:$F$303,MATCH('Cost of Collecton Calculation'!B165,Data!$C$8:$C$303,0))</f>
        <v>3666</v>
      </c>
      <c r="F165" s="869">
        <f t="shared" si="29"/>
        <v>102381000</v>
      </c>
      <c r="G165" s="869">
        <f t="shared" si="30"/>
        <v>3670</v>
      </c>
      <c r="H165" s="869">
        <f t="shared" si="31"/>
        <v>102381000</v>
      </c>
      <c r="I165" s="869">
        <f t="shared" si="32"/>
        <v>3670</v>
      </c>
      <c r="J165" s="866">
        <f t="shared" si="33"/>
        <v>20160000</v>
      </c>
      <c r="K165" s="866">
        <f t="shared" si="34"/>
        <v>63840000</v>
      </c>
      <c r="L165" s="869">
        <f t="shared" si="38"/>
        <v>28190.696170898864</v>
      </c>
      <c r="M165" s="869">
        <f t="shared" si="39"/>
        <v>111827.70653560675</v>
      </c>
      <c r="N165" s="872">
        <f t="shared" si="35"/>
        <v>140018</v>
      </c>
      <c r="P165" s="884">
        <v>137111</v>
      </c>
      <c r="Q165" s="876">
        <f t="shared" si="36"/>
        <v>-2907</v>
      </c>
      <c r="R165" s="877">
        <f t="shared" si="37"/>
        <v>-2.1201800001458673E-2</v>
      </c>
    </row>
    <row r="166" spans="1:18" x14ac:dyDescent="0.2">
      <c r="A166" s="856" t="s">
        <v>215</v>
      </c>
      <c r="B166" s="857" t="s">
        <v>216</v>
      </c>
      <c r="C166" s="858">
        <v>1.0760000000000001</v>
      </c>
      <c r="D166" s="1060">
        <f>INDEX(Data!$E$8:$E$303,MATCH('Cost of Collecton Calculation'!B166,Data!$C$8:$C$303,0))</f>
        <v>469997011</v>
      </c>
      <c r="E166" s="1060">
        <f>INDEX(Data!$F$8:$F$303,MATCH('Cost of Collecton Calculation'!B166,Data!$C$8:$C$303,0))</f>
        <v>7846</v>
      </c>
      <c r="F166" s="869">
        <f t="shared" si="29"/>
        <v>469997000</v>
      </c>
      <c r="G166" s="869">
        <f t="shared" si="30"/>
        <v>7850</v>
      </c>
      <c r="H166" s="869">
        <f t="shared" si="31"/>
        <v>505716772.00000006</v>
      </c>
      <c r="I166" s="869">
        <f t="shared" si="32"/>
        <v>8446.6</v>
      </c>
      <c r="J166" s="866">
        <f t="shared" si="33"/>
        <v>20160000</v>
      </c>
      <c r="K166" s="866">
        <f t="shared" si="34"/>
        <v>63840000</v>
      </c>
      <c r="L166" s="869">
        <f t="shared" si="38"/>
        <v>139249.54696652442</v>
      </c>
      <c r="M166" s="869">
        <f t="shared" si="39"/>
        <v>257374.36131434765</v>
      </c>
      <c r="N166" s="872">
        <f t="shared" si="35"/>
        <v>396624</v>
      </c>
      <c r="P166" s="884">
        <v>388309</v>
      </c>
      <c r="Q166" s="876">
        <f t="shared" si="36"/>
        <v>-8315</v>
      </c>
      <c r="R166" s="877">
        <f t="shared" si="37"/>
        <v>-2.1413358948672322E-2</v>
      </c>
    </row>
    <row r="167" spans="1:18" x14ac:dyDescent="0.2">
      <c r="A167" s="856" t="s">
        <v>217</v>
      </c>
      <c r="B167" s="857" t="s">
        <v>218</v>
      </c>
      <c r="C167" s="858">
        <v>1</v>
      </c>
      <c r="D167" s="1060">
        <f>INDEX(Data!$E$8:$E$303,MATCH('Cost of Collecton Calculation'!B167,Data!$C$8:$C$303,0))</f>
        <v>98327389</v>
      </c>
      <c r="E167" s="1060">
        <f>INDEX(Data!$F$8:$F$303,MATCH('Cost of Collecton Calculation'!B167,Data!$C$8:$C$303,0))</f>
        <v>6542</v>
      </c>
      <c r="F167" s="869">
        <f t="shared" si="29"/>
        <v>98327000</v>
      </c>
      <c r="G167" s="869">
        <f t="shared" si="30"/>
        <v>6540</v>
      </c>
      <c r="H167" s="869">
        <f t="shared" si="31"/>
        <v>98327000</v>
      </c>
      <c r="I167" s="869">
        <f t="shared" si="32"/>
        <v>6540</v>
      </c>
      <c r="J167" s="866">
        <f t="shared" si="33"/>
        <v>20160000</v>
      </c>
      <c r="K167" s="866">
        <f t="shared" si="34"/>
        <v>63840000</v>
      </c>
      <c r="L167" s="869">
        <f t="shared" si="38"/>
        <v>27074.423793437967</v>
      </c>
      <c r="M167" s="869">
        <f t="shared" si="39"/>
        <v>199278.80129233463</v>
      </c>
      <c r="N167" s="872">
        <f t="shared" si="35"/>
        <v>226353</v>
      </c>
      <c r="P167" s="884">
        <v>219948</v>
      </c>
      <c r="Q167" s="876">
        <f t="shared" si="36"/>
        <v>-6405</v>
      </c>
      <c r="R167" s="877">
        <f t="shared" si="37"/>
        <v>-2.9120519395493479E-2</v>
      </c>
    </row>
    <row r="168" spans="1:18" x14ac:dyDescent="0.2">
      <c r="A168" s="856" t="s">
        <v>219</v>
      </c>
      <c r="B168" s="857" t="s">
        <v>220</v>
      </c>
      <c r="C168" s="858">
        <v>1</v>
      </c>
      <c r="D168" s="1060">
        <f>INDEX(Data!$E$8:$E$303,MATCH('Cost of Collecton Calculation'!B168,Data!$C$8:$C$303,0))</f>
        <v>52016111</v>
      </c>
      <c r="E168" s="1060">
        <f>INDEX(Data!$F$8:$F$303,MATCH('Cost of Collecton Calculation'!B168,Data!$C$8:$C$303,0))</f>
        <v>2958</v>
      </c>
      <c r="F168" s="869">
        <f t="shared" si="29"/>
        <v>52016000</v>
      </c>
      <c r="G168" s="869">
        <f t="shared" si="30"/>
        <v>2960</v>
      </c>
      <c r="H168" s="869">
        <f t="shared" si="31"/>
        <v>52016000</v>
      </c>
      <c r="I168" s="869">
        <f t="shared" si="32"/>
        <v>2960</v>
      </c>
      <c r="J168" s="866">
        <f t="shared" si="33"/>
        <v>20160000</v>
      </c>
      <c r="K168" s="866">
        <f t="shared" si="34"/>
        <v>63840000</v>
      </c>
      <c r="L168" s="869">
        <f t="shared" si="38"/>
        <v>14322.650218551053</v>
      </c>
      <c r="M168" s="869">
        <f t="shared" si="39"/>
        <v>90193.463581851756</v>
      </c>
      <c r="N168" s="872">
        <f t="shared" si="35"/>
        <v>104516</v>
      </c>
      <c r="P168" s="884">
        <v>102944</v>
      </c>
      <c r="Q168" s="876">
        <f t="shared" si="36"/>
        <v>-1572</v>
      </c>
      <c r="R168" s="877">
        <f t="shared" si="37"/>
        <v>-1.5270438296549581E-2</v>
      </c>
    </row>
    <row r="169" spans="1:18" x14ac:dyDescent="0.2">
      <c r="A169" s="856" t="s">
        <v>602</v>
      </c>
      <c r="B169" s="857" t="s">
        <v>222</v>
      </c>
      <c r="C169" s="858">
        <v>1</v>
      </c>
      <c r="D169" s="1060">
        <f>INDEX(Data!$E$8:$E$303,MATCH('Cost of Collecton Calculation'!B169,Data!$C$8:$C$303,0))</f>
        <v>156739097</v>
      </c>
      <c r="E169" s="1060">
        <f>INDEX(Data!$F$8:$F$303,MATCH('Cost of Collecton Calculation'!B169,Data!$C$8:$C$303,0))</f>
        <v>5609</v>
      </c>
      <c r="F169" s="869">
        <f t="shared" si="29"/>
        <v>156739000</v>
      </c>
      <c r="G169" s="869">
        <f t="shared" si="30"/>
        <v>5610</v>
      </c>
      <c r="H169" s="869">
        <f t="shared" si="31"/>
        <v>156739000</v>
      </c>
      <c r="I169" s="869">
        <f t="shared" si="32"/>
        <v>5610</v>
      </c>
      <c r="J169" s="866">
        <f t="shared" si="33"/>
        <v>20160000</v>
      </c>
      <c r="K169" s="866">
        <f t="shared" si="34"/>
        <v>63840000</v>
      </c>
      <c r="L169" s="869">
        <f t="shared" si="38"/>
        <v>43158.218098382677</v>
      </c>
      <c r="M169" s="869">
        <f t="shared" si="39"/>
        <v>170940.99009938797</v>
      </c>
      <c r="N169" s="872">
        <f t="shared" si="35"/>
        <v>214099</v>
      </c>
      <c r="P169" s="884">
        <v>215203</v>
      </c>
      <c r="Q169" s="876">
        <f t="shared" si="36"/>
        <v>1104</v>
      </c>
      <c r="R169" s="877">
        <f t="shared" si="37"/>
        <v>5.130040008735938E-3</v>
      </c>
    </row>
    <row r="170" spans="1:18" x14ac:dyDescent="0.2">
      <c r="A170" s="856" t="s">
        <v>223</v>
      </c>
      <c r="B170" s="857" t="s">
        <v>224</v>
      </c>
      <c r="C170" s="858">
        <v>1.0392999999999999</v>
      </c>
      <c r="D170" s="1060">
        <f>INDEX(Data!$E$8:$E$303,MATCH('Cost of Collecton Calculation'!B170,Data!$C$8:$C$303,0))</f>
        <v>117795146</v>
      </c>
      <c r="E170" s="1060">
        <f>INDEX(Data!$F$8:$F$303,MATCH('Cost of Collecton Calculation'!B170,Data!$C$8:$C$303,0))</f>
        <v>4689</v>
      </c>
      <c r="F170" s="869">
        <f t="shared" si="29"/>
        <v>117795000</v>
      </c>
      <c r="G170" s="869">
        <f t="shared" si="30"/>
        <v>4690</v>
      </c>
      <c r="H170" s="869">
        <f t="shared" si="31"/>
        <v>122424343.49999999</v>
      </c>
      <c r="I170" s="869">
        <f t="shared" si="32"/>
        <v>4874.3169999999991</v>
      </c>
      <c r="J170" s="866">
        <f t="shared" si="33"/>
        <v>20160000</v>
      </c>
      <c r="K170" s="866">
        <f t="shared" si="34"/>
        <v>63840000</v>
      </c>
      <c r="L170" s="869">
        <f t="shared" si="38"/>
        <v>33709.647996505766</v>
      </c>
      <c r="M170" s="869">
        <f t="shared" si="39"/>
        <v>148524.16649523677</v>
      </c>
      <c r="N170" s="872">
        <f t="shared" si="35"/>
        <v>182234</v>
      </c>
      <c r="P170" s="884">
        <v>177692</v>
      </c>
      <c r="Q170" s="876">
        <f t="shared" si="36"/>
        <v>-4542</v>
      </c>
      <c r="R170" s="877">
        <f t="shared" si="37"/>
        <v>-2.5561083222654931E-2</v>
      </c>
    </row>
    <row r="171" spans="1:18" x14ac:dyDescent="0.2">
      <c r="A171" s="856" t="s">
        <v>225</v>
      </c>
      <c r="B171" s="857" t="s">
        <v>226</v>
      </c>
      <c r="C171" s="858">
        <v>1</v>
      </c>
      <c r="D171" s="1060">
        <f>INDEX(Data!$E$8:$E$303,MATCH('Cost of Collecton Calculation'!B171,Data!$C$8:$C$303,0))</f>
        <v>84911183</v>
      </c>
      <c r="E171" s="1060">
        <f>INDEX(Data!$F$8:$F$303,MATCH('Cost of Collecton Calculation'!B171,Data!$C$8:$C$303,0))</f>
        <v>3453</v>
      </c>
      <c r="F171" s="869">
        <f t="shared" si="29"/>
        <v>84911000</v>
      </c>
      <c r="G171" s="869">
        <f t="shared" si="30"/>
        <v>3450</v>
      </c>
      <c r="H171" s="869">
        <f t="shared" si="31"/>
        <v>84911000</v>
      </c>
      <c r="I171" s="869">
        <f t="shared" si="32"/>
        <v>3450</v>
      </c>
      <c r="J171" s="866">
        <f t="shared" si="33"/>
        <v>20160000</v>
      </c>
      <c r="K171" s="866">
        <f t="shared" si="34"/>
        <v>63840000</v>
      </c>
      <c r="L171" s="869">
        <f t="shared" si="38"/>
        <v>23380.316685392732</v>
      </c>
      <c r="M171" s="869">
        <f t="shared" si="39"/>
        <v>105124.13829641505</v>
      </c>
      <c r="N171" s="872">
        <f t="shared" si="35"/>
        <v>128504</v>
      </c>
      <c r="P171" s="884">
        <v>124554</v>
      </c>
      <c r="Q171" s="876">
        <f t="shared" si="36"/>
        <v>-3950</v>
      </c>
      <c r="R171" s="877">
        <f t="shared" si="37"/>
        <v>-3.1713152528220691E-2</v>
      </c>
    </row>
    <row r="172" spans="1:18" x14ac:dyDescent="0.2">
      <c r="A172" s="856" t="s">
        <v>603</v>
      </c>
      <c r="B172" s="857" t="s">
        <v>228</v>
      </c>
      <c r="C172" s="858">
        <v>1</v>
      </c>
      <c r="D172" s="1060">
        <f>INDEX(Data!$E$8:$E$303,MATCH('Cost of Collecton Calculation'!B172,Data!$C$8:$C$303,0))</f>
        <v>216230954</v>
      </c>
      <c r="E172" s="1060">
        <f>INDEX(Data!$F$8:$F$303,MATCH('Cost of Collecton Calculation'!B172,Data!$C$8:$C$303,0))</f>
        <v>5689</v>
      </c>
      <c r="F172" s="869">
        <f t="shared" si="29"/>
        <v>216231000</v>
      </c>
      <c r="G172" s="869">
        <f t="shared" si="30"/>
        <v>5690</v>
      </c>
      <c r="H172" s="869">
        <f t="shared" si="31"/>
        <v>216231000</v>
      </c>
      <c r="I172" s="869">
        <f t="shared" si="32"/>
        <v>5690</v>
      </c>
      <c r="J172" s="866">
        <f t="shared" si="33"/>
        <v>20160000</v>
      </c>
      <c r="K172" s="866">
        <f t="shared" si="34"/>
        <v>63840000</v>
      </c>
      <c r="L172" s="869">
        <f t="shared" si="38"/>
        <v>59539.391329735328</v>
      </c>
      <c r="M172" s="869">
        <f t="shared" si="39"/>
        <v>173378.65127727584</v>
      </c>
      <c r="N172" s="872">
        <f t="shared" si="35"/>
        <v>232918</v>
      </c>
      <c r="P172" s="884">
        <v>231359</v>
      </c>
      <c r="Q172" s="876">
        <f t="shared" si="36"/>
        <v>-1559</v>
      </c>
      <c r="R172" s="877">
        <f t="shared" si="37"/>
        <v>-6.7384454462545221E-3</v>
      </c>
    </row>
    <row r="173" spans="1:18" x14ac:dyDescent="0.2">
      <c r="A173" s="856" t="s">
        <v>229</v>
      </c>
      <c r="B173" s="857" t="s">
        <v>230</v>
      </c>
      <c r="C173" s="858">
        <v>1</v>
      </c>
      <c r="D173" s="1060">
        <f>INDEX(Data!$E$8:$E$303,MATCH('Cost of Collecton Calculation'!B173,Data!$C$8:$C$303,0))</f>
        <v>91033156</v>
      </c>
      <c r="E173" s="1060">
        <f>INDEX(Data!$F$8:$F$303,MATCH('Cost of Collecton Calculation'!B173,Data!$C$8:$C$303,0))</f>
        <v>8213</v>
      </c>
      <c r="F173" s="869">
        <f t="shared" si="29"/>
        <v>91033000</v>
      </c>
      <c r="G173" s="869">
        <f t="shared" si="30"/>
        <v>8210</v>
      </c>
      <c r="H173" s="869">
        <f t="shared" si="31"/>
        <v>91033000</v>
      </c>
      <c r="I173" s="869">
        <f t="shared" si="32"/>
        <v>8210</v>
      </c>
      <c r="J173" s="866">
        <f t="shared" si="33"/>
        <v>20160000</v>
      </c>
      <c r="K173" s="866">
        <f t="shared" si="34"/>
        <v>63840000</v>
      </c>
      <c r="L173" s="869">
        <f t="shared" si="38"/>
        <v>25066.014636753269</v>
      </c>
      <c r="M173" s="869">
        <f t="shared" si="39"/>
        <v>250164.97838074423</v>
      </c>
      <c r="N173" s="872">
        <f t="shared" si="35"/>
        <v>275231</v>
      </c>
      <c r="P173" s="884">
        <v>270468</v>
      </c>
      <c r="Q173" s="876">
        <f t="shared" si="36"/>
        <v>-4763</v>
      </c>
      <c r="R173" s="877">
        <f t="shared" si="37"/>
        <v>-1.7610216365706848E-2</v>
      </c>
    </row>
    <row r="174" spans="1:18" x14ac:dyDescent="0.2">
      <c r="A174" s="856" t="s">
        <v>1336</v>
      </c>
      <c r="B174" s="857" t="s">
        <v>1379</v>
      </c>
      <c r="C174" s="858">
        <v>1.0132000000000001</v>
      </c>
      <c r="D174" s="1060">
        <f>INDEX(Data!$E$8:$E$303,MATCH('Cost of Collecton Calculation'!B174,Data!$C$8:$C$303,0))</f>
        <v>405472036</v>
      </c>
      <c r="E174" s="1060">
        <f>INDEX(Data!$F$8:$F$303,MATCH('Cost of Collecton Calculation'!B174,Data!$C$8:$C$303,0))</f>
        <v>11922</v>
      </c>
      <c r="F174" s="869">
        <f>ROUND(D174,-3)</f>
        <v>405472000</v>
      </c>
      <c r="G174" s="869">
        <f>ROUND(E174,-1)</f>
        <v>11920</v>
      </c>
      <c r="H174" s="869">
        <f>F174*C174</f>
        <v>410824230.40000004</v>
      </c>
      <c r="I174" s="869">
        <f>G174*C174</f>
        <v>12077.344000000001</v>
      </c>
      <c r="J174" s="866">
        <f t="shared" ref="J174:J281" si="40">20160000</f>
        <v>20160000</v>
      </c>
      <c r="K174" s="866">
        <f t="shared" ref="K174:K281" si="41">63840000</f>
        <v>63840000</v>
      </c>
      <c r="L174" s="869">
        <f t="shared" si="38"/>
        <v>113120.80423955376</v>
      </c>
      <c r="M174" s="869">
        <f t="shared" si="39"/>
        <v>368005.90750996489</v>
      </c>
      <c r="N174" s="872">
        <f>ROUND(L174+M174,0)</f>
        <v>481127</v>
      </c>
      <c r="P174" s="889">
        <v>461671</v>
      </c>
      <c r="Q174" s="876">
        <f t="shared" ref="Q174" si="42">P174-N174</f>
        <v>-19456</v>
      </c>
      <c r="R174" s="877">
        <f t="shared" ref="R174" si="43">Q174/P174</f>
        <v>-4.2142564726829278E-2</v>
      </c>
    </row>
    <row r="175" spans="1:18" x14ac:dyDescent="0.2">
      <c r="A175" s="856" t="s">
        <v>520</v>
      </c>
      <c r="B175" s="857" t="s">
        <v>232</v>
      </c>
      <c r="C175" s="858">
        <v>1.0378000000000001</v>
      </c>
      <c r="D175" s="1060">
        <f>INDEX(Data!$E$8:$E$303,MATCH('Cost of Collecton Calculation'!B175,Data!$C$8:$C$303,0))</f>
        <v>180156723</v>
      </c>
      <c r="E175" s="1060">
        <f>INDEX(Data!$F$8:$F$303,MATCH('Cost of Collecton Calculation'!B175,Data!$C$8:$C$303,0))</f>
        <v>6556</v>
      </c>
      <c r="F175" s="869">
        <f t="shared" si="29"/>
        <v>180157000</v>
      </c>
      <c r="G175" s="869">
        <f t="shared" si="30"/>
        <v>6560</v>
      </c>
      <c r="H175" s="869">
        <f t="shared" si="31"/>
        <v>186966934.60000002</v>
      </c>
      <c r="I175" s="869">
        <f t="shared" si="32"/>
        <v>6807.9680000000008</v>
      </c>
      <c r="J175" s="866">
        <f t="shared" si="33"/>
        <v>20160000</v>
      </c>
      <c r="K175" s="866">
        <f t="shared" si="34"/>
        <v>63840000</v>
      </c>
      <c r="L175" s="869">
        <f t="shared" si="38"/>
        <v>51481.50581956534</v>
      </c>
      <c r="M175" s="869">
        <f t="shared" si="39"/>
        <v>207443.99117378792</v>
      </c>
      <c r="N175" s="872">
        <f t="shared" si="35"/>
        <v>258925</v>
      </c>
      <c r="P175" s="884">
        <v>257096</v>
      </c>
      <c r="Q175" s="876">
        <f t="shared" si="36"/>
        <v>-1829</v>
      </c>
      <c r="R175" s="877">
        <f t="shared" si="37"/>
        <v>-7.1140741201730093E-3</v>
      </c>
    </row>
    <row r="176" spans="1:18" x14ac:dyDescent="0.2">
      <c r="A176" s="856" t="s">
        <v>233</v>
      </c>
      <c r="B176" s="857" t="s">
        <v>234</v>
      </c>
      <c r="C176" s="858">
        <v>1</v>
      </c>
      <c r="D176" s="1060">
        <f>INDEX(Data!$E$8:$E$303,MATCH('Cost of Collecton Calculation'!B176,Data!$C$8:$C$303,0))</f>
        <v>163636259</v>
      </c>
      <c r="E176" s="1060">
        <f>INDEX(Data!$F$8:$F$303,MATCH('Cost of Collecton Calculation'!B176,Data!$C$8:$C$303,0))</f>
        <v>6310</v>
      </c>
      <c r="F176" s="869">
        <f t="shared" si="29"/>
        <v>163636000</v>
      </c>
      <c r="G176" s="869">
        <f t="shared" si="30"/>
        <v>6310</v>
      </c>
      <c r="H176" s="869">
        <f t="shared" si="31"/>
        <v>163636000</v>
      </c>
      <c r="I176" s="869">
        <f t="shared" si="32"/>
        <v>6310</v>
      </c>
      <c r="J176" s="866">
        <f t="shared" si="33"/>
        <v>20160000</v>
      </c>
      <c r="K176" s="866">
        <f t="shared" si="34"/>
        <v>63840000</v>
      </c>
      <c r="L176" s="869">
        <f t="shared" si="38"/>
        <v>45057.312964526682</v>
      </c>
      <c r="M176" s="869">
        <f t="shared" si="39"/>
        <v>192270.52540590696</v>
      </c>
      <c r="N176" s="872">
        <f t="shared" si="35"/>
        <v>237328</v>
      </c>
      <c r="P176" s="884">
        <v>233566</v>
      </c>
      <c r="Q176" s="876">
        <f t="shared" si="36"/>
        <v>-3762</v>
      </c>
      <c r="R176" s="877">
        <f t="shared" si="37"/>
        <v>-1.610679636590942E-2</v>
      </c>
    </row>
    <row r="177" spans="1:18" x14ac:dyDescent="0.2">
      <c r="A177" s="856" t="s">
        <v>235</v>
      </c>
      <c r="B177" s="857" t="s">
        <v>236</v>
      </c>
      <c r="C177" s="858">
        <v>1.0213000000000001</v>
      </c>
      <c r="D177" s="1060">
        <f>INDEX(Data!$E$8:$E$303,MATCH('Cost of Collecton Calculation'!B177,Data!$C$8:$C$303,0))</f>
        <v>157882481</v>
      </c>
      <c r="E177" s="1060">
        <f>INDEX(Data!$F$8:$F$303,MATCH('Cost of Collecton Calculation'!B177,Data!$C$8:$C$303,0))</f>
        <v>2441</v>
      </c>
      <c r="F177" s="869">
        <f t="shared" si="29"/>
        <v>157882000</v>
      </c>
      <c r="G177" s="869">
        <f t="shared" si="30"/>
        <v>2440</v>
      </c>
      <c r="H177" s="869">
        <f t="shared" si="31"/>
        <v>161244886.60000002</v>
      </c>
      <c r="I177" s="869">
        <f t="shared" si="32"/>
        <v>2491.9720000000002</v>
      </c>
      <c r="J177" s="866">
        <f t="shared" si="33"/>
        <v>20160000</v>
      </c>
      <c r="K177" s="866">
        <f t="shared" si="34"/>
        <v>63840000</v>
      </c>
      <c r="L177" s="869">
        <f t="shared" si="38"/>
        <v>44398.917838775189</v>
      </c>
      <c r="M177" s="869">
        <f t="shared" si="39"/>
        <v>75932.29250979537</v>
      </c>
      <c r="N177" s="872">
        <f t="shared" si="35"/>
        <v>120331</v>
      </c>
      <c r="P177" s="884">
        <v>111273</v>
      </c>
      <c r="Q177" s="876">
        <f t="shared" si="36"/>
        <v>-9058</v>
      </c>
      <c r="R177" s="877">
        <f t="shared" si="37"/>
        <v>-8.1403395253116212E-2</v>
      </c>
    </row>
    <row r="178" spans="1:18" x14ac:dyDescent="0.2">
      <c r="A178" s="856" t="s">
        <v>248</v>
      </c>
      <c r="B178" s="857" t="s">
        <v>249</v>
      </c>
      <c r="C178" s="858">
        <v>1</v>
      </c>
      <c r="D178" s="1060">
        <f>INDEX(Data!$E$8:$E$303,MATCH('Cost of Collecton Calculation'!B178,Data!$C$8:$C$303,0))</f>
        <v>211876695</v>
      </c>
      <c r="E178" s="1060">
        <f>INDEX(Data!$F$8:$F$303,MATCH('Cost of Collecton Calculation'!B178,Data!$C$8:$C$303,0))</f>
        <v>3585</v>
      </c>
      <c r="F178" s="869">
        <f t="shared" si="29"/>
        <v>211877000</v>
      </c>
      <c r="G178" s="869">
        <f t="shared" si="30"/>
        <v>3590</v>
      </c>
      <c r="H178" s="869">
        <f t="shared" si="31"/>
        <v>211877000</v>
      </c>
      <c r="I178" s="869">
        <f t="shared" si="32"/>
        <v>3590</v>
      </c>
      <c r="J178" s="866">
        <f t="shared" si="33"/>
        <v>20160000</v>
      </c>
      <c r="K178" s="866">
        <f t="shared" si="34"/>
        <v>63840000</v>
      </c>
      <c r="L178" s="869">
        <f t="shared" si="38"/>
        <v>58340.513694938891</v>
      </c>
      <c r="M178" s="869">
        <f t="shared" si="39"/>
        <v>109390.04535771886</v>
      </c>
      <c r="N178" s="872">
        <f t="shared" si="35"/>
        <v>167731</v>
      </c>
      <c r="P178" s="884">
        <v>155452</v>
      </c>
      <c r="Q178" s="876">
        <f t="shared" si="36"/>
        <v>-12279</v>
      </c>
      <c r="R178" s="877">
        <f t="shared" si="37"/>
        <v>-7.8989012685587834E-2</v>
      </c>
    </row>
    <row r="179" spans="1:18" x14ac:dyDescent="0.2">
      <c r="A179" s="1041" t="s">
        <v>633</v>
      </c>
      <c r="B179" s="1042" t="s">
        <v>2430</v>
      </c>
      <c r="C179" s="1043">
        <v>1</v>
      </c>
      <c r="D179" s="1060">
        <f>INDEX(Data!$E$8:$E$303,MATCH('Cost of Collecton Calculation'!B179,Data!$C$8:$C$303,0))</f>
        <v>610220666</v>
      </c>
      <c r="E179" s="1060">
        <f>INDEX(Data!$F$8:$F$303,MATCH('Cost of Collecton Calculation'!B179,Data!$C$8:$C$303,0))</f>
        <v>33525</v>
      </c>
      <c r="F179" s="869">
        <f t="shared" ref="F179" si="44">ROUND(D179,-3)</f>
        <v>610221000</v>
      </c>
      <c r="G179" s="869">
        <f t="shared" ref="G179" si="45">ROUND(E179,-1)</f>
        <v>33530</v>
      </c>
      <c r="H179" s="869">
        <f t="shared" ref="H179" si="46">F179*C179</f>
        <v>610221000</v>
      </c>
      <c r="I179" s="869">
        <f t="shared" ref="I179" si="47">G179*C179</f>
        <v>33530</v>
      </c>
      <c r="J179" s="866">
        <f t="shared" si="33"/>
        <v>20160000</v>
      </c>
      <c r="K179" s="866">
        <f t="shared" si="34"/>
        <v>63840000</v>
      </c>
      <c r="L179" s="869">
        <f t="shared" si="38"/>
        <v>168024.87578849666</v>
      </c>
      <c r="M179" s="869">
        <f t="shared" si="39"/>
        <v>1021684.74118226</v>
      </c>
      <c r="N179" s="872">
        <f t="shared" ref="N179" si="48">ROUND(L179+M179,0)</f>
        <v>1189710</v>
      </c>
      <c r="P179" s="884">
        <v>1171747</v>
      </c>
      <c r="Q179" s="876">
        <f t="shared" ref="Q179" si="49">P179-N179</f>
        <v>-17963</v>
      </c>
      <c r="R179" s="877">
        <f t="shared" ref="R179" si="50">Q179/P179</f>
        <v>-1.5330101122511942E-2</v>
      </c>
    </row>
    <row r="180" spans="1:18" x14ac:dyDescent="0.2">
      <c r="A180" s="856" t="s">
        <v>250</v>
      </c>
      <c r="B180" s="857" t="s">
        <v>251</v>
      </c>
      <c r="C180" s="858">
        <v>1</v>
      </c>
      <c r="D180" s="1060">
        <f>INDEX(Data!$E$8:$E$303,MATCH('Cost of Collecton Calculation'!B180,Data!$C$8:$C$303,0))</f>
        <v>259215840</v>
      </c>
      <c r="E180" s="1060">
        <f>INDEX(Data!$F$8:$F$303,MATCH('Cost of Collecton Calculation'!B180,Data!$C$8:$C$303,0))</f>
        <v>14375</v>
      </c>
      <c r="F180" s="869">
        <f t="shared" si="29"/>
        <v>259216000</v>
      </c>
      <c r="G180" s="869">
        <f t="shared" si="30"/>
        <v>14380</v>
      </c>
      <c r="H180" s="869">
        <f t="shared" si="31"/>
        <v>259216000</v>
      </c>
      <c r="I180" s="869">
        <f t="shared" si="32"/>
        <v>14380</v>
      </c>
      <c r="J180" s="866">
        <f t="shared" si="33"/>
        <v>20160000</v>
      </c>
      <c r="K180" s="866">
        <f t="shared" si="34"/>
        <v>63840000</v>
      </c>
      <c r="L180" s="869">
        <f t="shared" si="38"/>
        <v>71375.347951628908</v>
      </c>
      <c r="M180" s="869">
        <f t="shared" si="39"/>
        <v>438169.59672534739</v>
      </c>
      <c r="N180" s="872">
        <f t="shared" si="35"/>
        <v>509545</v>
      </c>
      <c r="P180" s="884">
        <v>494803</v>
      </c>
      <c r="Q180" s="876">
        <f t="shared" si="36"/>
        <v>-14742</v>
      </c>
      <c r="R180" s="877">
        <f t="shared" si="37"/>
        <v>-2.9793675462759926E-2</v>
      </c>
    </row>
    <row r="181" spans="1:18" x14ac:dyDescent="0.2">
      <c r="A181" s="856" t="s">
        <v>252</v>
      </c>
      <c r="B181" s="857" t="s">
        <v>253</v>
      </c>
      <c r="C181" s="858">
        <v>1</v>
      </c>
      <c r="D181" s="1060">
        <f>INDEX(Data!$E$8:$E$303,MATCH('Cost of Collecton Calculation'!B181,Data!$C$8:$C$303,0))</f>
        <v>187960817</v>
      </c>
      <c r="E181" s="1060">
        <f>INDEX(Data!$F$8:$F$303,MATCH('Cost of Collecton Calculation'!B181,Data!$C$8:$C$303,0))</f>
        <v>6912</v>
      </c>
      <c r="F181" s="869">
        <f t="shared" si="29"/>
        <v>187961000</v>
      </c>
      <c r="G181" s="869">
        <f t="shared" si="30"/>
        <v>6910</v>
      </c>
      <c r="H181" s="869">
        <f t="shared" si="31"/>
        <v>187961000</v>
      </c>
      <c r="I181" s="869">
        <f t="shared" si="32"/>
        <v>6910</v>
      </c>
      <c r="J181" s="866">
        <f t="shared" si="33"/>
        <v>20160000</v>
      </c>
      <c r="K181" s="866">
        <f t="shared" si="34"/>
        <v>63840000</v>
      </c>
      <c r="L181" s="869">
        <f t="shared" si="38"/>
        <v>51755.222580149843</v>
      </c>
      <c r="M181" s="869">
        <f t="shared" si="39"/>
        <v>210552.98424006609</v>
      </c>
      <c r="N181" s="872">
        <f t="shared" si="35"/>
        <v>262308</v>
      </c>
      <c r="P181" s="884">
        <v>268541</v>
      </c>
      <c r="Q181" s="876">
        <f t="shared" si="36"/>
        <v>6233</v>
      </c>
      <c r="R181" s="877">
        <f t="shared" si="37"/>
        <v>2.3210608435955776E-2</v>
      </c>
    </row>
    <row r="182" spans="1:18" x14ac:dyDescent="0.2">
      <c r="A182" s="856" t="s">
        <v>636</v>
      </c>
      <c r="B182" s="857" t="s">
        <v>255</v>
      </c>
      <c r="C182" s="858">
        <v>1.0121</v>
      </c>
      <c r="D182" s="1060">
        <f>INDEX(Data!$E$8:$E$303,MATCH('Cost of Collecton Calculation'!B182,Data!$C$8:$C$303,0))</f>
        <v>347508815</v>
      </c>
      <c r="E182" s="1060">
        <f>INDEX(Data!$F$8:$F$303,MATCH('Cost of Collecton Calculation'!B182,Data!$C$8:$C$303,0))</f>
        <v>11669</v>
      </c>
      <c r="F182" s="869">
        <f t="shared" si="29"/>
        <v>347509000</v>
      </c>
      <c r="G182" s="869">
        <f t="shared" si="30"/>
        <v>11670</v>
      </c>
      <c r="H182" s="869">
        <f t="shared" si="31"/>
        <v>351713858.89999998</v>
      </c>
      <c r="I182" s="869">
        <f t="shared" si="32"/>
        <v>11811.207</v>
      </c>
      <c r="J182" s="866">
        <f t="shared" si="33"/>
        <v>20160000</v>
      </c>
      <c r="K182" s="866">
        <f t="shared" si="34"/>
        <v>63840000</v>
      </c>
      <c r="L182" s="869">
        <f t="shared" si="38"/>
        <v>96844.712743031356</v>
      </c>
      <c r="M182" s="869">
        <f t="shared" si="39"/>
        <v>359896.50959872047</v>
      </c>
      <c r="N182" s="872">
        <f t="shared" si="35"/>
        <v>456741</v>
      </c>
      <c r="P182" s="884">
        <v>467374</v>
      </c>
      <c r="Q182" s="876">
        <f t="shared" si="36"/>
        <v>10633</v>
      </c>
      <c r="R182" s="877">
        <f t="shared" si="37"/>
        <v>2.2750516716804958E-2</v>
      </c>
    </row>
    <row r="183" spans="1:18" x14ac:dyDescent="0.2">
      <c r="A183" s="856" t="s">
        <v>256</v>
      </c>
      <c r="B183" s="857" t="s">
        <v>257</v>
      </c>
      <c r="C183" s="858">
        <v>1.0213000000000001</v>
      </c>
      <c r="D183" s="1060">
        <f>INDEX(Data!$E$8:$E$303,MATCH('Cost of Collecton Calculation'!B183,Data!$C$8:$C$303,0))</f>
        <v>97999165</v>
      </c>
      <c r="E183" s="1060">
        <f>INDEX(Data!$F$8:$F$303,MATCH('Cost of Collecton Calculation'!B183,Data!$C$8:$C$303,0))</f>
        <v>3233</v>
      </c>
      <c r="F183" s="869">
        <f t="shared" si="29"/>
        <v>97999000</v>
      </c>
      <c r="G183" s="869">
        <f t="shared" si="30"/>
        <v>3230</v>
      </c>
      <c r="H183" s="869">
        <f t="shared" si="31"/>
        <v>100086378.7</v>
      </c>
      <c r="I183" s="869">
        <f t="shared" si="32"/>
        <v>3298.7990000000004</v>
      </c>
      <c r="J183" s="866">
        <f t="shared" si="33"/>
        <v>20160000</v>
      </c>
      <c r="K183" s="866">
        <f t="shared" si="34"/>
        <v>63840000</v>
      </c>
      <c r="L183" s="869">
        <f t="shared" si="38"/>
        <v>27558.870227651845</v>
      </c>
      <c r="M183" s="869">
        <f t="shared" si="39"/>
        <v>100516.92819944225</v>
      </c>
      <c r="N183" s="872">
        <f t="shared" si="35"/>
        <v>128076</v>
      </c>
      <c r="P183" s="884">
        <v>127322</v>
      </c>
      <c r="Q183" s="876">
        <f t="shared" si="36"/>
        <v>-754</v>
      </c>
      <c r="R183" s="877">
        <f t="shared" si="37"/>
        <v>-5.9219930569736571E-3</v>
      </c>
    </row>
    <row r="184" spans="1:18" x14ac:dyDescent="0.2">
      <c r="A184" s="856" t="s">
        <v>258</v>
      </c>
      <c r="B184" s="857" t="s">
        <v>259</v>
      </c>
      <c r="C184" s="858">
        <v>1</v>
      </c>
      <c r="D184" s="1060">
        <f>INDEX(Data!$E$8:$E$303,MATCH('Cost of Collecton Calculation'!B184,Data!$C$8:$C$303,0))</f>
        <v>35379750</v>
      </c>
      <c r="E184" s="1060">
        <f>INDEX(Data!$F$8:$F$303,MATCH('Cost of Collecton Calculation'!B184,Data!$C$8:$C$303,0))</f>
        <v>1416</v>
      </c>
      <c r="F184" s="869">
        <f t="shared" si="29"/>
        <v>35380000</v>
      </c>
      <c r="G184" s="869">
        <f t="shared" si="30"/>
        <v>1420</v>
      </c>
      <c r="H184" s="869">
        <f t="shared" si="31"/>
        <v>35380000</v>
      </c>
      <c r="I184" s="869">
        <f t="shared" si="32"/>
        <v>1420</v>
      </c>
      <c r="J184" s="866">
        <f t="shared" si="33"/>
        <v>20160000</v>
      </c>
      <c r="K184" s="866">
        <f t="shared" si="34"/>
        <v>63840000</v>
      </c>
      <c r="L184" s="869">
        <f t="shared" si="38"/>
        <v>9741.9133484377162</v>
      </c>
      <c r="M184" s="869">
        <f t="shared" si="39"/>
        <v>43268.485907509967</v>
      </c>
      <c r="N184" s="872">
        <f t="shared" si="35"/>
        <v>53010</v>
      </c>
      <c r="P184" s="884">
        <v>53230</v>
      </c>
      <c r="Q184" s="876">
        <f t="shared" si="36"/>
        <v>220</v>
      </c>
      <c r="R184" s="877">
        <f t="shared" si="37"/>
        <v>4.1330077024234451E-3</v>
      </c>
    </row>
    <row r="185" spans="1:18" x14ac:dyDescent="0.2">
      <c r="A185" s="856" t="s">
        <v>260</v>
      </c>
      <c r="B185" s="857" t="s">
        <v>261</v>
      </c>
      <c r="C185" s="858">
        <v>1.0168999999999999</v>
      </c>
      <c r="D185" s="1060">
        <f>INDEX(Data!$E$8:$E$303,MATCH('Cost of Collecton Calculation'!B185,Data!$C$8:$C$303,0))</f>
        <v>165152728</v>
      </c>
      <c r="E185" s="1060">
        <f>INDEX(Data!$F$8:$F$303,MATCH('Cost of Collecton Calculation'!B185,Data!$C$8:$C$303,0))</f>
        <v>7967</v>
      </c>
      <c r="F185" s="869">
        <f t="shared" si="29"/>
        <v>165153000</v>
      </c>
      <c r="G185" s="869">
        <f t="shared" si="30"/>
        <v>7970</v>
      </c>
      <c r="H185" s="869">
        <f t="shared" si="31"/>
        <v>167944085.69999999</v>
      </c>
      <c r="I185" s="869">
        <f t="shared" si="32"/>
        <v>8104.6929999999993</v>
      </c>
      <c r="J185" s="866">
        <f t="shared" si="33"/>
        <v>20160000</v>
      </c>
      <c r="K185" s="866">
        <f t="shared" si="34"/>
        <v>63840000</v>
      </c>
      <c r="L185" s="869">
        <f t="shared" si="38"/>
        <v>46243.548057433516</v>
      </c>
      <c r="M185" s="869">
        <f t="shared" si="39"/>
        <v>246956.1935599962</v>
      </c>
      <c r="N185" s="872">
        <f t="shared" si="35"/>
        <v>293200</v>
      </c>
      <c r="P185" s="884">
        <v>294166</v>
      </c>
      <c r="Q185" s="876">
        <f t="shared" si="36"/>
        <v>966</v>
      </c>
      <c r="R185" s="877">
        <f t="shared" si="37"/>
        <v>3.2838601333940701E-3</v>
      </c>
    </row>
    <row r="186" spans="1:18" x14ac:dyDescent="0.2">
      <c r="A186" s="856" t="s">
        <v>262</v>
      </c>
      <c r="B186" s="857" t="s">
        <v>263</v>
      </c>
      <c r="C186" s="858">
        <v>1.0533999999999999</v>
      </c>
      <c r="D186" s="1060">
        <f>INDEX(Data!$E$8:$E$303,MATCH('Cost of Collecton Calculation'!B186,Data!$C$8:$C$303,0))</f>
        <v>290576342</v>
      </c>
      <c r="E186" s="1060">
        <f>INDEX(Data!$F$8:$F$303,MATCH('Cost of Collecton Calculation'!B186,Data!$C$8:$C$303,0))</f>
        <v>4613</v>
      </c>
      <c r="F186" s="869">
        <f t="shared" ref="F186:F241" si="51">ROUND(D186,-3)</f>
        <v>290576000</v>
      </c>
      <c r="G186" s="869">
        <f t="shared" ref="G186:G241" si="52">ROUND(E186,-1)</f>
        <v>4610</v>
      </c>
      <c r="H186" s="869">
        <f t="shared" ref="H186:H241" si="53">F186*C186</f>
        <v>306092758.39999998</v>
      </c>
      <c r="I186" s="869">
        <f t="shared" ref="I186:I241" si="54">G186*C186</f>
        <v>4856.1739999999991</v>
      </c>
      <c r="J186" s="866">
        <f t="shared" ref="J186:J241" si="55">20160000</f>
        <v>20160000</v>
      </c>
      <c r="K186" s="866">
        <f t="shared" ref="K186:K241" si="56">63840000</f>
        <v>63840000</v>
      </c>
      <c r="L186" s="869">
        <f t="shared" si="38"/>
        <v>84282.903587254972</v>
      </c>
      <c r="M186" s="869">
        <f t="shared" si="39"/>
        <v>147971.33541085653</v>
      </c>
      <c r="N186" s="872">
        <f t="shared" ref="N186:N241" si="57">ROUND(L186+M186,0)</f>
        <v>232254</v>
      </c>
      <c r="P186" s="884">
        <v>233608</v>
      </c>
      <c r="Q186" s="876">
        <f t="shared" ref="Q186:Q241" si="58">P186-N186</f>
        <v>1354</v>
      </c>
      <c r="R186" s="877">
        <f t="shared" ref="R186:R241" si="59">Q186/P186</f>
        <v>5.7960343823841645E-3</v>
      </c>
    </row>
    <row r="187" spans="1:18" x14ac:dyDescent="0.2">
      <c r="A187" s="856" t="s">
        <v>264</v>
      </c>
      <c r="B187" s="857" t="s">
        <v>265</v>
      </c>
      <c r="C187" s="858">
        <v>1</v>
      </c>
      <c r="D187" s="1060">
        <f>INDEX(Data!$E$8:$E$303,MATCH('Cost of Collecton Calculation'!B187,Data!$C$8:$C$303,0))</f>
        <v>60077242</v>
      </c>
      <c r="E187" s="1060">
        <f>INDEX(Data!$F$8:$F$303,MATCH('Cost of Collecton Calculation'!B187,Data!$C$8:$C$303,0))</f>
        <v>3911</v>
      </c>
      <c r="F187" s="869">
        <f t="shared" si="51"/>
        <v>60077000</v>
      </c>
      <c r="G187" s="869">
        <f t="shared" si="52"/>
        <v>3910</v>
      </c>
      <c r="H187" s="869">
        <f t="shared" si="53"/>
        <v>60077000</v>
      </c>
      <c r="I187" s="869">
        <f t="shared" si="54"/>
        <v>3910</v>
      </c>
      <c r="J187" s="866">
        <f t="shared" si="55"/>
        <v>20160000</v>
      </c>
      <c r="K187" s="866">
        <f t="shared" si="56"/>
        <v>63840000</v>
      </c>
      <c r="L187" s="869">
        <f t="shared" si="38"/>
        <v>16542.253483156943</v>
      </c>
      <c r="M187" s="869">
        <f t="shared" si="39"/>
        <v>119140.69006927039</v>
      </c>
      <c r="N187" s="872">
        <f t="shared" si="57"/>
        <v>135683</v>
      </c>
      <c r="P187" s="884">
        <v>132551</v>
      </c>
      <c r="Q187" s="876">
        <f t="shared" si="58"/>
        <v>-3132</v>
      </c>
      <c r="R187" s="877">
        <f t="shared" si="59"/>
        <v>-2.3628641051368908E-2</v>
      </c>
    </row>
    <row r="188" spans="1:18" x14ac:dyDescent="0.2">
      <c r="A188" s="856" t="s">
        <v>536</v>
      </c>
      <c r="B188" s="857" t="s">
        <v>267</v>
      </c>
      <c r="C188" s="858">
        <v>1.0339</v>
      </c>
      <c r="D188" s="1060">
        <f>INDEX(Data!$E$8:$E$303,MATCH('Cost of Collecton Calculation'!B188,Data!$C$8:$C$303,0))</f>
        <v>273478346</v>
      </c>
      <c r="E188" s="1060">
        <f>INDEX(Data!$F$8:$F$303,MATCH('Cost of Collecton Calculation'!B188,Data!$C$8:$C$303,0))</f>
        <v>6259</v>
      </c>
      <c r="F188" s="869">
        <f t="shared" si="51"/>
        <v>273478000</v>
      </c>
      <c r="G188" s="869">
        <f t="shared" si="52"/>
        <v>6260</v>
      </c>
      <c r="H188" s="869">
        <f t="shared" si="53"/>
        <v>282748904.19999999</v>
      </c>
      <c r="I188" s="869">
        <f t="shared" si="54"/>
        <v>6472.2139999999999</v>
      </c>
      <c r="J188" s="866">
        <f t="shared" si="55"/>
        <v>20160000</v>
      </c>
      <c r="K188" s="866">
        <f t="shared" si="56"/>
        <v>63840000</v>
      </c>
      <c r="L188" s="869">
        <f t="shared" si="38"/>
        <v>77855.153309274086</v>
      </c>
      <c r="M188" s="869">
        <f t="shared" si="39"/>
        <v>197213.31003478076</v>
      </c>
      <c r="N188" s="872">
        <f t="shared" si="57"/>
        <v>275068</v>
      </c>
      <c r="P188" s="884">
        <v>271515</v>
      </c>
      <c r="Q188" s="876">
        <f t="shared" si="58"/>
        <v>-3553</v>
      </c>
      <c r="R188" s="877">
        <f t="shared" si="59"/>
        <v>-1.3085833195219417E-2</v>
      </c>
    </row>
    <row r="189" spans="1:18" x14ac:dyDescent="0.2">
      <c r="A189" s="856" t="s">
        <v>559</v>
      </c>
      <c r="B189" s="857" t="s">
        <v>269</v>
      </c>
      <c r="C189" s="858">
        <v>1</v>
      </c>
      <c r="D189" s="1060">
        <f>INDEX(Data!$E$8:$E$303,MATCH('Cost of Collecton Calculation'!B189,Data!$C$8:$C$303,0))</f>
        <v>241616688</v>
      </c>
      <c r="E189" s="1060">
        <f>INDEX(Data!$F$8:$F$303,MATCH('Cost of Collecton Calculation'!B189,Data!$C$8:$C$303,0))</f>
        <v>8000</v>
      </c>
      <c r="F189" s="869">
        <f t="shared" si="51"/>
        <v>241617000</v>
      </c>
      <c r="G189" s="869">
        <f t="shared" si="52"/>
        <v>8000</v>
      </c>
      <c r="H189" s="869">
        <f t="shared" si="53"/>
        <v>241617000</v>
      </c>
      <c r="I189" s="869">
        <f t="shared" si="54"/>
        <v>8000</v>
      </c>
      <c r="J189" s="866">
        <f t="shared" si="55"/>
        <v>20160000</v>
      </c>
      <c r="K189" s="866">
        <f t="shared" si="56"/>
        <v>63840000</v>
      </c>
      <c r="L189" s="869">
        <f t="shared" si="38"/>
        <v>66529.448205468507</v>
      </c>
      <c r="M189" s="869">
        <f t="shared" si="39"/>
        <v>243766.11778878854</v>
      </c>
      <c r="N189" s="872">
        <f t="shared" si="57"/>
        <v>310296</v>
      </c>
      <c r="P189" s="884">
        <v>307874</v>
      </c>
      <c r="Q189" s="876">
        <f t="shared" si="58"/>
        <v>-2422</v>
      </c>
      <c r="R189" s="877">
        <f t="shared" si="59"/>
        <v>-7.8668546223455045E-3</v>
      </c>
    </row>
    <row r="190" spans="1:18" x14ac:dyDescent="0.2">
      <c r="A190" s="856" t="s">
        <v>585</v>
      </c>
      <c r="B190" s="857" t="s">
        <v>271</v>
      </c>
      <c r="C190" s="858">
        <v>1.036</v>
      </c>
      <c r="D190" s="1060">
        <f>INDEX(Data!$E$8:$E$303,MATCH('Cost of Collecton Calculation'!B190,Data!$C$8:$C$303,0))</f>
        <v>231131164</v>
      </c>
      <c r="E190" s="1060">
        <f>INDEX(Data!$F$8:$F$303,MATCH('Cost of Collecton Calculation'!B190,Data!$C$8:$C$303,0))</f>
        <v>7050</v>
      </c>
      <c r="F190" s="869">
        <f t="shared" si="51"/>
        <v>231131000</v>
      </c>
      <c r="G190" s="869">
        <f t="shared" si="52"/>
        <v>7050</v>
      </c>
      <c r="H190" s="869">
        <f t="shared" si="53"/>
        <v>239451716</v>
      </c>
      <c r="I190" s="869">
        <f t="shared" si="54"/>
        <v>7303.8</v>
      </c>
      <c r="J190" s="866">
        <f t="shared" si="55"/>
        <v>20160000</v>
      </c>
      <c r="K190" s="866">
        <f t="shared" si="56"/>
        <v>63840000</v>
      </c>
      <c r="L190" s="869">
        <f t="shared" si="38"/>
        <v>65933.235398720091</v>
      </c>
      <c r="M190" s="869">
        <f t="shared" si="39"/>
        <v>222552.37138821921</v>
      </c>
      <c r="N190" s="872">
        <f t="shared" si="57"/>
        <v>288486</v>
      </c>
      <c r="P190" s="884">
        <v>269800</v>
      </c>
      <c r="Q190" s="876">
        <f t="shared" si="58"/>
        <v>-18686</v>
      </c>
      <c r="R190" s="877">
        <f t="shared" si="59"/>
        <v>-6.9258710155670866E-2</v>
      </c>
    </row>
    <row r="191" spans="1:18" x14ac:dyDescent="0.2">
      <c r="A191" s="856" t="s">
        <v>272</v>
      </c>
      <c r="B191" s="857" t="s">
        <v>273</v>
      </c>
      <c r="C191" s="858">
        <v>1</v>
      </c>
      <c r="D191" s="1060">
        <f>INDEX(Data!$E$8:$E$303,MATCH('Cost of Collecton Calculation'!B191,Data!$C$8:$C$303,0))</f>
        <v>152923140</v>
      </c>
      <c r="E191" s="1060">
        <f>INDEX(Data!$F$8:$F$303,MATCH('Cost of Collecton Calculation'!B191,Data!$C$8:$C$303,0))</f>
        <v>6365</v>
      </c>
      <c r="F191" s="869">
        <f t="shared" si="51"/>
        <v>152923000</v>
      </c>
      <c r="G191" s="869">
        <f t="shared" si="52"/>
        <v>6370</v>
      </c>
      <c r="H191" s="869">
        <f t="shared" si="53"/>
        <v>152923000</v>
      </c>
      <c r="I191" s="869">
        <f t="shared" si="54"/>
        <v>6370</v>
      </c>
      <c r="J191" s="866">
        <f t="shared" si="55"/>
        <v>20160000</v>
      </c>
      <c r="K191" s="866">
        <f t="shared" si="56"/>
        <v>63840000</v>
      </c>
      <c r="L191" s="869">
        <f t="shared" si="38"/>
        <v>42107.47922507464</v>
      </c>
      <c r="M191" s="869">
        <f t="shared" si="39"/>
        <v>194098.77128932287</v>
      </c>
      <c r="N191" s="872">
        <f t="shared" si="57"/>
        <v>236206</v>
      </c>
      <c r="P191" s="884">
        <v>237512</v>
      </c>
      <c r="Q191" s="876">
        <f t="shared" si="58"/>
        <v>1306</v>
      </c>
      <c r="R191" s="877">
        <f t="shared" si="59"/>
        <v>5.4986695409074068E-3</v>
      </c>
    </row>
    <row r="192" spans="1:18" x14ac:dyDescent="0.2">
      <c r="A192" s="856" t="s">
        <v>528</v>
      </c>
      <c r="B192" s="857" t="s">
        <v>275</v>
      </c>
      <c r="C192" s="858">
        <v>1.0806</v>
      </c>
      <c r="D192" s="1060">
        <f>INDEX(Data!$E$8:$E$303,MATCH('Cost of Collecton Calculation'!B192,Data!$C$8:$C$303,0))</f>
        <v>342322757</v>
      </c>
      <c r="E192" s="1060">
        <f>INDEX(Data!$F$8:$F$303,MATCH('Cost of Collecton Calculation'!B192,Data!$C$8:$C$303,0))</f>
        <v>5705</v>
      </c>
      <c r="F192" s="869">
        <f t="shared" si="51"/>
        <v>342323000</v>
      </c>
      <c r="G192" s="869">
        <f t="shared" si="52"/>
        <v>5710</v>
      </c>
      <c r="H192" s="869">
        <f t="shared" si="53"/>
        <v>369914233.80000001</v>
      </c>
      <c r="I192" s="869">
        <f t="shared" si="54"/>
        <v>6170.2259999999997</v>
      </c>
      <c r="J192" s="866">
        <f t="shared" si="55"/>
        <v>20160000</v>
      </c>
      <c r="K192" s="866">
        <f t="shared" si="56"/>
        <v>63840000</v>
      </c>
      <c r="L192" s="869">
        <f t="shared" si="38"/>
        <v>101856.20158375721</v>
      </c>
      <c r="M192" s="869">
        <f t="shared" si="39"/>
        <v>188011.50473743069</v>
      </c>
      <c r="N192" s="872">
        <f t="shared" si="57"/>
        <v>289868</v>
      </c>
      <c r="P192" s="884">
        <v>282913</v>
      </c>
      <c r="Q192" s="876">
        <f t="shared" si="58"/>
        <v>-6955</v>
      </c>
      <c r="R192" s="877">
        <f t="shared" si="59"/>
        <v>-2.4583529212160629E-2</v>
      </c>
    </row>
    <row r="193" spans="1:18" x14ac:dyDescent="0.2">
      <c r="A193" s="856" t="s">
        <v>276</v>
      </c>
      <c r="B193" s="857" t="s">
        <v>277</v>
      </c>
      <c r="C193" s="858">
        <v>1.0760000000000001</v>
      </c>
      <c r="D193" s="1060">
        <f>INDEX(Data!$E$8:$E$303,MATCH('Cost of Collecton Calculation'!B193,Data!$C$8:$C$303,0))</f>
        <v>171205029</v>
      </c>
      <c r="E193" s="1060">
        <f>INDEX(Data!$F$8:$F$303,MATCH('Cost of Collecton Calculation'!B193,Data!$C$8:$C$303,0))</f>
        <v>6586</v>
      </c>
      <c r="F193" s="869">
        <f t="shared" si="51"/>
        <v>171205000</v>
      </c>
      <c r="G193" s="869">
        <f t="shared" si="52"/>
        <v>6590</v>
      </c>
      <c r="H193" s="869">
        <f t="shared" si="53"/>
        <v>184216580</v>
      </c>
      <c r="I193" s="869">
        <f t="shared" si="54"/>
        <v>7090.84</v>
      </c>
      <c r="J193" s="866">
        <f t="shared" si="55"/>
        <v>20160000</v>
      </c>
      <c r="K193" s="866">
        <f t="shared" si="56"/>
        <v>63840000</v>
      </c>
      <c r="L193" s="869">
        <f t="shared" si="38"/>
        <v>50724.19332124207</v>
      </c>
      <c r="M193" s="869">
        <f t="shared" si="39"/>
        <v>216063.31733268165</v>
      </c>
      <c r="N193" s="872">
        <f t="shared" si="57"/>
        <v>266788</v>
      </c>
      <c r="P193" s="884">
        <v>269024</v>
      </c>
      <c r="Q193" s="876">
        <f t="shared" si="58"/>
        <v>2236</v>
      </c>
      <c r="R193" s="877">
        <f t="shared" si="59"/>
        <v>8.3115261091947189E-3</v>
      </c>
    </row>
    <row r="194" spans="1:18" x14ac:dyDescent="0.2">
      <c r="A194" s="856" t="s">
        <v>991</v>
      </c>
      <c r="B194" s="857" t="s">
        <v>279</v>
      </c>
      <c r="C194" s="858">
        <v>1</v>
      </c>
      <c r="D194" s="1060">
        <f>INDEX(Data!$E$8:$E$303,MATCH('Cost of Collecton Calculation'!B194,Data!$C$8:$C$303,0))</f>
        <v>111030216</v>
      </c>
      <c r="E194" s="1060">
        <f>INDEX(Data!$F$8:$F$303,MATCH('Cost of Collecton Calculation'!B194,Data!$C$8:$C$303,0))</f>
        <v>4414</v>
      </c>
      <c r="F194" s="869">
        <f t="shared" si="51"/>
        <v>111030000</v>
      </c>
      <c r="G194" s="869">
        <f t="shared" si="52"/>
        <v>4410</v>
      </c>
      <c r="H194" s="869">
        <f t="shared" si="53"/>
        <v>111030000</v>
      </c>
      <c r="I194" s="869">
        <f t="shared" si="54"/>
        <v>4410</v>
      </c>
      <c r="J194" s="866">
        <f t="shared" si="55"/>
        <v>20160000</v>
      </c>
      <c r="K194" s="866">
        <f t="shared" si="56"/>
        <v>63840000</v>
      </c>
      <c r="L194" s="869">
        <f t="shared" si="38"/>
        <v>30572.205739882407</v>
      </c>
      <c r="M194" s="869">
        <f t="shared" si="39"/>
        <v>134376.07243106968</v>
      </c>
      <c r="N194" s="872">
        <f t="shared" si="57"/>
        <v>164948</v>
      </c>
      <c r="P194" s="884">
        <v>159854</v>
      </c>
      <c r="Q194" s="876">
        <f t="shared" si="58"/>
        <v>-5094</v>
      </c>
      <c r="R194" s="877">
        <f t="shared" si="59"/>
        <v>-3.1866578252655549E-2</v>
      </c>
    </row>
    <row r="195" spans="1:18" x14ac:dyDescent="0.2">
      <c r="A195" s="856" t="s">
        <v>280</v>
      </c>
      <c r="B195" s="857" t="s">
        <v>281</v>
      </c>
      <c r="C195" s="858">
        <v>1</v>
      </c>
      <c r="D195" s="1060">
        <f>INDEX(Data!$E$8:$E$303,MATCH('Cost of Collecton Calculation'!B195,Data!$C$8:$C$303,0))</f>
        <v>91699853</v>
      </c>
      <c r="E195" s="1060">
        <f>INDEX(Data!$F$8:$F$303,MATCH('Cost of Collecton Calculation'!B195,Data!$C$8:$C$303,0))</f>
        <v>2612</v>
      </c>
      <c r="F195" s="869">
        <f t="shared" si="51"/>
        <v>91700000</v>
      </c>
      <c r="G195" s="869">
        <f t="shared" si="52"/>
        <v>2610</v>
      </c>
      <c r="H195" s="869">
        <f t="shared" si="53"/>
        <v>91700000</v>
      </c>
      <c r="I195" s="869">
        <f t="shared" si="54"/>
        <v>2610</v>
      </c>
      <c r="J195" s="866">
        <f t="shared" si="55"/>
        <v>20160000</v>
      </c>
      <c r="K195" s="866">
        <f t="shared" si="56"/>
        <v>63840000</v>
      </c>
      <c r="L195" s="869">
        <f t="shared" si="38"/>
        <v>25249.673658895947</v>
      </c>
      <c r="M195" s="869">
        <f t="shared" si="39"/>
        <v>79528.695928592264</v>
      </c>
      <c r="N195" s="872">
        <f t="shared" si="57"/>
        <v>104778</v>
      </c>
      <c r="P195" s="884">
        <v>104162</v>
      </c>
      <c r="Q195" s="876">
        <f t="shared" si="58"/>
        <v>-616</v>
      </c>
      <c r="R195" s="877">
        <f t="shared" si="59"/>
        <v>-5.9138649411493638E-3</v>
      </c>
    </row>
    <row r="196" spans="1:18" x14ac:dyDescent="0.2">
      <c r="A196" s="856" t="s">
        <v>282</v>
      </c>
      <c r="B196" s="857" t="s">
        <v>283</v>
      </c>
      <c r="C196" s="858">
        <v>1.1039000000000001</v>
      </c>
      <c r="D196" s="1060">
        <f>INDEX(Data!$E$8:$E$303,MATCH('Cost of Collecton Calculation'!B196,Data!$C$8:$C$303,0))</f>
        <v>139886889</v>
      </c>
      <c r="E196" s="1060">
        <f>INDEX(Data!$F$8:$F$303,MATCH('Cost of Collecton Calculation'!B196,Data!$C$8:$C$303,0))</f>
        <v>3653</v>
      </c>
      <c r="F196" s="869">
        <f t="shared" si="51"/>
        <v>139887000</v>
      </c>
      <c r="G196" s="869">
        <f t="shared" si="52"/>
        <v>3650</v>
      </c>
      <c r="H196" s="869">
        <f t="shared" si="53"/>
        <v>154421259.30000001</v>
      </c>
      <c r="I196" s="869">
        <f t="shared" si="54"/>
        <v>4029.2350000000006</v>
      </c>
      <c r="J196" s="866">
        <f t="shared" si="55"/>
        <v>20160000</v>
      </c>
      <c r="K196" s="866">
        <f t="shared" si="56"/>
        <v>63840000</v>
      </c>
      <c r="L196" s="869">
        <f t="shared" ref="L196:L245" si="60">(H196*J196)/H$301</f>
        <v>42520.02620851418</v>
      </c>
      <c r="M196" s="869">
        <f t="shared" ref="M196:M245" si="61">(I196*K196)/I$301</f>
        <v>122773.87170108869</v>
      </c>
      <c r="N196" s="872">
        <f t="shared" si="57"/>
        <v>165294</v>
      </c>
      <c r="P196" s="884">
        <v>168061</v>
      </c>
      <c r="Q196" s="876">
        <f t="shared" si="58"/>
        <v>2767</v>
      </c>
      <c r="R196" s="877">
        <f t="shared" si="59"/>
        <v>1.6464260000833029E-2</v>
      </c>
    </row>
    <row r="197" spans="1:18" x14ac:dyDescent="0.2">
      <c r="A197" s="856" t="s">
        <v>284</v>
      </c>
      <c r="B197" s="857" t="s">
        <v>285</v>
      </c>
      <c r="C197" s="858">
        <v>1</v>
      </c>
      <c r="D197" s="1060">
        <f>INDEX(Data!$E$8:$E$303,MATCH('Cost of Collecton Calculation'!B197,Data!$C$8:$C$303,0))</f>
        <v>49937909</v>
      </c>
      <c r="E197" s="1060">
        <f>INDEX(Data!$F$8:$F$303,MATCH('Cost of Collecton Calculation'!B197,Data!$C$8:$C$303,0))</f>
        <v>2735</v>
      </c>
      <c r="F197" s="869">
        <f t="shared" si="51"/>
        <v>49938000</v>
      </c>
      <c r="G197" s="869">
        <f t="shared" si="52"/>
        <v>2740</v>
      </c>
      <c r="H197" s="869">
        <f t="shared" si="53"/>
        <v>49938000</v>
      </c>
      <c r="I197" s="869">
        <f t="shared" si="54"/>
        <v>2740</v>
      </c>
      <c r="J197" s="866">
        <f t="shared" si="55"/>
        <v>20160000</v>
      </c>
      <c r="K197" s="866">
        <f t="shared" si="56"/>
        <v>63840000</v>
      </c>
      <c r="L197" s="869">
        <f t="shared" si="60"/>
        <v>13750.471136073564</v>
      </c>
      <c r="M197" s="869">
        <f t="shared" si="61"/>
        <v>83489.895342660078</v>
      </c>
      <c r="N197" s="872">
        <f t="shared" si="57"/>
        <v>97240</v>
      </c>
      <c r="P197" s="884">
        <v>93886</v>
      </c>
      <c r="Q197" s="876">
        <f t="shared" si="58"/>
        <v>-3354</v>
      </c>
      <c r="R197" s="877">
        <f t="shared" si="59"/>
        <v>-3.5724176128496259E-2</v>
      </c>
    </row>
    <row r="198" spans="1:18" x14ac:dyDescent="0.2">
      <c r="A198" s="856" t="s">
        <v>286</v>
      </c>
      <c r="B198" s="857" t="s">
        <v>287</v>
      </c>
      <c r="C198" s="858">
        <v>1.1113</v>
      </c>
      <c r="D198" s="1060">
        <f>INDEX(Data!$E$8:$E$303,MATCH('Cost of Collecton Calculation'!B198,Data!$C$8:$C$303,0))</f>
        <v>228762937</v>
      </c>
      <c r="E198" s="1060">
        <f>INDEX(Data!$F$8:$F$303,MATCH('Cost of Collecton Calculation'!B198,Data!$C$8:$C$303,0))</f>
        <v>5681</v>
      </c>
      <c r="F198" s="869">
        <f t="shared" si="51"/>
        <v>228763000</v>
      </c>
      <c r="G198" s="869">
        <f t="shared" si="52"/>
        <v>5680</v>
      </c>
      <c r="H198" s="869">
        <f t="shared" si="53"/>
        <v>254224321.89999998</v>
      </c>
      <c r="I198" s="869">
        <f t="shared" si="54"/>
        <v>6312.1839999999993</v>
      </c>
      <c r="J198" s="866">
        <f t="shared" si="55"/>
        <v>20160000</v>
      </c>
      <c r="K198" s="866">
        <f t="shared" si="56"/>
        <v>63840000</v>
      </c>
      <c r="L198" s="869">
        <f t="shared" si="60"/>
        <v>70000.885105006688</v>
      </c>
      <c r="M198" s="869">
        <f t="shared" si="61"/>
        <v>192337.07355606326</v>
      </c>
      <c r="N198" s="872">
        <f t="shared" si="57"/>
        <v>262338</v>
      </c>
      <c r="P198" s="884">
        <v>269060</v>
      </c>
      <c r="Q198" s="876">
        <f t="shared" si="58"/>
        <v>6722</v>
      </c>
      <c r="R198" s="877">
        <f t="shared" si="59"/>
        <v>2.4983275105924328E-2</v>
      </c>
    </row>
    <row r="199" spans="1:18" x14ac:dyDescent="0.2">
      <c r="A199" s="856" t="s">
        <v>288</v>
      </c>
      <c r="B199" s="857" t="s">
        <v>289</v>
      </c>
      <c r="C199" s="858">
        <v>1.0168999999999999</v>
      </c>
      <c r="D199" s="1060">
        <f>INDEX(Data!$E$8:$E$303,MATCH('Cost of Collecton Calculation'!B199,Data!$C$8:$C$303,0))</f>
        <v>198536953</v>
      </c>
      <c r="E199" s="1060">
        <f>INDEX(Data!$F$8:$F$303,MATCH('Cost of Collecton Calculation'!B199,Data!$C$8:$C$303,0))</f>
        <v>9029</v>
      </c>
      <c r="F199" s="869">
        <f t="shared" si="51"/>
        <v>198537000</v>
      </c>
      <c r="G199" s="869">
        <f t="shared" si="52"/>
        <v>9030</v>
      </c>
      <c r="H199" s="869">
        <f t="shared" si="53"/>
        <v>201892275.29999998</v>
      </c>
      <c r="I199" s="869">
        <f t="shared" si="54"/>
        <v>9182.607</v>
      </c>
      <c r="J199" s="866">
        <f t="shared" si="55"/>
        <v>20160000</v>
      </c>
      <c r="K199" s="866">
        <f t="shared" si="56"/>
        <v>63840000</v>
      </c>
      <c r="L199" s="869">
        <f t="shared" si="60"/>
        <v>55591.211184045562</v>
      </c>
      <c r="M199" s="869">
        <f t="shared" si="61"/>
        <v>279801.05744626926</v>
      </c>
      <c r="N199" s="872">
        <f t="shared" si="57"/>
        <v>335392</v>
      </c>
      <c r="P199" s="884">
        <v>323969</v>
      </c>
      <c r="Q199" s="876">
        <f t="shared" si="58"/>
        <v>-11423</v>
      </c>
      <c r="R199" s="877">
        <f t="shared" si="59"/>
        <v>-3.5259546438085126E-2</v>
      </c>
    </row>
    <row r="200" spans="1:18" x14ac:dyDescent="0.2">
      <c r="A200" s="856" t="s">
        <v>290</v>
      </c>
      <c r="B200" s="857" t="s">
        <v>291</v>
      </c>
      <c r="C200" s="858">
        <v>1.0129999999999999</v>
      </c>
      <c r="D200" s="1060">
        <f>INDEX(Data!$E$8:$E$303,MATCH('Cost of Collecton Calculation'!B200,Data!$C$8:$C$303,0))</f>
        <v>56285731</v>
      </c>
      <c r="E200" s="1060">
        <f>INDEX(Data!$F$8:$F$303,MATCH('Cost of Collecton Calculation'!B200,Data!$C$8:$C$303,0))</f>
        <v>2847</v>
      </c>
      <c r="F200" s="869">
        <f t="shared" si="51"/>
        <v>56286000</v>
      </c>
      <c r="G200" s="869">
        <f t="shared" si="52"/>
        <v>2850</v>
      </c>
      <c r="H200" s="869">
        <f t="shared" si="53"/>
        <v>57017717.999999993</v>
      </c>
      <c r="I200" s="869">
        <f t="shared" si="54"/>
        <v>2887.0499999999997</v>
      </c>
      <c r="J200" s="866">
        <f t="shared" si="55"/>
        <v>20160000</v>
      </c>
      <c r="K200" s="866">
        <f t="shared" si="56"/>
        <v>63840000</v>
      </c>
      <c r="L200" s="869">
        <f t="shared" si="60"/>
        <v>15699.877560250348</v>
      </c>
      <c r="M200" s="869">
        <f t="shared" si="61"/>
        <v>87970.621295265228</v>
      </c>
      <c r="N200" s="872">
        <f t="shared" si="57"/>
        <v>103670</v>
      </c>
      <c r="P200" s="884">
        <v>99765</v>
      </c>
      <c r="Q200" s="876">
        <f t="shared" si="58"/>
        <v>-3905</v>
      </c>
      <c r="R200" s="877">
        <f t="shared" si="59"/>
        <v>-3.9141983661604769E-2</v>
      </c>
    </row>
    <row r="201" spans="1:18" x14ac:dyDescent="0.2">
      <c r="A201" s="856" t="s">
        <v>292</v>
      </c>
      <c r="B201" s="857" t="s">
        <v>293</v>
      </c>
      <c r="C201" s="858">
        <v>1</v>
      </c>
      <c r="D201" s="1060">
        <f>INDEX(Data!$E$8:$E$303,MATCH('Cost of Collecton Calculation'!B201,Data!$C$8:$C$303,0))</f>
        <v>41631979</v>
      </c>
      <c r="E201" s="1060">
        <f>INDEX(Data!$F$8:$F$303,MATCH('Cost of Collecton Calculation'!B201,Data!$C$8:$C$303,0))</f>
        <v>2812</v>
      </c>
      <c r="F201" s="869">
        <f t="shared" si="51"/>
        <v>41632000</v>
      </c>
      <c r="G201" s="869">
        <f t="shared" si="52"/>
        <v>2810</v>
      </c>
      <c r="H201" s="869">
        <f t="shared" si="53"/>
        <v>41632000</v>
      </c>
      <c r="I201" s="869">
        <f t="shared" si="54"/>
        <v>2810</v>
      </c>
      <c r="J201" s="866">
        <f t="shared" si="55"/>
        <v>20160000</v>
      </c>
      <c r="K201" s="866">
        <f t="shared" si="56"/>
        <v>63840000</v>
      </c>
      <c r="L201" s="869">
        <f t="shared" si="60"/>
        <v>11463.406911310316</v>
      </c>
      <c r="M201" s="869">
        <f t="shared" si="61"/>
        <v>85622.848873311974</v>
      </c>
      <c r="N201" s="872">
        <f t="shared" si="57"/>
        <v>97086</v>
      </c>
      <c r="P201" s="884">
        <v>96402</v>
      </c>
      <c r="Q201" s="876">
        <f t="shared" si="58"/>
        <v>-684</v>
      </c>
      <c r="R201" s="877">
        <f t="shared" si="59"/>
        <v>-7.0952884794921265E-3</v>
      </c>
    </row>
    <row r="202" spans="1:18" x14ac:dyDescent="0.2">
      <c r="A202" s="856" t="s">
        <v>294</v>
      </c>
      <c r="B202" s="857" t="s">
        <v>295</v>
      </c>
      <c r="C202" s="858">
        <v>1.0089999999999999</v>
      </c>
      <c r="D202" s="1060">
        <f>INDEX(Data!$E$8:$E$303,MATCH('Cost of Collecton Calculation'!B202,Data!$C$8:$C$303,0))</f>
        <v>60990910</v>
      </c>
      <c r="E202" s="1060">
        <f>INDEX(Data!$F$8:$F$303,MATCH('Cost of Collecton Calculation'!B202,Data!$C$8:$C$303,0))</f>
        <v>4647</v>
      </c>
      <c r="F202" s="869">
        <f t="shared" si="51"/>
        <v>60991000</v>
      </c>
      <c r="G202" s="869">
        <f t="shared" si="52"/>
        <v>4650</v>
      </c>
      <c r="H202" s="869">
        <f t="shared" si="53"/>
        <v>61539918.999999993</v>
      </c>
      <c r="I202" s="869">
        <f t="shared" si="54"/>
        <v>4691.8499999999995</v>
      </c>
      <c r="J202" s="866">
        <f t="shared" si="55"/>
        <v>20160000</v>
      </c>
      <c r="K202" s="866">
        <f t="shared" si="56"/>
        <v>63840000</v>
      </c>
      <c r="L202" s="869">
        <f t="shared" si="60"/>
        <v>16945.069484677097</v>
      </c>
      <c r="M202" s="869">
        <f t="shared" si="61"/>
        <v>142964.25746841592</v>
      </c>
      <c r="N202" s="872">
        <f t="shared" si="57"/>
        <v>159909</v>
      </c>
      <c r="P202" s="884">
        <v>145901</v>
      </c>
      <c r="Q202" s="876">
        <f t="shared" si="58"/>
        <v>-14008</v>
      </c>
      <c r="R202" s="877">
        <f t="shared" si="59"/>
        <v>-9.601030835977821E-2</v>
      </c>
    </row>
    <row r="203" spans="1:18" x14ac:dyDescent="0.2">
      <c r="A203" s="856" t="s">
        <v>296</v>
      </c>
      <c r="B203" s="857" t="s">
        <v>297</v>
      </c>
      <c r="C203" s="858">
        <v>1</v>
      </c>
      <c r="D203" s="1060">
        <f>INDEX(Data!$E$8:$E$303,MATCH('Cost of Collecton Calculation'!B203,Data!$C$8:$C$303,0))</f>
        <v>206661241</v>
      </c>
      <c r="E203" s="1060">
        <f>INDEX(Data!$F$8:$F$303,MATCH('Cost of Collecton Calculation'!B203,Data!$C$8:$C$303,0))</f>
        <v>7773</v>
      </c>
      <c r="F203" s="869">
        <f t="shared" si="51"/>
        <v>206661000</v>
      </c>
      <c r="G203" s="869">
        <f t="shared" si="52"/>
        <v>7770</v>
      </c>
      <c r="H203" s="869">
        <f t="shared" si="53"/>
        <v>206661000</v>
      </c>
      <c r="I203" s="869">
        <f t="shared" si="54"/>
        <v>7770</v>
      </c>
      <c r="J203" s="866">
        <f t="shared" si="55"/>
        <v>20160000</v>
      </c>
      <c r="K203" s="866">
        <f t="shared" si="56"/>
        <v>63840000</v>
      </c>
      <c r="L203" s="869">
        <f t="shared" si="60"/>
        <v>56904.28362073168</v>
      </c>
      <c r="M203" s="869">
        <f t="shared" si="61"/>
        <v>236757.84190236087</v>
      </c>
      <c r="N203" s="872">
        <f t="shared" si="57"/>
        <v>293662</v>
      </c>
      <c r="P203" s="884">
        <v>292184</v>
      </c>
      <c r="Q203" s="876">
        <f t="shared" si="58"/>
        <v>-1478</v>
      </c>
      <c r="R203" s="877">
        <f t="shared" si="59"/>
        <v>-5.0584563151986417E-3</v>
      </c>
    </row>
    <row r="204" spans="1:18" x14ac:dyDescent="0.2">
      <c r="A204" s="856" t="s">
        <v>298</v>
      </c>
      <c r="B204" s="857" t="s">
        <v>299</v>
      </c>
      <c r="C204" s="858">
        <v>1.0213000000000001</v>
      </c>
      <c r="D204" s="1060">
        <f>INDEX(Data!$E$8:$E$303,MATCH('Cost of Collecton Calculation'!B204,Data!$C$8:$C$303,0))</f>
        <v>146325865</v>
      </c>
      <c r="E204" s="1060">
        <f>INDEX(Data!$F$8:$F$303,MATCH('Cost of Collecton Calculation'!B204,Data!$C$8:$C$303,0))</f>
        <v>3036</v>
      </c>
      <c r="F204" s="869">
        <f t="shared" si="51"/>
        <v>146326000</v>
      </c>
      <c r="G204" s="869">
        <f t="shared" si="52"/>
        <v>3040</v>
      </c>
      <c r="H204" s="869">
        <f t="shared" si="53"/>
        <v>149442743.80000001</v>
      </c>
      <c r="I204" s="869">
        <f t="shared" si="54"/>
        <v>3104.7520000000004</v>
      </c>
      <c r="J204" s="866">
        <f t="shared" si="55"/>
        <v>20160000</v>
      </c>
      <c r="K204" s="866">
        <f t="shared" si="56"/>
        <v>63840000</v>
      </c>
      <c r="L204" s="869">
        <f t="shared" si="60"/>
        <v>41149.187695092645</v>
      </c>
      <c r="M204" s="869">
        <f t="shared" si="61"/>
        <v>94604.167717122109</v>
      </c>
      <c r="N204" s="872">
        <f t="shared" si="57"/>
        <v>135753</v>
      </c>
      <c r="P204" s="884">
        <v>132888</v>
      </c>
      <c r="Q204" s="876">
        <f t="shared" si="58"/>
        <v>-2865</v>
      </c>
      <c r="R204" s="877">
        <f t="shared" si="59"/>
        <v>-2.1559508759255913E-2</v>
      </c>
    </row>
    <row r="205" spans="1:18" x14ac:dyDescent="0.2">
      <c r="A205" s="856" t="s">
        <v>300</v>
      </c>
      <c r="B205" s="857" t="s">
        <v>301</v>
      </c>
      <c r="C205" s="858">
        <v>1.1039000000000001</v>
      </c>
      <c r="D205" s="1060">
        <f>INDEX(Data!$E$8:$E$303,MATCH('Cost of Collecton Calculation'!B205,Data!$C$8:$C$303,0))</f>
        <v>148177530</v>
      </c>
      <c r="E205" s="1060">
        <f>INDEX(Data!$F$8:$F$303,MATCH('Cost of Collecton Calculation'!B205,Data!$C$8:$C$303,0))</f>
        <v>2737</v>
      </c>
      <c r="F205" s="869">
        <f t="shared" si="51"/>
        <v>148178000</v>
      </c>
      <c r="G205" s="869">
        <f t="shared" si="52"/>
        <v>2740</v>
      </c>
      <c r="H205" s="869">
        <f t="shared" si="53"/>
        <v>163573694.20000002</v>
      </c>
      <c r="I205" s="869">
        <f t="shared" si="54"/>
        <v>3024.6860000000001</v>
      </c>
      <c r="J205" s="866">
        <f t="shared" si="55"/>
        <v>20160000</v>
      </c>
      <c r="K205" s="866">
        <f t="shared" si="56"/>
        <v>63840000</v>
      </c>
      <c r="L205" s="869">
        <f t="shared" si="60"/>
        <v>45040.157009051705</v>
      </c>
      <c r="M205" s="869">
        <f t="shared" si="61"/>
        <v>92164.495468762456</v>
      </c>
      <c r="N205" s="872">
        <f t="shared" si="57"/>
        <v>137205</v>
      </c>
      <c r="P205" s="884">
        <v>138103</v>
      </c>
      <c r="Q205" s="876">
        <f t="shared" si="58"/>
        <v>898</v>
      </c>
      <c r="R205" s="877">
        <f t="shared" si="59"/>
        <v>6.5023931413510207E-3</v>
      </c>
    </row>
    <row r="206" spans="1:18" x14ac:dyDescent="0.2">
      <c r="A206" s="856" t="s">
        <v>302</v>
      </c>
      <c r="B206" s="857" t="s">
        <v>303</v>
      </c>
      <c r="C206" s="858">
        <v>1.0121</v>
      </c>
      <c r="D206" s="1060">
        <f>INDEX(Data!$E$8:$E$303,MATCH('Cost of Collecton Calculation'!B206,Data!$C$8:$C$303,0))</f>
        <v>81586822</v>
      </c>
      <c r="E206" s="1060">
        <f>INDEX(Data!$F$8:$F$303,MATCH('Cost of Collecton Calculation'!B206,Data!$C$8:$C$303,0))</f>
        <v>3077</v>
      </c>
      <c r="F206" s="869">
        <f t="shared" si="51"/>
        <v>81587000</v>
      </c>
      <c r="G206" s="869">
        <f t="shared" si="52"/>
        <v>3080</v>
      </c>
      <c r="H206" s="869">
        <f t="shared" si="53"/>
        <v>82574202.700000003</v>
      </c>
      <c r="I206" s="869">
        <f t="shared" si="54"/>
        <v>3117.268</v>
      </c>
      <c r="J206" s="866">
        <f t="shared" si="55"/>
        <v>20160000</v>
      </c>
      <c r="K206" s="866">
        <f t="shared" si="56"/>
        <v>63840000</v>
      </c>
      <c r="L206" s="869">
        <f t="shared" si="60"/>
        <v>22736.87754436777</v>
      </c>
      <c r="M206" s="869">
        <f t="shared" si="61"/>
        <v>94985.539808402653</v>
      </c>
      <c r="N206" s="872">
        <f t="shared" si="57"/>
        <v>117722</v>
      </c>
      <c r="P206" s="884">
        <v>113394</v>
      </c>
      <c r="Q206" s="876">
        <f t="shared" si="58"/>
        <v>-4328</v>
      </c>
      <c r="R206" s="877">
        <f t="shared" si="59"/>
        <v>-3.8167804292996099E-2</v>
      </c>
    </row>
    <row r="207" spans="1:18" x14ac:dyDescent="0.2">
      <c r="A207" s="856" t="s">
        <v>304</v>
      </c>
      <c r="B207" s="857" t="s">
        <v>305</v>
      </c>
      <c r="C207" s="858">
        <v>1.036</v>
      </c>
      <c r="D207" s="1060">
        <f>INDEX(Data!$E$8:$E$303,MATCH('Cost of Collecton Calculation'!B207,Data!$C$8:$C$303,0))</f>
        <v>145726335</v>
      </c>
      <c r="E207" s="1060">
        <f>INDEX(Data!$F$8:$F$303,MATCH('Cost of Collecton Calculation'!B207,Data!$C$8:$C$303,0))</f>
        <v>2651</v>
      </c>
      <c r="F207" s="869">
        <f t="shared" si="51"/>
        <v>145726000</v>
      </c>
      <c r="G207" s="869">
        <f t="shared" si="52"/>
        <v>2650</v>
      </c>
      <c r="H207" s="869">
        <f t="shared" si="53"/>
        <v>150972136</v>
      </c>
      <c r="I207" s="869">
        <f t="shared" si="54"/>
        <v>2745.4</v>
      </c>
      <c r="J207" s="866">
        <f t="shared" si="55"/>
        <v>20160000</v>
      </c>
      <c r="K207" s="866">
        <f t="shared" si="56"/>
        <v>63840000</v>
      </c>
      <c r="L207" s="869">
        <f t="shared" si="60"/>
        <v>41570.30714925252</v>
      </c>
      <c r="M207" s="869">
        <f t="shared" si="61"/>
        <v>83654.437472167512</v>
      </c>
      <c r="N207" s="872">
        <f t="shared" si="57"/>
        <v>125225</v>
      </c>
      <c r="P207" s="884">
        <v>117601</v>
      </c>
      <c r="Q207" s="876">
        <f t="shared" si="58"/>
        <v>-7624</v>
      </c>
      <c r="R207" s="877">
        <f t="shared" si="59"/>
        <v>-6.4829380702545042E-2</v>
      </c>
    </row>
    <row r="208" spans="1:18" x14ac:dyDescent="0.2">
      <c r="A208" s="856" t="s">
        <v>620</v>
      </c>
      <c r="B208" s="857" t="s">
        <v>307</v>
      </c>
      <c r="C208" s="858">
        <v>1</v>
      </c>
      <c r="D208" s="1060">
        <f>INDEX(Data!$E$8:$E$303,MATCH('Cost of Collecton Calculation'!B208,Data!$C$8:$C$303,0))</f>
        <v>36501393</v>
      </c>
      <c r="E208" s="1060">
        <f>INDEX(Data!$F$8:$F$303,MATCH('Cost of Collecton Calculation'!B208,Data!$C$8:$C$303,0))</f>
        <v>1744</v>
      </c>
      <c r="F208" s="869">
        <f t="shared" si="51"/>
        <v>36501000</v>
      </c>
      <c r="G208" s="869">
        <f t="shared" si="52"/>
        <v>1740</v>
      </c>
      <c r="H208" s="869">
        <f t="shared" si="53"/>
        <v>36501000</v>
      </c>
      <c r="I208" s="869">
        <f t="shared" si="54"/>
        <v>1740</v>
      </c>
      <c r="J208" s="866">
        <f t="shared" si="55"/>
        <v>20160000</v>
      </c>
      <c r="K208" s="866">
        <f t="shared" si="56"/>
        <v>63840000</v>
      </c>
      <c r="L208" s="869">
        <f t="shared" si="60"/>
        <v>10050.581660014841</v>
      </c>
      <c r="M208" s="869">
        <f t="shared" si="61"/>
        <v>53019.130619061507</v>
      </c>
      <c r="N208" s="872">
        <f t="shared" si="57"/>
        <v>63070</v>
      </c>
      <c r="P208" s="884">
        <v>62433</v>
      </c>
      <c r="Q208" s="876">
        <f t="shared" si="58"/>
        <v>-637</v>
      </c>
      <c r="R208" s="877">
        <f t="shared" si="59"/>
        <v>-1.0202937549052585E-2</v>
      </c>
    </row>
    <row r="209" spans="1:18" x14ac:dyDescent="0.2">
      <c r="A209" s="856" t="s">
        <v>308</v>
      </c>
      <c r="B209" s="857" t="s">
        <v>309</v>
      </c>
      <c r="C209" s="858">
        <v>1.0168999999999999</v>
      </c>
      <c r="D209" s="1060">
        <f>INDEX(Data!$E$8:$E$303,MATCH('Cost of Collecton Calculation'!B209,Data!$C$8:$C$303,0))</f>
        <v>287192114</v>
      </c>
      <c r="E209" s="1060">
        <f>INDEX(Data!$F$8:$F$303,MATCH('Cost of Collecton Calculation'!B209,Data!$C$8:$C$303,0))</f>
        <v>11907</v>
      </c>
      <c r="F209" s="869">
        <f t="shared" si="51"/>
        <v>287192000</v>
      </c>
      <c r="G209" s="869">
        <f t="shared" si="52"/>
        <v>11910</v>
      </c>
      <c r="H209" s="869">
        <f t="shared" si="53"/>
        <v>292045544.79999995</v>
      </c>
      <c r="I209" s="869">
        <f t="shared" si="54"/>
        <v>12111.278999999999</v>
      </c>
      <c r="J209" s="866">
        <f t="shared" si="55"/>
        <v>20160000</v>
      </c>
      <c r="K209" s="866">
        <f t="shared" si="56"/>
        <v>63840000</v>
      </c>
      <c r="L209" s="869">
        <f t="shared" si="60"/>
        <v>80414.991273004081</v>
      </c>
      <c r="M209" s="869">
        <f t="shared" si="61"/>
        <v>369039.93291086005</v>
      </c>
      <c r="N209" s="872">
        <f t="shared" si="57"/>
        <v>449455</v>
      </c>
      <c r="P209" s="884">
        <v>439623</v>
      </c>
      <c r="Q209" s="876">
        <f t="shared" si="58"/>
        <v>-9832</v>
      </c>
      <c r="R209" s="877">
        <f t="shared" si="59"/>
        <v>-2.2364616955891752E-2</v>
      </c>
    </row>
    <row r="210" spans="1:18" x14ac:dyDescent="0.2">
      <c r="A210" s="856" t="s">
        <v>310</v>
      </c>
      <c r="B210" s="857" t="s">
        <v>311</v>
      </c>
      <c r="C210" s="858">
        <v>1.0134000000000001</v>
      </c>
      <c r="D210" s="1060">
        <f>INDEX(Data!$E$8:$E$303,MATCH('Cost of Collecton Calculation'!B210,Data!$C$8:$C$303,0))</f>
        <v>294612371</v>
      </c>
      <c r="E210" s="1060">
        <f>INDEX(Data!$F$8:$F$303,MATCH('Cost of Collecton Calculation'!B210,Data!$C$8:$C$303,0))</f>
        <v>10938</v>
      </c>
      <c r="F210" s="869">
        <f t="shared" si="51"/>
        <v>294612000</v>
      </c>
      <c r="G210" s="869">
        <f t="shared" si="52"/>
        <v>10940</v>
      </c>
      <c r="H210" s="869">
        <f t="shared" si="53"/>
        <v>298559800.80000001</v>
      </c>
      <c r="I210" s="869">
        <f t="shared" si="54"/>
        <v>11086.596000000001</v>
      </c>
      <c r="J210" s="866">
        <f t="shared" si="55"/>
        <v>20160000</v>
      </c>
      <c r="K210" s="866">
        <f t="shared" si="56"/>
        <v>63840000</v>
      </c>
      <c r="L210" s="869">
        <f t="shared" si="60"/>
        <v>82208.697250436002</v>
      </c>
      <c r="M210" s="869">
        <f t="shared" si="61"/>
        <v>337817.05830158904</v>
      </c>
      <c r="N210" s="872">
        <f t="shared" si="57"/>
        <v>420026</v>
      </c>
      <c r="P210" s="884">
        <v>415076</v>
      </c>
      <c r="Q210" s="876">
        <f t="shared" si="58"/>
        <v>-4950</v>
      </c>
      <c r="R210" s="877">
        <f t="shared" si="59"/>
        <v>-1.1925526891460841E-2</v>
      </c>
    </row>
    <row r="211" spans="1:18" x14ac:dyDescent="0.2">
      <c r="A211" s="856" t="s">
        <v>312</v>
      </c>
      <c r="B211" s="857" t="s">
        <v>313</v>
      </c>
      <c r="C211" s="858">
        <v>1.0075000000000001</v>
      </c>
      <c r="D211" s="1060">
        <f>INDEX(Data!$E$8:$E$303,MATCH('Cost of Collecton Calculation'!B211,Data!$C$8:$C$303,0))</f>
        <v>186117196</v>
      </c>
      <c r="E211" s="1060">
        <f>INDEX(Data!$F$8:$F$303,MATCH('Cost of Collecton Calculation'!B211,Data!$C$8:$C$303,0))</f>
        <v>7947</v>
      </c>
      <c r="F211" s="869">
        <f t="shared" si="51"/>
        <v>186117000</v>
      </c>
      <c r="G211" s="869">
        <f t="shared" si="52"/>
        <v>7950</v>
      </c>
      <c r="H211" s="869">
        <f t="shared" si="53"/>
        <v>187512877.5</v>
      </c>
      <c r="I211" s="869">
        <f t="shared" si="54"/>
        <v>8009.6250000000009</v>
      </c>
      <c r="J211" s="866">
        <f t="shared" si="55"/>
        <v>20160000</v>
      </c>
      <c r="K211" s="866">
        <f t="shared" si="56"/>
        <v>63840000</v>
      </c>
      <c r="L211" s="869">
        <f t="shared" si="60"/>
        <v>51631.831665382029</v>
      </c>
      <c r="M211" s="869">
        <f t="shared" si="61"/>
        <v>244059.3988992532</v>
      </c>
      <c r="N211" s="872">
        <f t="shared" si="57"/>
        <v>295691</v>
      </c>
      <c r="P211" s="884">
        <v>299293</v>
      </c>
      <c r="Q211" s="876">
        <f t="shared" si="58"/>
        <v>3602</v>
      </c>
      <c r="R211" s="877">
        <f t="shared" si="59"/>
        <v>1.2035029218859111E-2</v>
      </c>
    </row>
    <row r="212" spans="1:18" x14ac:dyDescent="0.2">
      <c r="A212" s="856" t="s">
        <v>314</v>
      </c>
      <c r="B212" s="857" t="s">
        <v>315</v>
      </c>
      <c r="C212" s="858">
        <v>1.0618000000000001</v>
      </c>
      <c r="D212" s="1060">
        <f>INDEX(Data!$E$8:$E$303,MATCH('Cost of Collecton Calculation'!B212,Data!$C$8:$C$303,0))</f>
        <v>108536567</v>
      </c>
      <c r="E212" s="1060">
        <f>INDEX(Data!$F$8:$F$303,MATCH('Cost of Collecton Calculation'!B212,Data!$C$8:$C$303,0))</f>
        <v>4234</v>
      </c>
      <c r="F212" s="869">
        <f t="shared" si="51"/>
        <v>108537000</v>
      </c>
      <c r="G212" s="869">
        <f t="shared" si="52"/>
        <v>4230</v>
      </c>
      <c r="H212" s="869">
        <f t="shared" si="53"/>
        <v>115244586.60000001</v>
      </c>
      <c r="I212" s="869">
        <f t="shared" si="54"/>
        <v>4491.4140000000007</v>
      </c>
      <c r="J212" s="866">
        <f t="shared" si="55"/>
        <v>20160000</v>
      </c>
      <c r="K212" s="866">
        <f t="shared" si="56"/>
        <v>63840000</v>
      </c>
      <c r="L212" s="869">
        <f t="shared" si="60"/>
        <v>31732.695775402102</v>
      </c>
      <c r="M212" s="869">
        <f t="shared" si="61"/>
        <v>136856.81927027676</v>
      </c>
      <c r="N212" s="872">
        <f t="shared" si="57"/>
        <v>168590</v>
      </c>
      <c r="P212" s="884">
        <v>165240</v>
      </c>
      <c r="Q212" s="876">
        <f t="shared" si="58"/>
        <v>-3350</v>
      </c>
      <c r="R212" s="877">
        <f t="shared" si="59"/>
        <v>-2.0273541515371581E-2</v>
      </c>
    </row>
    <row r="213" spans="1:18" x14ac:dyDescent="0.2">
      <c r="A213" s="856" t="s">
        <v>316</v>
      </c>
      <c r="B213" s="857" t="s">
        <v>317</v>
      </c>
      <c r="C213" s="858">
        <v>1</v>
      </c>
      <c r="D213" s="1060">
        <f>INDEX(Data!$E$8:$E$303,MATCH('Cost of Collecton Calculation'!B213,Data!$C$8:$C$303,0))</f>
        <v>536983952</v>
      </c>
      <c r="E213" s="1060">
        <f>INDEX(Data!$F$8:$F$303,MATCH('Cost of Collecton Calculation'!B213,Data!$C$8:$C$303,0))</f>
        <v>18996</v>
      </c>
      <c r="F213" s="869">
        <f t="shared" si="51"/>
        <v>536984000</v>
      </c>
      <c r="G213" s="869">
        <f t="shared" si="52"/>
        <v>19000</v>
      </c>
      <c r="H213" s="869">
        <f t="shared" si="53"/>
        <v>536984000</v>
      </c>
      <c r="I213" s="869">
        <f t="shared" si="54"/>
        <v>19000</v>
      </c>
      <c r="J213" s="866">
        <f t="shared" si="55"/>
        <v>20160000</v>
      </c>
      <c r="K213" s="866">
        <f t="shared" si="56"/>
        <v>63840000</v>
      </c>
      <c r="L213" s="869">
        <f t="shared" si="60"/>
        <v>147859.00501688747</v>
      </c>
      <c r="M213" s="869">
        <f t="shared" si="61"/>
        <v>578944.52974837273</v>
      </c>
      <c r="N213" s="872">
        <f t="shared" si="57"/>
        <v>726804</v>
      </c>
      <c r="P213" s="884">
        <v>741026</v>
      </c>
      <c r="Q213" s="876">
        <f t="shared" si="58"/>
        <v>14222</v>
      </c>
      <c r="R213" s="877">
        <f t="shared" si="59"/>
        <v>1.9192309041788008E-2</v>
      </c>
    </row>
    <row r="214" spans="1:18" x14ac:dyDescent="0.2">
      <c r="A214" s="856" t="s">
        <v>320</v>
      </c>
      <c r="B214" s="857" t="s">
        <v>321</v>
      </c>
      <c r="C214" s="858">
        <v>1</v>
      </c>
      <c r="D214" s="1060">
        <f>INDEX(Data!$E$8:$E$303,MATCH('Cost of Collecton Calculation'!B214,Data!$C$8:$C$303,0))</f>
        <v>250268583</v>
      </c>
      <c r="E214" s="1060">
        <f>INDEX(Data!$F$8:$F$303,MATCH('Cost of Collecton Calculation'!B214,Data!$C$8:$C$303,0))</f>
        <v>12829</v>
      </c>
      <c r="F214" s="869">
        <f t="shared" si="51"/>
        <v>250269000</v>
      </c>
      <c r="G214" s="869">
        <f t="shared" si="52"/>
        <v>12830</v>
      </c>
      <c r="H214" s="869">
        <f t="shared" si="53"/>
        <v>250269000</v>
      </c>
      <c r="I214" s="869">
        <f t="shared" si="54"/>
        <v>12830</v>
      </c>
      <c r="J214" s="866">
        <f t="shared" si="55"/>
        <v>20160000</v>
      </c>
      <c r="K214" s="866">
        <f t="shared" si="56"/>
        <v>63840000</v>
      </c>
      <c r="L214" s="869">
        <f t="shared" si="60"/>
        <v>68911.7838270254</v>
      </c>
      <c r="M214" s="869">
        <f t="shared" si="61"/>
        <v>390939.91140376963</v>
      </c>
      <c r="N214" s="872">
        <f t="shared" si="57"/>
        <v>459852</v>
      </c>
      <c r="P214" s="884">
        <v>453885</v>
      </c>
      <c r="Q214" s="876">
        <f t="shared" si="58"/>
        <v>-5967</v>
      </c>
      <c r="R214" s="877">
        <f t="shared" si="59"/>
        <v>-1.314650186721306E-2</v>
      </c>
    </row>
    <row r="215" spans="1:18" x14ac:dyDescent="0.2">
      <c r="A215" s="856" t="s">
        <v>529</v>
      </c>
      <c r="B215" s="857" t="s">
        <v>323</v>
      </c>
      <c r="C215" s="858">
        <v>1.1039000000000001</v>
      </c>
      <c r="D215" s="1060">
        <f>INDEX(Data!$E$8:$E$303,MATCH('Cost of Collecton Calculation'!B215,Data!$C$8:$C$303,0))</f>
        <v>263536887</v>
      </c>
      <c r="E215" s="1060">
        <f>INDEX(Data!$F$8:$F$303,MATCH('Cost of Collecton Calculation'!B215,Data!$C$8:$C$303,0))</f>
        <v>3688</v>
      </c>
      <c r="F215" s="869">
        <f t="shared" si="51"/>
        <v>263537000</v>
      </c>
      <c r="G215" s="869">
        <f t="shared" si="52"/>
        <v>3690</v>
      </c>
      <c r="H215" s="869">
        <f t="shared" si="53"/>
        <v>290918494.30000001</v>
      </c>
      <c r="I215" s="869">
        <f t="shared" si="54"/>
        <v>4073.3910000000005</v>
      </c>
      <c r="J215" s="866">
        <f t="shared" si="55"/>
        <v>20160000</v>
      </c>
      <c r="K215" s="866">
        <f t="shared" si="56"/>
        <v>63840000</v>
      </c>
      <c r="L215" s="869">
        <f t="shared" si="60"/>
        <v>80104.656951061945</v>
      </c>
      <c r="M215" s="869">
        <f t="shared" si="61"/>
        <v>124119.3387882239</v>
      </c>
      <c r="N215" s="872">
        <f t="shared" si="57"/>
        <v>204224</v>
      </c>
      <c r="P215" s="884">
        <v>208206</v>
      </c>
      <c r="Q215" s="876">
        <f t="shared" si="58"/>
        <v>3982</v>
      </c>
      <c r="R215" s="877">
        <f t="shared" si="59"/>
        <v>1.9125289376867142E-2</v>
      </c>
    </row>
    <row r="216" spans="1:18" x14ac:dyDescent="0.2">
      <c r="A216" s="856" t="s">
        <v>324</v>
      </c>
      <c r="B216" s="857" t="s">
        <v>325</v>
      </c>
      <c r="C216" s="858">
        <v>1.0134000000000001</v>
      </c>
      <c r="D216" s="1060">
        <f>INDEX(Data!$E$8:$E$303,MATCH('Cost of Collecton Calculation'!B216,Data!$C$8:$C$303,0))</f>
        <v>277030736</v>
      </c>
      <c r="E216" s="1060">
        <f>INDEX(Data!$F$8:$F$303,MATCH('Cost of Collecton Calculation'!B216,Data!$C$8:$C$303,0))</f>
        <v>5375</v>
      </c>
      <c r="F216" s="869">
        <f t="shared" si="51"/>
        <v>277031000</v>
      </c>
      <c r="G216" s="869">
        <f t="shared" si="52"/>
        <v>5380</v>
      </c>
      <c r="H216" s="869">
        <f t="shared" si="53"/>
        <v>280743215.40000004</v>
      </c>
      <c r="I216" s="869">
        <f t="shared" si="54"/>
        <v>5452.0920000000006</v>
      </c>
      <c r="J216" s="866">
        <f t="shared" si="55"/>
        <v>20160000</v>
      </c>
      <c r="K216" s="866">
        <f t="shared" si="56"/>
        <v>63840000</v>
      </c>
      <c r="L216" s="869">
        <f t="shared" si="60"/>
        <v>77302.885177744072</v>
      </c>
      <c r="M216" s="869">
        <f t="shared" si="61"/>
        <v>166129.412583414</v>
      </c>
      <c r="N216" s="872">
        <f t="shared" si="57"/>
        <v>243432</v>
      </c>
      <c r="P216" s="884">
        <v>252257</v>
      </c>
      <c r="Q216" s="876">
        <f t="shared" si="58"/>
        <v>8825</v>
      </c>
      <c r="R216" s="877">
        <f t="shared" si="59"/>
        <v>3.4984162976646832E-2</v>
      </c>
    </row>
    <row r="217" spans="1:18" x14ac:dyDescent="0.2">
      <c r="A217" s="1041" t="s">
        <v>647</v>
      </c>
      <c r="B217" s="1042" t="s">
        <v>2431</v>
      </c>
      <c r="C217" s="1043">
        <v>1</v>
      </c>
      <c r="D217" s="1060">
        <f>INDEX(Data!$E$8:$E$303,MATCH('Cost of Collecton Calculation'!B217,Data!$C$8:$C$303,0))</f>
        <v>502746687</v>
      </c>
      <c r="E217" s="1060">
        <f>INDEX(Data!$F$8:$F$303,MATCH('Cost of Collecton Calculation'!B217,Data!$C$8:$C$303,0))</f>
        <v>22871</v>
      </c>
      <c r="F217" s="869">
        <f t="shared" ref="F217" si="62">ROUND(D217,-3)</f>
        <v>502747000</v>
      </c>
      <c r="G217" s="869">
        <f t="shared" ref="G217" si="63">ROUND(E217,-1)</f>
        <v>22870</v>
      </c>
      <c r="H217" s="869">
        <f t="shared" ref="H217" si="64">F217*C217</f>
        <v>502747000</v>
      </c>
      <c r="I217" s="869">
        <f t="shared" ref="I217" si="65">G217*C217</f>
        <v>22870</v>
      </c>
      <c r="J217" s="866">
        <f t="shared" si="55"/>
        <v>20160000</v>
      </c>
      <c r="K217" s="866">
        <f t="shared" si="56"/>
        <v>63840000</v>
      </c>
      <c r="L217" s="869">
        <f t="shared" si="60"/>
        <v>138431.81769889814</v>
      </c>
      <c r="M217" s="869">
        <f t="shared" si="61"/>
        <v>696866.38922869926</v>
      </c>
      <c r="N217" s="872">
        <f t="shared" ref="N217" si="66">ROUND(L217+M217,0)</f>
        <v>835298</v>
      </c>
      <c r="P217" s="884">
        <v>820099</v>
      </c>
      <c r="Q217" s="876">
        <f t="shared" ref="Q217" si="67">P217-N217</f>
        <v>-15199</v>
      </c>
      <c r="R217" s="877">
        <f t="shared" ref="R217" si="68">Q217/P217</f>
        <v>-1.8533128317434845E-2</v>
      </c>
    </row>
    <row r="218" spans="1:18" x14ac:dyDescent="0.2">
      <c r="A218" s="856" t="s">
        <v>326</v>
      </c>
      <c r="B218" s="857" t="s">
        <v>327</v>
      </c>
      <c r="C218" s="858">
        <v>1.0339</v>
      </c>
      <c r="D218" s="1060">
        <f>INDEX(Data!$E$8:$E$303,MATCH('Cost of Collecton Calculation'!B218,Data!$C$8:$C$303,0))</f>
        <v>283017757</v>
      </c>
      <c r="E218" s="1060">
        <f>INDEX(Data!$F$8:$F$303,MATCH('Cost of Collecton Calculation'!B218,Data!$C$8:$C$303,0))</f>
        <v>5524</v>
      </c>
      <c r="F218" s="869">
        <f t="shared" si="51"/>
        <v>283018000</v>
      </c>
      <c r="G218" s="869">
        <f t="shared" si="52"/>
        <v>5520</v>
      </c>
      <c r="H218" s="869">
        <f t="shared" si="53"/>
        <v>292612310.19999999</v>
      </c>
      <c r="I218" s="869">
        <f t="shared" si="54"/>
        <v>5707.1280000000006</v>
      </c>
      <c r="J218" s="866">
        <f t="shared" si="55"/>
        <v>20160000</v>
      </c>
      <c r="K218" s="866">
        <f t="shared" si="56"/>
        <v>63840000</v>
      </c>
      <c r="L218" s="869">
        <f t="shared" si="60"/>
        <v>80571.050612057035</v>
      </c>
      <c r="M218" s="869">
        <f t="shared" si="61"/>
        <v>173900.55453546168</v>
      </c>
      <c r="N218" s="872">
        <f t="shared" si="57"/>
        <v>254472</v>
      </c>
      <c r="P218" s="884">
        <v>240299</v>
      </c>
      <c r="Q218" s="876">
        <f t="shared" si="58"/>
        <v>-14173</v>
      </c>
      <c r="R218" s="877">
        <f t="shared" si="59"/>
        <v>-5.8980686561325685E-2</v>
      </c>
    </row>
    <row r="219" spans="1:18" x14ac:dyDescent="0.2">
      <c r="A219" s="856" t="s">
        <v>328</v>
      </c>
      <c r="B219" s="857" t="s">
        <v>329</v>
      </c>
      <c r="C219" s="858">
        <v>1</v>
      </c>
      <c r="D219" s="1060">
        <f>INDEX(Data!$E$8:$E$303,MATCH('Cost of Collecton Calculation'!B219,Data!$C$8:$C$303,0))</f>
        <v>75458747</v>
      </c>
      <c r="E219" s="1060">
        <f>INDEX(Data!$F$8:$F$303,MATCH('Cost of Collecton Calculation'!B219,Data!$C$8:$C$303,0))</f>
        <v>2491</v>
      </c>
      <c r="F219" s="869">
        <f t="shared" si="51"/>
        <v>75459000</v>
      </c>
      <c r="G219" s="869">
        <f t="shared" si="52"/>
        <v>2490</v>
      </c>
      <c r="H219" s="869">
        <f t="shared" si="53"/>
        <v>75459000</v>
      </c>
      <c r="I219" s="869">
        <f t="shared" si="54"/>
        <v>2490</v>
      </c>
      <c r="J219" s="866">
        <f t="shared" si="55"/>
        <v>20160000</v>
      </c>
      <c r="K219" s="866">
        <f t="shared" si="56"/>
        <v>63840000</v>
      </c>
      <c r="L219" s="869">
        <f t="shared" si="60"/>
        <v>20777.700377607733</v>
      </c>
      <c r="M219" s="869">
        <f t="shared" si="61"/>
        <v>75872.204161760426</v>
      </c>
      <c r="N219" s="872">
        <f t="shared" si="57"/>
        <v>96650</v>
      </c>
      <c r="P219" s="884">
        <v>95060</v>
      </c>
      <c r="Q219" s="876">
        <f t="shared" si="58"/>
        <v>-1590</v>
      </c>
      <c r="R219" s="877">
        <f t="shared" si="59"/>
        <v>-1.6726278140122029E-2</v>
      </c>
    </row>
    <row r="220" spans="1:18" x14ac:dyDescent="0.2">
      <c r="A220" s="856" t="s">
        <v>519</v>
      </c>
      <c r="B220" s="857" t="s">
        <v>331</v>
      </c>
      <c r="C220" s="858">
        <v>1.0378000000000001</v>
      </c>
      <c r="D220" s="1060">
        <f>INDEX(Data!$E$8:$E$303,MATCH('Cost of Collecton Calculation'!B220,Data!$C$8:$C$303,0))</f>
        <v>372564113</v>
      </c>
      <c r="E220" s="1060">
        <f>INDEX(Data!$F$8:$F$303,MATCH('Cost of Collecton Calculation'!B220,Data!$C$8:$C$303,0))</f>
        <v>7831</v>
      </c>
      <c r="F220" s="869">
        <f t="shared" si="51"/>
        <v>372564000</v>
      </c>
      <c r="G220" s="869">
        <f t="shared" si="52"/>
        <v>7830</v>
      </c>
      <c r="H220" s="869">
        <f t="shared" si="53"/>
        <v>386646919.20000005</v>
      </c>
      <c r="I220" s="869">
        <f t="shared" si="54"/>
        <v>8125.9740000000002</v>
      </c>
      <c r="J220" s="866">
        <f t="shared" si="55"/>
        <v>20160000</v>
      </c>
      <c r="K220" s="866">
        <f t="shared" si="56"/>
        <v>63840000</v>
      </c>
      <c r="L220" s="869">
        <f t="shared" si="60"/>
        <v>106463.56086169586</v>
      </c>
      <c r="M220" s="869">
        <f t="shared" si="61"/>
        <v>247604.64190407915</v>
      </c>
      <c r="N220" s="872">
        <f t="shared" si="57"/>
        <v>354068</v>
      </c>
      <c r="P220" s="884">
        <v>352304</v>
      </c>
      <c r="Q220" s="876">
        <f t="shared" si="58"/>
        <v>-1764</v>
      </c>
      <c r="R220" s="877">
        <f t="shared" si="59"/>
        <v>-5.0070393750851535E-3</v>
      </c>
    </row>
    <row r="221" spans="1:18" x14ac:dyDescent="0.2">
      <c r="A221" s="856" t="s">
        <v>332</v>
      </c>
      <c r="B221" s="857" t="s">
        <v>333</v>
      </c>
      <c r="C221" s="858">
        <v>1</v>
      </c>
      <c r="D221" s="1060">
        <f>INDEX(Data!$E$8:$E$303,MATCH('Cost of Collecton Calculation'!B221,Data!$C$8:$C$303,0))</f>
        <v>95076779</v>
      </c>
      <c r="E221" s="1060">
        <f>INDEX(Data!$F$8:$F$303,MATCH('Cost of Collecton Calculation'!B221,Data!$C$8:$C$303,0))</f>
        <v>6433</v>
      </c>
      <c r="F221" s="869">
        <f t="shared" si="51"/>
        <v>95077000</v>
      </c>
      <c r="G221" s="869">
        <f t="shared" si="52"/>
        <v>6430</v>
      </c>
      <c r="H221" s="869">
        <f t="shared" si="53"/>
        <v>95077000</v>
      </c>
      <c r="I221" s="869">
        <f t="shared" si="54"/>
        <v>6430</v>
      </c>
      <c r="J221" s="866">
        <f t="shared" si="55"/>
        <v>20160000</v>
      </c>
      <c r="K221" s="866">
        <f t="shared" si="56"/>
        <v>63840000</v>
      </c>
      <c r="L221" s="869">
        <f t="shared" si="60"/>
        <v>26179.533505636311</v>
      </c>
      <c r="M221" s="869">
        <f t="shared" si="61"/>
        <v>195927.01717273879</v>
      </c>
      <c r="N221" s="872">
        <f t="shared" si="57"/>
        <v>222107</v>
      </c>
      <c r="P221" s="884">
        <v>214358</v>
      </c>
      <c r="Q221" s="876">
        <f t="shared" si="58"/>
        <v>-7749</v>
      </c>
      <c r="R221" s="877">
        <f t="shared" si="59"/>
        <v>-3.6149805465622929E-2</v>
      </c>
    </row>
    <row r="222" spans="1:18" x14ac:dyDescent="0.2">
      <c r="A222" s="856" t="s">
        <v>334</v>
      </c>
      <c r="B222" s="857" t="s">
        <v>335</v>
      </c>
      <c r="C222" s="858">
        <v>1</v>
      </c>
      <c r="D222" s="1060">
        <f>INDEX(Data!$E$8:$E$303,MATCH('Cost of Collecton Calculation'!B222,Data!$C$8:$C$303,0))</f>
        <v>65212888</v>
      </c>
      <c r="E222" s="1060">
        <f>INDEX(Data!$F$8:$F$303,MATCH('Cost of Collecton Calculation'!B222,Data!$C$8:$C$303,0))</f>
        <v>2945</v>
      </c>
      <c r="F222" s="869">
        <f t="shared" si="51"/>
        <v>65213000</v>
      </c>
      <c r="G222" s="869">
        <f t="shared" si="52"/>
        <v>2950</v>
      </c>
      <c r="H222" s="869">
        <f t="shared" si="53"/>
        <v>65213000</v>
      </c>
      <c r="I222" s="869">
        <f t="shared" si="54"/>
        <v>2950</v>
      </c>
      <c r="J222" s="866">
        <f t="shared" si="55"/>
        <v>20160000</v>
      </c>
      <c r="K222" s="866">
        <f t="shared" si="56"/>
        <v>63840000</v>
      </c>
      <c r="L222" s="869">
        <f t="shared" si="60"/>
        <v>17956.455488741343</v>
      </c>
      <c r="M222" s="869">
        <f t="shared" si="61"/>
        <v>89888.755934615765</v>
      </c>
      <c r="N222" s="872">
        <f t="shared" si="57"/>
        <v>107845</v>
      </c>
      <c r="P222" s="884">
        <v>105328</v>
      </c>
      <c r="Q222" s="876">
        <f t="shared" si="58"/>
        <v>-2517</v>
      </c>
      <c r="R222" s="877">
        <f t="shared" si="59"/>
        <v>-2.3896779583776395E-2</v>
      </c>
    </row>
    <row r="223" spans="1:18" x14ac:dyDescent="0.2">
      <c r="A223" s="856" t="s">
        <v>336</v>
      </c>
      <c r="B223" s="857" t="s">
        <v>337</v>
      </c>
      <c r="C223" s="858">
        <v>1</v>
      </c>
      <c r="D223" s="1060">
        <f>INDEX(Data!$E$8:$E$303,MATCH('Cost of Collecton Calculation'!B223,Data!$C$8:$C$303,0))</f>
        <v>114220305</v>
      </c>
      <c r="E223" s="1060">
        <f>INDEX(Data!$F$8:$F$303,MATCH('Cost of Collecton Calculation'!B223,Data!$C$8:$C$303,0))</f>
        <v>4710</v>
      </c>
      <c r="F223" s="869">
        <f t="shared" si="51"/>
        <v>114220000</v>
      </c>
      <c r="G223" s="869">
        <f t="shared" si="52"/>
        <v>4710</v>
      </c>
      <c r="H223" s="869">
        <f t="shared" si="53"/>
        <v>114220000</v>
      </c>
      <c r="I223" s="869">
        <f t="shared" si="54"/>
        <v>4710</v>
      </c>
      <c r="J223" s="866">
        <f t="shared" si="55"/>
        <v>20160000</v>
      </c>
      <c r="K223" s="866">
        <f t="shared" si="56"/>
        <v>63840000</v>
      </c>
      <c r="L223" s="869">
        <f t="shared" si="60"/>
        <v>31450.574976216958</v>
      </c>
      <c r="M223" s="869">
        <f t="shared" si="61"/>
        <v>143517.30184814925</v>
      </c>
      <c r="N223" s="872">
        <f t="shared" si="57"/>
        <v>174968</v>
      </c>
      <c r="P223" s="884">
        <v>175774</v>
      </c>
      <c r="Q223" s="876">
        <f t="shared" si="58"/>
        <v>806</v>
      </c>
      <c r="R223" s="877">
        <f t="shared" si="59"/>
        <v>4.5854335681044982E-3</v>
      </c>
    </row>
    <row r="224" spans="1:18" x14ac:dyDescent="0.2">
      <c r="A224" s="856" t="s">
        <v>338</v>
      </c>
      <c r="B224" s="857" t="s">
        <v>339</v>
      </c>
      <c r="C224" s="858">
        <v>1</v>
      </c>
      <c r="D224" s="1060">
        <f>INDEX(Data!$E$8:$E$303,MATCH('Cost of Collecton Calculation'!B224,Data!$C$8:$C$303,0))</f>
        <v>98967425</v>
      </c>
      <c r="E224" s="1060">
        <f>INDEX(Data!$F$8:$F$303,MATCH('Cost of Collecton Calculation'!B224,Data!$C$8:$C$303,0))</f>
        <v>4998</v>
      </c>
      <c r="F224" s="869">
        <f t="shared" si="51"/>
        <v>98967000</v>
      </c>
      <c r="G224" s="869">
        <f t="shared" si="52"/>
        <v>5000</v>
      </c>
      <c r="H224" s="869">
        <f t="shared" si="53"/>
        <v>98967000</v>
      </c>
      <c r="I224" s="869">
        <f t="shared" si="54"/>
        <v>5000</v>
      </c>
      <c r="J224" s="866">
        <f t="shared" si="55"/>
        <v>20160000</v>
      </c>
      <c r="K224" s="866">
        <f t="shared" si="56"/>
        <v>63840000</v>
      </c>
      <c r="L224" s="869">
        <f t="shared" si="60"/>
        <v>27250.648342420449</v>
      </c>
      <c r="M224" s="869">
        <f t="shared" si="61"/>
        <v>152353.82361799284</v>
      </c>
      <c r="N224" s="872">
        <f t="shared" si="57"/>
        <v>179604</v>
      </c>
      <c r="P224" s="884">
        <v>177640</v>
      </c>
      <c r="Q224" s="876">
        <f t="shared" si="58"/>
        <v>-1964</v>
      </c>
      <c r="R224" s="877">
        <f t="shared" si="59"/>
        <v>-1.1056068453051114E-2</v>
      </c>
    </row>
    <row r="225" spans="1:18" x14ac:dyDescent="0.2">
      <c r="A225" s="856" t="s">
        <v>340</v>
      </c>
      <c r="B225" s="857" t="s">
        <v>341</v>
      </c>
      <c r="C225" s="858">
        <v>1.0533999999999999</v>
      </c>
      <c r="D225" s="1060">
        <f>INDEX(Data!$E$8:$E$303,MATCH('Cost of Collecton Calculation'!B225,Data!$C$8:$C$303,0))</f>
        <v>135424648</v>
      </c>
      <c r="E225" s="1060">
        <f>INDEX(Data!$F$8:$F$303,MATCH('Cost of Collecton Calculation'!B225,Data!$C$8:$C$303,0))</f>
        <v>4524</v>
      </c>
      <c r="F225" s="869">
        <f t="shared" si="51"/>
        <v>135425000</v>
      </c>
      <c r="G225" s="869">
        <f t="shared" si="52"/>
        <v>4520</v>
      </c>
      <c r="H225" s="869">
        <f t="shared" si="53"/>
        <v>142656695</v>
      </c>
      <c r="I225" s="869">
        <f t="shared" si="54"/>
        <v>4761.3679999999995</v>
      </c>
      <c r="J225" s="866">
        <f t="shared" si="55"/>
        <v>20160000</v>
      </c>
      <c r="K225" s="866">
        <f t="shared" si="56"/>
        <v>63840000</v>
      </c>
      <c r="L225" s="869">
        <f t="shared" si="60"/>
        <v>39280.643337040929</v>
      </c>
      <c r="M225" s="869">
        <f t="shared" si="61"/>
        <v>145082.52409047104</v>
      </c>
      <c r="N225" s="872">
        <f t="shared" si="57"/>
        <v>184363</v>
      </c>
      <c r="P225" s="884">
        <v>178142</v>
      </c>
      <c r="Q225" s="876">
        <f t="shared" si="58"/>
        <v>-6221</v>
      </c>
      <c r="R225" s="877">
        <f t="shared" si="59"/>
        <v>-3.4921579414175209E-2</v>
      </c>
    </row>
    <row r="226" spans="1:18" x14ac:dyDescent="0.2">
      <c r="A226" s="856" t="s">
        <v>342</v>
      </c>
      <c r="B226" s="857" t="s">
        <v>343</v>
      </c>
      <c r="C226" s="858">
        <v>1</v>
      </c>
      <c r="D226" s="1060">
        <f>INDEX(Data!$E$8:$E$303,MATCH('Cost of Collecton Calculation'!B226,Data!$C$8:$C$303,0))</f>
        <v>103964117</v>
      </c>
      <c r="E226" s="1060">
        <f>INDEX(Data!$F$8:$F$303,MATCH('Cost of Collecton Calculation'!B226,Data!$C$8:$C$303,0))</f>
        <v>3360</v>
      </c>
      <c r="F226" s="869">
        <f t="shared" si="51"/>
        <v>103964000</v>
      </c>
      <c r="G226" s="869">
        <f t="shared" si="52"/>
        <v>3360</v>
      </c>
      <c r="H226" s="869">
        <f t="shared" si="53"/>
        <v>103964000</v>
      </c>
      <c r="I226" s="869">
        <f t="shared" si="54"/>
        <v>3360</v>
      </c>
      <c r="J226" s="866">
        <f t="shared" si="55"/>
        <v>20160000</v>
      </c>
      <c r="K226" s="866">
        <f t="shared" si="56"/>
        <v>63840000</v>
      </c>
      <c r="L226" s="869">
        <f t="shared" si="60"/>
        <v>28626.576578772718</v>
      </c>
      <c r="M226" s="869">
        <f t="shared" si="61"/>
        <v>102381.76947129119</v>
      </c>
      <c r="N226" s="872">
        <f t="shared" si="57"/>
        <v>131008</v>
      </c>
      <c r="P226" s="884">
        <v>128159</v>
      </c>
      <c r="Q226" s="876">
        <f t="shared" si="58"/>
        <v>-2849</v>
      </c>
      <c r="R226" s="877">
        <f t="shared" si="59"/>
        <v>-2.2230198425393456E-2</v>
      </c>
    </row>
    <row r="227" spans="1:18" x14ac:dyDescent="0.2">
      <c r="A227" s="856" t="s">
        <v>344</v>
      </c>
      <c r="B227" s="857" t="s">
        <v>345</v>
      </c>
      <c r="C227" s="858">
        <v>1</v>
      </c>
      <c r="D227" s="1060">
        <f>INDEX(Data!$E$8:$E$303,MATCH('Cost of Collecton Calculation'!B227,Data!$C$8:$C$303,0))</f>
        <v>83434048</v>
      </c>
      <c r="E227" s="1060">
        <f>INDEX(Data!$F$8:$F$303,MATCH('Cost of Collecton Calculation'!B227,Data!$C$8:$C$303,0))</f>
        <v>2853</v>
      </c>
      <c r="F227" s="869">
        <f t="shared" si="51"/>
        <v>83434000</v>
      </c>
      <c r="G227" s="869">
        <f t="shared" si="52"/>
        <v>2850</v>
      </c>
      <c r="H227" s="869">
        <f t="shared" si="53"/>
        <v>83434000</v>
      </c>
      <c r="I227" s="869">
        <f t="shared" si="54"/>
        <v>2850</v>
      </c>
      <c r="J227" s="866">
        <f t="shared" si="55"/>
        <v>20160000</v>
      </c>
      <c r="K227" s="866">
        <f t="shared" si="56"/>
        <v>63840000</v>
      </c>
      <c r="L227" s="869">
        <f t="shared" si="60"/>
        <v>22973.623468444104</v>
      </c>
      <c r="M227" s="869">
        <f t="shared" si="61"/>
        <v>86841.67946225591</v>
      </c>
      <c r="N227" s="872">
        <f t="shared" si="57"/>
        <v>109815</v>
      </c>
      <c r="P227" s="884">
        <v>106646</v>
      </c>
      <c r="Q227" s="876">
        <f t="shared" si="58"/>
        <v>-3169</v>
      </c>
      <c r="R227" s="877">
        <f t="shared" si="59"/>
        <v>-2.9715132306884461E-2</v>
      </c>
    </row>
    <row r="228" spans="1:18" x14ac:dyDescent="0.2">
      <c r="A228" s="856" t="s">
        <v>346</v>
      </c>
      <c r="B228" s="857" t="s">
        <v>347</v>
      </c>
      <c r="C228" s="858">
        <v>1</v>
      </c>
      <c r="D228" s="1060">
        <f>INDEX(Data!$E$8:$E$303,MATCH('Cost of Collecton Calculation'!B228,Data!$C$8:$C$303,0))</f>
        <v>79204736</v>
      </c>
      <c r="E228" s="1060">
        <f>INDEX(Data!$F$8:$F$303,MATCH('Cost of Collecton Calculation'!B228,Data!$C$8:$C$303,0))</f>
        <v>3875</v>
      </c>
      <c r="F228" s="869">
        <f t="shared" si="51"/>
        <v>79205000</v>
      </c>
      <c r="G228" s="869">
        <f t="shared" si="52"/>
        <v>3880</v>
      </c>
      <c r="H228" s="869">
        <f t="shared" si="53"/>
        <v>79205000</v>
      </c>
      <c r="I228" s="869">
        <f t="shared" si="54"/>
        <v>3880</v>
      </c>
      <c r="J228" s="866">
        <f t="shared" si="55"/>
        <v>20160000</v>
      </c>
      <c r="K228" s="866">
        <f t="shared" si="56"/>
        <v>63840000</v>
      </c>
      <c r="L228" s="869">
        <f t="shared" si="60"/>
        <v>21809.16469087081</v>
      </c>
      <c r="M228" s="869">
        <f t="shared" si="61"/>
        <v>118226.56712756243</v>
      </c>
      <c r="N228" s="872">
        <f t="shared" si="57"/>
        <v>140036</v>
      </c>
      <c r="P228" s="884">
        <v>141872</v>
      </c>
      <c r="Q228" s="876">
        <f t="shared" si="58"/>
        <v>1836</v>
      </c>
      <c r="R228" s="877">
        <f t="shared" si="59"/>
        <v>1.2941242810420662E-2</v>
      </c>
    </row>
    <row r="229" spans="1:18" x14ac:dyDescent="0.2">
      <c r="A229" s="856" t="s">
        <v>588</v>
      </c>
      <c r="B229" s="857" t="s">
        <v>349</v>
      </c>
      <c r="C229" s="858">
        <v>1.036</v>
      </c>
      <c r="D229" s="1060">
        <f>INDEX(Data!$E$8:$E$303,MATCH('Cost of Collecton Calculation'!B229,Data!$C$8:$C$303,0))</f>
        <v>271437167</v>
      </c>
      <c r="E229" s="1060">
        <f>INDEX(Data!$F$8:$F$303,MATCH('Cost of Collecton Calculation'!B229,Data!$C$8:$C$303,0))</f>
        <v>6789</v>
      </c>
      <c r="F229" s="869">
        <f t="shared" si="51"/>
        <v>271437000</v>
      </c>
      <c r="G229" s="869">
        <f t="shared" si="52"/>
        <v>6790</v>
      </c>
      <c r="H229" s="869">
        <f t="shared" si="53"/>
        <v>281208732</v>
      </c>
      <c r="I229" s="869">
        <f t="shared" si="54"/>
        <v>7034.4400000000005</v>
      </c>
      <c r="J229" s="866">
        <f t="shared" si="55"/>
        <v>20160000</v>
      </c>
      <c r="K229" s="866">
        <f t="shared" si="56"/>
        <v>63840000</v>
      </c>
      <c r="L229" s="869">
        <f t="shared" si="60"/>
        <v>77431.065572867272</v>
      </c>
      <c r="M229" s="869">
        <f t="shared" si="61"/>
        <v>214344.76620227072</v>
      </c>
      <c r="N229" s="872">
        <f t="shared" si="57"/>
        <v>291776</v>
      </c>
      <c r="P229" s="884">
        <v>297597</v>
      </c>
      <c r="Q229" s="876">
        <f t="shared" si="58"/>
        <v>5821</v>
      </c>
      <c r="R229" s="877">
        <f t="shared" si="59"/>
        <v>1.9560009005467126E-2</v>
      </c>
    </row>
    <row r="230" spans="1:18" x14ac:dyDescent="0.2">
      <c r="A230" s="856" t="s">
        <v>577</v>
      </c>
      <c r="B230" s="857" t="s">
        <v>351</v>
      </c>
      <c r="C230" s="858">
        <v>1.0129999999999999</v>
      </c>
      <c r="D230" s="1060">
        <f>INDEX(Data!$E$8:$E$303,MATCH('Cost of Collecton Calculation'!B230,Data!$C$8:$C$303,0))</f>
        <v>126551729</v>
      </c>
      <c r="E230" s="1060">
        <f>INDEX(Data!$F$8:$F$303,MATCH('Cost of Collecton Calculation'!B230,Data!$C$8:$C$303,0))</f>
        <v>5779</v>
      </c>
      <c r="F230" s="869">
        <f t="shared" si="51"/>
        <v>126552000</v>
      </c>
      <c r="G230" s="869">
        <f t="shared" si="52"/>
        <v>5780</v>
      </c>
      <c r="H230" s="869">
        <f t="shared" si="53"/>
        <v>128197175.99999999</v>
      </c>
      <c r="I230" s="869">
        <f t="shared" si="54"/>
        <v>5855.1399999999994</v>
      </c>
      <c r="J230" s="866">
        <f t="shared" si="55"/>
        <v>20160000</v>
      </c>
      <c r="K230" s="866">
        <f t="shared" si="56"/>
        <v>63840000</v>
      </c>
      <c r="L230" s="869">
        <f t="shared" si="60"/>
        <v>35299.202377230613</v>
      </c>
      <c r="M230" s="869">
        <f t="shared" si="61"/>
        <v>178410.59336373088</v>
      </c>
      <c r="N230" s="872">
        <f t="shared" si="57"/>
        <v>213710</v>
      </c>
      <c r="P230" s="884">
        <v>214953</v>
      </c>
      <c r="Q230" s="876">
        <f t="shared" si="58"/>
        <v>1243</v>
      </c>
      <c r="R230" s="877">
        <f t="shared" si="59"/>
        <v>5.782659465092369E-3</v>
      </c>
    </row>
    <row r="231" spans="1:18" x14ac:dyDescent="0.2">
      <c r="A231" s="856" t="s">
        <v>352</v>
      </c>
      <c r="B231" s="857" t="s">
        <v>353</v>
      </c>
      <c r="C231" s="858">
        <v>1.2208000000000001</v>
      </c>
      <c r="D231" s="1060">
        <f>INDEX(Data!$E$8:$E$303,MATCH('Cost of Collecton Calculation'!B231,Data!$C$8:$C$303,0))</f>
        <v>821593711</v>
      </c>
      <c r="E231" s="1060">
        <f>INDEX(Data!$F$8:$F$303,MATCH('Cost of Collecton Calculation'!B231,Data!$C$8:$C$303,0))</f>
        <v>12874</v>
      </c>
      <c r="F231" s="869">
        <f t="shared" si="51"/>
        <v>821594000</v>
      </c>
      <c r="G231" s="869">
        <f t="shared" si="52"/>
        <v>12870</v>
      </c>
      <c r="H231" s="869">
        <f t="shared" si="53"/>
        <v>1003001955.2</v>
      </c>
      <c r="I231" s="869">
        <f t="shared" si="54"/>
        <v>15711.696000000002</v>
      </c>
      <c r="J231" s="866">
        <f t="shared" si="55"/>
        <v>20160000</v>
      </c>
      <c r="K231" s="866">
        <f t="shared" si="56"/>
        <v>63840000</v>
      </c>
      <c r="L231" s="869">
        <f t="shared" si="60"/>
        <v>276177.44872447732</v>
      </c>
      <c r="M231" s="869">
        <f t="shared" si="61"/>
        <v>478747.39222470479</v>
      </c>
      <c r="N231" s="872">
        <f t="shared" si="57"/>
        <v>754925</v>
      </c>
      <c r="P231" s="884">
        <v>752213</v>
      </c>
      <c r="Q231" s="876">
        <f t="shared" si="58"/>
        <v>-2712</v>
      </c>
      <c r="R231" s="877">
        <f t="shared" si="59"/>
        <v>-3.6053617791769088E-3</v>
      </c>
    </row>
    <row r="232" spans="1:18" x14ac:dyDescent="0.2">
      <c r="A232" s="856" t="s">
        <v>354</v>
      </c>
      <c r="B232" s="857" t="s">
        <v>355</v>
      </c>
      <c r="C232" s="858">
        <v>1.1039000000000001</v>
      </c>
      <c r="D232" s="1060">
        <f>INDEX(Data!$E$8:$E$303,MATCH('Cost of Collecton Calculation'!B232,Data!$C$8:$C$303,0))</f>
        <v>129461173</v>
      </c>
      <c r="E232" s="1060">
        <f>INDEX(Data!$F$8:$F$303,MATCH('Cost of Collecton Calculation'!B232,Data!$C$8:$C$303,0))</f>
        <v>2458</v>
      </c>
      <c r="F232" s="869">
        <f t="shared" si="51"/>
        <v>129461000</v>
      </c>
      <c r="G232" s="869">
        <f t="shared" si="52"/>
        <v>2460</v>
      </c>
      <c r="H232" s="869">
        <f t="shared" si="53"/>
        <v>142911997.90000001</v>
      </c>
      <c r="I232" s="869">
        <f t="shared" si="54"/>
        <v>2715.5940000000001</v>
      </c>
      <c r="J232" s="866">
        <f t="shared" si="55"/>
        <v>20160000</v>
      </c>
      <c r="K232" s="866">
        <f t="shared" si="56"/>
        <v>63840000</v>
      </c>
      <c r="L232" s="869">
        <f t="shared" si="60"/>
        <v>39350.941209550954</v>
      </c>
      <c r="M232" s="869">
        <f t="shared" si="61"/>
        <v>82746.225858815931</v>
      </c>
      <c r="N232" s="872">
        <f t="shared" si="57"/>
        <v>122097</v>
      </c>
      <c r="P232" s="884">
        <v>120984</v>
      </c>
      <c r="Q232" s="876">
        <f t="shared" si="58"/>
        <v>-1113</v>
      </c>
      <c r="R232" s="877">
        <f t="shared" si="59"/>
        <v>-9.1995635786550293E-3</v>
      </c>
    </row>
    <row r="233" spans="1:18" x14ac:dyDescent="0.2">
      <c r="A233" s="856" t="s">
        <v>356</v>
      </c>
      <c r="B233" s="857" t="s">
        <v>357</v>
      </c>
      <c r="C233" s="858">
        <v>1.0815999999999999</v>
      </c>
      <c r="D233" s="1060">
        <f>INDEX(Data!$E$8:$E$303,MATCH('Cost of Collecton Calculation'!B233,Data!$C$8:$C$303,0))</f>
        <v>175615028</v>
      </c>
      <c r="E233" s="1060">
        <f>INDEX(Data!$F$8:$F$303,MATCH('Cost of Collecton Calculation'!B233,Data!$C$8:$C$303,0))</f>
        <v>3999</v>
      </c>
      <c r="F233" s="869">
        <f t="shared" si="51"/>
        <v>175615000</v>
      </c>
      <c r="G233" s="869">
        <f t="shared" si="52"/>
        <v>4000</v>
      </c>
      <c r="H233" s="869">
        <f t="shared" si="53"/>
        <v>189945183.99999997</v>
      </c>
      <c r="I233" s="869">
        <f t="shared" si="54"/>
        <v>4326.3999999999996</v>
      </c>
      <c r="J233" s="866">
        <f t="shared" si="55"/>
        <v>20160000</v>
      </c>
      <c r="K233" s="866">
        <f t="shared" si="56"/>
        <v>63840000</v>
      </c>
      <c r="L233" s="869">
        <f t="shared" si="60"/>
        <v>52301.569346553362</v>
      </c>
      <c r="M233" s="869">
        <f t="shared" si="61"/>
        <v>131828.71650017684</v>
      </c>
      <c r="N233" s="872">
        <f t="shared" si="57"/>
        <v>184130</v>
      </c>
      <c r="P233" s="884">
        <v>179966</v>
      </c>
      <c r="Q233" s="876">
        <f t="shared" si="58"/>
        <v>-4164</v>
      </c>
      <c r="R233" s="877">
        <f t="shared" si="59"/>
        <v>-2.3137703788493381E-2</v>
      </c>
    </row>
    <row r="234" spans="1:18" x14ac:dyDescent="0.2">
      <c r="A234" s="856" t="s">
        <v>990</v>
      </c>
      <c r="B234" s="857" t="s">
        <v>359</v>
      </c>
      <c r="C234" s="858">
        <v>1.0075000000000001</v>
      </c>
      <c r="D234" s="1060">
        <f>INDEX(Data!$E$8:$E$303,MATCH('Cost of Collecton Calculation'!B234,Data!$C$8:$C$303,0))</f>
        <v>145772607</v>
      </c>
      <c r="E234" s="1060">
        <f>INDEX(Data!$F$8:$F$303,MATCH('Cost of Collecton Calculation'!B234,Data!$C$8:$C$303,0))</f>
        <v>4766</v>
      </c>
      <c r="F234" s="869">
        <f t="shared" si="51"/>
        <v>145773000</v>
      </c>
      <c r="G234" s="869">
        <f t="shared" si="52"/>
        <v>4770</v>
      </c>
      <c r="H234" s="869">
        <f t="shared" si="53"/>
        <v>146866297.5</v>
      </c>
      <c r="I234" s="869">
        <f t="shared" si="54"/>
        <v>4805.7750000000005</v>
      </c>
      <c r="J234" s="866">
        <f t="shared" si="55"/>
        <v>20160000</v>
      </c>
      <c r="K234" s="866">
        <f t="shared" si="56"/>
        <v>63840000</v>
      </c>
      <c r="L234" s="869">
        <f t="shared" si="60"/>
        <v>40439.760996350335</v>
      </c>
      <c r="M234" s="869">
        <f t="shared" si="61"/>
        <v>146435.63933955194</v>
      </c>
      <c r="N234" s="872">
        <f t="shared" si="57"/>
        <v>186875</v>
      </c>
      <c r="P234" s="884">
        <v>184315</v>
      </c>
      <c r="Q234" s="876">
        <f t="shared" si="58"/>
        <v>-2560</v>
      </c>
      <c r="R234" s="877">
        <f t="shared" si="59"/>
        <v>-1.3889265659333207E-2</v>
      </c>
    </row>
    <row r="235" spans="1:18" x14ac:dyDescent="0.2">
      <c r="A235" s="856" t="s">
        <v>360</v>
      </c>
      <c r="B235" s="857" t="s">
        <v>361</v>
      </c>
      <c r="C235" s="858">
        <v>1</v>
      </c>
      <c r="D235" s="1060">
        <f>INDEX(Data!$E$8:$E$303,MATCH('Cost of Collecton Calculation'!B235,Data!$C$8:$C$303,0))</f>
        <v>131192586</v>
      </c>
      <c r="E235" s="1060">
        <f>INDEX(Data!$F$8:$F$303,MATCH('Cost of Collecton Calculation'!B235,Data!$C$8:$C$303,0))</f>
        <v>4385</v>
      </c>
      <c r="F235" s="869">
        <f t="shared" si="51"/>
        <v>131193000</v>
      </c>
      <c r="G235" s="869">
        <f t="shared" si="52"/>
        <v>4390</v>
      </c>
      <c r="H235" s="869">
        <f t="shared" si="53"/>
        <v>131193000</v>
      </c>
      <c r="I235" s="869">
        <f t="shared" si="54"/>
        <v>4390</v>
      </c>
      <c r="J235" s="866">
        <f t="shared" si="55"/>
        <v>20160000</v>
      </c>
      <c r="K235" s="866">
        <f t="shared" si="56"/>
        <v>63840000</v>
      </c>
      <c r="L235" s="869">
        <f t="shared" si="60"/>
        <v>36124.105085403884</v>
      </c>
      <c r="M235" s="869">
        <f t="shared" si="61"/>
        <v>133766.6571365977</v>
      </c>
      <c r="N235" s="872">
        <f t="shared" si="57"/>
        <v>169891</v>
      </c>
      <c r="P235" s="884">
        <v>169899</v>
      </c>
      <c r="Q235" s="876">
        <f t="shared" si="58"/>
        <v>8</v>
      </c>
      <c r="R235" s="877">
        <f t="shared" si="59"/>
        <v>4.7086798627419821E-5</v>
      </c>
    </row>
    <row r="236" spans="1:18" x14ac:dyDescent="0.2">
      <c r="A236" s="856" t="s">
        <v>362</v>
      </c>
      <c r="B236" s="857" t="s">
        <v>363</v>
      </c>
      <c r="C236" s="858">
        <v>1</v>
      </c>
      <c r="D236" s="1060">
        <f>INDEX(Data!$E$8:$E$303,MATCH('Cost of Collecton Calculation'!B236,Data!$C$8:$C$303,0))</f>
        <v>59660656</v>
      </c>
      <c r="E236" s="1060">
        <f>INDEX(Data!$F$8:$F$303,MATCH('Cost of Collecton Calculation'!B236,Data!$C$8:$C$303,0))</f>
        <v>3194</v>
      </c>
      <c r="F236" s="869">
        <f t="shared" si="51"/>
        <v>59661000</v>
      </c>
      <c r="G236" s="869">
        <f t="shared" si="52"/>
        <v>3190</v>
      </c>
      <c r="H236" s="869">
        <f t="shared" si="53"/>
        <v>59661000</v>
      </c>
      <c r="I236" s="869">
        <f t="shared" si="54"/>
        <v>3190</v>
      </c>
      <c r="J236" s="866">
        <f t="shared" si="55"/>
        <v>20160000</v>
      </c>
      <c r="K236" s="866">
        <f t="shared" si="56"/>
        <v>63840000</v>
      </c>
      <c r="L236" s="869">
        <f t="shared" si="60"/>
        <v>16427.707526318332</v>
      </c>
      <c r="M236" s="869">
        <f t="shared" si="61"/>
        <v>97201.739468279426</v>
      </c>
      <c r="N236" s="872">
        <f t="shared" si="57"/>
        <v>113629</v>
      </c>
      <c r="P236" s="884">
        <v>112916</v>
      </c>
      <c r="Q236" s="876">
        <f t="shared" si="58"/>
        <v>-713</v>
      </c>
      <c r="R236" s="877">
        <f t="shared" si="59"/>
        <v>-6.3144284246696662E-3</v>
      </c>
    </row>
    <row r="237" spans="1:18" x14ac:dyDescent="0.2">
      <c r="A237" s="856" t="s">
        <v>364</v>
      </c>
      <c r="B237" s="857" t="s">
        <v>365</v>
      </c>
      <c r="C237" s="858">
        <v>1.0392999999999999</v>
      </c>
      <c r="D237" s="1060">
        <f>INDEX(Data!$E$8:$E$303,MATCH('Cost of Collecton Calculation'!B237,Data!$C$8:$C$303,0))</f>
        <v>124422604</v>
      </c>
      <c r="E237" s="1060">
        <f>INDEX(Data!$F$8:$F$303,MATCH('Cost of Collecton Calculation'!B237,Data!$C$8:$C$303,0))</f>
        <v>2270</v>
      </c>
      <c r="F237" s="869">
        <f t="shared" si="51"/>
        <v>124423000</v>
      </c>
      <c r="G237" s="869">
        <f t="shared" si="52"/>
        <v>2270</v>
      </c>
      <c r="H237" s="869">
        <f t="shared" si="53"/>
        <v>129312823.89999999</v>
      </c>
      <c r="I237" s="869">
        <f t="shared" si="54"/>
        <v>2359.2109999999998</v>
      </c>
      <c r="J237" s="866">
        <f t="shared" si="55"/>
        <v>20160000</v>
      </c>
      <c r="K237" s="866">
        <f t="shared" si="56"/>
        <v>63840000</v>
      </c>
      <c r="L237" s="869">
        <f t="shared" si="60"/>
        <v>35606.396983481791</v>
      </c>
      <c r="M237" s="869">
        <f t="shared" si="61"/>
        <v>71886.963314325694</v>
      </c>
      <c r="N237" s="872">
        <f t="shared" si="57"/>
        <v>107493</v>
      </c>
      <c r="P237" s="884">
        <v>105404</v>
      </c>
      <c r="Q237" s="876">
        <f t="shared" si="58"/>
        <v>-2089</v>
      </c>
      <c r="R237" s="877">
        <f t="shared" si="59"/>
        <v>-1.9818982201813974E-2</v>
      </c>
    </row>
    <row r="238" spans="1:18" x14ac:dyDescent="0.2">
      <c r="A238" s="856" t="s">
        <v>366</v>
      </c>
      <c r="B238" s="857" t="s">
        <v>367</v>
      </c>
      <c r="C238" s="858">
        <v>1.0168999999999999</v>
      </c>
      <c r="D238" s="1060">
        <f>INDEX(Data!$E$8:$E$303,MATCH('Cost of Collecton Calculation'!B238,Data!$C$8:$C$303,0))</f>
        <v>241754765</v>
      </c>
      <c r="E238" s="1060">
        <f>INDEX(Data!$F$8:$F$303,MATCH('Cost of Collecton Calculation'!B238,Data!$C$8:$C$303,0))</f>
        <v>11384</v>
      </c>
      <c r="F238" s="869">
        <f t="shared" si="51"/>
        <v>241755000</v>
      </c>
      <c r="G238" s="869">
        <f t="shared" si="52"/>
        <v>11380</v>
      </c>
      <c r="H238" s="869">
        <f t="shared" si="53"/>
        <v>245840659.49999997</v>
      </c>
      <c r="I238" s="869">
        <f t="shared" si="54"/>
        <v>11572.321999999998</v>
      </c>
      <c r="J238" s="866">
        <f t="shared" si="55"/>
        <v>20160000</v>
      </c>
      <c r="K238" s="866">
        <f t="shared" si="56"/>
        <v>63840000</v>
      </c>
      <c r="L238" s="869">
        <f t="shared" si="60"/>
        <v>67692.436471785782</v>
      </c>
      <c r="M238" s="869">
        <f t="shared" si="61"/>
        <v>352617.50096772355</v>
      </c>
      <c r="N238" s="872">
        <f t="shared" si="57"/>
        <v>420310</v>
      </c>
      <c r="P238" s="884">
        <v>419536</v>
      </c>
      <c r="Q238" s="876">
        <f t="shared" si="58"/>
        <v>-774</v>
      </c>
      <c r="R238" s="877">
        <f t="shared" si="59"/>
        <v>-1.8448953129171276E-3</v>
      </c>
    </row>
    <row r="239" spans="1:18" x14ac:dyDescent="0.2">
      <c r="A239" s="856" t="s">
        <v>551</v>
      </c>
      <c r="B239" s="857" t="s">
        <v>369</v>
      </c>
      <c r="C239" s="858">
        <v>1</v>
      </c>
      <c r="D239" s="1060">
        <f>INDEX(Data!$E$8:$E$303,MATCH('Cost of Collecton Calculation'!B239,Data!$C$8:$C$303,0))</f>
        <v>201206533</v>
      </c>
      <c r="E239" s="1060">
        <f>INDEX(Data!$F$8:$F$303,MATCH('Cost of Collecton Calculation'!B239,Data!$C$8:$C$303,0))</f>
        <v>5730</v>
      </c>
      <c r="F239" s="869">
        <f t="shared" si="51"/>
        <v>201207000</v>
      </c>
      <c r="G239" s="869">
        <f t="shared" si="52"/>
        <v>5730</v>
      </c>
      <c r="H239" s="869">
        <f t="shared" si="53"/>
        <v>201207000</v>
      </c>
      <c r="I239" s="869">
        <f t="shared" si="54"/>
        <v>5730</v>
      </c>
      <c r="J239" s="866">
        <f t="shared" si="55"/>
        <v>20160000</v>
      </c>
      <c r="K239" s="866">
        <f t="shared" si="56"/>
        <v>63840000</v>
      </c>
      <c r="L239" s="869">
        <f t="shared" si="60"/>
        <v>55402.520042371609</v>
      </c>
      <c r="M239" s="869">
        <f t="shared" si="61"/>
        <v>174597.48186621978</v>
      </c>
      <c r="N239" s="872">
        <f t="shared" si="57"/>
        <v>230000</v>
      </c>
      <c r="P239" s="884">
        <v>234494</v>
      </c>
      <c r="Q239" s="876">
        <f t="shared" si="58"/>
        <v>4494</v>
      </c>
      <c r="R239" s="877">
        <f t="shared" si="59"/>
        <v>1.9164669458493606E-2</v>
      </c>
    </row>
    <row r="240" spans="1:18" x14ac:dyDescent="0.2">
      <c r="A240" s="856" t="s">
        <v>648</v>
      </c>
      <c r="B240" s="857" t="s">
        <v>371</v>
      </c>
      <c r="C240" s="858">
        <v>1</v>
      </c>
      <c r="D240" s="1060">
        <f>INDEX(Data!$E$8:$E$303,MATCH('Cost of Collecton Calculation'!B240,Data!$C$8:$C$303,0))</f>
        <v>243481887</v>
      </c>
      <c r="E240" s="1060">
        <f>INDEX(Data!$F$8:$F$303,MATCH('Cost of Collecton Calculation'!B240,Data!$C$8:$C$303,0))</f>
        <v>9404</v>
      </c>
      <c r="F240" s="869">
        <f t="shared" si="51"/>
        <v>243482000</v>
      </c>
      <c r="G240" s="869">
        <f t="shared" si="52"/>
        <v>9400</v>
      </c>
      <c r="H240" s="869">
        <f t="shared" si="53"/>
        <v>243482000</v>
      </c>
      <c r="I240" s="869">
        <f t="shared" si="54"/>
        <v>9400</v>
      </c>
      <c r="J240" s="866">
        <f t="shared" si="55"/>
        <v>20160000</v>
      </c>
      <c r="K240" s="866">
        <f t="shared" si="56"/>
        <v>63840000</v>
      </c>
      <c r="L240" s="869">
        <f t="shared" si="60"/>
        <v>67042.977555237754</v>
      </c>
      <c r="M240" s="869">
        <f t="shared" si="61"/>
        <v>286425.18840182654</v>
      </c>
      <c r="N240" s="872">
        <f t="shared" si="57"/>
        <v>353468</v>
      </c>
      <c r="P240" s="884">
        <v>355026</v>
      </c>
      <c r="Q240" s="876">
        <f t="shared" si="58"/>
        <v>1558</v>
      </c>
      <c r="R240" s="877">
        <f t="shared" si="59"/>
        <v>4.3884109896176618E-3</v>
      </c>
    </row>
    <row r="241" spans="1:18" x14ac:dyDescent="0.2">
      <c r="A241" s="856" t="s">
        <v>372</v>
      </c>
      <c r="B241" s="857" t="s">
        <v>373</v>
      </c>
      <c r="C241" s="858">
        <v>1.0213000000000001</v>
      </c>
      <c r="D241" s="1060">
        <f>INDEX(Data!$E$8:$E$303,MATCH('Cost of Collecton Calculation'!B241,Data!$C$8:$C$303,0))</f>
        <v>159409434</v>
      </c>
      <c r="E241" s="1060">
        <f>INDEX(Data!$F$8:$F$303,MATCH('Cost of Collecton Calculation'!B241,Data!$C$8:$C$303,0))</f>
        <v>6106</v>
      </c>
      <c r="F241" s="869">
        <f t="shared" si="51"/>
        <v>159409000</v>
      </c>
      <c r="G241" s="869">
        <f t="shared" si="52"/>
        <v>6110</v>
      </c>
      <c r="H241" s="869">
        <f t="shared" si="53"/>
        <v>162804411.70000002</v>
      </c>
      <c r="I241" s="869">
        <f t="shared" si="54"/>
        <v>6240.1430000000009</v>
      </c>
      <c r="J241" s="866">
        <f t="shared" si="55"/>
        <v>20160000</v>
      </c>
      <c r="K241" s="866">
        <f t="shared" si="56"/>
        <v>63840000</v>
      </c>
      <c r="L241" s="869">
        <f t="shared" si="60"/>
        <v>44828.334412797616</v>
      </c>
      <c r="M241" s="869">
        <f t="shared" si="61"/>
        <v>190141.92919461057</v>
      </c>
      <c r="N241" s="872">
        <f t="shared" si="57"/>
        <v>234970</v>
      </c>
      <c r="P241" s="884">
        <v>232010</v>
      </c>
      <c r="Q241" s="876">
        <f t="shared" si="58"/>
        <v>-2960</v>
      </c>
      <c r="R241" s="877">
        <f t="shared" si="59"/>
        <v>-1.2758070772811516E-2</v>
      </c>
    </row>
    <row r="242" spans="1:18" x14ac:dyDescent="0.2">
      <c r="A242" s="856" t="s">
        <v>374</v>
      </c>
      <c r="B242" s="857" t="s">
        <v>375</v>
      </c>
      <c r="C242" s="858">
        <v>1.0197000000000001</v>
      </c>
      <c r="D242" s="1060">
        <f>INDEX(Data!$E$8:$E$303,MATCH('Cost of Collecton Calculation'!B242,Data!$C$8:$C$303,0))</f>
        <v>102955176</v>
      </c>
      <c r="E242" s="1060">
        <f>INDEX(Data!$F$8:$F$303,MATCH('Cost of Collecton Calculation'!B242,Data!$C$8:$C$303,0))</f>
        <v>4336</v>
      </c>
      <c r="F242" s="869">
        <f t="shared" ref="F242:F299" si="69">ROUND(D242,-3)</f>
        <v>102955000</v>
      </c>
      <c r="G242" s="869">
        <f t="shared" ref="G242:G299" si="70">ROUND(E242,-1)</f>
        <v>4340</v>
      </c>
      <c r="H242" s="869">
        <f t="shared" ref="H242:H299" si="71">F242*C242</f>
        <v>104983213.5</v>
      </c>
      <c r="I242" s="869">
        <f t="shared" ref="I242:I299" si="72">G242*C242</f>
        <v>4425.4980000000005</v>
      </c>
      <c r="J242" s="866">
        <f t="shared" ref="J242:J299" si="73">20160000</f>
        <v>20160000</v>
      </c>
      <c r="K242" s="866">
        <f t="shared" ref="K242:K299" si="74">63840000</f>
        <v>63840000</v>
      </c>
      <c r="L242" s="869">
        <f t="shared" si="60"/>
        <v>28907.217890263895</v>
      </c>
      <c r="M242" s="869">
        <f t="shared" si="61"/>
        <v>134848.30834275603</v>
      </c>
      <c r="N242" s="872">
        <f t="shared" ref="N242:N299" si="75">ROUND(L242+M242,0)</f>
        <v>163756</v>
      </c>
      <c r="P242" s="884">
        <v>157033</v>
      </c>
      <c r="Q242" s="876">
        <f t="shared" ref="Q242:Q299" si="76">P242-N242</f>
        <v>-6723</v>
      </c>
      <c r="R242" s="877">
        <f t="shared" ref="R242:R299" si="77">Q242/P242</f>
        <v>-4.2812657212178334E-2</v>
      </c>
    </row>
    <row r="243" spans="1:18" x14ac:dyDescent="0.2">
      <c r="A243" s="856" t="s">
        <v>376</v>
      </c>
      <c r="B243" s="857" t="s">
        <v>377</v>
      </c>
      <c r="C243" s="858">
        <v>1</v>
      </c>
      <c r="D243" s="1060">
        <f>INDEX(Data!$E$8:$E$303,MATCH('Cost of Collecton Calculation'!B243,Data!$C$8:$C$303,0))</f>
        <v>229483440</v>
      </c>
      <c r="E243" s="1060">
        <f>INDEX(Data!$F$8:$F$303,MATCH('Cost of Collecton Calculation'!B243,Data!$C$8:$C$303,0))</f>
        <v>8517</v>
      </c>
      <c r="F243" s="869">
        <f t="shared" si="69"/>
        <v>229483000</v>
      </c>
      <c r="G243" s="869">
        <f t="shared" si="70"/>
        <v>8520</v>
      </c>
      <c r="H243" s="869">
        <f t="shared" si="71"/>
        <v>229483000</v>
      </c>
      <c r="I243" s="869">
        <f t="shared" si="72"/>
        <v>8520</v>
      </c>
      <c r="J243" s="866">
        <f t="shared" si="73"/>
        <v>20160000</v>
      </c>
      <c r="K243" s="866">
        <f t="shared" si="74"/>
        <v>63840000</v>
      </c>
      <c r="L243" s="869">
        <f t="shared" si="60"/>
        <v>63188.340897103801</v>
      </c>
      <c r="M243" s="869">
        <f t="shared" si="61"/>
        <v>259610.9154450598</v>
      </c>
      <c r="N243" s="872">
        <f t="shared" si="75"/>
        <v>322799</v>
      </c>
      <c r="P243" s="884">
        <v>329215</v>
      </c>
      <c r="Q243" s="876">
        <f t="shared" si="76"/>
        <v>6416</v>
      </c>
      <c r="R243" s="877">
        <f t="shared" si="77"/>
        <v>1.9488783925398295E-2</v>
      </c>
    </row>
    <row r="244" spans="1:18" x14ac:dyDescent="0.2">
      <c r="A244" s="856" t="s">
        <v>378</v>
      </c>
      <c r="B244" s="857" t="s">
        <v>379</v>
      </c>
      <c r="C244" s="858">
        <v>1.1039000000000001</v>
      </c>
      <c r="D244" s="1060">
        <f>INDEX(Data!$E$8:$E$303,MATCH('Cost of Collecton Calculation'!B244,Data!$C$8:$C$303,0))</f>
        <v>94254898</v>
      </c>
      <c r="E244" s="1060">
        <f>INDEX(Data!$F$8:$F$303,MATCH('Cost of Collecton Calculation'!B244,Data!$C$8:$C$303,0))</f>
        <v>2963</v>
      </c>
      <c r="F244" s="869">
        <f t="shared" si="69"/>
        <v>94255000</v>
      </c>
      <c r="G244" s="869">
        <f t="shared" si="70"/>
        <v>2960</v>
      </c>
      <c r="H244" s="869">
        <f t="shared" si="71"/>
        <v>104048094.50000001</v>
      </c>
      <c r="I244" s="869">
        <f t="shared" si="72"/>
        <v>3267.5440000000003</v>
      </c>
      <c r="J244" s="866">
        <f t="shared" si="73"/>
        <v>20160000</v>
      </c>
      <c r="K244" s="866">
        <f t="shared" si="74"/>
        <v>63840000</v>
      </c>
      <c r="L244" s="869">
        <f t="shared" si="60"/>
        <v>28649.732071482733</v>
      </c>
      <c r="M244" s="869">
        <f t="shared" si="61"/>
        <v>99564.564448006175</v>
      </c>
      <c r="N244" s="872">
        <f t="shared" si="75"/>
        <v>128214</v>
      </c>
      <c r="P244" s="884">
        <v>126861</v>
      </c>
      <c r="Q244" s="876">
        <f t="shared" si="76"/>
        <v>-1353</v>
      </c>
      <c r="R244" s="877">
        <f t="shared" si="77"/>
        <v>-1.0665216260316409E-2</v>
      </c>
    </row>
    <row r="245" spans="1:18" x14ac:dyDescent="0.2">
      <c r="A245" s="856" t="s">
        <v>380</v>
      </c>
      <c r="B245" s="857" t="s">
        <v>381</v>
      </c>
      <c r="C245" s="858">
        <v>1.1113</v>
      </c>
      <c r="D245" s="1060">
        <f>INDEX(Data!$E$8:$E$303,MATCH('Cost of Collecton Calculation'!B245,Data!$C$8:$C$303,0))</f>
        <v>171173241</v>
      </c>
      <c r="E245" s="1060">
        <f>INDEX(Data!$F$8:$F$303,MATCH('Cost of Collecton Calculation'!B245,Data!$C$8:$C$303,0))</f>
        <v>3979</v>
      </c>
      <c r="F245" s="869">
        <f t="shared" si="69"/>
        <v>171173000</v>
      </c>
      <c r="G245" s="869">
        <f t="shared" si="70"/>
        <v>3980</v>
      </c>
      <c r="H245" s="869">
        <f t="shared" si="71"/>
        <v>190224554.90000001</v>
      </c>
      <c r="I245" s="869">
        <f t="shared" si="72"/>
        <v>4422.9740000000002</v>
      </c>
      <c r="J245" s="866">
        <f t="shared" si="73"/>
        <v>20160000</v>
      </c>
      <c r="K245" s="866">
        <f t="shared" si="74"/>
        <v>63840000</v>
      </c>
      <c r="L245" s="869">
        <f t="shared" si="60"/>
        <v>52378.494363508566</v>
      </c>
      <c r="M245" s="869">
        <f t="shared" si="61"/>
        <v>134771.40013259364</v>
      </c>
      <c r="N245" s="872">
        <f t="shared" si="75"/>
        <v>187150</v>
      </c>
      <c r="P245" s="884">
        <v>183729</v>
      </c>
      <c r="Q245" s="876">
        <f t="shared" si="76"/>
        <v>-3421</v>
      </c>
      <c r="R245" s="877">
        <f t="shared" si="77"/>
        <v>-1.8619815053693211E-2</v>
      </c>
    </row>
    <row r="246" spans="1:18" x14ac:dyDescent="0.2">
      <c r="A246" s="856" t="s">
        <v>382</v>
      </c>
      <c r="B246" s="857" t="s">
        <v>383</v>
      </c>
      <c r="C246" s="858">
        <v>1.0067999999999999</v>
      </c>
      <c r="D246" s="1060">
        <f>INDEX(Data!$E$8:$E$303,MATCH('Cost of Collecton Calculation'!B246,Data!$C$8:$C$303,0))</f>
        <v>162905134</v>
      </c>
      <c r="E246" s="1060">
        <f>INDEX(Data!$F$8:$F$303,MATCH('Cost of Collecton Calculation'!B246,Data!$C$8:$C$303,0))</f>
        <v>4809</v>
      </c>
      <c r="F246" s="869">
        <f t="shared" si="69"/>
        <v>162905000</v>
      </c>
      <c r="G246" s="869">
        <f t="shared" si="70"/>
        <v>4810</v>
      </c>
      <c r="H246" s="869">
        <f t="shared" si="71"/>
        <v>164012754</v>
      </c>
      <c r="I246" s="869">
        <f t="shared" si="72"/>
        <v>4842.7079999999996</v>
      </c>
      <c r="J246" s="866">
        <f t="shared" si="73"/>
        <v>20160000</v>
      </c>
      <c r="K246" s="866">
        <f t="shared" si="74"/>
        <v>63840000</v>
      </c>
      <c r="L246" s="869">
        <f t="shared" ref="L246:L288" si="78">(H246*J246)/H$301</f>
        <v>45161.052501600665</v>
      </c>
      <c r="M246" s="869">
        <f t="shared" ref="M246:M288" si="79">(I246*K246)/I$301</f>
        <v>147561.01609308858</v>
      </c>
      <c r="N246" s="872">
        <f t="shared" si="75"/>
        <v>192722</v>
      </c>
      <c r="P246" s="884">
        <v>185576</v>
      </c>
      <c r="Q246" s="876">
        <f t="shared" si="76"/>
        <v>-7146</v>
      </c>
      <c r="R246" s="877">
        <f t="shared" si="77"/>
        <v>-3.8507134543259908E-2</v>
      </c>
    </row>
    <row r="247" spans="1:18" x14ac:dyDescent="0.2">
      <c r="A247" s="856" t="s">
        <v>663</v>
      </c>
      <c r="B247" s="857" t="s">
        <v>385</v>
      </c>
      <c r="C247" s="858">
        <v>1.0216000000000001</v>
      </c>
      <c r="D247" s="1060">
        <f>INDEX(Data!$E$8:$E$303,MATCH('Cost of Collecton Calculation'!B247,Data!$C$8:$C$303,0))</f>
        <v>286410366</v>
      </c>
      <c r="E247" s="1060">
        <f>INDEX(Data!$F$8:$F$303,MATCH('Cost of Collecton Calculation'!B247,Data!$C$8:$C$303,0))</f>
        <v>5865</v>
      </c>
      <c r="F247" s="869">
        <f t="shared" si="69"/>
        <v>286410000</v>
      </c>
      <c r="G247" s="869">
        <f t="shared" si="70"/>
        <v>5870</v>
      </c>
      <c r="H247" s="869">
        <f t="shared" si="71"/>
        <v>292596456</v>
      </c>
      <c r="I247" s="869">
        <f t="shared" si="72"/>
        <v>5996.7920000000004</v>
      </c>
      <c r="J247" s="866">
        <f t="shared" si="73"/>
        <v>20160000</v>
      </c>
      <c r="K247" s="866">
        <f t="shared" si="74"/>
        <v>63840000</v>
      </c>
      <c r="L247" s="869">
        <f t="shared" si="78"/>
        <v>80566.685144487536</v>
      </c>
      <c r="M247" s="869">
        <f t="shared" si="79"/>
        <v>182726.8381283581</v>
      </c>
      <c r="N247" s="872">
        <f t="shared" si="75"/>
        <v>263294</v>
      </c>
      <c r="P247" s="884">
        <v>259668</v>
      </c>
      <c r="Q247" s="876">
        <f t="shared" si="76"/>
        <v>-3626</v>
      </c>
      <c r="R247" s="877">
        <f t="shared" si="77"/>
        <v>-1.3963984780565953E-2</v>
      </c>
    </row>
    <row r="248" spans="1:18" x14ac:dyDescent="0.2">
      <c r="A248" s="856" t="s">
        <v>386</v>
      </c>
      <c r="B248" s="857" t="s">
        <v>387</v>
      </c>
      <c r="C248" s="858">
        <v>1.0168999999999999</v>
      </c>
      <c r="D248" s="1060">
        <f>INDEX(Data!$E$8:$E$303,MATCH('Cost of Collecton Calculation'!B248,Data!$C$8:$C$303,0))</f>
        <v>159443160</v>
      </c>
      <c r="E248" s="1060">
        <f>INDEX(Data!$F$8:$F$303,MATCH('Cost of Collecton Calculation'!B248,Data!$C$8:$C$303,0))</f>
        <v>7829</v>
      </c>
      <c r="F248" s="869">
        <f t="shared" si="69"/>
        <v>159443000</v>
      </c>
      <c r="G248" s="869">
        <f t="shared" si="70"/>
        <v>7830</v>
      </c>
      <c r="H248" s="869">
        <f t="shared" si="71"/>
        <v>162137586.69999999</v>
      </c>
      <c r="I248" s="869">
        <f t="shared" si="72"/>
        <v>7962.3269999999993</v>
      </c>
      <c r="J248" s="866">
        <f t="shared" si="73"/>
        <v>20160000</v>
      </c>
      <c r="K248" s="866">
        <f t="shared" si="74"/>
        <v>63840000</v>
      </c>
      <c r="L248" s="869">
        <f t="shared" si="78"/>
        <v>44644.723577055047</v>
      </c>
      <c r="M248" s="869">
        <f t="shared" si="79"/>
        <v>242618.19266935639</v>
      </c>
      <c r="N248" s="872">
        <f t="shared" si="75"/>
        <v>287263</v>
      </c>
      <c r="P248" s="884">
        <v>286247</v>
      </c>
      <c r="Q248" s="876">
        <f t="shared" si="76"/>
        <v>-1016</v>
      </c>
      <c r="R248" s="877">
        <f t="shared" si="77"/>
        <v>-3.5493821769311119E-3</v>
      </c>
    </row>
    <row r="249" spans="1:18" x14ac:dyDescent="0.2">
      <c r="A249" s="856" t="s">
        <v>388</v>
      </c>
      <c r="B249" s="857" t="s">
        <v>389</v>
      </c>
      <c r="C249" s="858">
        <v>1</v>
      </c>
      <c r="D249" s="1060">
        <f>INDEX(Data!$E$8:$E$303,MATCH('Cost of Collecton Calculation'!B249,Data!$C$8:$C$303,0))</f>
        <v>85333337</v>
      </c>
      <c r="E249" s="1060">
        <f>INDEX(Data!$F$8:$F$303,MATCH('Cost of Collecton Calculation'!B249,Data!$C$8:$C$303,0))</f>
        <v>2098</v>
      </c>
      <c r="F249" s="869">
        <f t="shared" si="69"/>
        <v>85333000</v>
      </c>
      <c r="G249" s="869">
        <f t="shared" si="70"/>
        <v>2100</v>
      </c>
      <c r="H249" s="869">
        <f t="shared" si="71"/>
        <v>85333000</v>
      </c>
      <c r="I249" s="869">
        <f t="shared" si="72"/>
        <v>2100</v>
      </c>
      <c r="J249" s="866">
        <f t="shared" si="73"/>
        <v>20160000</v>
      </c>
      <c r="K249" s="866">
        <f t="shared" si="74"/>
        <v>63840000</v>
      </c>
      <c r="L249" s="869">
        <f t="shared" si="78"/>
        <v>23496.514747378056</v>
      </c>
      <c r="M249" s="869">
        <f t="shared" si="79"/>
        <v>63988.605919556991</v>
      </c>
      <c r="N249" s="872">
        <f t="shared" si="75"/>
        <v>87485</v>
      </c>
      <c r="P249" s="884">
        <v>87521</v>
      </c>
      <c r="Q249" s="876">
        <f t="shared" si="76"/>
        <v>36</v>
      </c>
      <c r="R249" s="877">
        <f t="shared" si="77"/>
        <v>4.1132985226402806E-4</v>
      </c>
    </row>
    <row r="250" spans="1:18" x14ac:dyDescent="0.2">
      <c r="A250" s="856" t="s">
        <v>390</v>
      </c>
      <c r="B250" s="857" t="s">
        <v>391</v>
      </c>
      <c r="C250" s="858">
        <v>1.1039000000000001</v>
      </c>
      <c r="D250" s="1060">
        <f>INDEX(Data!$E$8:$E$303,MATCH('Cost of Collecton Calculation'!B250,Data!$C$8:$C$303,0))</f>
        <v>64941194</v>
      </c>
      <c r="E250" s="1060">
        <f>INDEX(Data!$F$8:$F$303,MATCH('Cost of Collecton Calculation'!B250,Data!$C$8:$C$303,0))</f>
        <v>2908</v>
      </c>
      <c r="F250" s="869">
        <f t="shared" si="69"/>
        <v>64941000</v>
      </c>
      <c r="G250" s="869">
        <f t="shared" si="70"/>
        <v>2910</v>
      </c>
      <c r="H250" s="869">
        <f t="shared" si="71"/>
        <v>71688369.900000006</v>
      </c>
      <c r="I250" s="869">
        <f t="shared" si="72"/>
        <v>3212.3490000000002</v>
      </c>
      <c r="J250" s="866">
        <f t="shared" si="73"/>
        <v>20160000</v>
      </c>
      <c r="K250" s="866">
        <f t="shared" si="74"/>
        <v>63840000</v>
      </c>
      <c r="L250" s="869">
        <f t="shared" si="78"/>
        <v>19739.454145182324</v>
      </c>
      <c r="M250" s="869">
        <f t="shared" si="79"/>
        <v>97882.730589087136</v>
      </c>
      <c r="N250" s="872">
        <f t="shared" si="75"/>
        <v>117622</v>
      </c>
      <c r="P250" s="884">
        <v>119617</v>
      </c>
      <c r="Q250" s="876">
        <f t="shared" si="76"/>
        <v>1995</v>
      </c>
      <c r="R250" s="877">
        <f t="shared" si="77"/>
        <v>1.6678231355074947E-2</v>
      </c>
    </row>
    <row r="251" spans="1:18" x14ac:dyDescent="0.2">
      <c r="A251" s="856" t="s">
        <v>392</v>
      </c>
      <c r="B251" s="857" t="s">
        <v>393</v>
      </c>
      <c r="C251" s="858">
        <v>1</v>
      </c>
      <c r="D251" s="1060">
        <f>INDEX(Data!$E$8:$E$303,MATCH('Cost of Collecton Calculation'!B251,Data!$C$8:$C$303,0))</f>
        <v>95727925</v>
      </c>
      <c r="E251" s="1060">
        <f>INDEX(Data!$F$8:$F$303,MATCH('Cost of Collecton Calculation'!B251,Data!$C$8:$C$303,0))</f>
        <v>5664</v>
      </c>
      <c r="F251" s="869">
        <f t="shared" si="69"/>
        <v>95728000</v>
      </c>
      <c r="G251" s="869">
        <f t="shared" si="70"/>
        <v>5660</v>
      </c>
      <c r="H251" s="869">
        <f t="shared" si="71"/>
        <v>95728000</v>
      </c>
      <c r="I251" s="869">
        <f t="shared" si="72"/>
        <v>5660</v>
      </c>
      <c r="J251" s="866">
        <f t="shared" si="73"/>
        <v>20160000</v>
      </c>
      <c r="K251" s="866">
        <f t="shared" si="74"/>
        <v>63840000</v>
      </c>
      <c r="L251" s="869">
        <f t="shared" si="78"/>
        <v>26358.786914054428</v>
      </c>
      <c r="M251" s="869">
        <f t="shared" si="79"/>
        <v>172464.52833556788</v>
      </c>
      <c r="N251" s="872">
        <f t="shared" si="75"/>
        <v>198823</v>
      </c>
      <c r="P251" s="884">
        <v>195903</v>
      </c>
      <c r="Q251" s="876">
        <f t="shared" si="76"/>
        <v>-2920</v>
      </c>
      <c r="R251" s="877">
        <f t="shared" si="77"/>
        <v>-1.4905335803943789E-2</v>
      </c>
    </row>
    <row r="252" spans="1:18" x14ac:dyDescent="0.2">
      <c r="A252" s="856" t="s">
        <v>1000</v>
      </c>
      <c r="B252" s="857" t="s">
        <v>395</v>
      </c>
      <c r="C252" s="858">
        <v>1</v>
      </c>
      <c r="D252" s="1060">
        <f>INDEX(Data!$E$8:$E$303,MATCH('Cost of Collecton Calculation'!B252,Data!$C$8:$C$303,0))</f>
        <v>193107270</v>
      </c>
      <c r="E252" s="1060">
        <f>INDEX(Data!$F$8:$F$303,MATCH('Cost of Collecton Calculation'!B252,Data!$C$8:$C$303,0))</f>
        <v>5371</v>
      </c>
      <c r="F252" s="869">
        <f t="shared" si="69"/>
        <v>193107000</v>
      </c>
      <c r="G252" s="869">
        <f t="shared" si="70"/>
        <v>5370</v>
      </c>
      <c r="H252" s="869">
        <f t="shared" si="71"/>
        <v>193107000</v>
      </c>
      <c r="I252" s="869">
        <f t="shared" si="72"/>
        <v>5370</v>
      </c>
      <c r="J252" s="866">
        <f t="shared" si="73"/>
        <v>20160000</v>
      </c>
      <c r="K252" s="866">
        <f t="shared" si="74"/>
        <v>63840000</v>
      </c>
      <c r="L252" s="869">
        <f t="shared" si="78"/>
        <v>53172.178094312098</v>
      </c>
      <c r="M252" s="869">
        <f t="shared" si="79"/>
        <v>163628.0065657243</v>
      </c>
      <c r="N252" s="872">
        <f t="shared" si="75"/>
        <v>216800</v>
      </c>
      <c r="P252" s="884">
        <v>215144</v>
      </c>
      <c r="Q252" s="876">
        <f t="shared" si="76"/>
        <v>-1656</v>
      </c>
      <c r="R252" s="877">
        <f t="shared" si="77"/>
        <v>-7.6971702673558177E-3</v>
      </c>
    </row>
    <row r="253" spans="1:18" x14ac:dyDescent="0.2">
      <c r="A253" s="856" t="s">
        <v>396</v>
      </c>
      <c r="B253" s="857" t="s">
        <v>397</v>
      </c>
      <c r="C253" s="858">
        <v>1.0129999999999999</v>
      </c>
      <c r="D253" s="1060">
        <f>INDEX(Data!$E$8:$E$303,MATCH('Cost of Collecton Calculation'!B253,Data!$C$8:$C$303,0))</f>
        <v>90431431</v>
      </c>
      <c r="E253" s="1060">
        <f>INDEX(Data!$F$8:$F$303,MATCH('Cost of Collecton Calculation'!B253,Data!$C$8:$C$303,0))</f>
        <v>8567</v>
      </c>
      <c r="F253" s="869">
        <f t="shared" si="69"/>
        <v>90431000</v>
      </c>
      <c r="G253" s="869">
        <f t="shared" si="70"/>
        <v>8570</v>
      </c>
      <c r="H253" s="869">
        <f t="shared" si="71"/>
        <v>91606602.999999985</v>
      </c>
      <c r="I253" s="869">
        <f t="shared" si="72"/>
        <v>8681.41</v>
      </c>
      <c r="J253" s="866">
        <f t="shared" si="73"/>
        <v>20160000</v>
      </c>
      <c r="K253" s="866">
        <f t="shared" si="74"/>
        <v>63840000</v>
      </c>
      <c r="L253" s="869">
        <f t="shared" si="78"/>
        <v>25223.956714831384</v>
      </c>
      <c r="M253" s="869">
        <f t="shared" si="79"/>
        <v>264529.20157909585</v>
      </c>
      <c r="N253" s="872">
        <f t="shared" si="75"/>
        <v>289753</v>
      </c>
      <c r="P253" s="884">
        <v>288407</v>
      </c>
      <c r="Q253" s="876">
        <f t="shared" si="76"/>
        <v>-1346</v>
      </c>
      <c r="R253" s="877">
        <f t="shared" si="77"/>
        <v>-4.6670157104369862E-3</v>
      </c>
    </row>
    <row r="254" spans="1:18" x14ac:dyDescent="0.2">
      <c r="A254" s="856" t="s">
        <v>398</v>
      </c>
      <c r="B254" s="857" t="s">
        <v>399</v>
      </c>
      <c r="C254" s="858">
        <v>1.036</v>
      </c>
      <c r="D254" s="1060">
        <f>INDEX(Data!$E$8:$E$303,MATCH('Cost of Collecton Calculation'!B254,Data!$C$8:$C$303,0))</f>
        <v>170429903</v>
      </c>
      <c r="E254" s="1060">
        <f>INDEX(Data!$F$8:$F$303,MATCH('Cost of Collecton Calculation'!B254,Data!$C$8:$C$303,0))</f>
        <v>4714</v>
      </c>
      <c r="F254" s="869">
        <f t="shared" si="69"/>
        <v>170430000</v>
      </c>
      <c r="G254" s="869">
        <f t="shared" si="70"/>
        <v>4710</v>
      </c>
      <c r="H254" s="869">
        <f t="shared" si="71"/>
        <v>176565480</v>
      </c>
      <c r="I254" s="869">
        <f t="shared" si="72"/>
        <v>4879.5600000000004</v>
      </c>
      <c r="J254" s="866">
        <f t="shared" si="73"/>
        <v>20160000</v>
      </c>
      <c r="K254" s="866">
        <f t="shared" si="74"/>
        <v>63840000</v>
      </c>
      <c r="L254" s="869">
        <f t="shared" si="78"/>
        <v>48617.456373242298</v>
      </c>
      <c r="M254" s="869">
        <f t="shared" si="79"/>
        <v>148683.92471468262</v>
      </c>
      <c r="N254" s="872">
        <f t="shared" si="75"/>
        <v>197301</v>
      </c>
      <c r="P254" s="884">
        <v>188565</v>
      </c>
      <c r="Q254" s="876">
        <f t="shared" si="76"/>
        <v>-8736</v>
      </c>
      <c r="R254" s="877">
        <f t="shared" si="77"/>
        <v>-4.6328852119958637E-2</v>
      </c>
    </row>
    <row r="255" spans="1:18" x14ac:dyDescent="0.2">
      <c r="A255" s="856" t="s">
        <v>400</v>
      </c>
      <c r="B255" s="857" t="s">
        <v>401</v>
      </c>
      <c r="C255" s="858">
        <v>1.0197000000000001</v>
      </c>
      <c r="D255" s="1060">
        <f>INDEX(Data!$E$8:$E$303,MATCH('Cost of Collecton Calculation'!B255,Data!$C$8:$C$303,0))</f>
        <v>103172129</v>
      </c>
      <c r="E255" s="1060">
        <f>INDEX(Data!$F$8:$F$303,MATCH('Cost of Collecton Calculation'!B255,Data!$C$8:$C$303,0))</f>
        <v>3084</v>
      </c>
      <c r="F255" s="869">
        <f t="shared" si="69"/>
        <v>103172000</v>
      </c>
      <c r="G255" s="869">
        <f t="shared" si="70"/>
        <v>3080</v>
      </c>
      <c r="H255" s="869">
        <f t="shared" si="71"/>
        <v>105204488.40000001</v>
      </c>
      <c r="I255" s="869">
        <f t="shared" si="72"/>
        <v>3140.6759999999999</v>
      </c>
      <c r="J255" s="866">
        <f t="shared" si="73"/>
        <v>20160000</v>
      </c>
      <c r="K255" s="866">
        <f t="shared" si="74"/>
        <v>63840000</v>
      </c>
      <c r="L255" s="869">
        <f t="shared" si="78"/>
        <v>28968.146123785213</v>
      </c>
      <c r="M255" s="869">
        <f t="shared" si="79"/>
        <v>95698.799469052654</v>
      </c>
      <c r="N255" s="872">
        <f t="shared" si="75"/>
        <v>124667</v>
      </c>
      <c r="P255" s="884">
        <v>122676</v>
      </c>
      <c r="Q255" s="876">
        <f t="shared" si="76"/>
        <v>-1991</v>
      </c>
      <c r="R255" s="877">
        <f t="shared" si="77"/>
        <v>-1.622974338908996E-2</v>
      </c>
    </row>
    <row r="256" spans="1:18" x14ac:dyDescent="0.2">
      <c r="A256" s="856" t="s">
        <v>402</v>
      </c>
      <c r="B256" s="857" t="s">
        <v>403</v>
      </c>
      <c r="C256" s="858">
        <v>1.0067999999999999</v>
      </c>
      <c r="D256" s="1060">
        <f>INDEX(Data!$E$8:$E$303,MATCH('Cost of Collecton Calculation'!B256,Data!$C$8:$C$303,0))</f>
        <v>107896098</v>
      </c>
      <c r="E256" s="1060">
        <f>INDEX(Data!$F$8:$F$303,MATCH('Cost of Collecton Calculation'!B256,Data!$C$8:$C$303,0))</f>
        <v>5633</v>
      </c>
      <c r="F256" s="869">
        <f t="shared" si="69"/>
        <v>107896000</v>
      </c>
      <c r="G256" s="869">
        <f t="shared" si="70"/>
        <v>5630</v>
      </c>
      <c r="H256" s="869">
        <f t="shared" si="71"/>
        <v>108629692.8</v>
      </c>
      <c r="I256" s="869">
        <f t="shared" si="72"/>
        <v>5668.2839999999997</v>
      </c>
      <c r="J256" s="866">
        <f t="shared" si="73"/>
        <v>20160000</v>
      </c>
      <c r="K256" s="866">
        <f t="shared" si="74"/>
        <v>63840000</v>
      </c>
      <c r="L256" s="869">
        <f t="shared" si="78"/>
        <v>29911.279093414596</v>
      </c>
      <c r="M256" s="869">
        <f t="shared" si="79"/>
        <v>172716.94815053817</v>
      </c>
      <c r="N256" s="872">
        <f t="shared" si="75"/>
        <v>202628</v>
      </c>
      <c r="P256" s="884">
        <v>199487</v>
      </c>
      <c r="Q256" s="876">
        <f t="shared" si="76"/>
        <v>-3141</v>
      </c>
      <c r="R256" s="877">
        <f t="shared" si="77"/>
        <v>-1.5745386917443243E-2</v>
      </c>
    </row>
    <row r="257" spans="1:18" x14ac:dyDescent="0.2">
      <c r="A257" s="856" t="s">
        <v>404</v>
      </c>
      <c r="B257" s="857" t="s">
        <v>405</v>
      </c>
      <c r="C257" s="858">
        <v>1.0815999999999999</v>
      </c>
      <c r="D257" s="1060">
        <f>INDEX(Data!$E$8:$E$303,MATCH('Cost of Collecton Calculation'!B257,Data!$C$8:$C$303,0))</f>
        <v>115802165</v>
      </c>
      <c r="E257" s="1060">
        <f>INDEX(Data!$F$8:$F$303,MATCH('Cost of Collecton Calculation'!B257,Data!$C$8:$C$303,0))</f>
        <v>2118</v>
      </c>
      <c r="F257" s="869">
        <f t="shared" si="69"/>
        <v>115802000</v>
      </c>
      <c r="G257" s="869">
        <f t="shared" si="70"/>
        <v>2120</v>
      </c>
      <c r="H257" s="869">
        <f t="shared" si="71"/>
        <v>125251443.19999999</v>
      </c>
      <c r="I257" s="869">
        <f t="shared" si="72"/>
        <v>2292.9919999999997</v>
      </c>
      <c r="J257" s="866">
        <f t="shared" si="73"/>
        <v>20160000</v>
      </c>
      <c r="K257" s="866">
        <f t="shared" si="74"/>
        <v>63840000</v>
      </c>
      <c r="L257" s="869">
        <f t="shared" si="78"/>
        <v>34488.092323944838</v>
      </c>
      <c r="M257" s="869">
        <f t="shared" si="79"/>
        <v>69869.219745093709</v>
      </c>
      <c r="N257" s="872">
        <f t="shared" si="75"/>
        <v>104357</v>
      </c>
      <c r="P257" s="884">
        <v>93063</v>
      </c>
      <c r="Q257" s="876">
        <f t="shared" si="76"/>
        <v>-11294</v>
      </c>
      <c r="R257" s="877">
        <f t="shared" si="77"/>
        <v>-0.12135864951699386</v>
      </c>
    </row>
    <row r="258" spans="1:18" x14ac:dyDescent="0.2">
      <c r="A258" s="856" t="s">
        <v>580</v>
      </c>
      <c r="B258" s="857" t="s">
        <v>407</v>
      </c>
      <c r="C258" s="858">
        <v>1.0618000000000001</v>
      </c>
      <c r="D258" s="1060">
        <f>INDEX(Data!$E$8:$E$303,MATCH('Cost of Collecton Calculation'!B258,Data!$C$8:$C$303,0))</f>
        <v>324122106</v>
      </c>
      <c r="E258" s="1060">
        <f>INDEX(Data!$F$8:$F$303,MATCH('Cost of Collecton Calculation'!B258,Data!$C$8:$C$303,0))</f>
        <v>4381</v>
      </c>
      <c r="F258" s="869">
        <f t="shared" si="69"/>
        <v>324122000</v>
      </c>
      <c r="G258" s="869">
        <f t="shared" si="70"/>
        <v>4380</v>
      </c>
      <c r="H258" s="869">
        <f t="shared" si="71"/>
        <v>344152739.60000002</v>
      </c>
      <c r="I258" s="869">
        <f t="shared" si="72"/>
        <v>4650.6840000000002</v>
      </c>
      <c r="J258" s="866">
        <f t="shared" si="73"/>
        <v>20160000</v>
      </c>
      <c r="K258" s="866">
        <f t="shared" si="74"/>
        <v>63840000</v>
      </c>
      <c r="L258" s="869">
        <f t="shared" si="78"/>
        <v>94762.752057960693</v>
      </c>
      <c r="M258" s="869">
        <f t="shared" si="79"/>
        <v>141709.89796780428</v>
      </c>
      <c r="N258" s="872">
        <f t="shared" si="75"/>
        <v>236473</v>
      </c>
      <c r="P258" s="884">
        <v>230413</v>
      </c>
      <c r="Q258" s="876">
        <f t="shared" si="76"/>
        <v>-6060</v>
      </c>
      <c r="R258" s="877">
        <f t="shared" si="77"/>
        <v>-2.6300599358543137E-2</v>
      </c>
    </row>
    <row r="259" spans="1:18" x14ac:dyDescent="0.2">
      <c r="A259" s="856" t="s">
        <v>408</v>
      </c>
      <c r="B259" s="857" t="s">
        <v>409</v>
      </c>
      <c r="C259" s="858">
        <v>1.0067999999999999</v>
      </c>
      <c r="D259" s="1060">
        <f>INDEX(Data!$E$8:$E$303,MATCH('Cost of Collecton Calculation'!B259,Data!$C$8:$C$303,0))</f>
        <v>170021964</v>
      </c>
      <c r="E259" s="1060">
        <f>INDEX(Data!$F$8:$F$303,MATCH('Cost of Collecton Calculation'!B259,Data!$C$8:$C$303,0))</f>
        <v>3728</v>
      </c>
      <c r="F259" s="869">
        <f t="shared" si="69"/>
        <v>170022000</v>
      </c>
      <c r="G259" s="869">
        <f t="shared" si="70"/>
        <v>3730</v>
      </c>
      <c r="H259" s="869">
        <f t="shared" si="71"/>
        <v>171178149.59999999</v>
      </c>
      <c r="I259" s="869">
        <f t="shared" si="72"/>
        <v>3755.3639999999996</v>
      </c>
      <c r="J259" s="866">
        <f t="shared" si="73"/>
        <v>20160000</v>
      </c>
      <c r="K259" s="866">
        <f t="shared" si="74"/>
        <v>63840000</v>
      </c>
      <c r="L259" s="869">
        <f t="shared" si="78"/>
        <v>47134.050326430421</v>
      </c>
      <c r="M259" s="869">
        <f t="shared" si="79"/>
        <v>114428.81289547199</v>
      </c>
      <c r="N259" s="872">
        <f t="shared" si="75"/>
        <v>161563</v>
      </c>
      <c r="P259" s="884">
        <v>155069</v>
      </c>
      <c r="Q259" s="876">
        <f t="shared" si="76"/>
        <v>-6494</v>
      </c>
      <c r="R259" s="877">
        <f t="shared" si="77"/>
        <v>-4.1878131670417686E-2</v>
      </c>
    </row>
    <row r="260" spans="1:18" x14ac:dyDescent="0.2">
      <c r="A260" s="856" t="s">
        <v>562</v>
      </c>
      <c r="B260" s="857" t="s">
        <v>411</v>
      </c>
      <c r="C260" s="858">
        <v>1</v>
      </c>
      <c r="D260" s="1060">
        <f>INDEX(Data!$E$8:$E$303,MATCH('Cost of Collecton Calculation'!B260,Data!$C$8:$C$303,0))</f>
        <v>98815906</v>
      </c>
      <c r="E260" s="1060">
        <f>INDEX(Data!$F$8:$F$303,MATCH('Cost of Collecton Calculation'!B260,Data!$C$8:$C$303,0))</f>
        <v>5653</v>
      </c>
      <c r="F260" s="869">
        <f t="shared" si="69"/>
        <v>98816000</v>
      </c>
      <c r="G260" s="869">
        <f t="shared" si="70"/>
        <v>5650</v>
      </c>
      <c r="H260" s="869">
        <f t="shared" si="71"/>
        <v>98816000</v>
      </c>
      <c r="I260" s="869">
        <f t="shared" si="72"/>
        <v>5650</v>
      </c>
      <c r="J260" s="866">
        <f t="shared" si="73"/>
        <v>20160000</v>
      </c>
      <c r="K260" s="866">
        <f t="shared" si="74"/>
        <v>63840000</v>
      </c>
      <c r="L260" s="869">
        <f t="shared" si="78"/>
        <v>27209.070362894894</v>
      </c>
      <c r="M260" s="869">
        <f t="shared" si="79"/>
        <v>172159.82068833191</v>
      </c>
      <c r="N260" s="872">
        <f t="shared" si="75"/>
        <v>199369</v>
      </c>
      <c r="P260" s="884">
        <v>199346</v>
      </c>
      <c r="Q260" s="876">
        <f t="shared" si="76"/>
        <v>-23</v>
      </c>
      <c r="R260" s="877">
        <f t="shared" si="77"/>
        <v>-1.1537728371775707E-4</v>
      </c>
    </row>
    <row r="261" spans="1:18" x14ac:dyDescent="0.2">
      <c r="A261" s="856" t="s">
        <v>412</v>
      </c>
      <c r="B261" s="857" t="s">
        <v>413</v>
      </c>
      <c r="C261" s="858">
        <v>1</v>
      </c>
      <c r="D261" s="1060">
        <f>INDEX(Data!$E$8:$E$303,MATCH('Cost of Collecton Calculation'!B261,Data!$C$8:$C$303,0))</f>
        <v>46245376</v>
      </c>
      <c r="E261" s="1060">
        <f>INDEX(Data!$F$8:$F$303,MATCH('Cost of Collecton Calculation'!B261,Data!$C$8:$C$303,0))</f>
        <v>4165</v>
      </c>
      <c r="F261" s="869">
        <f t="shared" si="69"/>
        <v>46245000</v>
      </c>
      <c r="G261" s="869">
        <f t="shared" si="70"/>
        <v>4170</v>
      </c>
      <c r="H261" s="869">
        <f t="shared" si="71"/>
        <v>46245000</v>
      </c>
      <c r="I261" s="869">
        <f t="shared" si="72"/>
        <v>4170</v>
      </c>
      <c r="J261" s="866">
        <f t="shared" si="73"/>
        <v>20160000</v>
      </c>
      <c r="K261" s="866">
        <f t="shared" si="74"/>
        <v>63840000</v>
      </c>
      <c r="L261" s="869">
        <f t="shared" si="78"/>
        <v>12733.600418273098</v>
      </c>
      <c r="M261" s="869">
        <f t="shared" si="79"/>
        <v>127063.08889740602</v>
      </c>
      <c r="N261" s="872">
        <f t="shared" si="75"/>
        <v>139797</v>
      </c>
      <c r="P261" s="884">
        <v>139222</v>
      </c>
      <c r="Q261" s="876">
        <f t="shared" si="76"/>
        <v>-575</v>
      </c>
      <c r="R261" s="877">
        <f t="shared" si="77"/>
        <v>-4.1300943816350863E-3</v>
      </c>
    </row>
    <row r="262" spans="1:18" x14ac:dyDescent="0.2">
      <c r="A262" s="856" t="s">
        <v>414</v>
      </c>
      <c r="B262" s="857" t="s">
        <v>415</v>
      </c>
      <c r="C262" s="858">
        <v>1.2208000000000001</v>
      </c>
      <c r="D262" s="1060">
        <f>INDEX(Data!$E$8:$E$303,MATCH('Cost of Collecton Calculation'!B262,Data!$C$8:$C$303,0))</f>
        <v>1024491587</v>
      </c>
      <c r="E262" s="1060">
        <f>INDEX(Data!$F$8:$F$303,MATCH('Cost of Collecton Calculation'!B262,Data!$C$8:$C$303,0))</f>
        <v>18178</v>
      </c>
      <c r="F262" s="869">
        <f t="shared" si="69"/>
        <v>1024492000</v>
      </c>
      <c r="G262" s="869">
        <f t="shared" si="70"/>
        <v>18180</v>
      </c>
      <c r="H262" s="869">
        <f t="shared" si="71"/>
        <v>1250699833.6000001</v>
      </c>
      <c r="I262" s="869">
        <f t="shared" si="72"/>
        <v>22194.144</v>
      </c>
      <c r="J262" s="866">
        <f t="shared" si="73"/>
        <v>20160000</v>
      </c>
      <c r="K262" s="866">
        <f t="shared" si="74"/>
        <v>63840000</v>
      </c>
      <c r="L262" s="869">
        <f t="shared" si="78"/>
        <v>344381.27201347292</v>
      </c>
      <c r="M262" s="869">
        <f t="shared" si="79"/>
        <v>676272.54006566678</v>
      </c>
      <c r="N262" s="872">
        <f t="shared" si="75"/>
        <v>1020654</v>
      </c>
      <c r="P262" s="884">
        <v>1051203</v>
      </c>
      <c r="Q262" s="876">
        <f t="shared" si="76"/>
        <v>30549</v>
      </c>
      <c r="R262" s="877">
        <f t="shared" si="77"/>
        <v>2.9060990122745083E-2</v>
      </c>
    </row>
    <row r="263" spans="1:18" x14ac:dyDescent="0.2">
      <c r="A263" s="856" t="s">
        <v>416</v>
      </c>
      <c r="B263" s="857" t="s">
        <v>417</v>
      </c>
      <c r="C263" s="858">
        <v>1.0168999999999999</v>
      </c>
      <c r="D263" s="1060">
        <f>INDEX(Data!$E$8:$E$303,MATCH('Cost of Collecton Calculation'!B263,Data!$C$8:$C$303,0))</f>
        <v>361090740</v>
      </c>
      <c r="E263" s="1060">
        <f>INDEX(Data!$F$8:$F$303,MATCH('Cost of Collecton Calculation'!B263,Data!$C$8:$C$303,0))</f>
        <v>10893</v>
      </c>
      <c r="F263" s="869">
        <f t="shared" si="69"/>
        <v>361091000</v>
      </c>
      <c r="G263" s="869">
        <f t="shared" si="70"/>
        <v>10890</v>
      </c>
      <c r="H263" s="869">
        <f t="shared" si="71"/>
        <v>367193437.89999998</v>
      </c>
      <c r="I263" s="869">
        <f t="shared" si="72"/>
        <v>11074.040999999999</v>
      </c>
      <c r="J263" s="866">
        <f t="shared" si="73"/>
        <v>20160000</v>
      </c>
      <c r="K263" s="866">
        <f t="shared" si="74"/>
        <v>63840000</v>
      </c>
      <c r="L263" s="869">
        <f t="shared" si="78"/>
        <v>101107.02809883397</v>
      </c>
      <c r="M263" s="869">
        <f t="shared" si="79"/>
        <v>337434.49785048421</v>
      </c>
      <c r="N263" s="872">
        <f t="shared" si="75"/>
        <v>438542</v>
      </c>
      <c r="P263" s="884">
        <v>450435</v>
      </c>
      <c r="Q263" s="876">
        <f t="shared" si="76"/>
        <v>11893</v>
      </c>
      <c r="R263" s="877">
        <f t="shared" si="77"/>
        <v>2.6403365635441295E-2</v>
      </c>
    </row>
    <row r="264" spans="1:18" x14ac:dyDescent="0.2">
      <c r="A264" s="856" t="s">
        <v>418</v>
      </c>
      <c r="B264" s="857" t="s">
        <v>419</v>
      </c>
      <c r="C264" s="858">
        <v>1.0067999999999999</v>
      </c>
      <c r="D264" s="1060">
        <f>INDEX(Data!$E$8:$E$303,MATCH('Cost of Collecton Calculation'!B264,Data!$C$8:$C$303,0))</f>
        <v>143678763</v>
      </c>
      <c r="E264" s="1060">
        <f>INDEX(Data!$F$8:$F$303,MATCH('Cost of Collecton Calculation'!B264,Data!$C$8:$C$303,0))</f>
        <v>4073</v>
      </c>
      <c r="F264" s="869">
        <f t="shared" si="69"/>
        <v>143679000</v>
      </c>
      <c r="G264" s="869">
        <f t="shared" si="70"/>
        <v>4070</v>
      </c>
      <c r="H264" s="869">
        <f t="shared" si="71"/>
        <v>144656017.19999999</v>
      </c>
      <c r="I264" s="869">
        <f t="shared" si="72"/>
        <v>4097.6759999999995</v>
      </c>
      <c r="J264" s="866">
        <f t="shared" si="73"/>
        <v>20160000</v>
      </c>
      <c r="K264" s="866">
        <f t="shared" si="74"/>
        <v>63840000</v>
      </c>
      <c r="L264" s="869">
        <f t="shared" si="78"/>
        <v>39831.158419799773</v>
      </c>
      <c r="M264" s="869">
        <f t="shared" si="79"/>
        <v>124859.32130953646</v>
      </c>
      <c r="N264" s="872">
        <f t="shared" si="75"/>
        <v>164690</v>
      </c>
      <c r="P264" s="884">
        <v>167770</v>
      </c>
      <c r="Q264" s="876">
        <f t="shared" si="76"/>
        <v>3080</v>
      </c>
      <c r="R264" s="877">
        <f t="shared" si="77"/>
        <v>1.8358466948798949E-2</v>
      </c>
    </row>
    <row r="265" spans="1:18" x14ac:dyDescent="0.2">
      <c r="A265" s="856" t="s">
        <v>420</v>
      </c>
      <c r="B265" s="857" t="s">
        <v>421</v>
      </c>
      <c r="C265" s="858">
        <v>1.0129999999999999</v>
      </c>
      <c r="D265" s="1060">
        <f>INDEX(Data!$E$8:$E$303,MATCH('Cost of Collecton Calculation'!B265,Data!$C$8:$C$303,0))</f>
        <v>129064410</v>
      </c>
      <c r="E265" s="1060">
        <f>INDEX(Data!$F$8:$F$303,MATCH('Cost of Collecton Calculation'!B265,Data!$C$8:$C$303,0))</f>
        <v>3514</v>
      </c>
      <c r="F265" s="869">
        <f t="shared" si="69"/>
        <v>129064000</v>
      </c>
      <c r="G265" s="869">
        <f t="shared" si="70"/>
        <v>3510</v>
      </c>
      <c r="H265" s="869">
        <f t="shared" si="71"/>
        <v>130741831.99999999</v>
      </c>
      <c r="I265" s="869">
        <f t="shared" si="72"/>
        <v>3555.6299999999997</v>
      </c>
      <c r="J265" s="866">
        <f t="shared" si="73"/>
        <v>20160000</v>
      </c>
      <c r="K265" s="866">
        <f t="shared" si="74"/>
        <v>63840000</v>
      </c>
      <c r="L265" s="869">
        <f t="shared" si="78"/>
        <v>35999.875589598676</v>
      </c>
      <c r="M265" s="869">
        <f t="shared" si="79"/>
        <v>108342.76517416876</v>
      </c>
      <c r="N265" s="872">
        <f t="shared" si="75"/>
        <v>144343</v>
      </c>
      <c r="P265" s="884">
        <v>141157</v>
      </c>
      <c r="Q265" s="876">
        <f t="shared" si="76"/>
        <v>-3186</v>
      </c>
      <c r="R265" s="877">
        <f t="shared" si="77"/>
        <v>-2.2570612863690782E-2</v>
      </c>
    </row>
    <row r="266" spans="1:18" x14ac:dyDescent="0.2">
      <c r="A266" s="856" t="s">
        <v>422</v>
      </c>
      <c r="B266" s="857" t="s">
        <v>423</v>
      </c>
      <c r="C266" s="858">
        <v>1.0533999999999999</v>
      </c>
      <c r="D266" s="1060">
        <f>INDEX(Data!$E$8:$E$303,MATCH('Cost of Collecton Calculation'!B266,Data!$C$8:$C$303,0))</f>
        <v>192786089</v>
      </c>
      <c r="E266" s="1060">
        <f>INDEX(Data!$F$8:$F$303,MATCH('Cost of Collecton Calculation'!B266,Data!$C$8:$C$303,0))</f>
        <v>3985</v>
      </c>
      <c r="F266" s="869">
        <f t="shared" si="69"/>
        <v>192786000</v>
      </c>
      <c r="G266" s="869">
        <f t="shared" si="70"/>
        <v>3990</v>
      </c>
      <c r="H266" s="869">
        <f t="shared" si="71"/>
        <v>203080772.39999998</v>
      </c>
      <c r="I266" s="869">
        <f t="shared" si="72"/>
        <v>4203.0659999999998</v>
      </c>
      <c r="J266" s="866">
        <f t="shared" si="73"/>
        <v>20160000</v>
      </c>
      <c r="K266" s="866">
        <f t="shared" si="74"/>
        <v>63840000</v>
      </c>
      <c r="L266" s="869">
        <f t="shared" si="78"/>
        <v>55918.464880005697</v>
      </c>
      <c r="M266" s="869">
        <f t="shared" si="79"/>
        <v>128070.63520375654</v>
      </c>
      <c r="N266" s="872">
        <f t="shared" si="75"/>
        <v>183989</v>
      </c>
      <c r="P266" s="884">
        <v>172142</v>
      </c>
      <c r="Q266" s="876">
        <f t="shared" si="76"/>
        <v>-11847</v>
      </c>
      <c r="R266" s="877">
        <f t="shared" si="77"/>
        <v>-6.8821089565591201E-2</v>
      </c>
    </row>
    <row r="267" spans="1:18" x14ac:dyDescent="0.2">
      <c r="A267" s="856" t="s">
        <v>424</v>
      </c>
      <c r="B267" s="857" t="s">
        <v>425</v>
      </c>
      <c r="C267" s="858">
        <v>1.0055000000000001</v>
      </c>
      <c r="D267" s="1060">
        <f>INDEX(Data!$E$8:$E$303,MATCH('Cost of Collecton Calculation'!B267,Data!$C$8:$C$303,0))</f>
        <v>365400862</v>
      </c>
      <c r="E267" s="1060">
        <f>INDEX(Data!$F$8:$F$303,MATCH('Cost of Collecton Calculation'!B267,Data!$C$8:$C$303,0))</f>
        <v>11841</v>
      </c>
      <c r="F267" s="869">
        <f t="shared" si="69"/>
        <v>365401000</v>
      </c>
      <c r="G267" s="869">
        <f t="shared" si="70"/>
        <v>11840</v>
      </c>
      <c r="H267" s="869">
        <f t="shared" si="71"/>
        <v>367410705.5</v>
      </c>
      <c r="I267" s="869">
        <f t="shared" si="72"/>
        <v>11905.12</v>
      </c>
      <c r="J267" s="866">
        <f t="shared" si="73"/>
        <v>20160000</v>
      </c>
      <c r="K267" s="866">
        <f t="shared" si="74"/>
        <v>63840000</v>
      </c>
      <c r="L267" s="869">
        <f t="shared" si="78"/>
        <v>101166.85291886287</v>
      </c>
      <c r="M267" s="869">
        <f t="shared" si="79"/>
        <v>362758.11052620778</v>
      </c>
      <c r="N267" s="872">
        <f t="shared" si="75"/>
        <v>463925</v>
      </c>
      <c r="P267" s="884">
        <v>462667</v>
      </c>
      <c r="Q267" s="876">
        <f t="shared" si="76"/>
        <v>-1258</v>
      </c>
      <c r="R267" s="877">
        <f t="shared" si="77"/>
        <v>-2.7190182139638229E-3</v>
      </c>
    </row>
    <row r="268" spans="1:18" x14ac:dyDescent="0.2">
      <c r="A268" s="856" t="s">
        <v>426</v>
      </c>
      <c r="B268" s="857" t="s">
        <v>427</v>
      </c>
      <c r="C268" s="858">
        <v>1.0134000000000001</v>
      </c>
      <c r="D268" s="1060">
        <f>INDEX(Data!$E$8:$E$303,MATCH('Cost of Collecton Calculation'!B268,Data!$C$8:$C$303,0))</f>
        <v>202127806</v>
      </c>
      <c r="E268" s="1060">
        <f>INDEX(Data!$F$8:$F$303,MATCH('Cost of Collecton Calculation'!B268,Data!$C$8:$C$303,0))</f>
        <v>8457</v>
      </c>
      <c r="F268" s="869">
        <f t="shared" si="69"/>
        <v>202128000</v>
      </c>
      <c r="G268" s="869">
        <f t="shared" si="70"/>
        <v>8460</v>
      </c>
      <c r="H268" s="869">
        <f t="shared" si="71"/>
        <v>204836515.20000002</v>
      </c>
      <c r="I268" s="869">
        <f t="shared" si="72"/>
        <v>8573.3640000000014</v>
      </c>
      <c r="J268" s="866">
        <f t="shared" si="73"/>
        <v>20160000</v>
      </c>
      <c r="K268" s="866">
        <f t="shared" si="74"/>
        <v>63840000</v>
      </c>
      <c r="L268" s="869">
        <f t="shared" si="78"/>
        <v>56401.910166035763</v>
      </c>
      <c r="M268" s="869">
        <f t="shared" si="79"/>
        <v>261236.95733376994</v>
      </c>
      <c r="N268" s="872">
        <f t="shared" si="75"/>
        <v>317639</v>
      </c>
      <c r="P268" s="884">
        <v>320659</v>
      </c>
      <c r="Q268" s="876">
        <f t="shared" si="76"/>
        <v>3020</v>
      </c>
      <c r="R268" s="877">
        <f t="shared" si="77"/>
        <v>9.418104590858201E-3</v>
      </c>
    </row>
    <row r="269" spans="1:18" x14ac:dyDescent="0.2">
      <c r="A269" s="856" t="s">
        <v>428</v>
      </c>
      <c r="B269" s="857" t="s">
        <v>429</v>
      </c>
      <c r="C269" s="858">
        <v>1.0760000000000001</v>
      </c>
      <c r="D269" s="1060">
        <f>INDEX(Data!$E$8:$E$303,MATCH('Cost of Collecton Calculation'!B269,Data!$C$8:$C$303,0))</f>
        <v>191071545</v>
      </c>
      <c r="E269" s="1060">
        <f>INDEX(Data!$F$8:$F$303,MATCH('Cost of Collecton Calculation'!B269,Data!$C$8:$C$303,0))</f>
        <v>6733</v>
      </c>
      <c r="F269" s="869">
        <f t="shared" si="69"/>
        <v>191072000</v>
      </c>
      <c r="G269" s="869">
        <f t="shared" si="70"/>
        <v>6730</v>
      </c>
      <c r="H269" s="869">
        <f t="shared" si="71"/>
        <v>205593472</v>
      </c>
      <c r="I269" s="869">
        <f t="shared" si="72"/>
        <v>7241.4800000000005</v>
      </c>
      <c r="J269" s="866">
        <f t="shared" si="73"/>
        <v>20160000</v>
      </c>
      <c r="K269" s="866">
        <f t="shared" si="74"/>
        <v>63840000</v>
      </c>
      <c r="L269" s="869">
        <f t="shared" si="78"/>
        <v>56610.33887022204</v>
      </c>
      <c r="M269" s="869">
        <f t="shared" si="79"/>
        <v>220653.43333064456</v>
      </c>
      <c r="N269" s="872">
        <f t="shared" si="75"/>
        <v>277264</v>
      </c>
      <c r="P269" s="884">
        <v>279277</v>
      </c>
      <c r="Q269" s="876">
        <f t="shared" si="76"/>
        <v>2013</v>
      </c>
      <c r="R269" s="877">
        <f t="shared" si="77"/>
        <v>7.207897535421821E-3</v>
      </c>
    </row>
    <row r="270" spans="1:18" x14ac:dyDescent="0.2">
      <c r="A270" s="856" t="s">
        <v>430</v>
      </c>
      <c r="B270" s="857" t="s">
        <v>431</v>
      </c>
      <c r="C270" s="858">
        <v>1.2208000000000001</v>
      </c>
      <c r="D270" s="1060">
        <f>INDEX(Data!$E$8:$E$303,MATCH('Cost of Collecton Calculation'!B270,Data!$C$8:$C$303,0))</f>
        <v>338866893</v>
      </c>
      <c r="E270" s="1060">
        <f>INDEX(Data!$F$8:$F$303,MATCH('Cost of Collecton Calculation'!B270,Data!$C$8:$C$303,0))</f>
        <v>8409</v>
      </c>
      <c r="F270" s="869">
        <f t="shared" si="69"/>
        <v>338867000</v>
      </c>
      <c r="G270" s="869">
        <f t="shared" si="70"/>
        <v>8410</v>
      </c>
      <c r="H270" s="869">
        <f t="shared" si="71"/>
        <v>413688833.60000002</v>
      </c>
      <c r="I270" s="869">
        <f t="shared" si="72"/>
        <v>10266.928000000002</v>
      </c>
      <c r="J270" s="866">
        <f t="shared" si="73"/>
        <v>20160000</v>
      </c>
      <c r="K270" s="866">
        <f t="shared" si="74"/>
        <v>63840000</v>
      </c>
      <c r="L270" s="869">
        <f t="shared" si="78"/>
        <v>113909.57518788776</v>
      </c>
      <c r="M270" s="869">
        <f t="shared" si="79"/>
        <v>312841.14752212644</v>
      </c>
      <c r="N270" s="872">
        <f t="shared" si="75"/>
        <v>426751</v>
      </c>
      <c r="P270" s="884">
        <v>440212</v>
      </c>
      <c r="Q270" s="876">
        <f t="shared" si="76"/>
        <v>13461</v>
      </c>
      <c r="R270" s="877">
        <f t="shared" si="77"/>
        <v>3.0578448565691075E-2</v>
      </c>
    </row>
    <row r="271" spans="1:18" x14ac:dyDescent="0.2">
      <c r="A271" s="856" t="s">
        <v>544</v>
      </c>
      <c r="B271" s="857" t="s">
        <v>433</v>
      </c>
      <c r="C271" s="858">
        <v>1.0129999999999999</v>
      </c>
      <c r="D271" s="1060">
        <f>INDEX(Data!$E$8:$E$303,MATCH('Cost of Collecton Calculation'!B271,Data!$C$8:$C$303,0))</f>
        <v>261010628</v>
      </c>
      <c r="E271" s="1060">
        <f>INDEX(Data!$F$8:$F$303,MATCH('Cost of Collecton Calculation'!B271,Data!$C$8:$C$303,0))</f>
        <v>7013</v>
      </c>
      <c r="F271" s="869">
        <f t="shared" si="69"/>
        <v>261011000</v>
      </c>
      <c r="G271" s="869">
        <f t="shared" si="70"/>
        <v>7010</v>
      </c>
      <c r="H271" s="869">
        <f t="shared" si="71"/>
        <v>264404142.99999997</v>
      </c>
      <c r="I271" s="869">
        <f t="shared" si="72"/>
        <v>7101.1299999999992</v>
      </c>
      <c r="J271" s="866">
        <f t="shared" si="73"/>
        <v>20160000</v>
      </c>
      <c r="K271" s="866">
        <f t="shared" si="74"/>
        <v>63840000</v>
      </c>
      <c r="L271" s="869">
        <f t="shared" si="78"/>
        <v>72803.907576990794</v>
      </c>
      <c r="M271" s="869">
        <f t="shared" si="79"/>
        <v>216376.86150168747</v>
      </c>
      <c r="N271" s="872">
        <f t="shared" si="75"/>
        <v>289181</v>
      </c>
      <c r="P271" s="884">
        <v>287416</v>
      </c>
      <c r="Q271" s="876">
        <f t="shared" si="76"/>
        <v>-1765</v>
      </c>
      <c r="R271" s="877">
        <f t="shared" si="77"/>
        <v>-6.1409246527681129E-3</v>
      </c>
    </row>
    <row r="272" spans="1:18" x14ac:dyDescent="0.2">
      <c r="A272" s="856" t="s">
        <v>434</v>
      </c>
      <c r="B272" s="857" t="s">
        <v>435</v>
      </c>
      <c r="C272" s="858">
        <v>1.0213000000000001</v>
      </c>
      <c r="D272" s="1060">
        <f>INDEX(Data!$E$8:$E$303,MATCH('Cost of Collecton Calculation'!B272,Data!$C$8:$C$303,0))</f>
        <v>195132357</v>
      </c>
      <c r="E272" s="1060">
        <f>INDEX(Data!$F$8:$F$303,MATCH('Cost of Collecton Calculation'!B272,Data!$C$8:$C$303,0))</f>
        <v>5340</v>
      </c>
      <c r="F272" s="869">
        <f t="shared" si="69"/>
        <v>195132000</v>
      </c>
      <c r="G272" s="869">
        <f t="shared" si="70"/>
        <v>5340</v>
      </c>
      <c r="H272" s="869">
        <f t="shared" si="71"/>
        <v>199288311.60000002</v>
      </c>
      <c r="I272" s="869">
        <f t="shared" si="72"/>
        <v>5453.7420000000002</v>
      </c>
      <c r="J272" s="866">
        <f t="shared" si="73"/>
        <v>20160000</v>
      </c>
      <c r="K272" s="866">
        <f t="shared" si="74"/>
        <v>63840000</v>
      </c>
      <c r="L272" s="869">
        <f t="shared" si="78"/>
        <v>54874.20754560925</v>
      </c>
      <c r="M272" s="869">
        <f t="shared" si="79"/>
        <v>166179.68934520788</v>
      </c>
      <c r="N272" s="872">
        <f t="shared" si="75"/>
        <v>221054</v>
      </c>
      <c r="P272" s="884">
        <v>216861</v>
      </c>
      <c r="Q272" s="876">
        <f t="shared" si="76"/>
        <v>-4193</v>
      </c>
      <c r="R272" s="877">
        <f t="shared" si="77"/>
        <v>-1.9334965715366064E-2</v>
      </c>
    </row>
    <row r="273" spans="1:18" x14ac:dyDescent="0.2">
      <c r="A273" s="856" t="s">
        <v>436</v>
      </c>
      <c r="B273" s="857" t="s">
        <v>437</v>
      </c>
      <c r="C273" s="858">
        <v>1.0815999999999999</v>
      </c>
      <c r="D273" s="1060">
        <f>INDEX(Data!$E$8:$E$303,MATCH('Cost of Collecton Calculation'!B273,Data!$C$8:$C$303,0))</f>
        <v>156123414</v>
      </c>
      <c r="E273" s="1060">
        <f>INDEX(Data!$F$8:$F$303,MATCH('Cost of Collecton Calculation'!B273,Data!$C$8:$C$303,0))</f>
        <v>2914</v>
      </c>
      <c r="F273" s="869">
        <f t="shared" si="69"/>
        <v>156123000</v>
      </c>
      <c r="G273" s="869">
        <f t="shared" si="70"/>
        <v>2910</v>
      </c>
      <c r="H273" s="869">
        <f t="shared" si="71"/>
        <v>168862636.79999998</v>
      </c>
      <c r="I273" s="869">
        <f t="shared" si="72"/>
        <v>3147.4559999999997</v>
      </c>
      <c r="J273" s="866">
        <f t="shared" si="73"/>
        <v>20160000</v>
      </c>
      <c r="K273" s="866">
        <f t="shared" si="74"/>
        <v>63840000</v>
      </c>
      <c r="L273" s="869">
        <f t="shared" si="78"/>
        <v>46496.471890737979</v>
      </c>
      <c r="M273" s="869">
        <f t="shared" si="79"/>
        <v>95905.391253878639</v>
      </c>
      <c r="N273" s="872">
        <f t="shared" si="75"/>
        <v>142402</v>
      </c>
      <c r="P273" s="884">
        <v>145484</v>
      </c>
      <c r="Q273" s="876">
        <f t="shared" si="76"/>
        <v>3082</v>
      </c>
      <c r="R273" s="877">
        <f t="shared" si="77"/>
        <v>2.118446014682027E-2</v>
      </c>
    </row>
    <row r="274" spans="1:18" x14ac:dyDescent="0.2">
      <c r="A274" s="856" t="s">
        <v>438</v>
      </c>
      <c r="B274" s="857" t="s">
        <v>439</v>
      </c>
      <c r="C274" s="858">
        <v>1.1039000000000001</v>
      </c>
      <c r="D274" s="1060">
        <f>INDEX(Data!$E$8:$E$303,MATCH('Cost of Collecton Calculation'!B274,Data!$C$8:$C$303,0))</f>
        <v>109745414</v>
      </c>
      <c r="E274" s="1060">
        <f>INDEX(Data!$F$8:$F$303,MATCH('Cost of Collecton Calculation'!B274,Data!$C$8:$C$303,0))</f>
        <v>3977</v>
      </c>
      <c r="F274" s="869">
        <f t="shared" si="69"/>
        <v>109745000</v>
      </c>
      <c r="G274" s="869">
        <f t="shared" si="70"/>
        <v>3980</v>
      </c>
      <c r="H274" s="869">
        <f t="shared" si="71"/>
        <v>121147505.50000001</v>
      </c>
      <c r="I274" s="869">
        <f t="shared" si="72"/>
        <v>4393.5220000000008</v>
      </c>
      <c r="J274" s="866">
        <f t="shared" si="73"/>
        <v>20160000</v>
      </c>
      <c r="K274" s="866">
        <f t="shared" si="74"/>
        <v>63840000</v>
      </c>
      <c r="L274" s="869">
        <f t="shared" si="78"/>
        <v>33358.069557953131</v>
      </c>
      <c r="M274" s="869">
        <f t="shared" si="79"/>
        <v>133873.97516995424</v>
      </c>
      <c r="N274" s="872">
        <f t="shared" si="75"/>
        <v>167232</v>
      </c>
      <c r="P274" s="884">
        <v>171077</v>
      </c>
      <c r="Q274" s="876">
        <f t="shared" si="76"/>
        <v>3845</v>
      </c>
      <c r="R274" s="877">
        <f t="shared" si="77"/>
        <v>2.2475259678390432E-2</v>
      </c>
    </row>
    <row r="275" spans="1:18" x14ac:dyDescent="0.2">
      <c r="A275" s="856" t="s">
        <v>440</v>
      </c>
      <c r="B275" s="857" t="s">
        <v>441</v>
      </c>
      <c r="C275" s="858">
        <v>1.0089999999999999</v>
      </c>
      <c r="D275" s="1060">
        <f>INDEX(Data!$E$8:$E$303,MATCH('Cost of Collecton Calculation'!B275,Data!$C$8:$C$303,0))</f>
        <v>109671207</v>
      </c>
      <c r="E275" s="1060">
        <f>INDEX(Data!$F$8:$F$303,MATCH('Cost of Collecton Calculation'!B275,Data!$C$8:$C$303,0))</f>
        <v>6655</v>
      </c>
      <c r="F275" s="869">
        <f t="shared" si="69"/>
        <v>109671000</v>
      </c>
      <c r="G275" s="869">
        <f t="shared" si="70"/>
        <v>6660</v>
      </c>
      <c r="H275" s="869">
        <f t="shared" si="71"/>
        <v>110658038.99999999</v>
      </c>
      <c r="I275" s="869">
        <f t="shared" si="72"/>
        <v>6719.94</v>
      </c>
      <c r="J275" s="866">
        <f t="shared" si="73"/>
        <v>20160000</v>
      </c>
      <c r="K275" s="866">
        <f t="shared" si="74"/>
        <v>63840000</v>
      </c>
      <c r="L275" s="869">
        <f t="shared" si="78"/>
        <v>30469.785959469791</v>
      </c>
      <c r="M275" s="869">
        <f t="shared" si="79"/>
        <v>204761.71069669895</v>
      </c>
      <c r="N275" s="872">
        <f t="shared" si="75"/>
        <v>235231</v>
      </c>
      <c r="P275" s="884">
        <v>232269</v>
      </c>
      <c r="Q275" s="876">
        <f t="shared" si="76"/>
        <v>-2962</v>
      </c>
      <c r="R275" s="877">
        <f t="shared" si="77"/>
        <v>-1.2752455127459971E-2</v>
      </c>
    </row>
    <row r="276" spans="1:18" x14ac:dyDescent="0.2">
      <c r="A276" s="856" t="s">
        <v>442</v>
      </c>
      <c r="B276" s="857" t="s">
        <v>443</v>
      </c>
      <c r="C276" s="858">
        <v>1.0815999999999999</v>
      </c>
      <c r="D276" s="1060">
        <f>INDEX(Data!$E$8:$E$303,MATCH('Cost of Collecton Calculation'!B276,Data!$C$8:$C$303,0))</f>
        <v>193180705</v>
      </c>
      <c r="E276" s="1060">
        <f>INDEX(Data!$F$8:$F$303,MATCH('Cost of Collecton Calculation'!B276,Data!$C$8:$C$303,0))</f>
        <v>2972</v>
      </c>
      <c r="F276" s="869">
        <f t="shared" si="69"/>
        <v>193181000</v>
      </c>
      <c r="G276" s="869">
        <f t="shared" si="70"/>
        <v>2970</v>
      </c>
      <c r="H276" s="869">
        <f t="shared" si="71"/>
        <v>208944569.59999999</v>
      </c>
      <c r="I276" s="869">
        <f t="shared" si="72"/>
        <v>3212.3519999999999</v>
      </c>
      <c r="J276" s="866">
        <f t="shared" si="73"/>
        <v>20160000</v>
      </c>
      <c r="K276" s="866">
        <f t="shared" si="74"/>
        <v>63840000</v>
      </c>
      <c r="L276" s="869">
        <f t="shared" si="78"/>
        <v>57533.066468903715</v>
      </c>
      <c r="M276" s="869">
        <f t="shared" si="79"/>
        <v>97882.822001381297</v>
      </c>
      <c r="N276" s="872">
        <f t="shared" si="75"/>
        <v>155416</v>
      </c>
      <c r="P276" s="884">
        <v>144099</v>
      </c>
      <c r="Q276" s="876">
        <f t="shared" si="76"/>
        <v>-11317</v>
      </c>
      <c r="R276" s="877">
        <f t="shared" si="77"/>
        <v>-7.8536284082471083E-2</v>
      </c>
    </row>
    <row r="277" spans="1:18" x14ac:dyDescent="0.2">
      <c r="A277" s="856" t="s">
        <v>527</v>
      </c>
      <c r="B277" s="857" t="s">
        <v>445</v>
      </c>
      <c r="C277" s="858">
        <v>1.0806</v>
      </c>
      <c r="D277" s="1060">
        <f>INDEX(Data!$E$8:$E$303,MATCH('Cost of Collecton Calculation'!B277,Data!$C$8:$C$303,0))</f>
        <v>241989058</v>
      </c>
      <c r="E277" s="1060">
        <f>INDEX(Data!$F$8:$F$303,MATCH('Cost of Collecton Calculation'!B277,Data!$C$8:$C$303,0))</f>
        <v>5953</v>
      </c>
      <c r="F277" s="869">
        <f t="shared" si="69"/>
        <v>241989000</v>
      </c>
      <c r="G277" s="869">
        <f t="shared" si="70"/>
        <v>5950</v>
      </c>
      <c r="H277" s="869">
        <f t="shared" si="71"/>
        <v>261493313.40000001</v>
      </c>
      <c r="I277" s="869">
        <f t="shared" si="72"/>
        <v>6429.57</v>
      </c>
      <c r="J277" s="866">
        <f t="shared" si="73"/>
        <v>20160000</v>
      </c>
      <c r="K277" s="866">
        <f t="shared" si="74"/>
        <v>63840000</v>
      </c>
      <c r="L277" s="869">
        <f t="shared" si="78"/>
        <v>72002.40814976448</v>
      </c>
      <c r="M277" s="869">
        <f t="shared" si="79"/>
        <v>195913.91474390763</v>
      </c>
      <c r="N277" s="872">
        <f t="shared" si="75"/>
        <v>267916</v>
      </c>
      <c r="P277" s="884">
        <v>261412</v>
      </c>
      <c r="Q277" s="876">
        <f t="shared" si="76"/>
        <v>-6504</v>
      </c>
      <c r="R277" s="877">
        <f t="shared" si="77"/>
        <v>-2.4880265634324363E-2</v>
      </c>
    </row>
    <row r="278" spans="1:18" x14ac:dyDescent="0.2">
      <c r="A278" s="856" t="s">
        <v>446</v>
      </c>
      <c r="B278" s="857" t="s">
        <v>447</v>
      </c>
      <c r="C278" s="858">
        <v>1</v>
      </c>
      <c r="D278" s="1060">
        <f>INDEX(Data!$E$8:$E$303,MATCH('Cost of Collecton Calculation'!B278,Data!$C$8:$C$303,0))</f>
        <v>35259587</v>
      </c>
      <c r="E278" s="1060">
        <f>INDEX(Data!$F$8:$F$303,MATCH('Cost of Collecton Calculation'!B278,Data!$C$8:$C$303,0))</f>
        <v>2455</v>
      </c>
      <c r="F278" s="869">
        <f t="shared" si="69"/>
        <v>35260000</v>
      </c>
      <c r="G278" s="869">
        <f t="shared" si="70"/>
        <v>2460</v>
      </c>
      <c r="H278" s="869">
        <f t="shared" si="71"/>
        <v>35260000</v>
      </c>
      <c r="I278" s="869">
        <f t="shared" si="72"/>
        <v>2460</v>
      </c>
      <c r="J278" s="866">
        <f t="shared" si="73"/>
        <v>20160000</v>
      </c>
      <c r="K278" s="866">
        <f t="shared" si="74"/>
        <v>63840000</v>
      </c>
      <c r="L278" s="869">
        <f t="shared" si="78"/>
        <v>9708.871245503502</v>
      </c>
      <c r="M278" s="869">
        <f t="shared" si="79"/>
        <v>74958.081220052482</v>
      </c>
      <c r="N278" s="872">
        <f t="shared" si="75"/>
        <v>84667</v>
      </c>
      <c r="P278" s="884">
        <v>83176</v>
      </c>
      <c r="Q278" s="876">
        <f t="shared" si="76"/>
        <v>-1491</v>
      </c>
      <c r="R278" s="877">
        <f t="shared" si="77"/>
        <v>-1.7925843993459652E-2</v>
      </c>
    </row>
    <row r="279" spans="1:18" x14ac:dyDescent="0.2">
      <c r="A279" s="856" t="s">
        <v>448</v>
      </c>
      <c r="B279" s="857" t="s">
        <v>449</v>
      </c>
      <c r="C279" s="858">
        <v>1</v>
      </c>
      <c r="D279" s="1060">
        <f>INDEX(Data!$E$8:$E$303,MATCH('Cost of Collecton Calculation'!B279,Data!$C$8:$C$303,0))</f>
        <v>92284969</v>
      </c>
      <c r="E279" s="1060">
        <f>INDEX(Data!$F$8:$F$303,MATCH('Cost of Collecton Calculation'!B279,Data!$C$8:$C$303,0))</f>
        <v>3428</v>
      </c>
      <c r="F279" s="869">
        <f t="shared" si="69"/>
        <v>92285000</v>
      </c>
      <c r="G279" s="869">
        <f t="shared" si="70"/>
        <v>3430</v>
      </c>
      <c r="H279" s="869">
        <f t="shared" si="71"/>
        <v>92285000</v>
      </c>
      <c r="I279" s="869">
        <f t="shared" si="72"/>
        <v>3430</v>
      </c>
      <c r="J279" s="866">
        <f t="shared" si="73"/>
        <v>20160000</v>
      </c>
      <c r="K279" s="866">
        <f t="shared" si="74"/>
        <v>63840000</v>
      </c>
      <c r="L279" s="869">
        <f t="shared" si="78"/>
        <v>25410.753910700245</v>
      </c>
      <c r="M279" s="869">
        <f t="shared" si="79"/>
        <v>104514.72300194309</v>
      </c>
      <c r="N279" s="872">
        <f t="shared" si="75"/>
        <v>129925</v>
      </c>
      <c r="P279" s="884">
        <v>127959</v>
      </c>
      <c r="Q279" s="876">
        <f t="shared" si="76"/>
        <v>-1966</v>
      </c>
      <c r="R279" s="877">
        <f t="shared" si="77"/>
        <v>-1.5364296376182996E-2</v>
      </c>
    </row>
    <row r="280" spans="1:18" x14ac:dyDescent="0.2">
      <c r="A280" s="856" t="s">
        <v>450</v>
      </c>
      <c r="B280" s="857" t="s">
        <v>451</v>
      </c>
      <c r="C280" s="858">
        <v>1</v>
      </c>
      <c r="D280" s="1060">
        <f>INDEX(Data!$E$8:$E$303,MATCH('Cost of Collecton Calculation'!B280,Data!$C$8:$C$303,0))</f>
        <v>53509966</v>
      </c>
      <c r="E280" s="1060">
        <f>INDEX(Data!$F$8:$F$303,MATCH('Cost of Collecton Calculation'!B280,Data!$C$8:$C$303,0))</f>
        <v>3056</v>
      </c>
      <c r="F280" s="869">
        <f t="shared" si="69"/>
        <v>53510000</v>
      </c>
      <c r="G280" s="869">
        <f t="shared" si="70"/>
        <v>3060</v>
      </c>
      <c r="H280" s="869">
        <f t="shared" si="71"/>
        <v>53510000</v>
      </c>
      <c r="I280" s="869">
        <f t="shared" si="72"/>
        <v>3060</v>
      </c>
      <c r="J280" s="866">
        <f t="shared" si="73"/>
        <v>20160000</v>
      </c>
      <c r="K280" s="866">
        <f t="shared" si="74"/>
        <v>63840000</v>
      </c>
      <c r="L280" s="869">
        <f t="shared" si="78"/>
        <v>14734.024400082029</v>
      </c>
      <c r="M280" s="869">
        <f t="shared" si="79"/>
        <v>93240.540054211611</v>
      </c>
      <c r="N280" s="872">
        <f t="shared" si="75"/>
        <v>107975</v>
      </c>
      <c r="P280" s="884">
        <v>105305</v>
      </c>
      <c r="Q280" s="876">
        <f t="shared" si="76"/>
        <v>-2670</v>
      </c>
      <c r="R280" s="877">
        <f t="shared" si="77"/>
        <v>-2.5354921418736052E-2</v>
      </c>
    </row>
    <row r="281" spans="1:18" x14ac:dyDescent="0.2">
      <c r="A281" s="856" t="s">
        <v>1337</v>
      </c>
      <c r="B281" s="857" t="s">
        <v>1380</v>
      </c>
      <c r="C281" s="858">
        <v>1.0132000000000001</v>
      </c>
      <c r="D281" s="1060">
        <f>INDEX(Data!$E$8:$E$303,MATCH('Cost of Collecton Calculation'!B281,Data!$C$8:$C$303,0))</f>
        <v>526664844</v>
      </c>
      <c r="E281" s="1060">
        <f>INDEX(Data!$F$8:$F$303,MATCH('Cost of Collecton Calculation'!B281,Data!$C$8:$C$303,0))</f>
        <v>12185</v>
      </c>
      <c r="F281" s="869">
        <f t="shared" ref="F281" si="80">ROUND(D281,-3)</f>
        <v>526665000</v>
      </c>
      <c r="G281" s="869">
        <f t="shared" ref="G281" si="81">ROUND(E281,-1)</f>
        <v>12190</v>
      </c>
      <c r="H281" s="869">
        <f t="shared" ref="H281" si="82">F281*C281</f>
        <v>533616978.00000006</v>
      </c>
      <c r="I281" s="869">
        <f t="shared" ref="I281" si="83">G281*C281</f>
        <v>12350.908000000001</v>
      </c>
      <c r="J281" s="866">
        <f t="shared" si="40"/>
        <v>20160000</v>
      </c>
      <c r="K281" s="866">
        <f t="shared" si="41"/>
        <v>63840000</v>
      </c>
      <c r="L281" s="869">
        <f t="shared" si="78"/>
        <v>146931.89262100612</v>
      </c>
      <c r="M281" s="869">
        <f t="shared" si="79"/>
        <v>376341.61179081141</v>
      </c>
      <c r="N281" s="872">
        <f t="shared" ref="N281" si="84">ROUND(L281+M281,0)</f>
        <v>523274</v>
      </c>
      <c r="P281" s="889">
        <v>501759</v>
      </c>
      <c r="Q281" s="876">
        <f t="shared" ref="Q281" si="85">P281-N281</f>
        <v>-21515</v>
      </c>
      <c r="R281" s="877">
        <f t="shared" ref="R281" si="86">Q281/P281</f>
        <v>-4.2879151146267433E-2</v>
      </c>
    </row>
    <row r="282" spans="1:18" x14ac:dyDescent="0.2">
      <c r="A282" s="856" t="s">
        <v>452</v>
      </c>
      <c r="B282" s="857" t="s">
        <v>453</v>
      </c>
      <c r="C282" s="858">
        <v>1.0533999999999999</v>
      </c>
      <c r="D282" s="1060">
        <f>INDEX(Data!$E$8:$E$303,MATCH('Cost of Collecton Calculation'!B282,Data!$C$8:$C$303,0))</f>
        <v>119096919</v>
      </c>
      <c r="E282" s="1060">
        <f>INDEX(Data!$F$8:$F$303,MATCH('Cost of Collecton Calculation'!B282,Data!$C$8:$C$303,0))</f>
        <v>4345</v>
      </c>
      <c r="F282" s="869">
        <f t="shared" si="69"/>
        <v>119097000</v>
      </c>
      <c r="G282" s="869">
        <f t="shared" si="70"/>
        <v>4350</v>
      </c>
      <c r="H282" s="869">
        <f t="shared" si="71"/>
        <v>125456779.79999998</v>
      </c>
      <c r="I282" s="869">
        <f t="shared" si="72"/>
        <v>4582.29</v>
      </c>
      <c r="J282" s="866">
        <f t="shared" si="73"/>
        <v>20160000</v>
      </c>
      <c r="K282" s="866">
        <f t="shared" si="74"/>
        <v>63840000</v>
      </c>
      <c r="L282" s="869">
        <f t="shared" si="78"/>
        <v>34544.631932889512</v>
      </c>
      <c r="M282" s="869">
        <f t="shared" si="79"/>
        <v>139625.88048529849</v>
      </c>
      <c r="N282" s="872">
        <f t="shared" si="75"/>
        <v>174171</v>
      </c>
      <c r="P282" s="884">
        <v>168012</v>
      </c>
      <c r="Q282" s="876">
        <f t="shared" si="76"/>
        <v>-6159</v>
      </c>
      <c r="R282" s="877">
        <f t="shared" si="77"/>
        <v>-3.6658095850296404E-2</v>
      </c>
    </row>
    <row r="283" spans="1:18" x14ac:dyDescent="0.2">
      <c r="A283" s="859" t="s">
        <v>1225</v>
      </c>
      <c r="B283" s="860" t="s">
        <v>1226</v>
      </c>
      <c r="C283" s="858">
        <v>1.0054000000000001</v>
      </c>
      <c r="D283" s="1060">
        <f>INDEX(Data!$E$8:$E$303,MATCH('Cost of Collecton Calculation'!B283,Data!$C$8:$C$303,0))</f>
        <v>205260847</v>
      </c>
      <c r="E283" s="1060">
        <f>INDEX(Data!$F$8:$F$303,MATCH('Cost of Collecton Calculation'!B283,Data!$C$8:$C$303,0))</f>
        <v>6420</v>
      </c>
      <c r="F283" s="869">
        <f t="shared" si="69"/>
        <v>205261000</v>
      </c>
      <c r="G283" s="869">
        <f t="shared" si="70"/>
        <v>6420</v>
      </c>
      <c r="H283" s="869">
        <f t="shared" si="71"/>
        <v>206369409.40000001</v>
      </c>
      <c r="I283" s="869">
        <f t="shared" si="72"/>
        <v>6454.6680000000006</v>
      </c>
      <c r="J283" s="866">
        <f t="shared" si="73"/>
        <v>20160000</v>
      </c>
      <c r="K283" s="866">
        <f t="shared" si="74"/>
        <v>63840000</v>
      </c>
      <c r="L283" s="869">
        <f t="shared" si="78"/>
        <v>56823.9938988996</v>
      </c>
      <c r="M283" s="869">
        <f t="shared" si="79"/>
        <v>196678.66999694053</v>
      </c>
      <c r="N283" s="872">
        <f t="shared" si="75"/>
        <v>253503</v>
      </c>
      <c r="P283" s="884">
        <v>248562</v>
      </c>
      <c r="Q283" s="876">
        <f t="shared" si="76"/>
        <v>-4941</v>
      </c>
      <c r="R283" s="877">
        <f t="shared" si="77"/>
        <v>-1.9878340212904626E-2</v>
      </c>
    </row>
    <row r="284" spans="1:18" x14ac:dyDescent="0.2">
      <c r="A284" s="856" t="s">
        <v>454</v>
      </c>
      <c r="B284" s="857" t="s">
        <v>455</v>
      </c>
      <c r="C284" s="858">
        <v>1.2208000000000001</v>
      </c>
      <c r="D284" s="1060">
        <f>INDEX(Data!$E$8:$E$303,MATCH('Cost of Collecton Calculation'!B284,Data!$C$8:$C$303,0))</f>
        <v>4700222002</v>
      </c>
      <c r="E284" s="1060">
        <f>INDEX(Data!$F$8:$F$303,MATCH('Cost of Collecton Calculation'!B284,Data!$C$8:$C$303,0))</f>
        <v>36938</v>
      </c>
      <c r="F284" s="869">
        <f t="shared" si="69"/>
        <v>4700222000</v>
      </c>
      <c r="G284" s="869">
        <f t="shared" si="70"/>
        <v>36940</v>
      </c>
      <c r="H284" s="869">
        <f t="shared" si="71"/>
        <v>5738031017.6000004</v>
      </c>
      <c r="I284" s="869">
        <f t="shared" si="72"/>
        <v>45096.352000000006</v>
      </c>
      <c r="J284" s="866">
        <f t="shared" si="73"/>
        <v>20160000</v>
      </c>
      <c r="K284" s="866">
        <f t="shared" si="74"/>
        <v>63840000</v>
      </c>
      <c r="L284" s="869">
        <f t="shared" si="78"/>
        <v>1579971.7626938126</v>
      </c>
      <c r="M284" s="869">
        <f t="shared" si="79"/>
        <v>1374120.3316845838</v>
      </c>
      <c r="N284" s="872">
        <f t="shared" si="75"/>
        <v>2954092</v>
      </c>
      <c r="P284" s="884">
        <v>3222959</v>
      </c>
      <c r="Q284" s="876">
        <f t="shared" si="76"/>
        <v>268867</v>
      </c>
      <c r="R284" s="877">
        <f t="shared" si="77"/>
        <v>8.3422407793583481E-2</v>
      </c>
    </row>
    <row r="285" spans="1:18" x14ac:dyDescent="0.2">
      <c r="A285" s="1041" t="s">
        <v>2441</v>
      </c>
      <c r="B285" s="1042" t="s">
        <v>2432</v>
      </c>
      <c r="C285" s="1043">
        <v>1</v>
      </c>
      <c r="D285" s="1060">
        <f>INDEX(Data!$E$8:$E$303,MATCH('Cost of Collecton Calculation'!B285,Data!$C$8:$C$303,0))</f>
        <v>249676450</v>
      </c>
      <c r="E285" s="1060">
        <f>INDEX(Data!$F$8:$F$303,MATCH('Cost of Collecton Calculation'!B285,Data!$C$8:$C$303,0))</f>
        <v>15377</v>
      </c>
      <c r="F285" s="869">
        <f t="shared" ref="F285" si="87">ROUND(D285,-3)</f>
        <v>249676000</v>
      </c>
      <c r="G285" s="869">
        <f t="shared" ref="G285" si="88">ROUND(E285,-1)</f>
        <v>15380</v>
      </c>
      <c r="H285" s="869">
        <f t="shared" ref="H285" si="89">F285*C285</f>
        <v>249676000</v>
      </c>
      <c r="I285" s="869">
        <f t="shared" ref="I285" si="90">G285*C285</f>
        <v>15380</v>
      </c>
      <c r="J285" s="866">
        <f t="shared" si="73"/>
        <v>20160000</v>
      </c>
      <c r="K285" s="866">
        <f t="shared" si="74"/>
        <v>63840000</v>
      </c>
      <c r="L285" s="869">
        <f t="shared" ref="L285" si="91">(H285*J285)/H$301</f>
        <v>68748.500768358819</v>
      </c>
      <c r="M285" s="869">
        <f t="shared" ref="M285" si="92">(I285*K285)/I$301</f>
        <v>468640.36144894594</v>
      </c>
      <c r="N285" s="872">
        <f t="shared" ref="N285" si="93">ROUND(L285+M285,0)</f>
        <v>537389</v>
      </c>
      <c r="P285" s="884">
        <v>528181</v>
      </c>
      <c r="Q285" s="876">
        <f t="shared" ref="Q285" si="94">P285-N285</f>
        <v>-9208</v>
      </c>
      <c r="R285" s="877">
        <f t="shared" ref="R285" si="95">Q285/P285</f>
        <v>-1.7433417710974078E-2</v>
      </c>
    </row>
    <row r="286" spans="1:18" x14ac:dyDescent="0.2">
      <c r="A286" s="856" t="s">
        <v>456</v>
      </c>
      <c r="B286" s="857" t="s">
        <v>457</v>
      </c>
      <c r="C286" s="858">
        <v>1.0168999999999999</v>
      </c>
      <c r="D286" s="1060">
        <f>INDEX(Data!$E$8:$E$303,MATCH('Cost of Collecton Calculation'!B286,Data!$C$8:$C$303,0))</f>
        <v>223216321</v>
      </c>
      <c r="E286" s="1060">
        <f>INDEX(Data!$F$8:$F$303,MATCH('Cost of Collecton Calculation'!B286,Data!$C$8:$C$303,0))</f>
        <v>9833</v>
      </c>
      <c r="F286" s="869">
        <f t="shared" si="69"/>
        <v>223216000</v>
      </c>
      <c r="G286" s="869">
        <f t="shared" si="70"/>
        <v>9830</v>
      </c>
      <c r="H286" s="869">
        <f t="shared" si="71"/>
        <v>226988350.39999998</v>
      </c>
      <c r="I286" s="869">
        <f t="shared" si="72"/>
        <v>9996.1269999999986</v>
      </c>
      <c r="J286" s="866">
        <f t="shared" si="73"/>
        <v>20160000</v>
      </c>
      <c r="K286" s="866">
        <f t="shared" si="74"/>
        <v>63840000</v>
      </c>
      <c r="L286" s="869">
        <f>(H286*J286)/H$301</f>
        <v>62501.436989870483</v>
      </c>
      <c r="M286" s="869">
        <f t="shared" si="79"/>
        <v>304589.6339642111</v>
      </c>
      <c r="N286" s="872">
        <f t="shared" si="75"/>
        <v>367091</v>
      </c>
      <c r="P286" s="884">
        <v>371520</v>
      </c>
      <c r="Q286" s="876">
        <f t="shared" si="76"/>
        <v>4429</v>
      </c>
      <c r="R286" s="877">
        <f t="shared" si="77"/>
        <v>1.1921296296296296E-2</v>
      </c>
    </row>
    <row r="287" spans="1:18" x14ac:dyDescent="0.2">
      <c r="A287" s="856" t="s">
        <v>458</v>
      </c>
      <c r="B287" s="857" t="s">
        <v>459</v>
      </c>
      <c r="C287" s="858">
        <v>1.0216000000000001</v>
      </c>
      <c r="D287" s="1060">
        <f>INDEX(Data!$E$8:$E$303,MATCH('Cost of Collecton Calculation'!B287,Data!$C$8:$C$303,0))</f>
        <v>451768809</v>
      </c>
      <c r="E287" s="1060">
        <f>INDEX(Data!$F$8:$F$303,MATCH('Cost of Collecton Calculation'!B287,Data!$C$8:$C$303,0))</f>
        <v>16597</v>
      </c>
      <c r="F287" s="869">
        <f t="shared" si="69"/>
        <v>451769000</v>
      </c>
      <c r="G287" s="869">
        <f t="shared" si="70"/>
        <v>16600</v>
      </c>
      <c r="H287" s="869">
        <f t="shared" si="71"/>
        <v>461527210.40000004</v>
      </c>
      <c r="I287" s="869">
        <f t="shared" si="72"/>
        <v>16958.560000000001</v>
      </c>
      <c r="J287" s="866">
        <f t="shared" si="73"/>
        <v>20160000</v>
      </c>
      <c r="K287" s="866">
        <f t="shared" si="74"/>
        <v>63840000</v>
      </c>
      <c r="L287" s="869">
        <f t="shared" si="78"/>
        <v>127081.91327481579</v>
      </c>
      <c r="M287" s="869">
        <f t="shared" si="79"/>
        <v>516740.29181102978</v>
      </c>
      <c r="N287" s="872">
        <f t="shared" si="75"/>
        <v>643822</v>
      </c>
      <c r="P287" s="884">
        <v>623984</v>
      </c>
      <c r="Q287" s="876">
        <f t="shared" si="76"/>
        <v>-19838</v>
      </c>
      <c r="R287" s="877">
        <f t="shared" si="77"/>
        <v>-3.1792481858509192E-2</v>
      </c>
    </row>
    <row r="288" spans="1:18" x14ac:dyDescent="0.2">
      <c r="A288" s="856" t="s">
        <v>460</v>
      </c>
      <c r="B288" s="857" t="s">
        <v>461</v>
      </c>
      <c r="C288" s="858">
        <v>1.036</v>
      </c>
      <c r="D288" s="1060">
        <f>INDEX(Data!$E$8:$E$303,MATCH('Cost of Collecton Calculation'!B288,Data!$C$8:$C$303,0))</f>
        <v>168640553</v>
      </c>
      <c r="E288" s="1060">
        <f>INDEX(Data!$F$8:$F$303,MATCH('Cost of Collecton Calculation'!B288,Data!$C$8:$C$303,0))</f>
        <v>5107</v>
      </c>
      <c r="F288" s="869">
        <f t="shared" si="69"/>
        <v>168641000</v>
      </c>
      <c r="G288" s="869">
        <f t="shared" si="70"/>
        <v>5110</v>
      </c>
      <c r="H288" s="869">
        <f t="shared" si="71"/>
        <v>174712076</v>
      </c>
      <c r="I288" s="869">
        <f t="shared" si="72"/>
        <v>5293.96</v>
      </c>
      <c r="J288" s="866">
        <f t="shared" si="73"/>
        <v>20160000</v>
      </c>
      <c r="K288" s="866">
        <f t="shared" si="74"/>
        <v>63840000</v>
      </c>
      <c r="L288" s="869">
        <f t="shared" si="78"/>
        <v>48107.119992019921</v>
      </c>
      <c r="M288" s="869">
        <f t="shared" si="79"/>
        <v>161311.00961614188</v>
      </c>
      <c r="N288" s="872">
        <f t="shared" si="75"/>
        <v>209418</v>
      </c>
      <c r="P288" s="884">
        <v>210390</v>
      </c>
      <c r="Q288" s="876">
        <f t="shared" si="76"/>
        <v>972</v>
      </c>
      <c r="R288" s="877">
        <f t="shared" si="77"/>
        <v>4.6199914444602884E-3</v>
      </c>
    </row>
    <row r="289" spans="1:18" x14ac:dyDescent="0.2">
      <c r="A289" s="856" t="s">
        <v>989</v>
      </c>
      <c r="B289" s="857" t="s">
        <v>463</v>
      </c>
      <c r="C289" s="858">
        <v>1.1039000000000001</v>
      </c>
      <c r="D289" s="1060">
        <f>INDEX(Data!$E$8:$E$303,MATCH('Cost of Collecton Calculation'!B289,Data!$C$8:$C$303,0))</f>
        <v>210836745</v>
      </c>
      <c r="E289" s="1060">
        <f>INDEX(Data!$F$8:$F$303,MATCH('Cost of Collecton Calculation'!B289,Data!$C$8:$C$303,0))</f>
        <v>4792</v>
      </c>
      <c r="F289" s="869">
        <f t="shared" si="69"/>
        <v>210837000</v>
      </c>
      <c r="G289" s="869">
        <f t="shared" si="70"/>
        <v>4790</v>
      </c>
      <c r="H289" s="869">
        <f t="shared" si="71"/>
        <v>232742964.30000001</v>
      </c>
      <c r="I289" s="869">
        <f t="shared" si="72"/>
        <v>5287.6810000000005</v>
      </c>
      <c r="J289" s="866">
        <f t="shared" si="73"/>
        <v>20160000</v>
      </c>
      <c r="K289" s="866">
        <f t="shared" si="74"/>
        <v>63840000</v>
      </c>
      <c r="L289" s="869">
        <f t="shared" ref="L289:L299" si="96">(H289*J289)/H$301</f>
        <v>64085.974863457683</v>
      </c>
      <c r="M289" s="869">
        <f t="shared" ref="M289" si="97">(I289*K289)/I$301</f>
        <v>161119.68368444243</v>
      </c>
      <c r="N289" s="872">
        <f t="shared" si="75"/>
        <v>225206</v>
      </c>
      <c r="P289" s="884">
        <v>230467</v>
      </c>
      <c r="Q289" s="876">
        <f t="shared" si="76"/>
        <v>5261</v>
      </c>
      <c r="R289" s="877">
        <f t="shared" si="77"/>
        <v>2.2827563165225391E-2</v>
      </c>
    </row>
    <row r="290" spans="1:18" x14ac:dyDescent="0.2">
      <c r="A290" s="856" t="s">
        <v>464</v>
      </c>
      <c r="B290" s="857" t="s">
        <v>465</v>
      </c>
      <c r="C290" s="858">
        <v>1.0075000000000001</v>
      </c>
      <c r="D290" s="1060">
        <f>INDEX(Data!$E$8:$E$303,MATCH('Cost of Collecton Calculation'!B290,Data!$C$8:$C$303,0))</f>
        <v>193030449</v>
      </c>
      <c r="E290" s="1060">
        <f>INDEX(Data!$F$8:$F$303,MATCH('Cost of Collecton Calculation'!B290,Data!$C$8:$C$303,0))</f>
        <v>8566</v>
      </c>
      <c r="F290" s="869">
        <f t="shared" si="69"/>
        <v>193030000</v>
      </c>
      <c r="G290" s="869">
        <f t="shared" si="70"/>
        <v>8570</v>
      </c>
      <c r="H290" s="869">
        <f t="shared" si="71"/>
        <v>194477725</v>
      </c>
      <c r="I290" s="869">
        <f t="shared" si="72"/>
        <v>8634.2749999999996</v>
      </c>
      <c r="J290" s="866">
        <f t="shared" si="73"/>
        <v>20160000</v>
      </c>
      <c r="K290" s="866">
        <f t="shared" si="74"/>
        <v>63840000</v>
      </c>
      <c r="L290" s="869">
        <f t="shared" si="96"/>
        <v>53549.60839884961</v>
      </c>
      <c r="M290" s="869">
        <f t="shared" ref="M290:M299" si="98">(I290*K290)/I$301</f>
        <v>263092.96208384901</v>
      </c>
      <c r="N290" s="872">
        <f t="shared" si="75"/>
        <v>316643</v>
      </c>
      <c r="P290" s="884">
        <v>317424</v>
      </c>
      <c r="Q290" s="876">
        <f t="shared" si="76"/>
        <v>781</v>
      </c>
      <c r="R290" s="877">
        <f t="shared" si="77"/>
        <v>2.4604314733605525E-3</v>
      </c>
    </row>
    <row r="291" spans="1:18" x14ac:dyDescent="0.2">
      <c r="A291" s="856" t="s">
        <v>466</v>
      </c>
      <c r="B291" s="857" t="s">
        <v>467</v>
      </c>
      <c r="C291" s="858">
        <v>1.1039000000000001</v>
      </c>
      <c r="D291" s="1060">
        <f>INDEX(Data!$E$8:$E$303,MATCH('Cost of Collecton Calculation'!B291,Data!$C$8:$C$303,0))</f>
        <v>130013339</v>
      </c>
      <c r="E291" s="1060">
        <f>INDEX(Data!$F$8:$F$303,MATCH('Cost of Collecton Calculation'!B291,Data!$C$8:$C$303,0))</f>
        <v>2790</v>
      </c>
      <c r="F291" s="869">
        <f t="shared" si="69"/>
        <v>130013000</v>
      </c>
      <c r="G291" s="869">
        <f t="shared" si="70"/>
        <v>2790</v>
      </c>
      <c r="H291" s="869">
        <f t="shared" si="71"/>
        <v>143521350.70000002</v>
      </c>
      <c r="I291" s="869">
        <f t="shared" si="72"/>
        <v>3079.8810000000003</v>
      </c>
      <c r="J291" s="866">
        <f t="shared" si="73"/>
        <v>20160000</v>
      </c>
      <c r="K291" s="866">
        <f t="shared" si="74"/>
        <v>63840000</v>
      </c>
      <c r="L291" s="869">
        <f t="shared" si="96"/>
        <v>39518.727025724729</v>
      </c>
      <c r="M291" s="869">
        <f t="shared" si="98"/>
        <v>93846.329327681495</v>
      </c>
      <c r="N291" s="872">
        <f t="shared" si="75"/>
        <v>133365</v>
      </c>
      <c r="P291" s="884">
        <v>130708</v>
      </c>
      <c r="Q291" s="876">
        <f t="shared" si="76"/>
        <v>-2657</v>
      </c>
      <c r="R291" s="877">
        <f t="shared" si="77"/>
        <v>-2.0327753465740429E-2</v>
      </c>
    </row>
    <row r="292" spans="1:18" x14ac:dyDescent="0.2">
      <c r="A292" s="856" t="s">
        <v>531</v>
      </c>
      <c r="B292" s="857" t="s">
        <v>469</v>
      </c>
      <c r="C292" s="858">
        <v>1.0806</v>
      </c>
      <c r="D292" s="1060">
        <f>INDEX(Data!$E$8:$E$303,MATCH('Cost of Collecton Calculation'!B292,Data!$C$8:$C$303,0))</f>
        <v>201297159</v>
      </c>
      <c r="E292" s="1060">
        <f>INDEX(Data!$F$8:$F$303,MATCH('Cost of Collecton Calculation'!B292,Data!$C$8:$C$303,0))</f>
        <v>4406</v>
      </c>
      <c r="F292" s="869">
        <f t="shared" si="69"/>
        <v>201297000</v>
      </c>
      <c r="G292" s="869">
        <f t="shared" si="70"/>
        <v>4410</v>
      </c>
      <c r="H292" s="869">
        <f t="shared" si="71"/>
        <v>217521538.19999999</v>
      </c>
      <c r="I292" s="869">
        <f t="shared" si="72"/>
        <v>4765.4459999999999</v>
      </c>
      <c r="J292" s="866">
        <f t="shared" si="73"/>
        <v>20160000</v>
      </c>
      <c r="K292" s="866">
        <f t="shared" si="74"/>
        <v>63840000</v>
      </c>
      <c r="L292" s="869">
        <f t="shared" si="96"/>
        <v>59894.742130109793</v>
      </c>
      <c r="M292" s="869">
        <f t="shared" si="98"/>
        <v>145206.78386901389</v>
      </c>
      <c r="N292" s="872">
        <f t="shared" si="75"/>
        <v>205102</v>
      </c>
      <c r="P292" s="884">
        <v>201896</v>
      </c>
      <c r="Q292" s="876">
        <f t="shared" si="76"/>
        <v>-3206</v>
      </c>
      <c r="R292" s="877">
        <f t="shared" si="77"/>
        <v>-1.5879462693664064E-2</v>
      </c>
    </row>
    <row r="293" spans="1:18" x14ac:dyDescent="0.2">
      <c r="A293" s="856" t="s">
        <v>470</v>
      </c>
      <c r="B293" s="857" t="s">
        <v>471</v>
      </c>
      <c r="C293" s="858">
        <v>1.0134000000000001</v>
      </c>
      <c r="D293" s="1060">
        <f>INDEX(Data!$E$8:$E$303,MATCH('Cost of Collecton Calculation'!B293,Data!$C$8:$C$303,0))</f>
        <v>219486900</v>
      </c>
      <c r="E293" s="1060">
        <f>INDEX(Data!$F$8:$F$303,MATCH('Cost of Collecton Calculation'!B293,Data!$C$8:$C$303,0))</f>
        <v>8913</v>
      </c>
      <c r="F293" s="869">
        <f t="shared" si="69"/>
        <v>219487000</v>
      </c>
      <c r="G293" s="869">
        <f t="shared" si="70"/>
        <v>8910</v>
      </c>
      <c r="H293" s="869">
        <f t="shared" si="71"/>
        <v>222428125.80000001</v>
      </c>
      <c r="I293" s="869">
        <f t="shared" si="72"/>
        <v>9029.3940000000002</v>
      </c>
      <c r="J293" s="866">
        <f t="shared" si="73"/>
        <v>20160000</v>
      </c>
      <c r="K293" s="866">
        <f t="shared" si="74"/>
        <v>63840000</v>
      </c>
      <c r="L293" s="869">
        <f t="shared" si="96"/>
        <v>61245.775234567656</v>
      </c>
      <c r="M293" s="869">
        <f t="shared" si="98"/>
        <v>275132.54017067258</v>
      </c>
      <c r="N293" s="872">
        <f t="shared" si="75"/>
        <v>336378</v>
      </c>
      <c r="P293" s="884">
        <v>334367</v>
      </c>
      <c r="Q293" s="876">
        <f t="shared" si="76"/>
        <v>-2011</v>
      </c>
      <c r="R293" s="877">
        <f t="shared" si="77"/>
        <v>-6.0143495021936976E-3</v>
      </c>
    </row>
    <row r="294" spans="1:18" x14ac:dyDescent="0.2">
      <c r="A294" s="856" t="s">
        <v>472</v>
      </c>
      <c r="B294" s="857" t="s">
        <v>473</v>
      </c>
      <c r="C294" s="858">
        <v>1</v>
      </c>
      <c r="D294" s="1060">
        <f>INDEX(Data!$E$8:$E$303,MATCH('Cost of Collecton Calculation'!B294,Data!$C$8:$C$303,0))</f>
        <v>108931154</v>
      </c>
      <c r="E294" s="1060">
        <f>INDEX(Data!$F$8:$F$303,MATCH('Cost of Collecton Calculation'!B294,Data!$C$8:$C$303,0))</f>
        <v>3165</v>
      </c>
      <c r="F294" s="869">
        <f t="shared" si="69"/>
        <v>108931000</v>
      </c>
      <c r="G294" s="869">
        <f t="shared" si="70"/>
        <v>3170</v>
      </c>
      <c r="H294" s="869">
        <f t="shared" si="71"/>
        <v>108931000</v>
      </c>
      <c r="I294" s="869">
        <f t="shared" si="72"/>
        <v>3170</v>
      </c>
      <c r="J294" s="866">
        <f t="shared" si="73"/>
        <v>20160000</v>
      </c>
      <c r="K294" s="866">
        <f t="shared" si="74"/>
        <v>63840000</v>
      </c>
      <c r="L294" s="869">
        <f t="shared" si="96"/>
        <v>29994.24428939143</v>
      </c>
      <c r="M294" s="869">
        <f t="shared" si="98"/>
        <v>96592.324173807458</v>
      </c>
      <c r="N294" s="872">
        <f t="shared" si="75"/>
        <v>126587</v>
      </c>
      <c r="P294" s="884">
        <v>129599</v>
      </c>
      <c r="Q294" s="876">
        <f t="shared" si="76"/>
        <v>3012</v>
      </c>
      <c r="R294" s="877">
        <f t="shared" si="77"/>
        <v>2.3240920068827692E-2</v>
      </c>
    </row>
    <row r="295" spans="1:18" x14ac:dyDescent="0.2">
      <c r="A295" s="856" t="s">
        <v>474</v>
      </c>
      <c r="B295" s="857" t="s">
        <v>475</v>
      </c>
      <c r="C295" s="858">
        <v>1</v>
      </c>
      <c r="D295" s="1060">
        <f>INDEX(Data!$E$8:$E$303,MATCH('Cost of Collecton Calculation'!B295,Data!$C$8:$C$303,0))</f>
        <v>79215158</v>
      </c>
      <c r="E295" s="1060">
        <f>INDEX(Data!$F$8:$F$303,MATCH('Cost of Collecton Calculation'!B295,Data!$C$8:$C$303,0))</f>
        <v>3309</v>
      </c>
      <c r="F295" s="869">
        <f t="shared" si="69"/>
        <v>79215000</v>
      </c>
      <c r="G295" s="869">
        <f t="shared" si="70"/>
        <v>3310</v>
      </c>
      <c r="H295" s="869">
        <f t="shared" si="71"/>
        <v>79215000</v>
      </c>
      <c r="I295" s="869">
        <f t="shared" si="72"/>
        <v>3310</v>
      </c>
      <c r="J295" s="866">
        <f t="shared" si="73"/>
        <v>20160000</v>
      </c>
      <c r="K295" s="866">
        <f t="shared" si="74"/>
        <v>63840000</v>
      </c>
      <c r="L295" s="869">
        <f t="shared" si="96"/>
        <v>21811.918199448664</v>
      </c>
      <c r="M295" s="869">
        <f t="shared" si="98"/>
        <v>100858.23123511126</v>
      </c>
      <c r="N295" s="872">
        <f t="shared" si="75"/>
        <v>122670</v>
      </c>
      <c r="P295" s="884">
        <v>120786</v>
      </c>
      <c r="Q295" s="876">
        <f t="shared" si="76"/>
        <v>-1884</v>
      </c>
      <c r="R295" s="877">
        <f t="shared" si="77"/>
        <v>-1.5597834186081167E-2</v>
      </c>
    </row>
    <row r="296" spans="1:18" x14ac:dyDescent="0.2">
      <c r="A296" s="856" t="s">
        <v>476</v>
      </c>
      <c r="B296" s="857" t="s">
        <v>477</v>
      </c>
      <c r="C296" s="858">
        <v>1</v>
      </c>
      <c r="D296" s="1060">
        <f>INDEX(Data!$E$8:$E$303,MATCH('Cost of Collecton Calculation'!B296,Data!$C$8:$C$303,0))</f>
        <v>135666183</v>
      </c>
      <c r="E296" s="1060">
        <f>INDEX(Data!$F$8:$F$303,MATCH('Cost of Collecton Calculation'!B296,Data!$C$8:$C$303,0))</f>
        <v>5189</v>
      </c>
      <c r="F296" s="869">
        <f t="shared" si="69"/>
        <v>135666000</v>
      </c>
      <c r="G296" s="869">
        <f t="shared" si="70"/>
        <v>5190</v>
      </c>
      <c r="H296" s="869">
        <f t="shared" si="71"/>
        <v>135666000</v>
      </c>
      <c r="I296" s="869">
        <f t="shared" si="72"/>
        <v>5190</v>
      </c>
      <c r="J296" s="866">
        <f t="shared" si="73"/>
        <v>20160000</v>
      </c>
      <c r="K296" s="866">
        <f t="shared" si="74"/>
        <v>63840000</v>
      </c>
      <c r="L296" s="869">
        <f t="shared" si="96"/>
        <v>37355.749472276744</v>
      </c>
      <c r="M296" s="869">
        <f t="shared" si="98"/>
        <v>158143.26891547657</v>
      </c>
      <c r="N296" s="872">
        <f t="shared" si="75"/>
        <v>195499</v>
      </c>
      <c r="P296" s="884">
        <v>189327</v>
      </c>
      <c r="Q296" s="876">
        <f t="shared" si="76"/>
        <v>-6172</v>
      </c>
      <c r="R296" s="877">
        <f t="shared" si="77"/>
        <v>-3.2599682031617255E-2</v>
      </c>
    </row>
    <row r="297" spans="1:18" x14ac:dyDescent="0.2">
      <c r="A297" s="856" t="s">
        <v>478</v>
      </c>
      <c r="B297" s="857" t="s">
        <v>479</v>
      </c>
      <c r="C297" s="858">
        <v>1</v>
      </c>
      <c r="D297" s="1060">
        <f>INDEX(Data!$E$8:$E$303,MATCH('Cost of Collecton Calculation'!B297,Data!$C$8:$C$303,0))</f>
        <v>78120186</v>
      </c>
      <c r="E297" s="1060">
        <f>INDEX(Data!$F$8:$F$303,MATCH('Cost of Collecton Calculation'!B297,Data!$C$8:$C$303,0))</f>
        <v>4216</v>
      </c>
      <c r="F297" s="869">
        <f t="shared" si="69"/>
        <v>78120000</v>
      </c>
      <c r="G297" s="869">
        <f t="shared" si="70"/>
        <v>4220</v>
      </c>
      <c r="H297" s="869">
        <f t="shared" si="71"/>
        <v>78120000</v>
      </c>
      <c r="I297" s="869">
        <f t="shared" si="72"/>
        <v>4220</v>
      </c>
      <c r="J297" s="866">
        <f t="shared" si="73"/>
        <v>20160000</v>
      </c>
      <c r="K297" s="866">
        <f t="shared" si="74"/>
        <v>63840000</v>
      </c>
      <c r="L297" s="869">
        <f t="shared" si="96"/>
        <v>21510.409010173949</v>
      </c>
      <c r="M297" s="869">
        <f t="shared" si="98"/>
        <v>128586.62713358595</v>
      </c>
      <c r="N297" s="872">
        <f t="shared" si="75"/>
        <v>150097</v>
      </c>
      <c r="P297" s="884">
        <v>147658</v>
      </c>
      <c r="Q297" s="876">
        <f t="shared" si="76"/>
        <v>-2439</v>
      </c>
      <c r="R297" s="877">
        <f t="shared" si="77"/>
        <v>-1.651789947039781E-2</v>
      </c>
    </row>
    <row r="298" spans="1:18" x14ac:dyDescent="0.2">
      <c r="A298" s="856" t="s">
        <v>480</v>
      </c>
      <c r="B298" s="857" t="s">
        <v>481</v>
      </c>
      <c r="C298" s="858">
        <v>1</v>
      </c>
      <c r="D298" s="1060">
        <f>INDEX(Data!$E$8:$E$303,MATCH('Cost of Collecton Calculation'!B298,Data!$C$8:$C$303,0))</f>
        <v>81292771</v>
      </c>
      <c r="E298" s="1060">
        <f>INDEX(Data!$F$8:$F$303,MATCH('Cost of Collecton Calculation'!B298,Data!$C$8:$C$303,0))</f>
        <v>3591</v>
      </c>
      <c r="F298" s="869">
        <f t="shared" si="69"/>
        <v>81293000</v>
      </c>
      <c r="G298" s="869">
        <f t="shared" si="70"/>
        <v>3590</v>
      </c>
      <c r="H298" s="869">
        <f t="shared" si="71"/>
        <v>81293000</v>
      </c>
      <c r="I298" s="869">
        <f t="shared" si="72"/>
        <v>3590</v>
      </c>
      <c r="J298" s="866">
        <f t="shared" si="73"/>
        <v>20160000</v>
      </c>
      <c r="K298" s="866">
        <f t="shared" si="74"/>
        <v>63840000</v>
      </c>
      <c r="L298" s="869">
        <f t="shared" si="96"/>
        <v>22384.097281926151</v>
      </c>
      <c r="M298" s="869">
        <f t="shared" si="98"/>
        <v>109390.04535771886</v>
      </c>
      <c r="N298" s="872">
        <f t="shared" si="75"/>
        <v>131774</v>
      </c>
      <c r="P298" s="884">
        <v>130914</v>
      </c>
      <c r="Q298" s="876">
        <f t="shared" si="76"/>
        <v>-860</v>
      </c>
      <c r="R298" s="877">
        <f t="shared" si="77"/>
        <v>-6.5691980995157126E-3</v>
      </c>
    </row>
    <row r="299" spans="1:18" x14ac:dyDescent="0.2">
      <c r="A299" s="861" t="s">
        <v>630</v>
      </c>
      <c r="B299" s="862" t="s">
        <v>483</v>
      </c>
      <c r="C299" s="863">
        <v>1</v>
      </c>
      <c r="D299" s="1061">
        <f>INDEX(Data!$E$8:$E$303,MATCH('Cost of Collecton Calculation'!B299,Data!$C$8:$C$303,0))</f>
        <v>242687271</v>
      </c>
      <c r="E299" s="1061">
        <f>INDEX(Data!$F$8:$F$303,MATCH('Cost of Collecton Calculation'!B299,Data!$C$8:$C$303,0))</f>
        <v>7239</v>
      </c>
      <c r="F299" s="870">
        <f t="shared" si="69"/>
        <v>242687000</v>
      </c>
      <c r="G299" s="870">
        <f t="shared" si="70"/>
        <v>7240</v>
      </c>
      <c r="H299" s="870">
        <f t="shared" si="71"/>
        <v>242687000</v>
      </c>
      <c r="I299" s="870">
        <f t="shared" si="72"/>
        <v>7240</v>
      </c>
      <c r="J299" s="867">
        <f t="shared" si="73"/>
        <v>20160000</v>
      </c>
      <c r="K299" s="867">
        <f t="shared" si="74"/>
        <v>63840000</v>
      </c>
      <c r="L299" s="870">
        <f t="shared" si="96"/>
        <v>66824.07362329858</v>
      </c>
      <c r="M299" s="870">
        <f t="shared" si="98"/>
        <v>220608.33659885361</v>
      </c>
      <c r="N299" s="873">
        <f t="shared" si="75"/>
        <v>287432</v>
      </c>
      <c r="P299" s="885">
        <v>290211</v>
      </c>
      <c r="Q299" s="878">
        <f t="shared" si="76"/>
        <v>2779</v>
      </c>
      <c r="R299" s="879">
        <f t="shared" si="77"/>
        <v>9.575791406941845E-3</v>
      </c>
    </row>
    <row r="300" spans="1:18" ht="13.5" thickBot="1" x14ac:dyDescent="0.25">
      <c r="D300" s="849"/>
      <c r="E300" s="849"/>
      <c r="F300" s="849"/>
      <c r="G300" s="849"/>
      <c r="H300" s="849"/>
      <c r="I300" s="849"/>
    </row>
    <row r="301" spans="1:18" ht="13.5" thickTop="1" x14ac:dyDescent="0.2">
      <c r="A301" s="880" t="s">
        <v>1350</v>
      </c>
      <c r="B301" s="881"/>
      <c r="C301" s="881"/>
      <c r="D301" s="882">
        <f>SUM(D4:D299)</f>
        <v>67967998931</v>
      </c>
      <c r="E301" s="882">
        <f>SUM(E4:E299)</f>
        <v>2011401</v>
      </c>
      <c r="F301" s="882">
        <f>SUM(F4:F299)</f>
        <v>67968003000</v>
      </c>
      <c r="G301" s="882">
        <f>SUM(G4:G299)</f>
        <v>2011560</v>
      </c>
      <c r="H301" s="882">
        <f>ROUND(SUM(H4:H299),0)</f>
        <v>73215678942</v>
      </c>
      <c r="I301" s="882">
        <f>ROUND(SUM(I4:I299),0)</f>
        <v>2095123</v>
      </c>
      <c r="J301" s="882"/>
      <c r="K301" s="882"/>
      <c r="L301" s="882">
        <f>SUM(L4:L299)</f>
        <v>20160000.000027545</v>
      </c>
      <c r="M301" s="882">
        <f>SUM(M4:M299)</f>
        <v>63840000.578944556</v>
      </c>
      <c r="N301" s="882">
        <f>SUM(N4:N299)</f>
        <v>84000004</v>
      </c>
    </row>
    <row r="303" spans="1:18" x14ac:dyDescent="0.2">
      <c r="A303" s="759" t="s">
        <v>2800</v>
      </c>
      <c r="D303" s="1059" t="b">
        <f>D301=SUM(Data!E8:E303)</f>
        <v>1</v>
      </c>
      <c r="E303" s="1059" t="b">
        <f>E301=SUM(Data!F8:F303)</f>
        <v>1</v>
      </c>
    </row>
    <row r="304" spans="1:18" x14ac:dyDescent="0.2">
      <c r="D304" s="166"/>
      <c r="E304" s="166"/>
    </row>
    <row r="305" spans="4:5" x14ac:dyDescent="0.2">
      <c r="D305" s="1059"/>
      <c r="E305" s="1059"/>
    </row>
  </sheetData>
  <autoFilter ref="A3:R299" xr:uid="{22BA1AF7-E955-46F6-A6E0-C84D8CF50798}"/>
  <dataValidations count="2">
    <dataValidation type="custom" allowBlank="1" showInputMessage="1" showErrorMessage="1" sqref="A297:B299 A4:B295" xr:uid="{C1215B78-843E-4FF8-81B9-74B6DBC67170}">
      <formula1>$BY$2="UNLOCK"</formula1>
    </dataValidation>
    <dataValidation type="custom" allowBlank="1" showInputMessage="1" showErrorMessage="1" errorTitle="DO NOT AMEND" sqref="A281:B281 A174:B174" xr:uid="{0CD6A230-D0F8-41B2-92C8-E5E2D809DB95}">
      <formula1>"cb1=""unlock"""</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38F5-D33F-4149-B8C0-0164A2B8C01A}">
  <sheetPr codeName="Sheet17">
    <tabColor rgb="FF92D050"/>
    <pageSetUpPr autoPageBreaks="0"/>
  </sheetPr>
  <dimension ref="A1:E310"/>
  <sheetViews>
    <sheetView workbookViewId="0">
      <selection activeCell="E1" sqref="E1"/>
    </sheetView>
  </sheetViews>
  <sheetFormatPr defaultRowHeight="12.75" x14ac:dyDescent="0.2"/>
  <cols>
    <col min="1" max="1" width="31.42578125" bestFit="1" customWidth="1"/>
    <col min="3" max="3" width="22.28515625" bestFit="1" customWidth="1"/>
    <col min="4" max="4" width="19.5703125" bestFit="1" customWidth="1"/>
  </cols>
  <sheetData>
    <row r="1" spans="1:5" ht="13.5" thickBot="1" x14ac:dyDescent="0.25">
      <c r="A1" t="s">
        <v>1343</v>
      </c>
      <c r="B1" t="s">
        <v>1209</v>
      </c>
      <c r="C1" s="142" t="s">
        <v>2811</v>
      </c>
      <c r="D1" s="142" t="s">
        <v>2343</v>
      </c>
      <c r="E1" s="759" t="s">
        <v>3289</v>
      </c>
    </row>
    <row r="2" spans="1:5" x14ac:dyDescent="0.2">
      <c r="A2" s="736" t="s">
        <v>731</v>
      </c>
      <c r="B2" s="737" t="s">
        <v>732</v>
      </c>
      <c r="C2">
        <v>10000000000</v>
      </c>
      <c r="D2">
        <f>C2*-1</f>
        <v>-10000000000</v>
      </c>
    </row>
    <row r="3" spans="1:5" x14ac:dyDescent="0.2">
      <c r="A3" s="732" t="s">
        <v>733</v>
      </c>
      <c r="B3" s="738" t="s">
        <v>734</v>
      </c>
      <c r="C3">
        <v>10000000000</v>
      </c>
      <c r="D3">
        <f t="shared" ref="D3:D66" si="0">C3*-1</f>
        <v>-10000000000</v>
      </c>
    </row>
    <row r="4" spans="1:5" x14ac:dyDescent="0.2">
      <c r="A4" s="732" t="s">
        <v>735</v>
      </c>
      <c r="B4" s="738" t="s">
        <v>736</v>
      </c>
      <c r="C4">
        <v>10000000000</v>
      </c>
      <c r="D4">
        <f t="shared" si="0"/>
        <v>-10000000000</v>
      </c>
    </row>
    <row r="5" spans="1:5" x14ac:dyDescent="0.2">
      <c r="A5" s="732" t="s">
        <v>737</v>
      </c>
      <c r="B5" s="738" t="s">
        <v>738</v>
      </c>
      <c r="C5">
        <v>10000000000</v>
      </c>
      <c r="D5">
        <f t="shared" si="0"/>
        <v>-10000000000</v>
      </c>
    </row>
    <row r="6" spans="1:5" x14ac:dyDescent="0.2">
      <c r="A6" s="732" t="s">
        <v>739</v>
      </c>
      <c r="B6" s="738" t="s">
        <v>740</v>
      </c>
      <c r="C6">
        <v>10000000000</v>
      </c>
      <c r="D6">
        <f t="shared" si="0"/>
        <v>-10000000000</v>
      </c>
    </row>
    <row r="7" spans="1:5" x14ac:dyDescent="0.2">
      <c r="A7" s="732" t="s">
        <v>741</v>
      </c>
      <c r="B7" s="738" t="s">
        <v>742</v>
      </c>
      <c r="C7">
        <v>10000000000</v>
      </c>
      <c r="D7">
        <f t="shared" si="0"/>
        <v>-10000000000</v>
      </c>
    </row>
    <row r="8" spans="1:5" x14ac:dyDescent="0.2">
      <c r="A8" s="732" t="s">
        <v>743</v>
      </c>
      <c r="B8" s="738" t="s">
        <v>744</v>
      </c>
      <c r="C8">
        <v>10000000000</v>
      </c>
      <c r="D8">
        <f t="shared" si="0"/>
        <v>-10000000000</v>
      </c>
    </row>
    <row r="9" spans="1:5" x14ac:dyDescent="0.2">
      <c r="A9" s="732" t="s">
        <v>745</v>
      </c>
      <c r="B9" s="738" t="s">
        <v>746</v>
      </c>
      <c r="C9">
        <v>10000000000</v>
      </c>
      <c r="D9">
        <f t="shared" si="0"/>
        <v>-10000000000</v>
      </c>
    </row>
    <row r="10" spans="1:5" x14ac:dyDescent="0.2">
      <c r="A10" s="732" t="s">
        <v>747</v>
      </c>
      <c r="B10" s="738" t="s">
        <v>748</v>
      </c>
      <c r="C10">
        <v>10000000000</v>
      </c>
      <c r="D10">
        <f t="shared" si="0"/>
        <v>-10000000000</v>
      </c>
    </row>
    <row r="11" spans="1:5" x14ac:dyDescent="0.2">
      <c r="A11" s="732" t="s">
        <v>749</v>
      </c>
      <c r="B11" s="738" t="s">
        <v>750</v>
      </c>
      <c r="C11">
        <v>10000000000</v>
      </c>
      <c r="D11">
        <f t="shared" si="0"/>
        <v>-10000000000</v>
      </c>
    </row>
    <row r="12" spans="1:5" x14ac:dyDescent="0.2">
      <c r="A12" s="732" t="s">
        <v>998</v>
      </c>
      <c r="B12" s="738" t="s">
        <v>752</v>
      </c>
      <c r="C12">
        <v>10000000000</v>
      </c>
      <c r="D12">
        <f t="shared" si="0"/>
        <v>-10000000000</v>
      </c>
    </row>
    <row r="13" spans="1:5" x14ac:dyDescent="0.2">
      <c r="A13" s="732" t="s">
        <v>753</v>
      </c>
      <c r="B13" s="738" t="s">
        <v>754</v>
      </c>
      <c r="C13">
        <v>10000000000</v>
      </c>
      <c r="D13">
        <f t="shared" si="0"/>
        <v>-10000000000</v>
      </c>
    </row>
    <row r="14" spans="1:5" x14ac:dyDescent="0.2">
      <c r="A14" s="732" t="s">
        <v>999</v>
      </c>
      <c r="B14" s="738" t="s">
        <v>756</v>
      </c>
      <c r="C14">
        <v>10000000000</v>
      </c>
      <c r="D14">
        <f t="shared" si="0"/>
        <v>-10000000000</v>
      </c>
    </row>
    <row r="15" spans="1:5" x14ac:dyDescent="0.2">
      <c r="A15" s="732" t="s">
        <v>757</v>
      </c>
      <c r="B15" s="738" t="s">
        <v>758</v>
      </c>
      <c r="C15">
        <v>10000000000</v>
      </c>
      <c r="D15">
        <f t="shared" si="0"/>
        <v>-10000000000</v>
      </c>
    </row>
    <row r="16" spans="1:5" x14ac:dyDescent="0.2">
      <c r="A16" s="732" t="s">
        <v>759</v>
      </c>
      <c r="B16" s="738" t="s">
        <v>760</v>
      </c>
      <c r="C16">
        <v>10000000000</v>
      </c>
      <c r="D16">
        <f t="shared" si="0"/>
        <v>-10000000000</v>
      </c>
    </row>
    <row r="17" spans="1:4" x14ac:dyDescent="0.2">
      <c r="A17" s="732" t="s">
        <v>761</v>
      </c>
      <c r="B17" s="738" t="s">
        <v>762</v>
      </c>
      <c r="C17">
        <v>10000000000</v>
      </c>
      <c r="D17">
        <f t="shared" si="0"/>
        <v>-10000000000</v>
      </c>
    </row>
    <row r="18" spans="1:4" x14ac:dyDescent="0.2">
      <c r="A18" s="732" t="s">
        <v>763</v>
      </c>
      <c r="B18" s="738" t="s">
        <v>764</v>
      </c>
      <c r="C18">
        <v>10000000000</v>
      </c>
      <c r="D18">
        <f t="shared" si="0"/>
        <v>-10000000000</v>
      </c>
    </row>
    <row r="19" spans="1:4" x14ac:dyDescent="0.2">
      <c r="A19" s="732" t="s">
        <v>611</v>
      </c>
      <c r="B19" s="738" t="s">
        <v>766</v>
      </c>
      <c r="C19">
        <v>10000000000</v>
      </c>
      <c r="D19">
        <f t="shared" si="0"/>
        <v>-10000000000</v>
      </c>
    </row>
    <row r="20" spans="1:4" x14ac:dyDescent="0.2">
      <c r="A20" s="732" t="s">
        <v>614</v>
      </c>
      <c r="B20" s="738" t="s">
        <v>768</v>
      </c>
      <c r="C20">
        <v>10000000000</v>
      </c>
      <c r="D20">
        <f t="shared" si="0"/>
        <v>-10000000000</v>
      </c>
    </row>
    <row r="21" spans="1:4" x14ac:dyDescent="0.2">
      <c r="A21" s="732" t="s">
        <v>769</v>
      </c>
      <c r="B21" s="738" t="s">
        <v>770</v>
      </c>
      <c r="C21">
        <v>10000000000</v>
      </c>
      <c r="D21">
        <f t="shared" si="0"/>
        <v>-10000000000</v>
      </c>
    </row>
    <row r="22" spans="1:4" x14ac:dyDescent="0.2">
      <c r="A22" s="732" t="s">
        <v>771</v>
      </c>
      <c r="B22" s="738" t="s">
        <v>772</v>
      </c>
      <c r="C22">
        <v>10000000000</v>
      </c>
      <c r="D22">
        <f t="shared" si="0"/>
        <v>-10000000000</v>
      </c>
    </row>
    <row r="23" spans="1:4" x14ac:dyDescent="0.2">
      <c r="A23" s="732" t="s">
        <v>773</v>
      </c>
      <c r="B23" s="738" t="s">
        <v>774</v>
      </c>
      <c r="C23">
        <v>10000000000</v>
      </c>
      <c r="D23">
        <f t="shared" si="0"/>
        <v>-10000000000</v>
      </c>
    </row>
    <row r="24" spans="1:4" x14ac:dyDescent="0.2">
      <c r="A24" s="739" t="s">
        <v>1235</v>
      </c>
      <c r="B24" s="740" t="s">
        <v>1220</v>
      </c>
      <c r="C24">
        <v>10000000000</v>
      </c>
      <c r="D24">
        <f t="shared" si="0"/>
        <v>-10000000000</v>
      </c>
    </row>
    <row r="25" spans="1:4" x14ac:dyDescent="0.2">
      <c r="A25" s="732" t="s">
        <v>524</v>
      </c>
      <c r="B25" s="738" t="s">
        <v>776</v>
      </c>
      <c r="C25">
        <v>10000000000</v>
      </c>
      <c r="D25">
        <f t="shared" si="0"/>
        <v>-10000000000</v>
      </c>
    </row>
    <row r="26" spans="1:4" x14ac:dyDescent="0.2">
      <c r="A26" s="732" t="s">
        <v>777</v>
      </c>
      <c r="B26" s="738" t="s">
        <v>778</v>
      </c>
      <c r="C26">
        <v>10000000000</v>
      </c>
      <c r="D26">
        <f t="shared" si="0"/>
        <v>-10000000000</v>
      </c>
    </row>
    <row r="27" spans="1:4" x14ac:dyDescent="0.2">
      <c r="A27" s="732" t="s">
        <v>779</v>
      </c>
      <c r="B27" s="738" t="s">
        <v>780</v>
      </c>
      <c r="C27">
        <v>10000000000</v>
      </c>
      <c r="D27">
        <f t="shared" si="0"/>
        <v>-10000000000</v>
      </c>
    </row>
    <row r="28" spans="1:4" x14ac:dyDescent="0.2">
      <c r="A28" s="732" t="s">
        <v>781</v>
      </c>
      <c r="B28" s="738" t="s">
        <v>782</v>
      </c>
      <c r="C28">
        <v>10000000000</v>
      </c>
      <c r="D28">
        <f t="shared" si="0"/>
        <v>-10000000000</v>
      </c>
    </row>
    <row r="29" spans="1:4" x14ac:dyDescent="0.2">
      <c r="A29" s="732" t="s">
        <v>783</v>
      </c>
      <c r="B29" s="738" t="s">
        <v>784</v>
      </c>
      <c r="C29">
        <v>10000000000</v>
      </c>
      <c r="D29">
        <f t="shared" si="0"/>
        <v>-10000000000</v>
      </c>
    </row>
    <row r="30" spans="1:4" x14ac:dyDescent="0.2">
      <c r="A30" s="732" t="s">
        <v>785</v>
      </c>
      <c r="B30" s="738" t="s">
        <v>786</v>
      </c>
      <c r="C30">
        <v>10000000000</v>
      </c>
      <c r="D30">
        <f t="shared" si="0"/>
        <v>-10000000000</v>
      </c>
    </row>
    <row r="31" spans="1:4" x14ac:dyDescent="0.2">
      <c r="A31" s="732" t="s">
        <v>997</v>
      </c>
      <c r="B31" s="738" t="s">
        <v>788</v>
      </c>
      <c r="C31">
        <v>10000000000</v>
      </c>
      <c r="D31">
        <f t="shared" si="0"/>
        <v>-10000000000</v>
      </c>
    </row>
    <row r="32" spans="1:4" x14ac:dyDescent="0.2">
      <c r="A32" s="732" t="s">
        <v>518</v>
      </c>
      <c r="B32" s="738" t="s">
        <v>790</v>
      </c>
      <c r="C32">
        <v>10000000000</v>
      </c>
      <c r="D32">
        <f t="shared" si="0"/>
        <v>-10000000000</v>
      </c>
    </row>
    <row r="33" spans="1:4" x14ac:dyDescent="0.2">
      <c r="A33" s="732" t="s">
        <v>791</v>
      </c>
      <c r="B33" s="738" t="s">
        <v>792</v>
      </c>
      <c r="C33">
        <v>10000000000</v>
      </c>
      <c r="D33">
        <f t="shared" si="0"/>
        <v>-10000000000</v>
      </c>
    </row>
    <row r="34" spans="1:4" x14ac:dyDescent="0.2">
      <c r="A34" s="732" t="s">
        <v>793</v>
      </c>
      <c r="B34" s="738" t="s">
        <v>794</v>
      </c>
      <c r="C34">
        <v>10000000000</v>
      </c>
      <c r="D34">
        <f t="shared" si="0"/>
        <v>-10000000000</v>
      </c>
    </row>
    <row r="35" spans="1:4" x14ac:dyDescent="0.2">
      <c r="A35" s="732" t="s">
        <v>795</v>
      </c>
      <c r="B35" s="738" t="s">
        <v>796</v>
      </c>
      <c r="C35">
        <v>10000000000</v>
      </c>
      <c r="D35">
        <f t="shared" si="0"/>
        <v>-10000000000</v>
      </c>
    </row>
    <row r="36" spans="1:4" x14ac:dyDescent="0.2">
      <c r="A36" s="732" t="s">
        <v>797</v>
      </c>
      <c r="B36" s="738" t="s">
        <v>798</v>
      </c>
      <c r="C36">
        <v>10000000000</v>
      </c>
      <c r="D36">
        <f t="shared" si="0"/>
        <v>-10000000000</v>
      </c>
    </row>
    <row r="37" spans="1:4" x14ac:dyDescent="0.2">
      <c r="A37" s="732" t="s">
        <v>799</v>
      </c>
      <c r="B37" s="738" t="s">
        <v>800</v>
      </c>
      <c r="C37">
        <v>10000000000</v>
      </c>
      <c r="D37">
        <f t="shared" si="0"/>
        <v>-10000000000</v>
      </c>
    </row>
    <row r="38" spans="1:4" x14ac:dyDescent="0.2">
      <c r="A38" s="732" t="s">
        <v>535</v>
      </c>
      <c r="B38" s="738" t="s">
        <v>1257</v>
      </c>
      <c r="C38">
        <v>10000000000</v>
      </c>
      <c r="D38">
        <f t="shared" si="0"/>
        <v>-10000000000</v>
      </c>
    </row>
    <row r="39" spans="1:4" x14ac:dyDescent="0.2">
      <c r="A39" s="732" t="s">
        <v>801</v>
      </c>
      <c r="B39" s="738" t="s">
        <v>802</v>
      </c>
      <c r="C39">
        <v>10000000000</v>
      </c>
      <c r="D39">
        <f t="shared" si="0"/>
        <v>-10000000000</v>
      </c>
    </row>
    <row r="40" spans="1:4" x14ac:dyDescent="0.2">
      <c r="A40" s="732" t="s">
        <v>803</v>
      </c>
      <c r="B40" s="738" t="s">
        <v>804</v>
      </c>
      <c r="C40">
        <v>10000000000</v>
      </c>
      <c r="D40">
        <f t="shared" si="0"/>
        <v>-10000000000</v>
      </c>
    </row>
    <row r="41" spans="1:4" x14ac:dyDescent="0.2">
      <c r="A41" s="732" t="s">
        <v>805</v>
      </c>
      <c r="B41" s="738" t="s">
        <v>806</v>
      </c>
      <c r="C41">
        <v>10000000000</v>
      </c>
      <c r="D41">
        <f t="shared" si="0"/>
        <v>-10000000000</v>
      </c>
    </row>
    <row r="42" spans="1:4" x14ac:dyDescent="0.2">
      <c r="A42" s="732" t="s">
        <v>807</v>
      </c>
      <c r="B42" s="738" t="s">
        <v>808</v>
      </c>
      <c r="C42">
        <v>10000000000</v>
      </c>
      <c r="D42">
        <f t="shared" si="0"/>
        <v>-10000000000</v>
      </c>
    </row>
    <row r="43" spans="1:4" x14ac:dyDescent="0.2">
      <c r="A43" s="732" t="s">
        <v>809</v>
      </c>
      <c r="B43" s="738" t="s">
        <v>810</v>
      </c>
      <c r="C43">
        <v>10000000000</v>
      </c>
      <c r="D43">
        <f t="shared" si="0"/>
        <v>-10000000000</v>
      </c>
    </row>
    <row r="44" spans="1:4" x14ac:dyDescent="0.2">
      <c r="A44" s="732" t="s">
        <v>811</v>
      </c>
      <c r="B44" s="738" t="s">
        <v>812</v>
      </c>
      <c r="C44">
        <v>10000000000</v>
      </c>
      <c r="D44">
        <f t="shared" si="0"/>
        <v>-10000000000</v>
      </c>
    </row>
    <row r="45" spans="1:4" x14ac:dyDescent="0.2">
      <c r="A45" s="732" t="s">
        <v>813</v>
      </c>
      <c r="B45" s="738" t="s">
        <v>814</v>
      </c>
      <c r="C45">
        <v>10000000000</v>
      </c>
      <c r="D45">
        <f t="shared" si="0"/>
        <v>-10000000000</v>
      </c>
    </row>
    <row r="46" spans="1:4" x14ac:dyDescent="0.2">
      <c r="A46" s="732" t="s">
        <v>815</v>
      </c>
      <c r="B46" s="738" t="s">
        <v>816</v>
      </c>
      <c r="C46">
        <v>10000000000</v>
      </c>
      <c r="D46">
        <f t="shared" si="0"/>
        <v>-10000000000</v>
      </c>
    </row>
    <row r="47" spans="1:4" x14ac:dyDescent="0.2">
      <c r="A47" s="739" t="s">
        <v>817</v>
      </c>
      <c r="B47" s="740" t="s">
        <v>818</v>
      </c>
      <c r="C47">
        <v>10000000000</v>
      </c>
      <c r="D47">
        <f t="shared" si="0"/>
        <v>-10000000000</v>
      </c>
    </row>
    <row r="48" spans="1:4" x14ac:dyDescent="0.2">
      <c r="A48" s="732" t="s">
        <v>819</v>
      </c>
      <c r="B48" s="738" t="s">
        <v>820</v>
      </c>
      <c r="C48">
        <v>10000000000</v>
      </c>
      <c r="D48">
        <f t="shared" si="0"/>
        <v>-10000000000</v>
      </c>
    </row>
    <row r="49" spans="1:4" x14ac:dyDescent="0.2">
      <c r="A49" s="732" t="s">
        <v>821</v>
      </c>
      <c r="B49" s="738" t="s">
        <v>822</v>
      </c>
      <c r="C49">
        <v>10000000000</v>
      </c>
      <c r="D49">
        <f t="shared" si="0"/>
        <v>-10000000000</v>
      </c>
    </row>
    <row r="50" spans="1:4" x14ac:dyDescent="0.2">
      <c r="A50" s="732" t="s">
        <v>823</v>
      </c>
      <c r="B50" s="738" t="s">
        <v>824</v>
      </c>
      <c r="C50">
        <v>10000000000</v>
      </c>
      <c r="D50">
        <f t="shared" si="0"/>
        <v>-10000000000</v>
      </c>
    </row>
    <row r="51" spans="1:4" x14ac:dyDescent="0.2">
      <c r="A51" s="732" t="s">
        <v>825</v>
      </c>
      <c r="B51" s="738" t="s">
        <v>826</v>
      </c>
      <c r="C51">
        <v>10000000000</v>
      </c>
      <c r="D51">
        <f t="shared" si="0"/>
        <v>-10000000000</v>
      </c>
    </row>
    <row r="52" spans="1:4" x14ac:dyDescent="0.2">
      <c r="A52" s="732" t="s">
        <v>827</v>
      </c>
      <c r="B52" s="738" t="s">
        <v>828</v>
      </c>
      <c r="C52">
        <v>10000000000</v>
      </c>
      <c r="D52">
        <f t="shared" si="0"/>
        <v>-10000000000</v>
      </c>
    </row>
    <row r="53" spans="1:4" x14ac:dyDescent="0.2">
      <c r="A53" s="732" t="s">
        <v>545</v>
      </c>
      <c r="B53" s="738" t="s">
        <v>829</v>
      </c>
      <c r="C53">
        <v>10000000000</v>
      </c>
      <c r="D53">
        <f t="shared" si="0"/>
        <v>-10000000000</v>
      </c>
    </row>
    <row r="54" spans="1:4" x14ac:dyDescent="0.2">
      <c r="A54" s="732" t="s">
        <v>830</v>
      </c>
      <c r="B54" s="738" t="s">
        <v>831</v>
      </c>
      <c r="C54">
        <v>10000000000</v>
      </c>
      <c r="D54">
        <f t="shared" si="0"/>
        <v>-10000000000</v>
      </c>
    </row>
    <row r="55" spans="1:4" x14ac:dyDescent="0.2">
      <c r="A55" s="732" t="s">
        <v>832</v>
      </c>
      <c r="B55" s="738" t="s">
        <v>833</v>
      </c>
      <c r="C55">
        <v>10000000000</v>
      </c>
      <c r="D55">
        <f t="shared" si="0"/>
        <v>-10000000000</v>
      </c>
    </row>
    <row r="56" spans="1:4" x14ac:dyDescent="0.2">
      <c r="A56" s="732" t="s">
        <v>834</v>
      </c>
      <c r="B56" s="738" t="s">
        <v>835</v>
      </c>
      <c r="C56">
        <v>10000000000</v>
      </c>
      <c r="D56">
        <f t="shared" si="0"/>
        <v>-10000000000</v>
      </c>
    </row>
    <row r="57" spans="1:4" x14ac:dyDescent="0.2">
      <c r="A57" s="732" t="s">
        <v>836</v>
      </c>
      <c r="B57" s="738" t="s">
        <v>0</v>
      </c>
      <c r="C57">
        <v>10000000000</v>
      </c>
      <c r="D57">
        <f t="shared" si="0"/>
        <v>-10000000000</v>
      </c>
    </row>
    <row r="58" spans="1:4" x14ac:dyDescent="0.2">
      <c r="A58" s="732" t="s">
        <v>1</v>
      </c>
      <c r="B58" s="738" t="s">
        <v>2</v>
      </c>
      <c r="C58">
        <v>10000000000</v>
      </c>
      <c r="D58">
        <f t="shared" si="0"/>
        <v>-10000000000</v>
      </c>
    </row>
    <row r="59" spans="1:4" x14ac:dyDescent="0.2">
      <c r="A59" s="732" t="s">
        <v>3</v>
      </c>
      <c r="B59" s="738" t="s">
        <v>4</v>
      </c>
      <c r="C59">
        <v>10000000000</v>
      </c>
      <c r="D59">
        <f t="shared" si="0"/>
        <v>-10000000000</v>
      </c>
    </row>
    <row r="60" spans="1:4" x14ac:dyDescent="0.2">
      <c r="A60" s="732" t="s">
        <v>5</v>
      </c>
      <c r="B60" s="738" t="s">
        <v>6</v>
      </c>
      <c r="C60">
        <v>10000000000</v>
      </c>
      <c r="D60">
        <f t="shared" si="0"/>
        <v>-10000000000</v>
      </c>
    </row>
    <row r="61" spans="1:4" x14ac:dyDescent="0.2">
      <c r="A61" s="732" t="s">
        <v>7</v>
      </c>
      <c r="B61" s="738" t="s">
        <v>8</v>
      </c>
      <c r="C61">
        <v>10000000000</v>
      </c>
      <c r="D61">
        <f t="shared" si="0"/>
        <v>-10000000000</v>
      </c>
    </row>
    <row r="62" spans="1:4" x14ac:dyDescent="0.2">
      <c r="A62" s="732" t="s">
        <v>9</v>
      </c>
      <c r="B62" s="738" t="s">
        <v>10</v>
      </c>
      <c r="C62">
        <v>10000000000</v>
      </c>
      <c r="D62">
        <f t="shared" si="0"/>
        <v>-10000000000</v>
      </c>
    </row>
    <row r="63" spans="1:4" x14ac:dyDescent="0.2">
      <c r="A63" s="732" t="s">
        <v>11</v>
      </c>
      <c r="B63" s="738" t="s">
        <v>12</v>
      </c>
      <c r="C63">
        <v>10000000000</v>
      </c>
      <c r="D63">
        <f t="shared" si="0"/>
        <v>-10000000000</v>
      </c>
    </row>
    <row r="64" spans="1:4" x14ac:dyDescent="0.2">
      <c r="A64" s="906" t="s">
        <v>2403</v>
      </c>
      <c r="B64" s="907" t="s">
        <v>2429</v>
      </c>
      <c r="C64">
        <v>10000000000</v>
      </c>
      <c r="D64">
        <f t="shared" si="0"/>
        <v>-10000000000</v>
      </c>
    </row>
    <row r="65" spans="1:4" x14ac:dyDescent="0.2">
      <c r="A65" s="732" t="s">
        <v>13</v>
      </c>
      <c r="B65" s="738" t="s">
        <v>14</v>
      </c>
      <c r="C65">
        <v>10000000000</v>
      </c>
      <c r="D65">
        <f t="shared" si="0"/>
        <v>-10000000000</v>
      </c>
    </row>
    <row r="66" spans="1:4" x14ac:dyDescent="0.2">
      <c r="A66" s="732" t="s">
        <v>569</v>
      </c>
      <c r="B66" s="738" t="s">
        <v>16</v>
      </c>
      <c r="C66">
        <v>10000000000</v>
      </c>
      <c r="D66">
        <f t="shared" si="0"/>
        <v>-10000000000</v>
      </c>
    </row>
    <row r="67" spans="1:4" x14ac:dyDescent="0.2">
      <c r="A67" s="732" t="s">
        <v>17</v>
      </c>
      <c r="B67" s="738" t="s">
        <v>18</v>
      </c>
      <c r="C67">
        <v>10000000000</v>
      </c>
      <c r="D67">
        <f t="shared" ref="D67:D130" si="1">C67*-1</f>
        <v>-10000000000</v>
      </c>
    </row>
    <row r="68" spans="1:4" x14ac:dyDescent="0.2">
      <c r="A68" s="732" t="s">
        <v>553</v>
      </c>
      <c r="B68" s="738" t="s">
        <v>20</v>
      </c>
      <c r="C68">
        <v>10000000000</v>
      </c>
      <c r="D68">
        <f t="shared" si="1"/>
        <v>-10000000000</v>
      </c>
    </row>
    <row r="69" spans="1:4" x14ac:dyDescent="0.2">
      <c r="A69" s="732" t="s">
        <v>21</v>
      </c>
      <c r="B69" s="738" t="s">
        <v>22</v>
      </c>
      <c r="C69">
        <v>10000000000</v>
      </c>
      <c r="D69">
        <f t="shared" si="1"/>
        <v>-10000000000</v>
      </c>
    </row>
    <row r="70" spans="1:4" x14ac:dyDescent="0.2">
      <c r="A70" s="732" t="s">
        <v>23</v>
      </c>
      <c r="B70" s="738" t="s">
        <v>24</v>
      </c>
      <c r="C70">
        <v>10000000000</v>
      </c>
      <c r="D70">
        <f t="shared" si="1"/>
        <v>-10000000000</v>
      </c>
    </row>
    <row r="71" spans="1:4" x14ac:dyDescent="0.2">
      <c r="A71" s="739" t="s">
        <v>1221</v>
      </c>
      <c r="B71" s="738" t="s">
        <v>1222</v>
      </c>
      <c r="C71">
        <v>10000000000</v>
      </c>
      <c r="D71">
        <f t="shared" si="1"/>
        <v>-10000000000</v>
      </c>
    </row>
    <row r="72" spans="1:4" x14ac:dyDescent="0.2">
      <c r="A72" s="732" t="s">
        <v>33</v>
      </c>
      <c r="B72" s="738" t="s">
        <v>34</v>
      </c>
      <c r="C72">
        <v>10000000000</v>
      </c>
      <c r="D72">
        <f t="shared" si="1"/>
        <v>-10000000000</v>
      </c>
    </row>
    <row r="73" spans="1:4" x14ac:dyDescent="0.2">
      <c r="A73" s="732" t="s">
        <v>35</v>
      </c>
      <c r="B73" s="738" t="s">
        <v>36</v>
      </c>
      <c r="C73">
        <v>10000000000</v>
      </c>
      <c r="D73">
        <f t="shared" si="1"/>
        <v>-10000000000</v>
      </c>
    </row>
    <row r="74" spans="1:4" x14ac:dyDescent="0.2">
      <c r="A74" s="732" t="s">
        <v>37</v>
      </c>
      <c r="B74" s="738" t="s">
        <v>38</v>
      </c>
      <c r="C74">
        <v>10000000000</v>
      </c>
      <c r="D74">
        <f t="shared" si="1"/>
        <v>-10000000000</v>
      </c>
    </row>
    <row r="75" spans="1:4" x14ac:dyDescent="0.2">
      <c r="A75" s="732" t="s">
        <v>39</v>
      </c>
      <c r="B75" s="738" t="s">
        <v>40</v>
      </c>
      <c r="C75">
        <v>10000000000</v>
      </c>
      <c r="D75">
        <f t="shared" si="1"/>
        <v>-10000000000</v>
      </c>
    </row>
    <row r="76" spans="1:4" x14ac:dyDescent="0.2">
      <c r="A76" s="732" t="s">
        <v>41</v>
      </c>
      <c r="B76" s="738" t="s">
        <v>42</v>
      </c>
      <c r="C76">
        <v>10000000000</v>
      </c>
      <c r="D76">
        <f t="shared" si="1"/>
        <v>-10000000000</v>
      </c>
    </row>
    <row r="77" spans="1:4" x14ac:dyDescent="0.2">
      <c r="A77" s="732" t="s">
        <v>43</v>
      </c>
      <c r="B77" s="738" t="s">
        <v>44</v>
      </c>
      <c r="C77">
        <v>10000000000</v>
      </c>
      <c r="D77">
        <f t="shared" si="1"/>
        <v>-10000000000</v>
      </c>
    </row>
    <row r="78" spans="1:4" x14ac:dyDescent="0.2">
      <c r="A78" s="732" t="s">
        <v>45</v>
      </c>
      <c r="B78" s="738" t="s">
        <v>46</v>
      </c>
      <c r="C78">
        <v>10000000000</v>
      </c>
      <c r="D78">
        <f t="shared" si="1"/>
        <v>-10000000000</v>
      </c>
    </row>
    <row r="79" spans="1:4" x14ac:dyDescent="0.2">
      <c r="A79" s="732" t="s">
        <v>47</v>
      </c>
      <c r="B79" s="738" t="s">
        <v>48</v>
      </c>
      <c r="C79">
        <v>10000000000</v>
      </c>
      <c r="D79">
        <f t="shared" si="1"/>
        <v>-10000000000</v>
      </c>
    </row>
    <row r="80" spans="1:4" x14ac:dyDescent="0.2">
      <c r="A80" s="732" t="s">
        <v>49</v>
      </c>
      <c r="B80" s="738" t="s">
        <v>50</v>
      </c>
      <c r="C80">
        <v>10000000000</v>
      </c>
      <c r="D80">
        <f t="shared" si="1"/>
        <v>-10000000000</v>
      </c>
    </row>
    <row r="81" spans="1:4" x14ac:dyDescent="0.2">
      <c r="A81" s="732" t="s">
        <v>598</v>
      </c>
      <c r="B81" s="738" t="s">
        <v>52</v>
      </c>
      <c r="C81">
        <v>10000000000</v>
      </c>
      <c r="D81">
        <f t="shared" si="1"/>
        <v>-10000000000</v>
      </c>
    </row>
    <row r="82" spans="1:4" x14ac:dyDescent="0.2">
      <c r="A82" s="732" t="s">
        <v>55</v>
      </c>
      <c r="B82" s="738" t="s">
        <v>56</v>
      </c>
      <c r="C82">
        <v>10000000000</v>
      </c>
      <c r="D82">
        <f t="shared" si="1"/>
        <v>-10000000000</v>
      </c>
    </row>
    <row r="83" spans="1:4" x14ac:dyDescent="0.2">
      <c r="A83" s="739" t="s">
        <v>1223</v>
      </c>
      <c r="B83" s="740" t="s">
        <v>1224</v>
      </c>
      <c r="C83">
        <v>10000000000</v>
      </c>
      <c r="D83">
        <f t="shared" si="1"/>
        <v>-10000000000</v>
      </c>
    </row>
    <row r="84" spans="1:4" x14ac:dyDescent="0.2">
      <c r="A84" s="732" t="s">
        <v>57</v>
      </c>
      <c r="B84" s="738" t="s">
        <v>58</v>
      </c>
      <c r="C84">
        <v>10000000000</v>
      </c>
      <c r="D84">
        <f t="shared" si="1"/>
        <v>-10000000000</v>
      </c>
    </row>
    <row r="85" spans="1:4" x14ac:dyDescent="0.2">
      <c r="A85" s="732" t="s">
        <v>59</v>
      </c>
      <c r="B85" s="738" t="s">
        <v>60</v>
      </c>
      <c r="C85">
        <v>10000000000</v>
      </c>
      <c r="D85">
        <f t="shared" si="1"/>
        <v>-10000000000</v>
      </c>
    </row>
    <row r="86" spans="1:4" x14ac:dyDescent="0.2">
      <c r="A86" s="732" t="s">
        <v>61</v>
      </c>
      <c r="B86" s="738" t="s">
        <v>62</v>
      </c>
      <c r="C86">
        <v>10000000000</v>
      </c>
      <c r="D86">
        <f t="shared" si="1"/>
        <v>-10000000000</v>
      </c>
    </row>
    <row r="87" spans="1:4" x14ac:dyDescent="0.2">
      <c r="A87" s="732" t="s">
        <v>63</v>
      </c>
      <c r="B87" s="738" t="s">
        <v>64</v>
      </c>
      <c r="C87">
        <v>10000000000</v>
      </c>
      <c r="D87">
        <f t="shared" si="1"/>
        <v>-10000000000</v>
      </c>
    </row>
    <row r="88" spans="1:4" x14ac:dyDescent="0.2">
      <c r="A88" s="732" t="s">
        <v>65</v>
      </c>
      <c r="B88" s="738" t="s">
        <v>66</v>
      </c>
      <c r="C88">
        <v>10000000000</v>
      </c>
      <c r="D88">
        <f t="shared" si="1"/>
        <v>-10000000000</v>
      </c>
    </row>
    <row r="89" spans="1:4" x14ac:dyDescent="0.2">
      <c r="A89" s="732" t="s">
        <v>995</v>
      </c>
      <c r="B89" s="738" t="s">
        <v>68</v>
      </c>
      <c r="C89">
        <v>10000000000</v>
      </c>
      <c r="D89">
        <f t="shared" si="1"/>
        <v>-10000000000</v>
      </c>
    </row>
    <row r="90" spans="1:4" x14ac:dyDescent="0.2">
      <c r="A90" s="732" t="s">
        <v>69</v>
      </c>
      <c r="B90" s="738" t="s">
        <v>70</v>
      </c>
      <c r="C90">
        <v>10000000000</v>
      </c>
      <c r="D90">
        <f t="shared" si="1"/>
        <v>-10000000000</v>
      </c>
    </row>
    <row r="91" spans="1:4" x14ac:dyDescent="0.2">
      <c r="A91" s="732" t="s">
        <v>71</v>
      </c>
      <c r="B91" s="738" t="s">
        <v>72</v>
      </c>
      <c r="C91">
        <v>10000000000</v>
      </c>
      <c r="D91">
        <f t="shared" si="1"/>
        <v>-10000000000</v>
      </c>
    </row>
    <row r="92" spans="1:4" x14ac:dyDescent="0.2">
      <c r="A92" s="732" t="s">
        <v>73</v>
      </c>
      <c r="B92" s="738" t="s">
        <v>74</v>
      </c>
      <c r="C92">
        <v>10000000000</v>
      </c>
      <c r="D92">
        <f t="shared" si="1"/>
        <v>-10000000000</v>
      </c>
    </row>
    <row r="93" spans="1:4" x14ac:dyDescent="0.2">
      <c r="A93" s="732" t="s">
        <v>75</v>
      </c>
      <c r="B93" s="738" t="s">
        <v>76</v>
      </c>
      <c r="C93">
        <v>10000000000</v>
      </c>
      <c r="D93">
        <f t="shared" si="1"/>
        <v>-10000000000</v>
      </c>
    </row>
    <row r="94" spans="1:4" x14ac:dyDescent="0.2">
      <c r="A94" s="732" t="s">
        <v>1205</v>
      </c>
      <c r="B94" s="738" t="s">
        <v>319</v>
      </c>
      <c r="C94">
        <v>10000000000</v>
      </c>
      <c r="D94">
        <f t="shared" si="1"/>
        <v>-10000000000</v>
      </c>
    </row>
    <row r="95" spans="1:4" x14ac:dyDescent="0.2">
      <c r="A95" s="732" t="s">
        <v>77</v>
      </c>
      <c r="B95" s="738" t="s">
        <v>78</v>
      </c>
      <c r="C95">
        <v>10000000000</v>
      </c>
      <c r="D95">
        <f t="shared" si="1"/>
        <v>-10000000000</v>
      </c>
    </row>
    <row r="96" spans="1:4" x14ac:dyDescent="0.2">
      <c r="A96" s="732" t="s">
        <v>79</v>
      </c>
      <c r="B96" s="738" t="s">
        <v>80</v>
      </c>
      <c r="C96">
        <v>10000000000</v>
      </c>
      <c r="D96">
        <f t="shared" si="1"/>
        <v>-10000000000</v>
      </c>
    </row>
    <row r="97" spans="1:4" x14ac:dyDescent="0.2">
      <c r="A97" s="732" t="s">
        <v>81</v>
      </c>
      <c r="B97" s="738" t="s">
        <v>82</v>
      </c>
      <c r="C97">
        <v>10000000000</v>
      </c>
      <c r="D97">
        <f t="shared" si="1"/>
        <v>-10000000000</v>
      </c>
    </row>
    <row r="98" spans="1:4" x14ac:dyDescent="0.2">
      <c r="A98" s="732" t="s">
        <v>83</v>
      </c>
      <c r="B98" s="738" t="s">
        <v>84</v>
      </c>
      <c r="C98">
        <v>10000000000</v>
      </c>
      <c r="D98">
        <f t="shared" si="1"/>
        <v>-10000000000</v>
      </c>
    </row>
    <row r="99" spans="1:4" x14ac:dyDescent="0.2">
      <c r="A99" s="732" t="s">
        <v>85</v>
      </c>
      <c r="B99" s="738" t="s">
        <v>86</v>
      </c>
      <c r="C99">
        <v>10000000000</v>
      </c>
      <c r="D99">
        <f t="shared" si="1"/>
        <v>-10000000000</v>
      </c>
    </row>
    <row r="100" spans="1:4" x14ac:dyDescent="0.2">
      <c r="A100" s="732" t="s">
        <v>87</v>
      </c>
      <c r="B100" s="738" t="s">
        <v>88</v>
      </c>
      <c r="C100">
        <v>10000000000</v>
      </c>
      <c r="D100">
        <f t="shared" si="1"/>
        <v>-10000000000</v>
      </c>
    </row>
    <row r="101" spans="1:4" x14ac:dyDescent="0.2">
      <c r="A101" s="732" t="s">
        <v>89</v>
      </c>
      <c r="B101" s="738" t="s">
        <v>90</v>
      </c>
      <c r="C101">
        <v>10000000000</v>
      </c>
      <c r="D101">
        <f t="shared" si="1"/>
        <v>-10000000000</v>
      </c>
    </row>
    <row r="102" spans="1:4" x14ac:dyDescent="0.2">
      <c r="A102" s="732" t="s">
        <v>91</v>
      </c>
      <c r="B102" s="738" t="s">
        <v>92</v>
      </c>
      <c r="C102">
        <v>10000000000</v>
      </c>
      <c r="D102">
        <f t="shared" si="1"/>
        <v>-10000000000</v>
      </c>
    </row>
    <row r="103" spans="1:4" x14ac:dyDescent="0.2">
      <c r="A103" s="732" t="s">
        <v>93</v>
      </c>
      <c r="B103" s="738" t="s">
        <v>94</v>
      </c>
      <c r="C103">
        <v>10000000000</v>
      </c>
      <c r="D103">
        <f t="shared" si="1"/>
        <v>-10000000000</v>
      </c>
    </row>
    <row r="104" spans="1:4" x14ac:dyDescent="0.2">
      <c r="A104" s="732" t="s">
        <v>95</v>
      </c>
      <c r="B104" s="738" t="s">
        <v>96</v>
      </c>
      <c r="C104">
        <v>10000000000</v>
      </c>
      <c r="D104">
        <f t="shared" si="1"/>
        <v>-10000000000</v>
      </c>
    </row>
    <row r="105" spans="1:4" x14ac:dyDescent="0.2">
      <c r="A105" s="732" t="s">
        <v>97</v>
      </c>
      <c r="B105" s="738" t="s">
        <v>98</v>
      </c>
      <c r="C105">
        <v>10000000000</v>
      </c>
      <c r="D105">
        <f t="shared" si="1"/>
        <v>-10000000000</v>
      </c>
    </row>
    <row r="106" spans="1:4" x14ac:dyDescent="0.2">
      <c r="A106" s="732" t="s">
        <v>541</v>
      </c>
      <c r="B106" s="738" t="s">
        <v>100</v>
      </c>
      <c r="C106">
        <v>10000000000</v>
      </c>
      <c r="D106">
        <f t="shared" si="1"/>
        <v>-10000000000</v>
      </c>
    </row>
    <row r="107" spans="1:4" x14ac:dyDescent="0.2">
      <c r="A107" s="732" t="s">
        <v>101</v>
      </c>
      <c r="B107" s="738" t="s">
        <v>102</v>
      </c>
      <c r="C107">
        <v>10000000000</v>
      </c>
      <c r="D107">
        <f t="shared" si="1"/>
        <v>-10000000000</v>
      </c>
    </row>
    <row r="108" spans="1:4" x14ac:dyDescent="0.2">
      <c r="A108" s="732" t="s">
        <v>103</v>
      </c>
      <c r="B108" s="738" t="s">
        <v>104</v>
      </c>
      <c r="C108">
        <v>10000000000</v>
      </c>
      <c r="D108">
        <f t="shared" si="1"/>
        <v>-10000000000</v>
      </c>
    </row>
    <row r="109" spans="1:4" x14ac:dyDescent="0.2">
      <c r="A109" s="732" t="s">
        <v>105</v>
      </c>
      <c r="B109" s="738" t="s">
        <v>106</v>
      </c>
      <c r="C109">
        <v>10000000000</v>
      </c>
      <c r="D109">
        <f t="shared" si="1"/>
        <v>-10000000000</v>
      </c>
    </row>
    <row r="110" spans="1:4" x14ac:dyDescent="0.2">
      <c r="A110" s="732" t="s">
        <v>107</v>
      </c>
      <c r="B110" s="738" t="s">
        <v>108</v>
      </c>
      <c r="C110">
        <v>10000000000</v>
      </c>
      <c r="D110">
        <f t="shared" si="1"/>
        <v>-10000000000</v>
      </c>
    </row>
    <row r="111" spans="1:4" x14ac:dyDescent="0.2">
      <c r="A111" s="732" t="s">
        <v>109</v>
      </c>
      <c r="B111" s="738" t="s">
        <v>110</v>
      </c>
      <c r="C111">
        <v>10000000000</v>
      </c>
      <c r="D111">
        <f t="shared" si="1"/>
        <v>-10000000000</v>
      </c>
    </row>
    <row r="112" spans="1:4" x14ac:dyDescent="0.2">
      <c r="A112" s="732" t="s">
        <v>111</v>
      </c>
      <c r="B112" s="738" t="s">
        <v>112</v>
      </c>
      <c r="C112">
        <v>10000000000</v>
      </c>
      <c r="D112">
        <f t="shared" si="1"/>
        <v>-10000000000</v>
      </c>
    </row>
    <row r="113" spans="1:4" x14ac:dyDescent="0.2">
      <c r="A113" s="732" t="s">
        <v>546</v>
      </c>
      <c r="B113" s="738" t="s">
        <v>114</v>
      </c>
      <c r="C113">
        <v>10000000000</v>
      </c>
      <c r="D113">
        <f t="shared" si="1"/>
        <v>-10000000000</v>
      </c>
    </row>
    <row r="114" spans="1:4" x14ac:dyDescent="0.2">
      <c r="A114" s="732" t="s">
        <v>115</v>
      </c>
      <c r="B114" s="738" t="s">
        <v>116</v>
      </c>
      <c r="C114">
        <v>10000000000</v>
      </c>
      <c r="D114">
        <f t="shared" si="1"/>
        <v>-10000000000</v>
      </c>
    </row>
    <row r="115" spans="1:4" x14ac:dyDescent="0.2">
      <c r="A115" s="732" t="s">
        <v>117</v>
      </c>
      <c r="B115" s="738" t="s">
        <v>118</v>
      </c>
      <c r="C115">
        <v>10000000000</v>
      </c>
      <c r="D115">
        <f t="shared" si="1"/>
        <v>-10000000000</v>
      </c>
    </row>
    <row r="116" spans="1:4" x14ac:dyDescent="0.2">
      <c r="A116" s="732" t="s">
        <v>119</v>
      </c>
      <c r="B116" s="738" t="s">
        <v>120</v>
      </c>
      <c r="C116">
        <v>10000000000</v>
      </c>
      <c r="D116">
        <f t="shared" si="1"/>
        <v>-10000000000</v>
      </c>
    </row>
    <row r="117" spans="1:4" x14ac:dyDescent="0.2">
      <c r="A117" s="732" t="s">
        <v>591</v>
      </c>
      <c r="B117" s="738" t="s">
        <v>122</v>
      </c>
      <c r="C117">
        <v>10000000000</v>
      </c>
      <c r="D117">
        <f t="shared" si="1"/>
        <v>-10000000000</v>
      </c>
    </row>
    <row r="118" spans="1:4" x14ac:dyDescent="0.2">
      <c r="A118" s="732" t="s">
        <v>123</v>
      </c>
      <c r="B118" s="738" t="s">
        <v>124</v>
      </c>
      <c r="C118">
        <v>10000000000</v>
      </c>
      <c r="D118">
        <f t="shared" si="1"/>
        <v>-10000000000</v>
      </c>
    </row>
    <row r="119" spans="1:4" x14ac:dyDescent="0.2">
      <c r="A119" s="732" t="s">
        <v>125</v>
      </c>
      <c r="B119" s="738" t="s">
        <v>126</v>
      </c>
      <c r="C119">
        <v>10000000000</v>
      </c>
      <c r="D119">
        <f t="shared" si="1"/>
        <v>-10000000000</v>
      </c>
    </row>
    <row r="120" spans="1:4" x14ac:dyDescent="0.2">
      <c r="A120" s="732" t="s">
        <v>127</v>
      </c>
      <c r="B120" s="738" t="s">
        <v>128</v>
      </c>
      <c r="C120">
        <v>10000000000</v>
      </c>
      <c r="D120">
        <f t="shared" si="1"/>
        <v>-10000000000</v>
      </c>
    </row>
    <row r="121" spans="1:4" x14ac:dyDescent="0.2">
      <c r="A121" s="732" t="s">
        <v>129</v>
      </c>
      <c r="B121" s="738" t="s">
        <v>130</v>
      </c>
      <c r="C121">
        <v>10000000000</v>
      </c>
      <c r="D121">
        <f t="shared" si="1"/>
        <v>-10000000000</v>
      </c>
    </row>
    <row r="122" spans="1:4" x14ac:dyDescent="0.2">
      <c r="A122" s="732" t="s">
        <v>131</v>
      </c>
      <c r="B122" s="738" t="s">
        <v>132</v>
      </c>
      <c r="C122">
        <v>10000000000</v>
      </c>
      <c r="D122">
        <f t="shared" si="1"/>
        <v>-10000000000</v>
      </c>
    </row>
    <row r="123" spans="1:4" x14ac:dyDescent="0.2">
      <c r="A123" s="732" t="s">
        <v>133</v>
      </c>
      <c r="B123" s="738" t="s">
        <v>134</v>
      </c>
      <c r="C123">
        <v>10000000000</v>
      </c>
      <c r="D123">
        <f t="shared" si="1"/>
        <v>-10000000000</v>
      </c>
    </row>
    <row r="124" spans="1:4" x14ac:dyDescent="0.2">
      <c r="A124" s="732" t="s">
        <v>135</v>
      </c>
      <c r="B124" s="738" t="s">
        <v>136</v>
      </c>
      <c r="C124">
        <v>10000000000</v>
      </c>
      <c r="D124">
        <f t="shared" si="1"/>
        <v>-10000000000</v>
      </c>
    </row>
    <row r="125" spans="1:4" x14ac:dyDescent="0.2">
      <c r="A125" s="732" t="s">
        <v>137</v>
      </c>
      <c r="B125" s="738" t="s">
        <v>138</v>
      </c>
      <c r="C125">
        <v>10000000000</v>
      </c>
      <c r="D125">
        <f t="shared" si="1"/>
        <v>-10000000000</v>
      </c>
    </row>
    <row r="126" spans="1:4" x14ac:dyDescent="0.2">
      <c r="A126" s="732" t="s">
        <v>139</v>
      </c>
      <c r="B126" s="738" t="s">
        <v>140</v>
      </c>
      <c r="C126">
        <v>10000000000</v>
      </c>
      <c r="D126">
        <f t="shared" si="1"/>
        <v>-10000000000</v>
      </c>
    </row>
    <row r="127" spans="1:4" x14ac:dyDescent="0.2">
      <c r="A127" s="732" t="s">
        <v>993</v>
      </c>
      <c r="B127" s="738" t="s">
        <v>142</v>
      </c>
      <c r="C127">
        <v>10000000000</v>
      </c>
      <c r="D127">
        <f t="shared" si="1"/>
        <v>-10000000000</v>
      </c>
    </row>
    <row r="128" spans="1:4" x14ac:dyDescent="0.2">
      <c r="A128" s="732" t="s">
        <v>994</v>
      </c>
      <c r="B128" s="738" t="s">
        <v>144</v>
      </c>
      <c r="C128">
        <v>10000000000</v>
      </c>
      <c r="D128">
        <f t="shared" si="1"/>
        <v>-10000000000</v>
      </c>
    </row>
    <row r="129" spans="1:4" x14ac:dyDescent="0.2">
      <c r="A129" s="732" t="s">
        <v>145</v>
      </c>
      <c r="B129" s="738" t="s">
        <v>146</v>
      </c>
      <c r="C129">
        <v>10000000000</v>
      </c>
      <c r="D129">
        <f t="shared" si="1"/>
        <v>-10000000000</v>
      </c>
    </row>
    <row r="130" spans="1:4" x14ac:dyDescent="0.2">
      <c r="A130" s="732" t="s">
        <v>147</v>
      </c>
      <c r="B130" s="738" t="s">
        <v>148</v>
      </c>
      <c r="C130">
        <v>10000000000</v>
      </c>
      <c r="D130">
        <f t="shared" si="1"/>
        <v>-10000000000</v>
      </c>
    </row>
    <row r="131" spans="1:4" x14ac:dyDescent="0.2">
      <c r="A131" s="732" t="s">
        <v>996</v>
      </c>
      <c r="B131" s="738" t="s">
        <v>150</v>
      </c>
      <c r="C131">
        <v>10000000000</v>
      </c>
      <c r="D131">
        <f t="shared" ref="D131:D194" si="2">C131*-1</f>
        <v>-10000000000</v>
      </c>
    </row>
    <row r="132" spans="1:4" x14ac:dyDescent="0.2">
      <c r="A132" s="732" t="s">
        <v>992</v>
      </c>
      <c r="B132" s="738" t="s">
        <v>152</v>
      </c>
      <c r="C132">
        <v>10000000000</v>
      </c>
      <c r="D132">
        <f t="shared" si="2"/>
        <v>-10000000000</v>
      </c>
    </row>
    <row r="133" spans="1:4" x14ac:dyDescent="0.2">
      <c r="A133" s="732" t="s">
        <v>153</v>
      </c>
      <c r="B133" s="738" t="s">
        <v>154</v>
      </c>
      <c r="C133">
        <v>10000000000</v>
      </c>
      <c r="D133">
        <f t="shared" si="2"/>
        <v>-10000000000</v>
      </c>
    </row>
    <row r="134" spans="1:4" x14ac:dyDescent="0.2">
      <c r="A134" s="732" t="s">
        <v>155</v>
      </c>
      <c r="B134" s="738" t="s">
        <v>156</v>
      </c>
      <c r="C134">
        <v>10000000000</v>
      </c>
      <c r="D134">
        <f t="shared" si="2"/>
        <v>-10000000000</v>
      </c>
    </row>
    <row r="135" spans="1:4" x14ac:dyDescent="0.2">
      <c r="A135" s="732" t="s">
        <v>157</v>
      </c>
      <c r="B135" s="738" t="s">
        <v>158</v>
      </c>
      <c r="C135">
        <v>10000000000</v>
      </c>
      <c r="D135">
        <f t="shared" si="2"/>
        <v>-10000000000</v>
      </c>
    </row>
    <row r="136" spans="1:4" x14ac:dyDescent="0.2">
      <c r="A136" s="732" t="s">
        <v>159</v>
      </c>
      <c r="B136" s="738" t="s">
        <v>160</v>
      </c>
      <c r="C136">
        <v>10000000000</v>
      </c>
      <c r="D136">
        <f t="shared" si="2"/>
        <v>-10000000000</v>
      </c>
    </row>
    <row r="137" spans="1:4" x14ac:dyDescent="0.2">
      <c r="A137" s="732" t="s">
        <v>161</v>
      </c>
      <c r="B137" s="738" t="s">
        <v>162</v>
      </c>
      <c r="C137">
        <v>10000000000</v>
      </c>
      <c r="D137">
        <f t="shared" si="2"/>
        <v>-10000000000</v>
      </c>
    </row>
    <row r="138" spans="1:4" x14ac:dyDescent="0.2">
      <c r="A138" s="732" t="s">
        <v>163</v>
      </c>
      <c r="B138" s="738" t="s">
        <v>164</v>
      </c>
      <c r="C138">
        <v>10000000000</v>
      </c>
      <c r="D138">
        <f t="shared" si="2"/>
        <v>-10000000000</v>
      </c>
    </row>
    <row r="139" spans="1:4" x14ac:dyDescent="0.2">
      <c r="A139" s="732" t="s">
        <v>617</v>
      </c>
      <c r="B139" s="738" t="s">
        <v>166</v>
      </c>
      <c r="C139">
        <v>10000000000</v>
      </c>
      <c r="D139">
        <f t="shared" si="2"/>
        <v>-10000000000</v>
      </c>
    </row>
    <row r="140" spans="1:4" x14ac:dyDescent="0.2">
      <c r="A140" s="732" t="s">
        <v>167</v>
      </c>
      <c r="B140" s="738" t="s">
        <v>168</v>
      </c>
      <c r="C140">
        <v>10000000000</v>
      </c>
      <c r="D140">
        <f t="shared" si="2"/>
        <v>-10000000000</v>
      </c>
    </row>
    <row r="141" spans="1:4" x14ac:dyDescent="0.2">
      <c r="A141" s="732" t="s">
        <v>169</v>
      </c>
      <c r="B141" s="738" t="s">
        <v>170</v>
      </c>
      <c r="C141">
        <v>10000000000</v>
      </c>
      <c r="D141">
        <f t="shared" si="2"/>
        <v>-10000000000</v>
      </c>
    </row>
    <row r="142" spans="1:4" x14ac:dyDescent="0.2">
      <c r="A142" s="732" t="s">
        <v>171</v>
      </c>
      <c r="B142" s="738" t="s">
        <v>172</v>
      </c>
      <c r="C142">
        <v>10000000000</v>
      </c>
      <c r="D142">
        <f t="shared" si="2"/>
        <v>-10000000000</v>
      </c>
    </row>
    <row r="143" spans="1:4" x14ac:dyDescent="0.2">
      <c r="A143" s="732" t="s">
        <v>173</v>
      </c>
      <c r="B143" s="738" t="s">
        <v>174</v>
      </c>
      <c r="C143">
        <v>10000000000</v>
      </c>
      <c r="D143">
        <f t="shared" si="2"/>
        <v>-10000000000</v>
      </c>
    </row>
    <row r="144" spans="1:4" x14ac:dyDescent="0.2">
      <c r="A144" s="732" t="s">
        <v>175</v>
      </c>
      <c r="B144" s="738" t="s">
        <v>176</v>
      </c>
      <c r="C144">
        <v>10000000000</v>
      </c>
      <c r="D144">
        <f t="shared" si="2"/>
        <v>-10000000000</v>
      </c>
    </row>
    <row r="145" spans="1:4" x14ac:dyDescent="0.2">
      <c r="A145" s="732" t="s">
        <v>521</v>
      </c>
      <c r="B145" s="738" t="s">
        <v>178</v>
      </c>
      <c r="C145">
        <v>10000000000</v>
      </c>
      <c r="D145">
        <f t="shared" si="2"/>
        <v>-10000000000</v>
      </c>
    </row>
    <row r="146" spans="1:4" x14ac:dyDescent="0.2">
      <c r="A146" s="732" t="s">
        <v>179</v>
      </c>
      <c r="B146" s="738" t="s">
        <v>180</v>
      </c>
      <c r="C146">
        <v>10000000000</v>
      </c>
      <c r="D146">
        <f t="shared" si="2"/>
        <v>-10000000000</v>
      </c>
    </row>
    <row r="147" spans="1:4" x14ac:dyDescent="0.2">
      <c r="A147" s="732" t="s">
        <v>181</v>
      </c>
      <c r="B147" s="738" t="s">
        <v>182</v>
      </c>
      <c r="C147">
        <v>10000000000</v>
      </c>
      <c r="D147">
        <f t="shared" si="2"/>
        <v>-10000000000</v>
      </c>
    </row>
    <row r="148" spans="1:4" x14ac:dyDescent="0.2">
      <c r="A148" s="732" t="s">
        <v>183</v>
      </c>
      <c r="B148" s="738" t="s">
        <v>184</v>
      </c>
      <c r="C148">
        <v>10000000000</v>
      </c>
      <c r="D148">
        <f t="shared" si="2"/>
        <v>-10000000000</v>
      </c>
    </row>
    <row r="149" spans="1:4" x14ac:dyDescent="0.2">
      <c r="A149" s="732" t="s">
        <v>185</v>
      </c>
      <c r="B149" s="738" t="s">
        <v>186</v>
      </c>
      <c r="C149">
        <v>10000000000</v>
      </c>
      <c r="D149">
        <f t="shared" si="2"/>
        <v>-10000000000</v>
      </c>
    </row>
    <row r="150" spans="1:4" x14ac:dyDescent="0.2">
      <c r="A150" s="732" t="s">
        <v>187</v>
      </c>
      <c r="B150" s="738" t="s">
        <v>188</v>
      </c>
      <c r="C150">
        <v>10000000000</v>
      </c>
      <c r="D150">
        <f t="shared" si="2"/>
        <v>-10000000000</v>
      </c>
    </row>
    <row r="151" spans="1:4" x14ac:dyDescent="0.2">
      <c r="A151" s="732" t="s">
        <v>605</v>
      </c>
      <c r="B151" s="738" t="s">
        <v>190</v>
      </c>
      <c r="C151">
        <v>10000000000</v>
      </c>
      <c r="D151">
        <f t="shared" si="2"/>
        <v>-10000000000</v>
      </c>
    </row>
    <row r="152" spans="1:4" x14ac:dyDescent="0.2">
      <c r="A152" s="732" t="s">
        <v>191</v>
      </c>
      <c r="B152" s="738" t="s">
        <v>192</v>
      </c>
      <c r="C152">
        <v>10000000000</v>
      </c>
      <c r="D152">
        <f t="shared" si="2"/>
        <v>-10000000000</v>
      </c>
    </row>
    <row r="153" spans="1:4" x14ac:dyDescent="0.2">
      <c r="A153" s="732" t="s">
        <v>193</v>
      </c>
      <c r="B153" s="738" t="s">
        <v>194</v>
      </c>
      <c r="C153">
        <v>10000000000</v>
      </c>
      <c r="D153">
        <f t="shared" si="2"/>
        <v>-10000000000</v>
      </c>
    </row>
    <row r="154" spans="1:4" x14ac:dyDescent="0.2">
      <c r="A154" s="732" t="s">
        <v>195</v>
      </c>
      <c r="B154" s="738" t="s">
        <v>196</v>
      </c>
      <c r="C154">
        <v>10000000000</v>
      </c>
      <c r="D154">
        <f t="shared" si="2"/>
        <v>-10000000000</v>
      </c>
    </row>
    <row r="155" spans="1:4" x14ac:dyDescent="0.2">
      <c r="A155" s="732" t="s">
        <v>197</v>
      </c>
      <c r="B155" s="738" t="s">
        <v>198</v>
      </c>
      <c r="C155">
        <v>10000000000</v>
      </c>
      <c r="D155">
        <f t="shared" si="2"/>
        <v>-10000000000</v>
      </c>
    </row>
    <row r="156" spans="1:4" x14ac:dyDescent="0.2">
      <c r="A156" s="732" t="s">
        <v>199</v>
      </c>
      <c r="B156" s="738" t="s">
        <v>200</v>
      </c>
      <c r="C156">
        <v>10000000000</v>
      </c>
      <c r="D156">
        <f t="shared" si="2"/>
        <v>-10000000000</v>
      </c>
    </row>
    <row r="157" spans="1:4" x14ac:dyDescent="0.2">
      <c r="A157" s="732" t="s">
        <v>549</v>
      </c>
      <c r="B157" s="738" t="s">
        <v>202</v>
      </c>
      <c r="C157">
        <v>10000000000</v>
      </c>
      <c r="D157">
        <f t="shared" si="2"/>
        <v>-10000000000</v>
      </c>
    </row>
    <row r="158" spans="1:4" x14ac:dyDescent="0.2">
      <c r="A158" s="732" t="s">
        <v>532</v>
      </c>
      <c r="B158" s="738" t="s">
        <v>204</v>
      </c>
      <c r="C158">
        <v>10000000000</v>
      </c>
      <c r="D158">
        <f t="shared" si="2"/>
        <v>-10000000000</v>
      </c>
    </row>
    <row r="159" spans="1:4" x14ac:dyDescent="0.2">
      <c r="A159" s="732" t="s">
        <v>205</v>
      </c>
      <c r="B159" s="738" t="s">
        <v>206</v>
      </c>
      <c r="C159">
        <v>10000000000</v>
      </c>
      <c r="D159">
        <f t="shared" si="2"/>
        <v>-10000000000</v>
      </c>
    </row>
    <row r="160" spans="1:4" x14ac:dyDescent="0.2">
      <c r="A160" s="732" t="s">
        <v>207</v>
      </c>
      <c r="B160" s="738" t="s">
        <v>208</v>
      </c>
      <c r="C160">
        <v>10000000000</v>
      </c>
      <c r="D160">
        <f t="shared" si="2"/>
        <v>-10000000000</v>
      </c>
    </row>
    <row r="161" spans="1:4" x14ac:dyDescent="0.2">
      <c r="A161" s="732" t="s">
        <v>209</v>
      </c>
      <c r="B161" s="738" t="s">
        <v>210</v>
      </c>
      <c r="C161">
        <v>10000000000</v>
      </c>
      <c r="D161">
        <f t="shared" si="2"/>
        <v>-10000000000</v>
      </c>
    </row>
    <row r="162" spans="1:4" x14ac:dyDescent="0.2">
      <c r="A162" s="732" t="s">
        <v>952</v>
      </c>
      <c r="B162" s="738" t="s">
        <v>212</v>
      </c>
      <c r="C162">
        <v>10000000000</v>
      </c>
      <c r="D162">
        <f t="shared" si="2"/>
        <v>-10000000000</v>
      </c>
    </row>
    <row r="163" spans="1:4" x14ac:dyDescent="0.2">
      <c r="A163" s="732" t="s">
        <v>213</v>
      </c>
      <c r="B163" s="738" t="s">
        <v>214</v>
      </c>
      <c r="C163">
        <v>10000000000</v>
      </c>
      <c r="D163">
        <f t="shared" si="2"/>
        <v>-10000000000</v>
      </c>
    </row>
    <row r="164" spans="1:4" x14ac:dyDescent="0.2">
      <c r="A164" s="732" t="s">
        <v>215</v>
      </c>
      <c r="B164" s="738" t="s">
        <v>216</v>
      </c>
      <c r="C164">
        <v>10000000000</v>
      </c>
      <c r="D164">
        <f t="shared" si="2"/>
        <v>-10000000000</v>
      </c>
    </row>
    <row r="165" spans="1:4" x14ac:dyDescent="0.2">
      <c r="A165" s="732" t="s">
        <v>217</v>
      </c>
      <c r="B165" s="738" t="s">
        <v>218</v>
      </c>
      <c r="C165">
        <v>10000000000</v>
      </c>
      <c r="D165">
        <f t="shared" si="2"/>
        <v>-10000000000</v>
      </c>
    </row>
    <row r="166" spans="1:4" x14ac:dyDescent="0.2">
      <c r="A166" s="732" t="s">
        <v>219</v>
      </c>
      <c r="B166" s="738" t="s">
        <v>220</v>
      </c>
      <c r="C166">
        <v>10000000000</v>
      </c>
      <c r="D166">
        <f t="shared" si="2"/>
        <v>-10000000000</v>
      </c>
    </row>
    <row r="167" spans="1:4" x14ac:dyDescent="0.2">
      <c r="A167" s="732" t="s">
        <v>602</v>
      </c>
      <c r="B167" s="738" t="s">
        <v>222</v>
      </c>
      <c r="C167">
        <v>10000000000</v>
      </c>
      <c r="D167">
        <f t="shared" si="2"/>
        <v>-10000000000</v>
      </c>
    </row>
    <row r="168" spans="1:4" x14ac:dyDescent="0.2">
      <c r="A168" s="732" t="s">
        <v>223</v>
      </c>
      <c r="B168" s="738" t="s">
        <v>224</v>
      </c>
      <c r="C168">
        <v>10000000000</v>
      </c>
      <c r="D168">
        <f t="shared" si="2"/>
        <v>-10000000000</v>
      </c>
    </row>
    <row r="169" spans="1:4" x14ac:dyDescent="0.2">
      <c r="A169" s="732" t="s">
        <v>225</v>
      </c>
      <c r="B169" s="738" t="s">
        <v>226</v>
      </c>
      <c r="C169">
        <v>10000000000</v>
      </c>
      <c r="D169">
        <f t="shared" si="2"/>
        <v>-10000000000</v>
      </c>
    </row>
    <row r="170" spans="1:4" x14ac:dyDescent="0.2">
      <c r="A170" s="732" t="s">
        <v>603</v>
      </c>
      <c r="B170" s="738" t="s">
        <v>228</v>
      </c>
      <c r="C170">
        <v>10000000000</v>
      </c>
      <c r="D170">
        <f t="shared" si="2"/>
        <v>-10000000000</v>
      </c>
    </row>
    <row r="171" spans="1:4" x14ac:dyDescent="0.2">
      <c r="A171" s="732" t="s">
        <v>229</v>
      </c>
      <c r="B171" s="738" t="s">
        <v>230</v>
      </c>
      <c r="C171">
        <v>10000000000</v>
      </c>
      <c r="D171">
        <f t="shared" si="2"/>
        <v>-10000000000</v>
      </c>
    </row>
    <row r="172" spans="1:4" x14ac:dyDescent="0.2">
      <c r="A172" s="732" t="s">
        <v>1336</v>
      </c>
      <c r="B172" s="738" t="s">
        <v>1379</v>
      </c>
      <c r="C172">
        <v>10000000000</v>
      </c>
      <c r="D172">
        <f t="shared" si="2"/>
        <v>-10000000000</v>
      </c>
    </row>
    <row r="173" spans="1:4" x14ac:dyDescent="0.2">
      <c r="A173" s="732" t="s">
        <v>520</v>
      </c>
      <c r="B173" s="738" t="s">
        <v>232</v>
      </c>
      <c r="C173">
        <v>10000000000</v>
      </c>
      <c r="D173">
        <f t="shared" si="2"/>
        <v>-10000000000</v>
      </c>
    </row>
    <row r="174" spans="1:4" x14ac:dyDescent="0.2">
      <c r="A174" s="732" t="s">
        <v>233</v>
      </c>
      <c r="B174" s="738" t="s">
        <v>234</v>
      </c>
      <c r="C174">
        <v>10000000000</v>
      </c>
      <c r="D174">
        <f t="shared" si="2"/>
        <v>-10000000000</v>
      </c>
    </row>
    <row r="175" spans="1:4" x14ac:dyDescent="0.2">
      <c r="A175" s="732" t="s">
        <v>235</v>
      </c>
      <c r="B175" s="738" t="s">
        <v>236</v>
      </c>
      <c r="C175">
        <v>10000000000</v>
      </c>
      <c r="D175">
        <f t="shared" si="2"/>
        <v>-10000000000</v>
      </c>
    </row>
    <row r="176" spans="1:4" x14ac:dyDescent="0.2">
      <c r="A176" s="732" t="s">
        <v>248</v>
      </c>
      <c r="B176" s="738" t="s">
        <v>249</v>
      </c>
      <c r="C176">
        <v>10000000000</v>
      </c>
      <c r="D176">
        <f t="shared" si="2"/>
        <v>-10000000000</v>
      </c>
    </row>
    <row r="177" spans="1:4" x14ac:dyDescent="0.2">
      <c r="A177" s="906" t="s">
        <v>633</v>
      </c>
      <c r="B177" s="907" t="s">
        <v>2430</v>
      </c>
      <c r="C177">
        <v>10000000000</v>
      </c>
      <c r="D177">
        <f t="shared" si="2"/>
        <v>-10000000000</v>
      </c>
    </row>
    <row r="178" spans="1:4" x14ac:dyDescent="0.2">
      <c r="A178" s="732" t="s">
        <v>250</v>
      </c>
      <c r="B178" s="738" t="s">
        <v>251</v>
      </c>
      <c r="C178">
        <v>10000000000</v>
      </c>
      <c r="D178">
        <f t="shared" si="2"/>
        <v>-10000000000</v>
      </c>
    </row>
    <row r="179" spans="1:4" x14ac:dyDescent="0.2">
      <c r="A179" s="732" t="s">
        <v>252</v>
      </c>
      <c r="B179" s="738" t="s">
        <v>253</v>
      </c>
      <c r="C179">
        <v>10000000000</v>
      </c>
      <c r="D179">
        <f t="shared" si="2"/>
        <v>-10000000000</v>
      </c>
    </row>
    <row r="180" spans="1:4" x14ac:dyDescent="0.2">
      <c r="A180" s="732" t="s">
        <v>636</v>
      </c>
      <c r="B180" s="738" t="s">
        <v>255</v>
      </c>
      <c r="C180">
        <v>10000000000</v>
      </c>
      <c r="D180">
        <f t="shared" si="2"/>
        <v>-10000000000</v>
      </c>
    </row>
    <row r="181" spans="1:4" x14ac:dyDescent="0.2">
      <c r="A181" s="732" t="s">
        <v>256</v>
      </c>
      <c r="B181" s="738" t="s">
        <v>257</v>
      </c>
      <c r="C181">
        <v>10000000000</v>
      </c>
      <c r="D181">
        <f t="shared" si="2"/>
        <v>-10000000000</v>
      </c>
    </row>
    <row r="182" spans="1:4" x14ac:dyDescent="0.2">
      <c r="A182" s="732" t="s">
        <v>258</v>
      </c>
      <c r="B182" s="738" t="s">
        <v>259</v>
      </c>
      <c r="C182">
        <v>10000000000</v>
      </c>
      <c r="D182">
        <f t="shared" si="2"/>
        <v>-10000000000</v>
      </c>
    </row>
    <row r="183" spans="1:4" x14ac:dyDescent="0.2">
      <c r="A183" s="732" t="s">
        <v>260</v>
      </c>
      <c r="B183" s="738" t="s">
        <v>261</v>
      </c>
      <c r="C183">
        <v>10000000000</v>
      </c>
      <c r="D183">
        <f t="shared" si="2"/>
        <v>-10000000000</v>
      </c>
    </row>
    <row r="184" spans="1:4" x14ac:dyDescent="0.2">
      <c r="A184" s="732" t="s">
        <v>262</v>
      </c>
      <c r="B184" s="738" t="s">
        <v>263</v>
      </c>
      <c r="C184">
        <v>10000000000</v>
      </c>
      <c r="D184">
        <f t="shared" si="2"/>
        <v>-10000000000</v>
      </c>
    </row>
    <row r="185" spans="1:4" x14ac:dyDescent="0.2">
      <c r="A185" s="732" t="s">
        <v>264</v>
      </c>
      <c r="B185" s="738" t="s">
        <v>265</v>
      </c>
      <c r="C185">
        <v>10000000000</v>
      </c>
      <c r="D185">
        <f t="shared" si="2"/>
        <v>-10000000000</v>
      </c>
    </row>
    <row r="186" spans="1:4" x14ac:dyDescent="0.2">
      <c r="A186" s="732" t="s">
        <v>536</v>
      </c>
      <c r="B186" s="738" t="s">
        <v>267</v>
      </c>
      <c r="C186">
        <v>10000000000</v>
      </c>
      <c r="D186">
        <f t="shared" si="2"/>
        <v>-10000000000</v>
      </c>
    </row>
    <row r="187" spans="1:4" x14ac:dyDescent="0.2">
      <c r="A187" s="732" t="s">
        <v>559</v>
      </c>
      <c r="B187" s="738" t="s">
        <v>269</v>
      </c>
      <c r="C187">
        <v>10000000000</v>
      </c>
      <c r="D187">
        <f t="shared" si="2"/>
        <v>-10000000000</v>
      </c>
    </row>
    <row r="188" spans="1:4" x14ac:dyDescent="0.2">
      <c r="A188" s="732" t="s">
        <v>585</v>
      </c>
      <c r="B188" s="738" t="s">
        <v>271</v>
      </c>
      <c r="C188">
        <v>10000000000</v>
      </c>
      <c r="D188">
        <f t="shared" si="2"/>
        <v>-10000000000</v>
      </c>
    </row>
    <row r="189" spans="1:4" x14ac:dyDescent="0.2">
      <c r="A189" s="732" t="s">
        <v>272</v>
      </c>
      <c r="B189" s="738" t="s">
        <v>273</v>
      </c>
      <c r="C189">
        <v>10000000000</v>
      </c>
      <c r="D189">
        <f t="shared" si="2"/>
        <v>-10000000000</v>
      </c>
    </row>
    <row r="190" spans="1:4" x14ac:dyDescent="0.2">
      <c r="A190" s="732" t="s">
        <v>528</v>
      </c>
      <c r="B190" s="738" t="s">
        <v>275</v>
      </c>
      <c r="C190">
        <v>10000000000</v>
      </c>
      <c r="D190">
        <f t="shared" si="2"/>
        <v>-10000000000</v>
      </c>
    </row>
    <row r="191" spans="1:4" x14ac:dyDescent="0.2">
      <c r="A191" s="732" t="s">
        <v>276</v>
      </c>
      <c r="B191" s="738" t="s">
        <v>277</v>
      </c>
      <c r="C191">
        <v>10000000000</v>
      </c>
      <c r="D191">
        <f t="shared" si="2"/>
        <v>-10000000000</v>
      </c>
    </row>
    <row r="192" spans="1:4" x14ac:dyDescent="0.2">
      <c r="A192" s="732" t="s">
        <v>991</v>
      </c>
      <c r="B192" s="738" t="s">
        <v>279</v>
      </c>
      <c r="C192">
        <v>10000000000</v>
      </c>
      <c r="D192">
        <f t="shared" si="2"/>
        <v>-10000000000</v>
      </c>
    </row>
    <row r="193" spans="1:4" x14ac:dyDescent="0.2">
      <c r="A193" s="732" t="s">
        <v>280</v>
      </c>
      <c r="B193" s="738" t="s">
        <v>281</v>
      </c>
      <c r="C193">
        <v>10000000000</v>
      </c>
      <c r="D193">
        <f t="shared" si="2"/>
        <v>-10000000000</v>
      </c>
    </row>
    <row r="194" spans="1:4" x14ac:dyDescent="0.2">
      <c r="A194" s="732" t="s">
        <v>282</v>
      </c>
      <c r="B194" s="738" t="s">
        <v>283</v>
      </c>
      <c r="C194">
        <v>10000000000</v>
      </c>
      <c r="D194">
        <f t="shared" si="2"/>
        <v>-10000000000</v>
      </c>
    </row>
    <row r="195" spans="1:4" x14ac:dyDescent="0.2">
      <c r="A195" s="732" t="s">
        <v>284</v>
      </c>
      <c r="B195" s="738" t="s">
        <v>285</v>
      </c>
      <c r="C195">
        <v>10000000000</v>
      </c>
      <c r="D195">
        <f t="shared" ref="D195:D258" si="3">C195*-1</f>
        <v>-10000000000</v>
      </c>
    </row>
    <row r="196" spans="1:4" x14ac:dyDescent="0.2">
      <c r="A196" s="732" t="s">
        <v>286</v>
      </c>
      <c r="B196" s="738" t="s">
        <v>287</v>
      </c>
      <c r="C196">
        <v>10000000000</v>
      </c>
      <c r="D196">
        <f t="shared" si="3"/>
        <v>-10000000000</v>
      </c>
    </row>
    <row r="197" spans="1:4" x14ac:dyDescent="0.2">
      <c r="A197" s="732" t="s">
        <v>288</v>
      </c>
      <c r="B197" s="738" t="s">
        <v>289</v>
      </c>
      <c r="C197">
        <v>10000000000</v>
      </c>
      <c r="D197">
        <f t="shared" si="3"/>
        <v>-10000000000</v>
      </c>
    </row>
    <row r="198" spans="1:4" x14ac:dyDescent="0.2">
      <c r="A198" s="732" t="s">
        <v>290</v>
      </c>
      <c r="B198" s="738" t="s">
        <v>291</v>
      </c>
      <c r="C198">
        <v>10000000000</v>
      </c>
      <c r="D198">
        <f t="shared" si="3"/>
        <v>-10000000000</v>
      </c>
    </row>
    <row r="199" spans="1:4" x14ac:dyDescent="0.2">
      <c r="A199" s="732" t="s">
        <v>292</v>
      </c>
      <c r="B199" s="738" t="s">
        <v>293</v>
      </c>
      <c r="C199">
        <v>10000000000</v>
      </c>
      <c r="D199">
        <f t="shared" si="3"/>
        <v>-10000000000</v>
      </c>
    </row>
    <row r="200" spans="1:4" x14ac:dyDescent="0.2">
      <c r="A200" s="732" t="s">
        <v>294</v>
      </c>
      <c r="B200" s="738" t="s">
        <v>295</v>
      </c>
      <c r="C200">
        <v>10000000000</v>
      </c>
      <c r="D200">
        <f t="shared" si="3"/>
        <v>-10000000000</v>
      </c>
    </row>
    <row r="201" spans="1:4" x14ac:dyDescent="0.2">
      <c r="A201" s="732" t="s">
        <v>296</v>
      </c>
      <c r="B201" s="738" t="s">
        <v>297</v>
      </c>
      <c r="C201">
        <v>10000000000</v>
      </c>
      <c r="D201">
        <f t="shared" si="3"/>
        <v>-10000000000</v>
      </c>
    </row>
    <row r="202" spans="1:4" x14ac:dyDescent="0.2">
      <c r="A202" s="732" t="s">
        <v>298</v>
      </c>
      <c r="B202" s="738" t="s">
        <v>299</v>
      </c>
      <c r="C202">
        <v>10000000000</v>
      </c>
      <c r="D202">
        <f t="shared" si="3"/>
        <v>-10000000000</v>
      </c>
    </row>
    <row r="203" spans="1:4" x14ac:dyDescent="0.2">
      <c r="A203" s="732" t="s">
        <v>300</v>
      </c>
      <c r="B203" s="738" t="s">
        <v>301</v>
      </c>
      <c r="C203">
        <v>10000000000</v>
      </c>
      <c r="D203">
        <f t="shared" si="3"/>
        <v>-10000000000</v>
      </c>
    </row>
    <row r="204" spans="1:4" x14ac:dyDescent="0.2">
      <c r="A204" s="732" t="s">
        <v>302</v>
      </c>
      <c r="B204" s="738" t="s">
        <v>303</v>
      </c>
      <c r="C204">
        <v>10000000000</v>
      </c>
      <c r="D204">
        <f t="shared" si="3"/>
        <v>-10000000000</v>
      </c>
    </row>
    <row r="205" spans="1:4" x14ac:dyDescent="0.2">
      <c r="A205" s="732" t="s">
        <v>304</v>
      </c>
      <c r="B205" s="738" t="s">
        <v>305</v>
      </c>
      <c r="C205">
        <v>10000000000</v>
      </c>
      <c r="D205">
        <f t="shared" si="3"/>
        <v>-10000000000</v>
      </c>
    </row>
    <row r="206" spans="1:4" x14ac:dyDescent="0.2">
      <c r="A206" s="732" t="s">
        <v>620</v>
      </c>
      <c r="B206" s="738" t="s">
        <v>307</v>
      </c>
      <c r="C206">
        <v>10000000000</v>
      </c>
      <c r="D206">
        <f t="shared" si="3"/>
        <v>-10000000000</v>
      </c>
    </row>
    <row r="207" spans="1:4" x14ac:dyDescent="0.2">
      <c r="A207" s="732" t="s">
        <v>308</v>
      </c>
      <c r="B207" s="738" t="s">
        <v>309</v>
      </c>
      <c r="C207">
        <v>10000000000</v>
      </c>
      <c r="D207">
        <f t="shared" si="3"/>
        <v>-10000000000</v>
      </c>
    </row>
    <row r="208" spans="1:4" x14ac:dyDescent="0.2">
      <c r="A208" s="732" t="s">
        <v>310</v>
      </c>
      <c r="B208" s="738" t="s">
        <v>311</v>
      </c>
      <c r="C208">
        <v>10000000000</v>
      </c>
      <c r="D208">
        <f t="shared" si="3"/>
        <v>-10000000000</v>
      </c>
    </row>
    <row r="209" spans="1:4" x14ac:dyDescent="0.2">
      <c r="A209" s="732" t="s">
        <v>312</v>
      </c>
      <c r="B209" s="738" t="s">
        <v>313</v>
      </c>
      <c r="C209">
        <v>10000000000</v>
      </c>
      <c r="D209">
        <f t="shared" si="3"/>
        <v>-10000000000</v>
      </c>
    </row>
    <row r="210" spans="1:4" x14ac:dyDescent="0.2">
      <c r="A210" s="732" t="s">
        <v>314</v>
      </c>
      <c r="B210" s="738" t="s">
        <v>315</v>
      </c>
      <c r="C210">
        <v>10000000000</v>
      </c>
      <c r="D210">
        <f t="shared" si="3"/>
        <v>-10000000000</v>
      </c>
    </row>
    <row r="211" spans="1:4" x14ac:dyDescent="0.2">
      <c r="A211" s="732" t="s">
        <v>316</v>
      </c>
      <c r="B211" s="738" t="s">
        <v>317</v>
      </c>
      <c r="C211">
        <v>10000000000</v>
      </c>
      <c r="D211">
        <f t="shared" si="3"/>
        <v>-10000000000</v>
      </c>
    </row>
    <row r="212" spans="1:4" x14ac:dyDescent="0.2">
      <c r="A212" s="732" t="s">
        <v>320</v>
      </c>
      <c r="B212" s="738" t="s">
        <v>321</v>
      </c>
      <c r="C212">
        <v>10000000000</v>
      </c>
      <c r="D212">
        <f t="shared" si="3"/>
        <v>-10000000000</v>
      </c>
    </row>
    <row r="213" spans="1:4" x14ac:dyDescent="0.2">
      <c r="A213" s="732" t="s">
        <v>529</v>
      </c>
      <c r="B213" s="738" t="s">
        <v>323</v>
      </c>
      <c r="C213">
        <v>10000000000</v>
      </c>
      <c r="D213">
        <f t="shared" si="3"/>
        <v>-10000000000</v>
      </c>
    </row>
    <row r="214" spans="1:4" x14ac:dyDescent="0.2">
      <c r="A214" s="732" t="s">
        <v>324</v>
      </c>
      <c r="B214" s="738" t="s">
        <v>325</v>
      </c>
      <c r="C214">
        <v>10000000000</v>
      </c>
      <c r="D214">
        <f t="shared" si="3"/>
        <v>-10000000000</v>
      </c>
    </row>
    <row r="215" spans="1:4" x14ac:dyDescent="0.2">
      <c r="A215" s="906" t="s">
        <v>647</v>
      </c>
      <c r="B215" s="907" t="s">
        <v>2431</v>
      </c>
      <c r="C215">
        <v>10000000000</v>
      </c>
      <c r="D215">
        <f t="shared" si="3"/>
        <v>-10000000000</v>
      </c>
    </row>
    <row r="216" spans="1:4" x14ac:dyDescent="0.2">
      <c r="A216" s="732" t="s">
        <v>326</v>
      </c>
      <c r="B216" s="738" t="s">
        <v>327</v>
      </c>
      <c r="C216">
        <v>10000000000</v>
      </c>
      <c r="D216">
        <f t="shared" si="3"/>
        <v>-10000000000</v>
      </c>
    </row>
    <row r="217" spans="1:4" x14ac:dyDescent="0.2">
      <c r="A217" s="732" t="s">
        <v>328</v>
      </c>
      <c r="B217" s="738" t="s">
        <v>329</v>
      </c>
      <c r="C217">
        <v>10000000000</v>
      </c>
      <c r="D217">
        <f t="shared" si="3"/>
        <v>-10000000000</v>
      </c>
    </row>
    <row r="218" spans="1:4" x14ac:dyDescent="0.2">
      <c r="A218" s="732" t="s">
        <v>519</v>
      </c>
      <c r="B218" s="738" t="s">
        <v>331</v>
      </c>
      <c r="C218">
        <v>10000000000</v>
      </c>
      <c r="D218">
        <f t="shared" si="3"/>
        <v>-10000000000</v>
      </c>
    </row>
    <row r="219" spans="1:4" x14ac:dyDescent="0.2">
      <c r="A219" s="732" t="s">
        <v>332</v>
      </c>
      <c r="B219" s="738" t="s">
        <v>333</v>
      </c>
      <c r="C219">
        <v>10000000000</v>
      </c>
      <c r="D219">
        <f t="shared" si="3"/>
        <v>-10000000000</v>
      </c>
    </row>
    <row r="220" spans="1:4" x14ac:dyDescent="0.2">
      <c r="A220" s="732" t="s">
        <v>334</v>
      </c>
      <c r="B220" s="738" t="s">
        <v>335</v>
      </c>
      <c r="C220">
        <v>10000000000</v>
      </c>
      <c r="D220">
        <f t="shared" si="3"/>
        <v>-10000000000</v>
      </c>
    </row>
    <row r="221" spans="1:4" x14ac:dyDescent="0.2">
      <c r="A221" s="732" t="s">
        <v>336</v>
      </c>
      <c r="B221" s="738" t="s">
        <v>337</v>
      </c>
      <c r="C221">
        <v>10000000000</v>
      </c>
      <c r="D221">
        <f t="shared" si="3"/>
        <v>-10000000000</v>
      </c>
    </row>
    <row r="222" spans="1:4" x14ac:dyDescent="0.2">
      <c r="A222" s="732" t="s">
        <v>338</v>
      </c>
      <c r="B222" s="738" t="s">
        <v>339</v>
      </c>
      <c r="C222">
        <v>10000000000</v>
      </c>
      <c r="D222">
        <f t="shared" si="3"/>
        <v>-10000000000</v>
      </c>
    </row>
    <row r="223" spans="1:4" x14ac:dyDescent="0.2">
      <c r="A223" s="732" t="s">
        <v>340</v>
      </c>
      <c r="B223" s="738" t="s">
        <v>341</v>
      </c>
      <c r="C223">
        <v>10000000000</v>
      </c>
      <c r="D223">
        <f t="shared" si="3"/>
        <v>-10000000000</v>
      </c>
    </row>
    <row r="224" spans="1:4" x14ac:dyDescent="0.2">
      <c r="A224" s="732" t="s">
        <v>342</v>
      </c>
      <c r="B224" s="738" t="s">
        <v>343</v>
      </c>
      <c r="C224">
        <v>10000000000</v>
      </c>
      <c r="D224">
        <f t="shared" si="3"/>
        <v>-10000000000</v>
      </c>
    </row>
    <row r="225" spans="1:4" x14ac:dyDescent="0.2">
      <c r="A225" s="732" t="s">
        <v>344</v>
      </c>
      <c r="B225" s="738" t="s">
        <v>345</v>
      </c>
      <c r="C225">
        <v>10000000000</v>
      </c>
      <c r="D225">
        <f t="shared" si="3"/>
        <v>-10000000000</v>
      </c>
    </row>
    <row r="226" spans="1:4" x14ac:dyDescent="0.2">
      <c r="A226" s="732" t="s">
        <v>346</v>
      </c>
      <c r="B226" s="738" t="s">
        <v>347</v>
      </c>
      <c r="C226">
        <v>10000000000</v>
      </c>
      <c r="D226">
        <f t="shared" si="3"/>
        <v>-10000000000</v>
      </c>
    </row>
    <row r="227" spans="1:4" x14ac:dyDescent="0.2">
      <c r="A227" s="732" t="s">
        <v>588</v>
      </c>
      <c r="B227" s="738" t="s">
        <v>349</v>
      </c>
      <c r="C227">
        <v>10000000000</v>
      </c>
      <c r="D227">
        <f t="shared" si="3"/>
        <v>-10000000000</v>
      </c>
    </row>
    <row r="228" spans="1:4" x14ac:dyDescent="0.2">
      <c r="A228" s="732" t="s">
        <v>577</v>
      </c>
      <c r="B228" s="738" t="s">
        <v>351</v>
      </c>
      <c r="C228">
        <v>10000000000</v>
      </c>
      <c r="D228">
        <f t="shared" si="3"/>
        <v>-10000000000</v>
      </c>
    </row>
    <row r="229" spans="1:4" x14ac:dyDescent="0.2">
      <c r="A229" s="732" t="s">
        <v>352</v>
      </c>
      <c r="B229" s="738" t="s">
        <v>353</v>
      </c>
      <c r="C229">
        <v>10000000000</v>
      </c>
      <c r="D229">
        <f t="shared" si="3"/>
        <v>-10000000000</v>
      </c>
    </row>
    <row r="230" spans="1:4" x14ac:dyDescent="0.2">
      <c r="A230" s="732" t="s">
        <v>354</v>
      </c>
      <c r="B230" s="738" t="s">
        <v>355</v>
      </c>
      <c r="C230">
        <v>10000000000</v>
      </c>
      <c r="D230">
        <f t="shared" si="3"/>
        <v>-10000000000</v>
      </c>
    </row>
    <row r="231" spans="1:4" x14ac:dyDescent="0.2">
      <c r="A231" s="732" t="s">
        <v>356</v>
      </c>
      <c r="B231" s="738" t="s">
        <v>357</v>
      </c>
      <c r="C231">
        <v>10000000000</v>
      </c>
      <c r="D231">
        <f t="shared" si="3"/>
        <v>-10000000000</v>
      </c>
    </row>
    <row r="232" spans="1:4" x14ac:dyDescent="0.2">
      <c r="A232" s="732" t="s">
        <v>990</v>
      </c>
      <c r="B232" s="738" t="s">
        <v>359</v>
      </c>
      <c r="C232">
        <v>10000000000</v>
      </c>
      <c r="D232">
        <f t="shared" si="3"/>
        <v>-10000000000</v>
      </c>
    </row>
    <row r="233" spans="1:4" x14ac:dyDescent="0.2">
      <c r="A233" s="732" t="s">
        <v>360</v>
      </c>
      <c r="B233" s="738" t="s">
        <v>361</v>
      </c>
      <c r="C233">
        <v>10000000000</v>
      </c>
      <c r="D233">
        <f t="shared" si="3"/>
        <v>-10000000000</v>
      </c>
    </row>
    <row r="234" spans="1:4" x14ac:dyDescent="0.2">
      <c r="A234" s="732" t="s">
        <v>362</v>
      </c>
      <c r="B234" s="738" t="s">
        <v>363</v>
      </c>
      <c r="C234">
        <v>10000000000</v>
      </c>
      <c r="D234">
        <f t="shared" si="3"/>
        <v>-10000000000</v>
      </c>
    </row>
    <row r="235" spans="1:4" x14ac:dyDescent="0.2">
      <c r="A235" s="732" t="s">
        <v>364</v>
      </c>
      <c r="B235" s="738" t="s">
        <v>365</v>
      </c>
      <c r="C235">
        <v>10000000000</v>
      </c>
      <c r="D235">
        <f t="shared" si="3"/>
        <v>-10000000000</v>
      </c>
    </row>
    <row r="236" spans="1:4" x14ac:dyDescent="0.2">
      <c r="A236" s="732" t="s">
        <v>366</v>
      </c>
      <c r="B236" s="738" t="s">
        <v>367</v>
      </c>
      <c r="C236">
        <v>10000000000</v>
      </c>
      <c r="D236">
        <f t="shared" si="3"/>
        <v>-10000000000</v>
      </c>
    </row>
    <row r="237" spans="1:4" x14ac:dyDescent="0.2">
      <c r="A237" s="732" t="s">
        <v>551</v>
      </c>
      <c r="B237" s="738" t="s">
        <v>369</v>
      </c>
      <c r="C237">
        <v>10000000000</v>
      </c>
      <c r="D237">
        <f t="shared" si="3"/>
        <v>-10000000000</v>
      </c>
    </row>
    <row r="238" spans="1:4" x14ac:dyDescent="0.2">
      <c r="A238" s="732" t="s">
        <v>648</v>
      </c>
      <c r="B238" s="738" t="s">
        <v>371</v>
      </c>
      <c r="C238">
        <v>10000000000</v>
      </c>
      <c r="D238">
        <f t="shared" si="3"/>
        <v>-10000000000</v>
      </c>
    </row>
    <row r="239" spans="1:4" x14ac:dyDescent="0.2">
      <c r="A239" s="732" t="s">
        <v>372</v>
      </c>
      <c r="B239" s="738" t="s">
        <v>373</v>
      </c>
      <c r="C239">
        <v>10000000000</v>
      </c>
      <c r="D239">
        <f t="shared" si="3"/>
        <v>-10000000000</v>
      </c>
    </row>
    <row r="240" spans="1:4" x14ac:dyDescent="0.2">
      <c r="A240" s="732" t="s">
        <v>374</v>
      </c>
      <c r="B240" s="738" t="s">
        <v>375</v>
      </c>
      <c r="C240">
        <v>10000000000</v>
      </c>
      <c r="D240">
        <f t="shared" si="3"/>
        <v>-10000000000</v>
      </c>
    </row>
    <row r="241" spans="1:4" x14ac:dyDescent="0.2">
      <c r="A241" s="732" t="s">
        <v>376</v>
      </c>
      <c r="B241" s="738" t="s">
        <v>377</v>
      </c>
      <c r="C241">
        <v>10000000000</v>
      </c>
      <c r="D241">
        <f t="shared" si="3"/>
        <v>-10000000000</v>
      </c>
    </row>
    <row r="242" spans="1:4" x14ac:dyDescent="0.2">
      <c r="A242" s="732" t="s">
        <v>378</v>
      </c>
      <c r="B242" s="738" t="s">
        <v>379</v>
      </c>
      <c r="C242">
        <v>10000000000</v>
      </c>
      <c r="D242">
        <f t="shared" si="3"/>
        <v>-10000000000</v>
      </c>
    </row>
    <row r="243" spans="1:4" x14ac:dyDescent="0.2">
      <c r="A243" s="732" t="s">
        <v>380</v>
      </c>
      <c r="B243" s="738" t="s">
        <v>381</v>
      </c>
      <c r="C243">
        <v>10000000000</v>
      </c>
      <c r="D243">
        <f t="shared" si="3"/>
        <v>-10000000000</v>
      </c>
    </row>
    <row r="244" spans="1:4" x14ac:dyDescent="0.2">
      <c r="A244" s="732" t="s">
        <v>382</v>
      </c>
      <c r="B244" s="738" t="s">
        <v>383</v>
      </c>
      <c r="C244">
        <v>10000000000</v>
      </c>
      <c r="D244">
        <f t="shared" si="3"/>
        <v>-10000000000</v>
      </c>
    </row>
    <row r="245" spans="1:4" x14ac:dyDescent="0.2">
      <c r="A245" s="732" t="s">
        <v>663</v>
      </c>
      <c r="B245" s="738" t="s">
        <v>385</v>
      </c>
      <c r="C245">
        <v>10000000000</v>
      </c>
      <c r="D245">
        <f t="shared" si="3"/>
        <v>-10000000000</v>
      </c>
    </row>
    <row r="246" spans="1:4" x14ac:dyDescent="0.2">
      <c r="A246" s="732" t="s">
        <v>386</v>
      </c>
      <c r="B246" s="738" t="s">
        <v>387</v>
      </c>
      <c r="C246">
        <v>10000000000</v>
      </c>
      <c r="D246">
        <f t="shared" si="3"/>
        <v>-10000000000</v>
      </c>
    </row>
    <row r="247" spans="1:4" x14ac:dyDescent="0.2">
      <c r="A247" s="732" t="s">
        <v>388</v>
      </c>
      <c r="B247" s="738" t="s">
        <v>389</v>
      </c>
      <c r="C247">
        <v>10000000000</v>
      </c>
      <c r="D247">
        <f t="shared" si="3"/>
        <v>-10000000000</v>
      </c>
    </row>
    <row r="248" spans="1:4" x14ac:dyDescent="0.2">
      <c r="A248" s="732" t="s">
        <v>390</v>
      </c>
      <c r="B248" s="738" t="s">
        <v>391</v>
      </c>
      <c r="C248">
        <v>10000000000</v>
      </c>
      <c r="D248">
        <f t="shared" si="3"/>
        <v>-10000000000</v>
      </c>
    </row>
    <row r="249" spans="1:4" x14ac:dyDescent="0.2">
      <c r="A249" s="732" t="s">
        <v>392</v>
      </c>
      <c r="B249" s="738" t="s">
        <v>393</v>
      </c>
      <c r="C249">
        <v>10000000000</v>
      </c>
      <c r="D249">
        <f t="shared" si="3"/>
        <v>-10000000000</v>
      </c>
    </row>
    <row r="250" spans="1:4" x14ac:dyDescent="0.2">
      <c r="A250" s="732" t="s">
        <v>1000</v>
      </c>
      <c r="B250" s="738" t="s">
        <v>395</v>
      </c>
      <c r="C250">
        <v>10000000000</v>
      </c>
      <c r="D250">
        <f t="shared" si="3"/>
        <v>-10000000000</v>
      </c>
    </row>
    <row r="251" spans="1:4" x14ac:dyDescent="0.2">
      <c r="A251" s="732" t="s">
        <v>396</v>
      </c>
      <c r="B251" s="738" t="s">
        <v>397</v>
      </c>
      <c r="C251">
        <v>10000000000</v>
      </c>
      <c r="D251">
        <f t="shared" si="3"/>
        <v>-10000000000</v>
      </c>
    </row>
    <row r="252" spans="1:4" x14ac:dyDescent="0.2">
      <c r="A252" s="732" t="s">
        <v>398</v>
      </c>
      <c r="B252" s="738" t="s">
        <v>399</v>
      </c>
      <c r="C252">
        <v>10000000000</v>
      </c>
      <c r="D252">
        <f t="shared" si="3"/>
        <v>-10000000000</v>
      </c>
    </row>
    <row r="253" spans="1:4" x14ac:dyDescent="0.2">
      <c r="A253" s="732" t="s">
        <v>400</v>
      </c>
      <c r="B253" s="738" t="s">
        <v>401</v>
      </c>
      <c r="C253">
        <v>10000000000</v>
      </c>
      <c r="D253">
        <f t="shared" si="3"/>
        <v>-10000000000</v>
      </c>
    </row>
    <row r="254" spans="1:4" x14ac:dyDescent="0.2">
      <c r="A254" s="732" t="s">
        <v>402</v>
      </c>
      <c r="B254" s="738" t="s">
        <v>403</v>
      </c>
      <c r="C254">
        <v>10000000000</v>
      </c>
      <c r="D254">
        <f t="shared" si="3"/>
        <v>-10000000000</v>
      </c>
    </row>
    <row r="255" spans="1:4" x14ac:dyDescent="0.2">
      <c r="A255" s="732" t="s">
        <v>404</v>
      </c>
      <c r="B255" s="738" t="s">
        <v>405</v>
      </c>
      <c r="C255">
        <v>10000000000</v>
      </c>
      <c r="D255">
        <f t="shared" si="3"/>
        <v>-10000000000</v>
      </c>
    </row>
    <row r="256" spans="1:4" x14ac:dyDescent="0.2">
      <c r="A256" s="732" t="s">
        <v>580</v>
      </c>
      <c r="B256" s="738" t="s">
        <v>407</v>
      </c>
      <c r="C256">
        <v>10000000000</v>
      </c>
      <c r="D256">
        <f t="shared" si="3"/>
        <v>-10000000000</v>
      </c>
    </row>
    <row r="257" spans="1:4" x14ac:dyDescent="0.2">
      <c r="A257" s="732" t="s">
        <v>408</v>
      </c>
      <c r="B257" s="738" t="s">
        <v>409</v>
      </c>
      <c r="C257">
        <v>10000000000</v>
      </c>
      <c r="D257">
        <f t="shared" si="3"/>
        <v>-10000000000</v>
      </c>
    </row>
    <row r="258" spans="1:4" x14ac:dyDescent="0.2">
      <c r="A258" s="732" t="s">
        <v>562</v>
      </c>
      <c r="B258" s="738" t="s">
        <v>411</v>
      </c>
      <c r="C258">
        <v>10000000000</v>
      </c>
      <c r="D258">
        <f t="shared" si="3"/>
        <v>-10000000000</v>
      </c>
    </row>
    <row r="259" spans="1:4" x14ac:dyDescent="0.2">
      <c r="A259" s="732" t="s">
        <v>412</v>
      </c>
      <c r="B259" s="738" t="s">
        <v>413</v>
      </c>
      <c r="C259">
        <v>10000000000</v>
      </c>
      <c r="D259">
        <f t="shared" ref="D259:D297" si="4">C259*-1</f>
        <v>-10000000000</v>
      </c>
    </row>
    <row r="260" spans="1:4" x14ac:dyDescent="0.2">
      <c r="A260" s="732" t="s">
        <v>414</v>
      </c>
      <c r="B260" s="738" t="s">
        <v>415</v>
      </c>
      <c r="C260">
        <v>10000000000</v>
      </c>
      <c r="D260">
        <f t="shared" si="4"/>
        <v>-10000000000</v>
      </c>
    </row>
    <row r="261" spans="1:4" x14ac:dyDescent="0.2">
      <c r="A261" s="732" t="s">
        <v>416</v>
      </c>
      <c r="B261" s="738" t="s">
        <v>417</v>
      </c>
      <c r="C261">
        <v>10000000000</v>
      </c>
      <c r="D261">
        <f t="shared" si="4"/>
        <v>-10000000000</v>
      </c>
    </row>
    <row r="262" spans="1:4" x14ac:dyDescent="0.2">
      <c r="A262" s="732" t="s">
        <v>418</v>
      </c>
      <c r="B262" s="738" t="s">
        <v>419</v>
      </c>
      <c r="C262">
        <v>10000000000</v>
      </c>
      <c r="D262">
        <f t="shared" si="4"/>
        <v>-10000000000</v>
      </c>
    </row>
    <row r="263" spans="1:4" x14ac:dyDescent="0.2">
      <c r="A263" s="732" t="s">
        <v>420</v>
      </c>
      <c r="B263" s="738" t="s">
        <v>421</v>
      </c>
      <c r="C263">
        <v>10000000000</v>
      </c>
      <c r="D263">
        <f t="shared" si="4"/>
        <v>-10000000000</v>
      </c>
    </row>
    <row r="264" spans="1:4" x14ac:dyDescent="0.2">
      <c r="A264" s="732" t="s">
        <v>422</v>
      </c>
      <c r="B264" s="738" t="s">
        <v>423</v>
      </c>
      <c r="C264">
        <v>10000000000</v>
      </c>
      <c r="D264">
        <f t="shared" si="4"/>
        <v>-10000000000</v>
      </c>
    </row>
    <row r="265" spans="1:4" x14ac:dyDescent="0.2">
      <c r="A265" s="732" t="s">
        <v>424</v>
      </c>
      <c r="B265" s="738" t="s">
        <v>425</v>
      </c>
      <c r="C265">
        <v>10000000000</v>
      </c>
      <c r="D265">
        <f t="shared" si="4"/>
        <v>-10000000000</v>
      </c>
    </row>
    <row r="266" spans="1:4" x14ac:dyDescent="0.2">
      <c r="A266" s="732" t="s">
        <v>426</v>
      </c>
      <c r="B266" s="738" t="s">
        <v>427</v>
      </c>
      <c r="C266">
        <v>10000000000</v>
      </c>
      <c r="D266">
        <f t="shared" si="4"/>
        <v>-10000000000</v>
      </c>
    </row>
    <row r="267" spans="1:4" x14ac:dyDescent="0.2">
      <c r="A267" s="732" t="s">
        <v>428</v>
      </c>
      <c r="B267" s="738" t="s">
        <v>429</v>
      </c>
      <c r="C267">
        <v>10000000000</v>
      </c>
      <c r="D267">
        <f t="shared" si="4"/>
        <v>-10000000000</v>
      </c>
    </row>
    <row r="268" spans="1:4" x14ac:dyDescent="0.2">
      <c r="A268" s="732" t="s">
        <v>430</v>
      </c>
      <c r="B268" s="738" t="s">
        <v>431</v>
      </c>
      <c r="C268">
        <v>10000000000</v>
      </c>
      <c r="D268">
        <f t="shared" si="4"/>
        <v>-10000000000</v>
      </c>
    </row>
    <row r="269" spans="1:4" x14ac:dyDescent="0.2">
      <c r="A269" s="732" t="s">
        <v>544</v>
      </c>
      <c r="B269" s="738" t="s">
        <v>433</v>
      </c>
      <c r="C269">
        <v>10000000000</v>
      </c>
      <c r="D269">
        <f t="shared" si="4"/>
        <v>-10000000000</v>
      </c>
    </row>
    <row r="270" spans="1:4" x14ac:dyDescent="0.2">
      <c r="A270" s="732" t="s">
        <v>434</v>
      </c>
      <c r="B270" s="738" t="s">
        <v>435</v>
      </c>
      <c r="C270">
        <v>10000000000</v>
      </c>
      <c r="D270">
        <f t="shared" si="4"/>
        <v>-10000000000</v>
      </c>
    </row>
    <row r="271" spans="1:4" x14ac:dyDescent="0.2">
      <c r="A271" s="732" t="s">
        <v>436</v>
      </c>
      <c r="B271" s="738" t="s">
        <v>437</v>
      </c>
      <c r="C271">
        <v>10000000000</v>
      </c>
      <c r="D271">
        <f t="shared" si="4"/>
        <v>-10000000000</v>
      </c>
    </row>
    <row r="272" spans="1:4" x14ac:dyDescent="0.2">
      <c r="A272" s="732" t="s">
        <v>438</v>
      </c>
      <c r="B272" s="738" t="s">
        <v>439</v>
      </c>
      <c r="C272">
        <v>10000000000</v>
      </c>
      <c r="D272">
        <f t="shared" si="4"/>
        <v>-10000000000</v>
      </c>
    </row>
    <row r="273" spans="1:4" x14ac:dyDescent="0.2">
      <c r="A273" s="732" t="s">
        <v>440</v>
      </c>
      <c r="B273" s="738" t="s">
        <v>441</v>
      </c>
      <c r="C273">
        <v>10000000000</v>
      </c>
      <c r="D273">
        <f t="shared" si="4"/>
        <v>-10000000000</v>
      </c>
    </row>
    <row r="274" spans="1:4" x14ac:dyDescent="0.2">
      <c r="A274" s="732" t="s">
        <v>442</v>
      </c>
      <c r="B274" s="738" t="s">
        <v>443</v>
      </c>
      <c r="C274">
        <v>10000000000</v>
      </c>
      <c r="D274">
        <f t="shared" si="4"/>
        <v>-10000000000</v>
      </c>
    </row>
    <row r="275" spans="1:4" x14ac:dyDescent="0.2">
      <c r="A275" s="732" t="s">
        <v>527</v>
      </c>
      <c r="B275" s="738" t="s">
        <v>445</v>
      </c>
      <c r="C275">
        <v>10000000000</v>
      </c>
      <c r="D275">
        <f t="shared" si="4"/>
        <v>-10000000000</v>
      </c>
    </row>
    <row r="276" spans="1:4" x14ac:dyDescent="0.2">
      <c r="A276" s="732" t="s">
        <v>446</v>
      </c>
      <c r="B276" s="738" t="s">
        <v>447</v>
      </c>
      <c r="C276">
        <v>10000000000</v>
      </c>
      <c r="D276">
        <f t="shared" si="4"/>
        <v>-10000000000</v>
      </c>
    </row>
    <row r="277" spans="1:4" x14ac:dyDescent="0.2">
      <c r="A277" s="732" t="s">
        <v>448</v>
      </c>
      <c r="B277" s="738" t="s">
        <v>449</v>
      </c>
      <c r="C277">
        <v>10000000000</v>
      </c>
      <c r="D277">
        <f t="shared" si="4"/>
        <v>-10000000000</v>
      </c>
    </row>
    <row r="278" spans="1:4" x14ac:dyDescent="0.2">
      <c r="A278" s="732" t="s">
        <v>450</v>
      </c>
      <c r="B278" s="738" t="s">
        <v>451</v>
      </c>
      <c r="C278">
        <v>10000000000</v>
      </c>
      <c r="D278">
        <f t="shared" si="4"/>
        <v>-10000000000</v>
      </c>
    </row>
    <row r="279" spans="1:4" x14ac:dyDescent="0.2">
      <c r="A279" s="732" t="s">
        <v>1337</v>
      </c>
      <c r="B279" s="738" t="s">
        <v>1380</v>
      </c>
      <c r="C279">
        <v>10000000000</v>
      </c>
      <c r="D279">
        <f t="shared" si="4"/>
        <v>-10000000000</v>
      </c>
    </row>
    <row r="280" spans="1:4" x14ac:dyDescent="0.2">
      <c r="A280" s="732" t="s">
        <v>452</v>
      </c>
      <c r="B280" s="738" t="s">
        <v>453</v>
      </c>
      <c r="C280">
        <v>10000000000</v>
      </c>
      <c r="D280">
        <f t="shared" si="4"/>
        <v>-10000000000</v>
      </c>
    </row>
    <row r="281" spans="1:4" x14ac:dyDescent="0.2">
      <c r="A281" s="739" t="s">
        <v>1225</v>
      </c>
      <c r="B281" s="740" t="s">
        <v>1226</v>
      </c>
      <c r="C281">
        <v>10000000000</v>
      </c>
      <c r="D281">
        <f t="shared" si="4"/>
        <v>-10000000000</v>
      </c>
    </row>
    <row r="282" spans="1:4" x14ac:dyDescent="0.2">
      <c r="A282" s="732" t="s">
        <v>454</v>
      </c>
      <c r="B282" s="738" t="s">
        <v>455</v>
      </c>
      <c r="C282">
        <v>10000000000</v>
      </c>
      <c r="D282">
        <f t="shared" si="4"/>
        <v>-10000000000</v>
      </c>
    </row>
    <row r="283" spans="1:4" x14ac:dyDescent="0.2">
      <c r="A283" s="994" t="s">
        <v>2441</v>
      </c>
      <c r="B283" s="995" t="s">
        <v>2432</v>
      </c>
      <c r="C283">
        <v>10000000000</v>
      </c>
      <c r="D283">
        <f t="shared" si="4"/>
        <v>-10000000000</v>
      </c>
    </row>
    <row r="284" spans="1:4" x14ac:dyDescent="0.2">
      <c r="A284" s="732" t="s">
        <v>456</v>
      </c>
      <c r="B284" s="738" t="s">
        <v>457</v>
      </c>
      <c r="C284">
        <v>10000000000</v>
      </c>
      <c r="D284">
        <f t="shared" si="4"/>
        <v>-10000000000</v>
      </c>
    </row>
    <row r="285" spans="1:4" x14ac:dyDescent="0.2">
      <c r="A285" s="732" t="s">
        <v>458</v>
      </c>
      <c r="B285" s="738" t="s">
        <v>459</v>
      </c>
      <c r="C285">
        <v>10000000000</v>
      </c>
      <c r="D285">
        <f t="shared" si="4"/>
        <v>-10000000000</v>
      </c>
    </row>
    <row r="286" spans="1:4" x14ac:dyDescent="0.2">
      <c r="A286" s="732" t="s">
        <v>460</v>
      </c>
      <c r="B286" s="738" t="s">
        <v>461</v>
      </c>
      <c r="C286">
        <v>10000000000</v>
      </c>
      <c r="D286">
        <f t="shared" si="4"/>
        <v>-10000000000</v>
      </c>
    </row>
    <row r="287" spans="1:4" x14ac:dyDescent="0.2">
      <c r="A287" s="732" t="s">
        <v>989</v>
      </c>
      <c r="B287" s="738" t="s">
        <v>463</v>
      </c>
      <c r="C287">
        <v>10000000000</v>
      </c>
      <c r="D287">
        <f t="shared" si="4"/>
        <v>-10000000000</v>
      </c>
    </row>
    <row r="288" spans="1:4" x14ac:dyDescent="0.2">
      <c r="A288" s="732" t="s">
        <v>464</v>
      </c>
      <c r="B288" s="738" t="s">
        <v>465</v>
      </c>
      <c r="C288">
        <v>10000000000</v>
      </c>
      <c r="D288">
        <f t="shared" si="4"/>
        <v>-10000000000</v>
      </c>
    </row>
    <row r="289" spans="1:4" x14ac:dyDescent="0.2">
      <c r="A289" s="732" t="s">
        <v>466</v>
      </c>
      <c r="B289" s="738" t="s">
        <v>467</v>
      </c>
      <c r="C289">
        <v>10000000000</v>
      </c>
      <c r="D289">
        <f t="shared" si="4"/>
        <v>-10000000000</v>
      </c>
    </row>
    <row r="290" spans="1:4" x14ac:dyDescent="0.2">
      <c r="A290" s="732" t="s">
        <v>531</v>
      </c>
      <c r="B290" s="738" t="s">
        <v>469</v>
      </c>
      <c r="C290">
        <v>10000000000</v>
      </c>
      <c r="D290">
        <f t="shared" si="4"/>
        <v>-10000000000</v>
      </c>
    </row>
    <row r="291" spans="1:4" x14ac:dyDescent="0.2">
      <c r="A291" s="732" t="s">
        <v>470</v>
      </c>
      <c r="B291" s="738" t="s">
        <v>471</v>
      </c>
      <c r="C291">
        <v>10000000000</v>
      </c>
      <c r="D291">
        <f t="shared" si="4"/>
        <v>-10000000000</v>
      </c>
    </row>
    <row r="292" spans="1:4" x14ac:dyDescent="0.2">
      <c r="A292" s="732" t="s">
        <v>472</v>
      </c>
      <c r="B292" s="738" t="s">
        <v>473</v>
      </c>
      <c r="C292">
        <v>10000000000</v>
      </c>
      <c r="D292">
        <f t="shared" si="4"/>
        <v>-10000000000</v>
      </c>
    </row>
    <row r="293" spans="1:4" x14ac:dyDescent="0.2">
      <c r="A293" s="732" t="s">
        <v>474</v>
      </c>
      <c r="B293" s="738" t="s">
        <v>475</v>
      </c>
      <c r="C293">
        <v>10000000000</v>
      </c>
      <c r="D293">
        <f t="shared" si="4"/>
        <v>-10000000000</v>
      </c>
    </row>
    <row r="294" spans="1:4" x14ac:dyDescent="0.2">
      <c r="A294" s="732" t="s">
        <v>476</v>
      </c>
      <c r="B294" s="738" t="s">
        <v>477</v>
      </c>
      <c r="C294">
        <v>10000000000</v>
      </c>
      <c r="D294">
        <f t="shared" si="4"/>
        <v>-10000000000</v>
      </c>
    </row>
    <row r="295" spans="1:4" x14ac:dyDescent="0.2">
      <c r="A295" s="732" t="s">
        <v>478</v>
      </c>
      <c r="B295" s="738" t="s">
        <v>479</v>
      </c>
      <c r="C295">
        <v>10000000000</v>
      </c>
      <c r="D295">
        <f t="shared" si="4"/>
        <v>-10000000000</v>
      </c>
    </row>
    <row r="296" spans="1:4" x14ac:dyDescent="0.2">
      <c r="A296" s="732" t="s">
        <v>480</v>
      </c>
      <c r="B296" s="738" t="s">
        <v>481</v>
      </c>
      <c r="C296">
        <v>10000000000</v>
      </c>
      <c r="D296">
        <f t="shared" si="4"/>
        <v>-10000000000</v>
      </c>
    </row>
    <row r="297" spans="1:4" ht="13.5" thickBot="1" x14ac:dyDescent="0.25">
      <c r="A297" s="733" t="s">
        <v>630</v>
      </c>
      <c r="B297" s="742" t="s">
        <v>483</v>
      </c>
      <c r="C297">
        <v>10000000000</v>
      </c>
      <c r="D297">
        <f t="shared" si="4"/>
        <v>-10000000000</v>
      </c>
    </row>
    <row r="298" spans="1:4" x14ac:dyDescent="0.2">
      <c r="A298" s="732"/>
      <c r="B298" s="738"/>
    </row>
    <row r="299" spans="1:4" x14ac:dyDescent="0.2">
      <c r="A299" s="732"/>
      <c r="B299" s="738"/>
    </row>
    <row r="300" spans="1:4" x14ac:dyDescent="0.2">
      <c r="A300" s="732"/>
      <c r="B300" s="738"/>
    </row>
    <row r="301" spans="1:4" x14ac:dyDescent="0.2">
      <c r="A301" s="732"/>
      <c r="B301" s="738"/>
    </row>
    <row r="302" spans="1:4" x14ac:dyDescent="0.2">
      <c r="A302" s="732"/>
      <c r="B302" s="738"/>
    </row>
    <row r="303" spans="1:4" x14ac:dyDescent="0.2">
      <c r="A303" s="732"/>
      <c r="B303" s="738"/>
    </row>
    <row r="304" spans="1:4" x14ac:dyDescent="0.2">
      <c r="A304" s="732"/>
      <c r="B304" s="738"/>
    </row>
    <row r="305" spans="1:2" x14ac:dyDescent="0.2">
      <c r="A305" s="732"/>
      <c r="B305" s="738"/>
    </row>
    <row r="306" spans="1:2" x14ac:dyDescent="0.2">
      <c r="A306" s="732"/>
      <c r="B306" s="738"/>
    </row>
    <row r="307" spans="1:2" x14ac:dyDescent="0.2">
      <c r="A307" s="732"/>
      <c r="B307" s="738"/>
    </row>
    <row r="308" spans="1:2" x14ac:dyDescent="0.2">
      <c r="A308" s="732"/>
      <c r="B308" s="738"/>
    </row>
    <row r="309" spans="1:2" x14ac:dyDescent="0.2">
      <c r="A309" s="732"/>
      <c r="B309" s="738"/>
    </row>
    <row r="310" spans="1:2" ht="13.5" thickBot="1" x14ac:dyDescent="0.25">
      <c r="A310" s="733"/>
      <c r="B310" s="742"/>
    </row>
  </sheetData>
  <dataValidations count="2">
    <dataValidation type="custom" allowBlank="1" showInputMessage="1" showErrorMessage="1" errorTitle="DO NOT AMEND" sqref="A279:B279 A172:B172" xr:uid="{49620517-9E1B-4CEE-B2FE-041E297C213D}">
      <formula1>"cb1=""unlock"""</formula1>
    </dataValidation>
    <dataValidation type="custom" allowBlank="1" showInputMessage="1" showErrorMessage="1" sqref="A308:B310 A295:B306 A173:B278 A2:B171 A280:B293" xr:uid="{11533DC9-1A19-4A8D-BB20-5D348771BF53}">
      <formula1>$BR$1="UNLOCK"</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632B-0DE2-4E2F-9151-B3A65E59884D}">
  <sheetPr codeName="Sheet19"/>
  <dimension ref="A1"/>
  <sheetViews>
    <sheetView workbookViewId="0"/>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92D050"/>
    <pageSetUpPr autoPageBreaks="0"/>
  </sheetPr>
  <dimension ref="A1:AZ1"/>
  <sheetViews>
    <sheetView workbookViewId="0">
      <selection activeCell="J11" sqref="J11"/>
    </sheetView>
  </sheetViews>
  <sheetFormatPr defaultRowHeight="12.75" x14ac:dyDescent="0.2"/>
  <cols>
    <col min="52" max="52" width="0" hidden="1" customWidth="1"/>
  </cols>
  <sheetData>
    <row r="1" spans="1:52" x14ac:dyDescent="0.2">
      <c r="A1" t="e">
        <f>'Part 1'!K15</f>
        <v>#N/A</v>
      </c>
      <c r="B1" s="142" t="s">
        <v>984</v>
      </c>
      <c r="C1">
        <v>2020</v>
      </c>
      <c r="AZ1" s="142" t="s">
        <v>1258</v>
      </c>
    </row>
  </sheetData>
  <sheetProtection sheet="1" objects="1" scenarios="1"/>
  <dataValidations count="1">
    <dataValidation type="custom" allowBlank="1" showInputMessage="1" showErrorMessage="1" errorTitle="DO NOT AMEND" sqref="A1:C1" xr:uid="{39683868-170B-4324-96FB-DD919DAC1894}">
      <formula1>"if(AZ1=""na"")"</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IQ319"/>
  <sheetViews>
    <sheetView showGridLines="0" zoomScaleNormal="100" workbookViewId="0"/>
  </sheetViews>
  <sheetFormatPr defaultColWidth="9.140625" defaultRowHeight="15" x14ac:dyDescent="0.2"/>
  <cols>
    <col min="1" max="1" width="4.85546875" style="254" customWidth="1"/>
    <col min="2" max="2" width="1.7109375" style="9" customWidth="1"/>
    <col min="3" max="3" width="13.28515625" style="9" bestFit="1" customWidth="1"/>
    <col min="4" max="6" width="9.140625" style="9"/>
    <col min="7" max="7" width="10.28515625" style="9" customWidth="1"/>
    <col min="8" max="8" width="9.140625" style="9"/>
    <col min="9" max="9" width="13" style="9" bestFit="1" customWidth="1"/>
    <col min="10" max="10" width="3.7109375" style="9" customWidth="1"/>
    <col min="11" max="11" width="17.85546875" style="9" customWidth="1"/>
    <col min="12" max="12" width="3.7109375" style="9" customWidth="1"/>
    <col min="13" max="13" width="17.85546875" style="9" customWidth="1"/>
    <col min="14" max="14" width="6.7109375" style="9" customWidth="1"/>
    <col min="15" max="15" width="17.85546875" style="9" customWidth="1"/>
    <col min="16" max="16" width="3.7109375" style="9" customWidth="1"/>
    <col min="17" max="17" width="17.85546875" style="9" customWidth="1"/>
    <col min="18" max="18" width="6.140625" style="9" customWidth="1"/>
    <col min="19" max="19" width="17.85546875" style="9" customWidth="1"/>
    <col min="20" max="20" width="1.5703125" style="9" customWidth="1"/>
    <col min="21" max="21" width="1.7109375" style="9" customWidth="1"/>
    <col min="22" max="22" width="24.85546875" style="8" hidden="1" customWidth="1"/>
    <col min="23" max="23" width="12.7109375" style="89" hidden="1" customWidth="1"/>
    <col min="24" max="24" width="26.7109375" style="9" hidden="1" customWidth="1"/>
    <col min="25" max="25" width="4.7109375" style="9" hidden="1" customWidth="1"/>
    <col min="26" max="27" width="10.140625" style="9" hidden="1" customWidth="1"/>
    <col min="28" max="28" width="17.5703125" style="9" hidden="1" customWidth="1"/>
    <col min="29" max="29" width="2.7109375" style="9" hidden="1" customWidth="1"/>
    <col min="30" max="30" width="1.140625" style="9" hidden="1" customWidth="1"/>
    <col min="31" max="31" width="1.85546875" style="9" hidden="1" customWidth="1"/>
    <col min="32" max="32" width="2.7109375" style="9" hidden="1" customWidth="1"/>
    <col min="33" max="33" width="2.140625" style="9" hidden="1" customWidth="1"/>
    <col min="34" max="34" width="2.85546875" style="9" hidden="1" customWidth="1"/>
    <col min="35" max="35" width="17.140625" style="9" hidden="1" customWidth="1"/>
    <col min="36" max="36" width="1.5703125" style="9" hidden="1" customWidth="1"/>
    <col min="37" max="37" width="17.140625" style="9" hidden="1" customWidth="1"/>
    <col min="38" max="38" width="1.5703125" style="9" hidden="1" customWidth="1"/>
    <col min="39" max="39" width="17.140625" style="9" hidden="1" customWidth="1"/>
    <col min="40" max="40" width="1.5703125" style="9" hidden="1" customWidth="1"/>
    <col min="41" max="41" width="17.140625" style="9" hidden="1" customWidth="1"/>
    <col min="42" max="65" width="9.140625" style="9" hidden="1" customWidth="1"/>
    <col min="66" max="77" width="9.140625" style="9" customWidth="1"/>
    <col min="78" max="16384" width="9.140625" style="9"/>
  </cols>
  <sheetData>
    <row r="1" spans="1:45" x14ac:dyDescent="0.2">
      <c r="A1" s="1364"/>
      <c r="B1" s="1365"/>
      <c r="C1" s="1365"/>
      <c r="D1" s="1365"/>
      <c r="E1" s="1365"/>
      <c r="F1" s="454">
        <v>297</v>
      </c>
      <c r="G1" s="1365"/>
      <c r="H1" s="1365"/>
      <c r="I1" s="1365"/>
      <c r="J1" s="1365"/>
      <c r="K1" s="1365"/>
      <c r="L1" s="1365"/>
      <c r="M1" s="1365"/>
      <c r="N1" s="1365"/>
      <c r="O1" s="1365"/>
      <c r="P1" s="1366"/>
      <c r="Q1" s="1365"/>
      <c r="R1" s="1365"/>
      <c r="S1" s="1365"/>
      <c r="T1" s="1365"/>
      <c r="U1" s="1367"/>
      <c r="AS1" s="9" t="s">
        <v>893</v>
      </c>
    </row>
    <row r="2" spans="1:45" ht="15.75" x14ac:dyDescent="0.25">
      <c r="A2" s="1680" t="s">
        <v>718</v>
      </c>
      <c r="B2" s="1681"/>
      <c r="C2" s="1681"/>
      <c r="D2" s="1681"/>
      <c r="E2" s="1681"/>
      <c r="F2" s="1681"/>
      <c r="G2" s="1681"/>
      <c r="H2" s="1681"/>
      <c r="I2" s="1681"/>
      <c r="J2" s="1681"/>
      <c r="K2" s="1681"/>
      <c r="L2" s="1681"/>
      <c r="M2" s="1681"/>
      <c r="N2" s="1681"/>
      <c r="O2" s="1681"/>
      <c r="P2" s="1681"/>
      <c r="Q2" s="1681"/>
      <c r="R2" s="1681"/>
      <c r="S2" s="1681"/>
      <c r="T2" s="1681"/>
      <c r="U2" s="1682"/>
      <c r="W2" s="1368"/>
    </row>
    <row r="3" spans="1:45" ht="15.75" x14ac:dyDescent="0.25">
      <c r="A3" s="1680" t="s">
        <v>2812</v>
      </c>
      <c r="B3" s="1681"/>
      <c r="C3" s="1681"/>
      <c r="D3" s="1681"/>
      <c r="E3" s="1681"/>
      <c r="F3" s="1681"/>
      <c r="G3" s="1681"/>
      <c r="H3" s="1681"/>
      <c r="I3" s="1681"/>
      <c r="J3" s="1681"/>
      <c r="K3" s="1681"/>
      <c r="L3" s="1681"/>
      <c r="M3" s="1681"/>
      <c r="N3" s="1681"/>
      <c r="O3" s="1681"/>
      <c r="P3" s="1681"/>
      <c r="Q3" s="1681"/>
      <c r="R3" s="1681"/>
      <c r="S3" s="1681"/>
      <c r="T3" s="1681"/>
      <c r="U3" s="1682"/>
    </row>
    <row r="4" spans="1:45" x14ac:dyDescent="0.2">
      <c r="A4" s="1690" t="s">
        <v>2865</v>
      </c>
      <c r="B4" s="1691"/>
      <c r="C4" s="1691"/>
      <c r="D4" s="1691"/>
      <c r="E4" s="1691"/>
      <c r="F4" s="1691"/>
      <c r="G4" s="1691"/>
      <c r="H4" s="1691"/>
      <c r="I4" s="1691"/>
      <c r="J4" s="1691"/>
      <c r="K4" s="1691"/>
      <c r="L4" s="1691"/>
      <c r="M4" s="1691"/>
      <c r="N4" s="1691"/>
      <c r="O4" s="1691"/>
      <c r="P4" s="1691"/>
      <c r="Q4" s="1691"/>
      <c r="R4" s="1691"/>
      <c r="S4" s="1691"/>
      <c r="T4" s="1691"/>
      <c r="U4" s="1692"/>
    </row>
    <row r="5" spans="1:45" x14ac:dyDescent="0.2">
      <c r="A5" s="1370"/>
      <c r="B5" s="167"/>
      <c r="C5" s="167"/>
      <c r="D5" s="167"/>
      <c r="E5" s="167"/>
      <c r="F5" s="167"/>
      <c r="G5" s="167"/>
      <c r="H5" s="167"/>
      <c r="I5" s="167"/>
      <c r="J5" s="167"/>
      <c r="K5" s="167"/>
      <c r="L5" s="167"/>
      <c r="M5" s="167"/>
      <c r="N5" s="167"/>
      <c r="O5" s="167"/>
      <c r="P5" s="167"/>
      <c r="Q5" s="167"/>
      <c r="R5" s="167"/>
      <c r="S5" s="167"/>
      <c r="T5" s="167"/>
      <c r="U5" s="1369"/>
    </row>
    <row r="6" spans="1:45" ht="15.75" x14ac:dyDescent="0.25">
      <c r="A6" s="1693" t="s">
        <v>919</v>
      </c>
      <c r="B6" s="1694"/>
      <c r="C6" s="1694"/>
      <c r="D6" s="1694"/>
      <c r="E6" s="1694"/>
      <c r="F6" s="1694"/>
      <c r="G6" s="1694"/>
      <c r="H6" s="1694"/>
      <c r="I6" s="1694"/>
      <c r="J6" s="1694"/>
      <c r="K6" s="1694"/>
      <c r="L6" s="1694"/>
      <c r="M6" s="1694"/>
      <c r="N6" s="1694"/>
      <c r="O6" s="1694"/>
      <c r="P6" s="1694"/>
      <c r="Q6" s="1694"/>
      <c r="R6" s="1694"/>
      <c r="S6" s="1694"/>
      <c r="T6" s="1694"/>
      <c r="U6" s="1695"/>
    </row>
    <row r="7" spans="1:45" x14ac:dyDescent="0.2">
      <c r="A7" s="1370"/>
      <c r="B7" s="167"/>
      <c r="C7" s="167"/>
      <c r="D7" s="167"/>
      <c r="E7" s="167"/>
      <c r="F7" s="167"/>
      <c r="G7" s="167"/>
      <c r="H7" s="167"/>
      <c r="I7" s="167"/>
      <c r="J7" s="167"/>
      <c r="K7" s="167"/>
      <c r="L7" s="167"/>
      <c r="M7" s="167"/>
      <c r="N7" s="167"/>
      <c r="O7" s="167"/>
      <c r="P7" s="167"/>
      <c r="Q7" s="167"/>
      <c r="R7" s="167"/>
      <c r="S7" s="167"/>
      <c r="T7" s="167"/>
      <c r="U7" s="1369"/>
    </row>
    <row r="8" spans="1:45" x14ac:dyDescent="0.2">
      <c r="A8" s="1690" t="str">
        <f>+IF('Main Validation'!M50=0,"If you are content with your answers please return this form to DLUHC as soon as possible","Please check the validation tabs and supply answers to the validation queries that require a comment")</f>
        <v>If you are content with your answers please return this form to DLUHC as soon as possible</v>
      </c>
      <c r="B8" s="1691"/>
      <c r="C8" s="1691"/>
      <c r="D8" s="1691"/>
      <c r="E8" s="1691"/>
      <c r="F8" s="1691"/>
      <c r="G8" s="1691"/>
      <c r="H8" s="1691"/>
      <c r="I8" s="1691"/>
      <c r="J8" s="1691"/>
      <c r="K8" s="1691"/>
      <c r="L8" s="1691"/>
      <c r="M8" s="1691"/>
      <c r="N8" s="1691"/>
      <c r="O8" s="1691"/>
      <c r="P8" s="1691"/>
      <c r="Q8" s="1691"/>
      <c r="R8" s="1691"/>
      <c r="S8" s="1691"/>
      <c r="T8" s="1691"/>
      <c r="U8" s="1692"/>
      <c r="V8" s="1371"/>
    </row>
    <row r="9" spans="1:45" ht="15.75" thickBot="1" x14ac:dyDescent="0.25">
      <c r="A9" s="1685"/>
      <c r="B9" s="1686"/>
      <c r="C9" s="1686"/>
      <c r="D9" s="1686"/>
      <c r="E9" s="1686"/>
      <c r="F9" s="1686"/>
      <c r="G9" s="1686"/>
      <c r="H9" s="1686"/>
      <c r="I9" s="1686"/>
      <c r="J9" s="1686"/>
      <c r="K9" s="1686"/>
      <c r="L9" s="1686"/>
      <c r="M9" s="1686"/>
      <c r="N9" s="1686"/>
      <c r="O9" s="1686"/>
      <c r="P9" s="1686"/>
      <c r="Q9" s="1686"/>
      <c r="R9" s="1686"/>
      <c r="S9" s="1686"/>
      <c r="T9" s="1686"/>
      <c r="U9" s="1687"/>
    </row>
    <row r="10" spans="1:45" x14ac:dyDescent="0.2">
      <c r="A10" s="1364"/>
      <c r="B10" s="1365"/>
      <c r="C10" s="1365"/>
      <c r="D10" s="1365"/>
      <c r="E10" s="1365"/>
      <c r="F10" s="1365"/>
      <c r="G10" s="1365"/>
      <c r="H10" s="1365"/>
      <c r="I10" s="1365"/>
      <c r="J10" s="1365"/>
      <c r="K10" s="1365"/>
      <c r="L10" s="1365"/>
      <c r="M10" s="1365"/>
      <c r="N10" s="1365"/>
      <c r="O10" s="1365"/>
      <c r="P10" s="1365"/>
      <c r="Q10" s="1365"/>
      <c r="R10" s="1365"/>
      <c r="S10" s="1365"/>
      <c r="T10" s="1365"/>
      <c r="U10" s="1367"/>
      <c r="AA10" s="49"/>
    </row>
    <row r="11" spans="1:45" x14ac:dyDescent="0.2">
      <c r="A11" s="1372"/>
      <c r="B11" s="1373"/>
      <c r="C11" s="1373"/>
      <c r="D11" s="1373"/>
      <c r="E11" s="1684" t="s">
        <v>486</v>
      </c>
      <c r="F11" s="1684"/>
      <c r="G11" s="1684"/>
      <c r="H11" s="1684"/>
      <c r="I11" s="1684"/>
      <c r="J11" s="1684"/>
      <c r="K11" s="1373"/>
      <c r="L11" s="833"/>
      <c r="M11" s="833"/>
      <c r="N11" s="1373"/>
      <c r="O11" s="1373"/>
      <c r="P11" s="1373"/>
      <c r="Q11" s="1373"/>
      <c r="R11" s="1373"/>
      <c r="S11" s="1373"/>
      <c r="T11" s="1373"/>
      <c r="U11" s="1374"/>
      <c r="AA11" s="49"/>
    </row>
    <row r="12" spans="1:45" x14ac:dyDescent="0.2">
      <c r="A12" s="1372"/>
      <c r="B12" s="1373"/>
      <c r="C12" s="1373"/>
      <c r="D12" s="1373"/>
      <c r="E12" s="1373"/>
      <c r="F12" s="833"/>
      <c r="G12" s="833"/>
      <c r="H12" s="833"/>
      <c r="I12" s="833"/>
      <c r="J12" s="833"/>
      <c r="K12" s="833"/>
      <c r="L12" s="833"/>
      <c r="M12" s="833"/>
      <c r="N12" s="1373"/>
      <c r="O12" s="1373"/>
      <c r="P12" s="1373"/>
      <c r="Q12" s="1373"/>
      <c r="R12" s="1373"/>
      <c r="S12" s="1373"/>
      <c r="T12" s="1373"/>
      <c r="U12" s="1374"/>
      <c r="AA12" s="1375"/>
    </row>
    <row r="13" spans="1:45" x14ac:dyDescent="0.2">
      <c r="A13" s="1372"/>
      <c r="B13" s="1373"/>
      <c r="C13" s="1373"/>
      <c r="D13" s="1373"/>
      <c r="E13" s="1373"/>
      <c r="F13" s="834"/>
      <c r="G13" s="834"/>
      <c r="H13" s="834"/>
      <c r="I13" s="834"/>
      <c r="J13" s="834"/>
      <c r="K13" s="834"/>
      <c r="L13" s="834"/>
      <c r="M13" s="834"/>
      <c r="N13" s="1373"/>
      <c r="O13" s="1373"/>
      <c r="P13" s="1373"/>
      <c r="Q13" s="1373"/>
      <c r="R13" s="1373"/>
      <c r="S13" s="1373"/>
      <c r="T13" s="1373"/>
      <c r="U13" s="1374"/>
      <c r="AA13" s="49"/>
    </row>
    <row r="14" spans="1:45" x14ac:dyDescent="0.2">
      <c r="A14" s="1372"/>
      <c r="B14" s="1373"/>
      <c r="C14" s="1373"/>
      <c r="D14" s="1373"/>
      <c r="E14" s="1373"/>
      <c r="F14" s="834"/>
      <c r="G14" s="834"/>
      <c r="H14" s="834"/>
      <c r="I14" s="834"/>
      <c r="J14" s="834"/>
      <c r="K14" s="834"/>
      <c r="L14" s="834"/>
      <c r="M14" s="834"/>
      <c r="N14" s="1373"/>
      <c r="O14" s="1373"/>
      <c r="P14" s="1373"/>
      <c r="Q14" s="1373"/>
      <c r="R14" s="1373"/>
      <c r="S14" s="1373"/>
      <c r="T14" s="1373"/>
      <c r="U14" s="1374"/>
      <c r="AA14" s="1375"/>
    </row>
    <row r="15" spans="1:45" x14ac:dyDescent="0.2">
      <c r="A15" s="1372"/>
      <c r="B15" s="1373"/>
      <c r="C15" s="1373"/>
      <c r="D15" s="1373"/>
      <c r="E15" s="1373" t="s">
        <v>690</v>
      </c>
      <c r="F15" s="834"/>
      <c r="G15" s="1373"/>
      <c r="H15" s="834"/>
      <c r="I15" s="1373"/>
      <c r="J15" s="834"/>
      <c r="K15" s="1376" t="e">
        <f>INDEX(Data!B:B,MATCH(F1,Data!A:A,0))</f>
        <v>#N/A</v>
      </c>
      <c r="L15" s="1377"/>
      <c r="M15" s="1377"/>
      <c r="N15" s="1378"/>
      <c r="O15" s="1373"/>
      <c r="P15" s="1373"/>
      <c r="Q15" s="1373"/>
      <c r="R15" s="1373"/>
      <c r="S15" s="1373"/>
      <c r="T15" s="1373"/>
      <c r="U15" s="1374"/>
    </row>
    <row r="16" spans="1:45" x14ac:dyDescent="0.2">
      <c r="A16" s="1372"/>
      <c r="B16" s="1373"/>
      <c r="C16" s="1373"/>
      <c r="D16" s="1373"/>
      <c r="E16" s="1373" t="s">
        <v>691</v>
      </c>
      <c r="F16" s="834"/>
      <c r="G16" s="1373"/>
      <c r="H16" s="834"/>
      <c r="I16" s="1373"/>
      <c r="J16" s="834"/>
      <c r="K16" s="1376" t="e">
        <f>INDEX(Data!C:C,MATCH(F1,Data!A:A,0))</f>
        <v>#N/A</v>
      </c>
      <c r="L16" s="1377"/>
      <c r="M16" s="1377"/>
      <c r="N16" s="1378"/>
      <c r="O16" s="1373"/>
      <c r="P16" s="1373"/>
      <c r="Q16" s="1373"/>
      <c r="R16" s="1373"/>
      <c r="S16" s="1373"/>
      <c r="T16" s="1373"/>
      <c r="U16" s="1374"/>
      <c r="AA16" s="49"/>
    </row>
    <row r="17" spans="1:27" x14ac:dyDescent="0.2">
      <c r="A17" s="1372"/>
      <c r="B17" s="1373"/>
      <c r="C17" s="1373"/>
      <c r="D17" s="1373"/>
      <c r="E17" s="1373" t="s">
        <v>692</v>
      </c>
      <c r="F17" s="834"/>
      <c r="G17" s="1373"/>
      <c r="H17" s="834"/>
      <c r="I17" s="1373"/>
      <c r="J17" s="834"/>
      <c r="K17" s="1598"/>
      <c r="L17" s="1377"/>
      <c r="M17" s="1377"/>
      <c r="N17" s="1378"/>
      <c r="O17" s="1373"/>
      <c r="P17" s="1373"/>
      <c r="Q17" s="1373"/>
      <c r="R17" s="1373"/>
      <c r="S17" s="1373"/>
      <c r="T17" s="1373"/>
      <c r="U17" s="1374"/>
      <c r="AA17" s="49"/>
    </row>
    <row r="18" spans="1:27" x14ac:dyDescent="0.2">
      <c r="A18" s="1372"/>
      <c r="B18" s="1373"/>
      <c r="C18" s="1373"/>
      <c r="D18" s="1373"/>
      <c r="E18" s="1373" t="s">
        <v>693</v>
      </c>
      <c r="F18" s="835"/>
      <c r="G18" s="1373"/>
      <c r="H18" s="834"/>
      <c r="I18" s="1373"/>
      <c r="J18" s="834"/>
      <c r="K18" s="1599"/>
      <c r="L18" s="1377"/>
      <c r="M18" s="1377"/>
      <c r="N18" s="1378"/>
      <c r="O18" s="1373"/>
      <c r="P18" s="1373"/>
      <c r="Q18" s="1373"/>
      <c r="R18" s="1373"/>
      <c r="S18" s="1373"/>
      <c r="T18" s="1373"/>
      <c r="U18" s="1374"/>
    </row>
    <row r="19" spans="1:27" x14ac:dyDescent="0.2">
      <c r="A19" s="1372"/>
      <c r="B19" s="1373"/>
      <c r="C19" s="1373"/>
      <c r="D19" s="1373"/>
      <c r="E19" s="1373" t="s">
        <v>694</v>
      </c>
      <c r="F19" s="835"/>
      <c r="G19" s="1373"/>
      <c r="H19" s="834"/>
      <c r="I19" s="1373"/>
      <c r="J19" s="834"/>
      <c r="K19" s="1598"/>
      <c r="L19" s="1377"/>
      <c r="M19" s="1377"/>
      <c r="N19" s="1378"/>
      <c r="O19" s="1373"/>
      <c r="P19" s="1373"/>
      <c r="Q19" s="1373"/>
      <c r="R19" s="1373"/>
      <c r="S19" s="1373"/>
      <c r="T19" s="1373"/>
      <c r="U19" s="1374"/>
    </row>
    <row r="20" spans="1:27" ht="15.75" thickBot="1" x14ac:dyDescent="0.25">
      <c r="A20" s="1379"/>
      <c r="B20" s="1380"/>
      <c r="C20" s="1380"/>
      <c r="D20" s="1380"/>
      <c r="E20" s="1380"/>
      <c r="F20" s="1380"/>
      <c r="G20" s="1380"/>
      <c r="H20" s="1380"/>
      <c r="I20" s="1380"/>
      <c r="J20" s="1380"/>
      <c r="K20" s="1380"/>
      <c r="L20" s="1380"/>
      <c r="M20" s="1380"/>
      <c r="N20" s="1380"/>
      <c r="O20" s="1380"/>
      <c r="P20" s="1380"/>
      <c r="Q20" s="1380"/>
      <c r="R20" s="110" t="s">
        <v>947</v>
      </c>
      <c r="S20" s="1381">
        <v>1.1000000000000001</v>
      </c>
      <c r="T20" s="1380"/>
      <c r="U20" s="1382"/>
    </row>
    <row r="21" spans="1:27" x14ac:dyDescent="0.2">
      <c r="A21" s="1383"/>
      <c r="B21" s="10"/>
      <c r="C21" s="10"/>
      <c r="D21" s="10"/>
      <c r="E21" s="10"/>
      <c r="F21" s="10"/>
      <c r="G21" s="10"/>
      <c r="H21" s="10"/>
      <c r="I21" s="10"/>
      <c r="J21" s="10"/>
      <c r="K21" s="10"/>
      <c r="L21" s="10"/>
      <c r="M21" s="10"/>
      <c r="N21" s="10"/>
      <c r="O21" s="10"/>
      <c r="P21" s="10"/>
      <c r="Q21" s="10"/>
      <c r="R21" s="10"/>
      <c r="S21" s="10"/>
      <c r="T21" s="10"/>
      <c r="U21" s="1384"/>
    </row>
    <row r="22" spans="1:27" ht="18" x14ac:dyDescent="0.25">
      <c r="A22" s="1383"/>
      <c r="B22" s="10"/>
      <c r="C22" s="1135" t="s">
        <v>27</v>
      </c>
      <c r="D22" s="1135"/>
      <c r="E22" s="1135"/>
      <c r="F22" s="1135"/>
      <c r="G22" s="1135"/>
      <c r="H22" s="10"/>
      <c r="I22" s="10"/>
      <c r="J22" s="10"/>
      <c r="K22" s="10"/>
      <c r="L22" s="10"/>
      <c r="M22" s="10"/>
      <c r="N22" s="10"/>
      <c r="O22" s="10"/>
      <c r="P22" s="10"/>
      <c r="Q22" s="10"/>
      <c r="R22" s="10"/>
      <c r="S22" s="10"/>
      <c r="T22" s="10"/>
      <c r="U22" s="1384"/>
    </row>
    <row r="23" spans="1:27" ht="36" customHeight="1" x14ac:dyDescent="0.2">
      <c r="A23" s="1383"/>
      <c r="B23" s="10"/>
      <c r="C23" s="1651" t="s">
        <v>2832</v>
      </c>
      <c r="D23" s="1651"/>
      <c r="E23" s="1651"/>
      <c r="F23" s="1651"/>
      <c r="G23" s="1651"/>
      <c r="H23" s="1651"/>
      <c r="I23" s="1651"/>
      <c r="J23" s="1651"/>
      <c r="K23" s="1651"/>
      <c r="L23" s="1651"/>
      <c r="M23" s="1651"/>
      <c r="N23" s="1651"/>
      <c r="O23" s="1651"/>
      <c r="P23" s="1651"/>
      <c r="Q23" s="1651"/>
      <c r="R23" s="1651"/>
      <c r="S23" s="1651"/>
      <c r="T23" s="10"/>
      <c r="U23" s="1385"/>
    </row>
    <row r="24" spans="1:27" ht="16.5" thickBot="1" x14ac:dyDescent="0.3">
      <c r="A24" s="1383"/>
      <c r="B24" s="10"/>
      <c r="C24" s="97" t="s">
        <v>3389</v>
      </c>
      <c r="D24" s="1386"/>
      <c r="E24" s="1386"/>
      <c r="F24" s="1386"/>
      <c r="G24" s="1386"/>
      <c r="H24" s="1386"/>
      <c r="I24" s="1386"/>
      <c r="J24" s="10"/>
      <c r="K24" s="1387" t="s">
        <v>687</v>
      </c>
      <c r="L24" s="10"/>
      <c r="M24" s="10"/>
      <c r="N24" s="12"/>
      <c r="O24" s="12" t="s">
        <v>3334</v>
      </c>
      <c r="P24" s="10"/>
      <c r="Q24" s="10"/>
      <c r="R24" s="491"/>
      <c r="S24" s="10"/>
      <c r="T24" s="10"/>
      <c r="U24" s="1384"/>
    </row>
    <row r="25" spans="1:27" ht="16.5" thickBot="1" x14ac:dyDescent="0.25">
      <c r="A25" s="1383"/>
      <c r="B25" s="10"/>
      <c r="C25" s="1650" t="s">
        <v>724</v>
      </c>
      <c r="D25" s="1688"/>
      <c r="E25" s="1688"/>
      <c r="F25" s="1688"/>
      <c r="G25" s="1688"/>
      <c r="H25" s="1688"/>
      <c r="I25" s="1688"/>
      <c r="J25" s="10"/>
      <c r="K25" s="1073">
        <f>+'Part 3'!$M$27</f>
        <v>0</v>
      </c>
      <c r="L25" s="1388"/>
      <c r="M25" s="10"/>
      <c r="N25" s="1389"/>
      <c r="O25" s="1389"/>
      <c r="P25" s="1388"/>
      <c r="Q25" s="1388"/>
      <c r="R25" s="901"/>
      <c r="S25" s="1388"/>
      <c r="T25" s="2"/>
      <c r="U25" s="71"/>
    </row>
    <row r="26" spans="1:27" ht="16.5" thickBot="1" x14ac:dyDescent="0.25">
      <c r="A26" s="1383"/>
      <c r="B26" s="10"/>
      <c r="C26" s="1650"/>
      <c r="D26" s="1688"/>
      <c r="E26" s="1688"/>
      <c r="F26" s="1688"/>
      <c r="G26" s="1688"/>
      <c r="H26" s="1688"/>
      <c r="I26" s="1688"/>
      <c r="J26" s="1388"/>
      <c r="K26" s="1388"/>
      <c r="L26" s="1388"/>
      <c r="M26" s="10"/>
      <c r="N26" s="1388"/>
      <c r="O26" s="1388" t="s">
        <v>3225</v>
      </c>
      <c r="P26" s="1388"/>
      <c r="Q26" s="1073">
        <f>'Part 2'!AB34</f>
        <v>0</v>
      </c>
      <c r="R26" s="1390" t="s">
        <v>3231</v>
      </c>
      <c r="S26" s="1388"/>
      <c r="T26" s="10"/>
      <c r="U26" s="1384"/>
    </row>
    <row r="27" spans="1:27" ht="15.75" thickBot="1" x14ac:dyDescent="0.25">
      <c r="A27" s="1383"/>
      <c r="B27" s="10"/>
      <c r="C27" s="1688"/>
      <c r="D27" s="1688"/>
      <c r="E27" s="1688"/>
      <c r="F27" s="1688"/>
      <c r="G27" s="1688"/>
      <c r="H27" s="1688"/>
      <c r="I27" s="1688"/>
      <c r="J27" s="10"/>
      <c r="K27" s="1388"/>
      <c r="L27" s="1388"/>
      <c r="M27" s="1388"/>
      <c r="N27" s="1388"/>
      <c r="O27" s="901"/>
      <c r="P27" s="1388"/>
      <c r="Q27" s="1388"/>
      <c r="R27" s="1390"/>
      <c r="S27" s="1388"/>
      <c r="T27" s="10"/>
      <c r="U27" s="1384"/>
    </row>
    <row r="28" spans="1:27" ht="16.5" thickBot="1" x14ac:dyDescent="0.25">
      <c r="A28" s="1383"/>
      <c r="B28" s="10"/>
      <c r="C28" s="1391"/>
      <c r="D28" s="972"/>
      <c r="E28" s="972"/>
      <c r="F28" s="972"/>
      <c r="G28" s="972"/>
      <c r="H28" s="1386"/>
      <c r="I28" s="1386"/>
      <c r="J28" s="13"/>
      <c r="K28" s="1388"/>
      <c r="L28" s="1388"/>
      <c r="M28" s="1388"/>
      <c r="N28" s="901"/>
      <c r="O28" s="901" t="s">
        <v>3283</v>
      </c>
      <c r="P28" s="1388"/>
      <c r="Q28" s="1073">
        <f>'Part 2'!AB85+'Part 2'!AB106</f>
        <v>0</v>
      </c>
      <c r="R28" s="1390" t="s">
        <v>3353</v>
      </c>
      <c r="S28" s="1388"/>
      <c r="T28" s="10"/>
      <c r="U28" s="1384"/>
    </row>
    <row r="29" spans="1:27" ht="16.5" thickBot="1" x14ac:dyDescent="0.3">
      <c r="A29" s="1383"/>
      <c r="B29" s="10"/>
      <c r="C29" s="1689" t="s">
        <v>721</v>
      </c>
      <c r="D29" s="1689"/>
      <c r="E29" s="1689"/>
      <c r="F29" s="1689"/>
      <c r="G29" s="1689"/>
      <c r="H29" s="1689"/>
      <c r="I29" s="1689"/>
      <c r="J29" s="491"/>
      <c r="K29" s="482"/>
      <c r="L29" s="901"/>
      <c r="M29" s="901"/>
      <c r="N29" s="901"/>
      <c r="O29" s="901" t="s">
        <v>3226</v>
      </c>
      <c r="P29" s="1388"/>
      <c r="Q29" s="1073">
        <f>'Part 2'!AB168+'Part 2'!AB144</f>
        <v>0</v>
      </c>
      <c r="R29" s="1390" t="s">
        <v>3290</v>
      </c>
      <c r="S29" s="1388"/>
      <c r="T29" s="10"/>
      <c r="U29" s="1384"/>
    </row>
    <row r="30" spans="1:27" ht="16.5" thickBot="1" x14ac:dyDescent="0.25">
      <c r="A30" s="1383"/>
      <c r="B30" s="10"/>
      <c r="C30" s="1667" t="s">
        <v>688</v>
      </c>
      <c r="D30" s="1667"/>
      <c r="E30" s="1667"/>
      <c r="F30" s="1667"/>
      <c r="G30" s="1667"/>
      <c r="H30" s="1667"/>
      <c r="I30" s="1667"/>
      <c r="J30" s="491"/>
      <c r="K30" s="1074">
        <f>IF(+'Part 2'!AB51&gt;0,+'Part 2'!AB51,0)</f>
        <v>0</v>
      </c>
      <c r="L30" s="901"/>
      <c r="M30" s="901"/>
      <c r="N30" s="491"/>
      <c r="O30" s="491"/>
      <c r="P30" s="491"/>
      <c r="Q30" s="491"/>
      <c r="R30" s="491"/>
      <c r="S30" s="1388"/>
      <c r="T30" s="2"/>
      <c r="U30" s="71"/>
    </row>
    <row r="31" spans="1:27" ht="16.5" thickBot="1" x14ac:dyDescent="0.25">
      <c r="A31" s="1383"/>
      <c r="B31" s="10"/>
      <c r="C31" s="972"/>
      <c r="D31" s="972"/>
      <c r="E31" s="972"/>
      <c r="F31" s="972"/>
      <c r="G31" s="972"/>
      <c r="H31" s="972"/>
      <c r="I31" s="972"/>
      <c r="J31" s="491"/>
      <c r="K31" s="901"/>
      <c r="L31" s="901"/>
      <c r="M31" s="901"/>
      <c r="N31" s="901"/>
      <c r="O31" s="901" t="s">
        <v>3230</v>
      </c>
      <c r="P31" s="1388"/>
      <c r="Q31" s="1073">
        <f>'Part 2'!AB51*-1</f>
        <v>0</v>
      </c>
      <c r="R31" s="1390" t="s">
        <v>3232</v>
      </c>
      <c r="S31" s="1388"/>
      <c r="T31" s="10"/>
      <c r="U31" s="1384"/>
    </row>
    <row r="32" spans="1:27" ht="16.5" thickBot="1" x14ac:dyDescent="0.25">
      <c r="A32" s="1383"/>
      <c r="B32" s="10"/>
      <c r="C32" s="1667" t="s">
        <v>689</v>
      </c>
      <c r="D32" s="1667"/>
      <c r="E32" s="1667"/>
      <c r="F32" s="1667"/>
      <c r="G32" s="1667"/>
      <c r="H32" s="1667"/>
      <c r="I32" s="1667"/>
      <c r="J32" s="491"/>
      <c r="K32" s="1392">
        <f>IF(+'Part 2'!AB51&lt;0,+'Part 2'!AB51*-1,0)</f>
        <v>0</v>
      </c>
      <c r="L32" s="901"/>
      <c r="M32" s="491"/>
      <c r="N32" s="491"/>
      <c r="O32" s="491"/>
      <c r="P32" s="491"/>
      <c r="Q32" s="491"/>
      <c r="R32" s="491"/>
      <c r="S32" s="491"/>
      <c r="T32" s="2"/>
      <c r="U32" s="71"/>
    </row>
    <row r="33" spans="1:25" ht="16.5" thickBot="1" x14ac:dyDescent="0.25">
      <c r="A33" s="1383"/>
      <c r="B33" s="10"/>
      <c r="C33" s="1386"/>
      <c r="D33" s="1386"/>
      <c r="E33" s="1386"/>
      <c r="F33" s="1386"/>
      <c r="G33" s="1386"/>
      <c r="H33" s="1386"/>
      <c r="I33" s="1386"/>
      <c r="J33" s="10"/>
      <c r="K33" s="1388"/>
      <c r="L33" s="1388"/>
      <c r="M33" s="1696" t="s">
        <v>3227</v>
      </c>
      <c r="N33" s="1696"/>
      <c r="O33" s="1696"/>
      <c r="P33" s="1388"/>
      <c r="Q33" s="1073">
        <f>'Part 3'!$M$19</f>
        <v>0</v>
      </c>
      <c r="R33" s="1390" t="s">
        <v>3233</v>
      </c>
      <c r="S33" s="1388"/>
      <c r="T33" s="10"/>
      <c r="U33" s="1384"/>
    </row>
    <row r="34" spans="1:25" ht="16.5" customHeight="1" thickBot="1" x14ac:dyDescent="0.25">
      <c r="A34" s="1383"/>
      <c r="B34" s="10"/>
      <c r="C34" s="97" t="s">
        <v>3390</v>
      </c>
      <c r="D34" s="97"/>
      <c r="E34" s="97"/>
      <c r="F34" s="97"/>
      <c r="G34" s="1386"/>
      <c r="H34" s="1386"/>
      <c r="I34" s="1386"/>
      <c r="J34" s="10"/>
      <c r="K34" s="1388"/>
      <c r="L34" s="1388"/>
      <c r="M34" s="1696"/>
      <c r="N34" s="1696"/>
      <c r="O34" s="1696"/>
      <c r="P34" s="1388"/>
      <c r="Q34" s="491"/>
      <c r="R34" s="491"/>
      <c r="S34" s="1388"/>
      <c r="T34" s="10"/>
      <c r="U34" s="1384"/>
      <c r="W34" s="1652" t="s">
        <v>929</v>
      </c>
    </row>
    <row r="35" spans="1:25" ht="16.5" thickBot="1" x14ac:dyDescent="0.25">
      <c r="A35" s="1383"/>
      <c r="B35" s="10"/>
      <c r="C35" s="1641" t="s">
        <v>713</v>
      </c>
      <c r="D35" s="1641"/>
      <c r="E35" s="1641"/>
      <c r="F35" s="1641"/>
      <c r="G35" s="1641"/>
      <c r="H35" s="1641"/>
      <c r="I35" s="1641"/>
      <c r="J35" s="10"/>
      <c r="K35" s="1393" t="e">
        <f>INDEX(Data!D:D,MATCH(Import_LA_Code,Ref_LA_Codes,0))</f>
        <v>#N/A</v>
      </c>
      <c r="L35" s="1388"/>
      <c r="M35" s="1697" t="s">
        <v>3228</v>
      </c>
      <c r="N35" s="1697"/>
      <c r="O35" s="1697"/>
      <c r="P35" s="1388"/>
      <c r="Q35" s="1073">
        <f>'Part 3'!$M$22</f>
        <v>0</v>
      </c>
      <c r="R35" s="1390" t="s">
        <v>3234</v>
      </c>
      <c r="S35" s="1388"/>
      <c r="T35" s="2"/>
      <c r="U35" s="71"/>
      <c r="W35" s="1653"/>
    </row>
    <row r="36" spans="1:25" ht="16.5" customHeight="1" thickBot="1" x14ac:dyDescent="0.25">
      <c r="A36" s="1383"/>
      <c r="B36" s="10"/>
      <c r="C36" s="1386"/>
      <c r="D36" s="1386"/>
      <c r="E36" s="1386"/>
      <c r="F36" s="1386"/>
      <c r="G36" s="1386"/>
      <c r="H36" s="1386"/>
      <c r="I36" s="1386"/>
      <c r="J36" s="10"/>
      <c r="K36" s="98"/>
      <c r="L36" s="1388"/>
      <c r="M36" s="1697"/>
      <c r="N36" s="1697"/>
      <c r="O36" s="1697"/>
      <c r="P36" s="1388"/>
      <c r="Q36" s="491"/>
      <c r="R36" s="491"/>
      <c r="S36" s="1388"/>
      <c r="T36" s="10"/>
      <c r="U36" s="1384"/>
    </row>
    <row r="37" spans="1:25" ht="16.5" thickBot="1" x14ac:dyDescent="0.25">
      <c r="A37" s="1383"/>
      <c r="B37" s="10"/>
      <c r="C37" s="1641" t="s">
        <v>711</v>
      </c>
      <c r="D37" s="1641"/>
      <c r="E37" s="1641"/>
      <c r="F37" s="1641"/>
      <c r="G37" s="1641"/>
      <c r="H37" s="1641"/>
      <c r="I37" s="1641"/>
      <c r="J37" s="10"/>
      <c r="K37" s="1077">
        <v>0</v>
      </c>
      <c r="L37" s="1388"/>
      <c r="M37" s="1394"/>
      <c r="N37" s="1394"/>
      <c r="O37" s="491"/>
      <c r="P37" s="491"/>
      <c r="Q37" s="491"/>
      <c r="R37" s="491"/>
      <c r="S37" s="1388"/>
      <c r="T37" s="2"/>
      <c r="U37" s="71"/>
      <c r="W37" s="1395" t="s">
        <v>2285</v>
      </c>
      <c r="Y37" s="251"/>
    </row>
    <row r="38" spans="1:25" ht="16.5" thickBot="1" x14ac:dyDescent="0.25">
      <c r="A38" s="1383"/>
      <c r="B38" s="10"/>
      <c r="C38" s="1386"/>
      <c r="D38" s="1386"/>
      <c r="E38" s="1386"/>
      <c r="F38" s="1386"/>
      <c r="G38" s="1386"/>
      <c r="H38" s="1386"/>
      <c r="I38" s="1386"/>
      <c r="J38" s="10"/>
      <c r="K38" s="98"/>
      <c r="L38" s="1388"/>
      <c r="M38" s="1388"/>
      <c r="N38" s="1389"/>
      <c r="O38" s="98" t="s">
        <v>3229</v>
      </c>
      <c r="P38" s="98"/>
      <c r="Q38" s="1073">
        <f>Q26+Q28+Q29+Q31+Q33+Q35</f>
        <v>0</v>
      </c>
      <c r="R38" s="1396" t="s">
        <v>3235</v>
      </c>
      <c r="S38" s="98"/>
      <c r="T38" s="10"/>
      <c r="U38" s="1384"/>
      <c r="W38" s="1397" t="s">
        <v>53</v>
      </c>
    </row>
    <row r="39" spans="1:25" ht="16.5" thickBot="1" x14ac:dyDescent="0.25">
      <c r="A39" s="1383"/>
      <c r="B39" s="10"/>
      <c r="C39" s="1641" t="s">
        <v>712</v>
      </c>
      <c r="D39" s="1641"/>
      <c r="E39" s="1641"/>
      <c r="F39" s="1641"/>
      <c r="G39" s="1641"/>
      <c r="H39" s="1641"/>
      <c r="I39" s="1641"/>
      <c r="J39" s="10"/>
      <c r="K39" s="1398" t="e">
        <f>+K35+K37</f>
        <v>#N/A</v>
      </c>
      <c r="L39" s="1388"/>
      <c r="M39" s="1388"/>
      <c r="N39" s="1389"/>
      <c r="O39" s="1389"/>
      <c r="P39" s="1388"/>
      <c r="Q39" s="1388"/>
      <c r="R39" s="901"/>
      <c r="S39" s="1388"/>
      <c r="T39" s="2"/>
      <c r="U39" s="71"/>
      <c r="W39" s="1399"/>
    </row>
    <row r="40" spans="1:25" ht="15.75" x14ac:dyDescent="0.2">
      <c r="A40" s="1383"/>
      <c r="B40" s="10"/>
      <c r="C40" s="1386"/>
      <c r="D40" s="1386"/>
      <c r="E40" s="1386"/>
      <c r="F40" s="1386"/>
      <c r="G40" s="1386"/>
      <c r="H40" s="1386"/>
      <c r="I40" s="1386"/>
      <c r="J40" s="10"/>
      <c r="K40" s="98"/>
      <c r="L40" s="1388"/>
      <c r="M40" s="1388"/>
      <c r="N40" s="1389"/>
      <c r="O40" s="1389"/>
      <c r="P40" s="1388"/>
      <c r="Q40" s="1388"/>
      <c r="R40" s="901"/>
      <c r="S40" s="1388"/>
      <c r="T40" s="10"/>
      <c r="U40" s="1384"/>
      <c r="W40" s="1400">
        <f>+A63</f>
        <v>0</v>
      </c>
    </row>
    <row r="41" spans="1:25" ht="16.5" thickBot="1" x14ac:dyDescent="0.25">
      <c r="A41" s="1383"/>
      <c r="B41" s="10"/>
      <c r="C41" s="97" t="s">
        <v>714</v>
      </c>
      <c r="D41" s="1386"/>
      <c r="E41" s="1386"/>
      <c r="F41" s="1386"/>
      <c r="G41" s="1386"/>
      <c r="H41" s="1386"/>
      <c r="I41" s="1386"/>
      <c r="J41" s="10"/>
      <c r="K41" s="98"/>
      <c r="L41" s="1388"/>
      <c r="M41" s="1388"/>
      <c r="N41" s="1389"/>
      <c r="O41" s="1389"/>
      <c r="P41" s="1388"/>
      <c r="Q41" s="1388"/>
      <c r="R41" s="1388"/>
      <c r="S41" s="1388"/>
      <c r="T41" s="10"/>
      <c r="U41" s="1384"/>
      <c r="W41" s="1400"/>
    </row>
    <row r="42" spans="1:25" ht="16.5" thickBot="1" x14ac:dyDescent="0.25">
      <c r="A42" s="1383"/>
      <c r="B42" s="10"/>
      <c r="C42" s="1642" t="e">
        <f>+IF($K$16="E5010","7. City of London Offset","7. City of London Offset : Not applicable for your authority")</f>
        <v>#N/A</v>
      </c>
      <c r="D42" s="1642"/>
      <c r="E42" s="1642"/>
      <c r="F42" s="1642"/>
      <c r="G42" s="1642"/>
      <c r="H42" s="1642"/>
      <c r="I42" s="1642"/>
      <c r="J42" s="10"/>
      <c r="K42" s="1393" t="e">
        <f>+IF(K16="E5010",13291000,0)</f>
        <v>#N/A</v>
      </c>
      <c r="L42" s="1388"/>
      <c r="M42" s="240"/>
      <c r="N42" s="1389"/>
      <c r="O42" s="1389"/>
      <c r="P42" s="1388"/>
      <c r="Q42" s="1388"/>
      <c r="R42" s="1388"/>
      <c r="S42" s="1388"/>
      <c r="T42" s="10"/>
      <c r="U42" s="1384"/>
      <c r="W42" s="1400">
        <f>+A65</f>
        <v>0</v>
      </c>
    </row>
    <row r="43" spans="1:25" ht="15.75" x14ac:dyDescent="0.2">
      <c r="A43" s="1383"/>
      <c r="B43" s="10"/>
      <c r="C43" s="1386"/>
      <c r="D43" s="1386"/>
      <c r="E43" s="1386"/>
      <c r="F43" s="1386"/>
      <c r="G43" s="1386"/>
      <c r="H43" s="1386"/>
      <c r="I43" s="1386"/>
      <c r="J43" s="10"/>
      <c r="K43" s="98"/>
      <c r="L43" s="1388"/>
      <c r="M43" s="1388"/>
      <c r="N43" s="1389"/>
      <c r="O43" s="1389"/>
      <c r="P43" s="1388"/>
      <c r="Q43" s="1388"/>
      <c r="R43" s="1388"/>
      <c r="S43" s="1388"/>
      <c r="T43" s="10"/>
      <c r="U43" s="1384"/>
      <c r="W43" s="1400"/>
    </row>
    <row r="44" spans="1:25" ht="16.5" thickBot="1" x14ac:dyDescent="0.25">
      <c r="A44" s="1383"/>
      <c r="B44" s="10"/>
      <c r="C44" s="97" t="s">
        <v>723</v>
      </c>
      <c r="D44" s="1386"/>
      <c r="E44" s="1386"/>
      <c r="F44" s="1386"/>
      <c r="G44" s="1386"/>
      <c r="H44" s="1386"/>
      <c r="I44" s="1386"/>
      <c r="J44" s="10"/>
      <c r="K44" s="1388"/>
      <c r="L44" s="1388"/>
      <c r="M44" s="1388"/>
      <c r="N44" s="1389"/>
      <c r="O44" s="1389"/>
      <c r="P44" s="1388"/>
      <c r="Q44" s="1388"/>
      <c r="R44" s="1388"/>
      <c r="S44" s="1388"/>
      <c r="T44" s="10"/>
      <c r="U44" s="1384"/>
      <c r="W44" s="1400" t="e">
        <f>+A67</f>
        <v>#N/A</v>
      </c>
    </row>
    <row r="45" spans="1:25" ht="16.5" thickBot="1" x14ac:dyDescent="0.25">
      <c r="A45" s="1383"/>
      <c r="B45" s="10"/>
      <c r="C45" s="1651" t="s">
        <v>980</v>
      </c>
      <c r="D45" s="1651"/>
      <c r="E45" s="1651"/>
      <c r="F45" s="1651"/>
      <c r="G45" s="1651"/>
      <c r="H45" s="1651"/>
      <c r="I45" s="1651"/>
      <c r="J45" s="10"/>
      <c r="K45" s="1073">
        <f>+'Part 3'!J45</f>
        <v>0</v>
      </c>
      <c r="L45" s="1388"/>
      <c r="M45" s="1388"/>
      <c r="N45" s="1389"/>
      <c r="O45" s="1389"/>
      <c r="P45" s="1388"/>
      <c r="Q45" s="1388"/>
      <c r="R45" s="1388"/>
      <c r="S45" s="1388"/>
      <c r="T45" s="2"/>
      <c r="U45" s="71"/>
      <c r="W45" s="1400"/>
    </row>
    <row r="46" spans="1:25" ht="15.75" thickBot="1" x14ac:dyDescent="0.25">
      <c r="A46" s="1383"/>
      <c r="B46" s="10"/>
      <c r="C46" s="1651"/>
      <c r="D46" s="1651"/>
      <c r="E46" s="1651"/>
      <c r="F46" s="1651"/>
      <c r="G46" s="1651"/>
      <c r="H46" s="1651"/>
      <c r="I46" s="1651"/>
      <c r="J46" s="10"/>
      <c r="K46" s="1388"/>
      <c r="L46" s="1388"/>
      <c r="M46" s="1388"/>
      <c r="N46" s="1389"/>
      <c r="O46" s="1683"/>
      <c r="P46" s="1683"/>
      <c r="Q46" s="1683"/>
      <c r="R46" s="1683"/>
      <c r="S46" s="1683"/>
      <c r="T46" s="10"/>
      <c r="U46" s="1384"/>
      <c r="W46" s="1400" t="e">
        <f>+A69</f>
        <v>#N/A</v>
      </c>
    </row>
    <row r="47" spans="1:25" ht="16.5" thickBot="1" x14ac:dyDescent="0.25">
      <c r="A47" s="1383"/>
      <c r="B47" s="10"/>
      <c r="C47" s="1650" t="s">
        <v>3391</v>
      </c>
      <c r="D47" s="1650"/>
      <c r="E47" s="1650"/>
      <c r="F47" s="1650"/>
      <c r="G47" s="1650"/>
      <c r="H47" s="1650"/>
      <c r="I47" s="1650"/>
      <c r="J47" s="10"/>
      <c r="K47" s="1073">
        <f>+'Part 3'!M35</f>
        <v>0</v>
      </c>
      <c r="L47" s="1388"/>
      <c r="M47" s="240"/>
      <c r="N47" s="1389"/>
      <c r="O47" s="1389"/>
      <c r="P47" s="1388"/>
      <c r="Q47" s="1388"/>
      <c r="R47" s="1388"/>
      <c r="S47" s="1388"/>
      <c r="T47" s="2"/>
      <c r="U47" s="71"/>
      <c r="W47" s="1400"/>
    </row>
    <row r="48" spans="1:25" x14ac:dyDescent="0.2">
      <c r="A48" s="1383"/>
      <c r="B48" s="10"/>
      <c r="C48" s="1650"/>
      <c r="D48" s="1650"/>
      <c r="E48" s="1650"/>
      <c r="F48" s="1650"/>
      <c r="G48" s="1650"/>
      <c r="H48" s="1650"/>
      <c r="I48" s="1650"/>
      <c r="J48" s="10"/>
      <c r="K48" s="1388"/>
      <c r="L48" s="1388"/>
      <c r="M48" s="1388"/>
      <c r="N48" s="1389"/>
      <c r="O48" s="1389"/>
      <c r="P48" s="1388"/>
      <c r="Q48" s="1388"/>
      <c r="R48" s="1388"/>
      <c r="S48" s="1388"/>
      <c r="T48" s="10"/>
      <c r="U48" s="1384"/>
      <c r="W48" s="1400">
        <f>+A71</f>
        <v>0</v>
      </c>
    </row>
    <row r="49" spans="1:25" ht="15.75" thickBot="1" x14ac:dyDescent="0.25">
      <c r="A49" s="1383"/>
      <c r="B49" s="10"/>
      <c r="C49" s="1401" t="s">
        <v>30</v>
      </c>
      <c r="D49" s="1402"/>
      <c r="E49" s="1402"/>
      <c r="F49" s="1402"/>
      <c r="G49" s="1402"/>
      <c r="H49" s="1402"/>
      <c r="I49" s="1402"/>
      <c r="J49" s="1402"/>
      <c r="K49" s="1402"/>
      <c r="L49" s="1402"/>
      <c r="M49" s="1402"/>
      <c r="N49" s="1389"/>
      <c r="O49" s="1389"/>
      <c r="P49" s="1388"/>
      <c r="Q49" s="1388"/>
      <c r="R49" s="1388"/>
      <c r="S49" s="1388"/>
      <c r="T49" s="10"/>
      <c r="U49" s="1384"/>
      <c r="W49" s="1400"/>
    </row>
    <row r="50" spans="1:25" ht="16.5" thickBot="1" x14ac:dyDescent="0.25">
      <c r="A50" s="1383"/>
      <c r="B50" s="10"/>
      <c r="C50" s="1643" t="s">
        <v>1360</v>
      </c>
      <c r="D50" s="1643"/>
      <c r="E50" s="1643"/>
      <c r="F50" s="1643"/>
      <c r="G50" s="1643"/>
      <c r="H50" s="1643"/>
      <c r="I50" s="1643"/>
      <c r="J50" s="949"/>
      <c r="K50" s="1077">
        <v>0</v>
      </c>
      <c r="L50" s="1403"/>
      <c r="M50" s="1404"/>
      <c r="N50" s="1389"/>
      <c r="O50" s="1389"/>
      <c r="P50" s="1388"/>
      <c r="Q50" s="1388"/>
      <c r="R50" s="1388"/>
      <c r="S50" s="1388"/>
      <c r="T50" s="10"/>
      <c r="U50" s="1384"/>
      <c r="W50" s="1400">
        <f>+A73</f>
        <v>0</v>
      </c>
      <c r="Y50" s="251"/>
    </row>
    <row r="51" spans="1:25" ht="16.5" thickBot="1" x14ac:dyDescent="0.25">
      <c r="A51" s="1383"/>
      <c r="B51" s="10"/>
      <c r="C51" s="949"/>
      <c r="D51" s="949"/>
      <c r="E51" s="949"/>
      <c r="F51" s="949"/>
      <c r="G51" s="949"/>
      <c r="H51" s="949"/>
      <c r="I51" s="949"/>
      <c r="J51" s="949"/>
      <c r="K51" s="948" t="e">
        <f>IF(AND($W$253="yes",K47-K50&lt;&gt;0),"Sums retained by billing authority not equal to total amount retained. Please check","")</f>
        <v>#N/A</v>
      </c>
      <c r="L51" s="948"/>
      <c r="M51" s="948"/>
      <c r="N51" s="391"/>
      <c r="O51" s="391"/>
      <c r="P51" s="391"/>
      <c r="Q51" s="391"/>
      <c r="R51" s="1388"/>
      <c r="S51" s="1388"/>
      <c r="T51" s="10"/>
      <c r="U51" s="1384"/>
      <c r="W51" s="1400"/>
    </row>
    <row r="52" spans="1:25" ht="16.5" thickBot="1" x14ac:dyDescent="0.25">
      <c r="A52" s="1383"/>
      <c r="B52" s="10"/>
      <c r="C52" s="1643" t="s">
        <v>1361</v>
      </c>
      <c r="D52" s="1643"/>
      <c r="E52" s="1643"/>
      <c r="F52" s="1643"/>
      <c r="G52" s="1643"/>
      <c r="H52" s="1643"/>
      <c r="I52" s="1643"/>
      <c r="J52" s="949"/>
      <c r="K52" s="1075" t="e">
        <f>IF(W253="yes",0,K47-K50)</f>
        <v>#N/A</v>
      </c>
      <c r="L52" s="1403"/>
      <c r="M52" s="1404"/>
      <c r="N52" s="1389"/>
      <c r="O52" s="1389"/>
      <c r="P52" s="1388"/>
      <c r="Q52" s="1388"/>
      <c r="R52" s="1388"/>
      <c r="S52" s="1388"/>
      <c r="T52" s="10"/>
      <c r="U52" s="1384"/>
      <c r="W52" s="1400"/>
      <c r="Y52" s="251"/>
    </row>
    <row r="53" spans="1:25" ht="16.5" thickBot="1" x14ac:dyDescent="0.25">
      <c r="A53" s="1383"/>
      <c r="B53" s="10"/>
      <c r="C53" s="10"/>
      <c r="D53" s="10"/>
      <c r="E53" s="10"/>
      <c r="F53" s="10"/>
      <c r="G53" s="10"/>
      <c r="H53" s="10"/>
      <c r="I53" s="10"/>
      <c r="J53" s="10"/>
      <c r="K53" s="1659" t="e">
        <f>IF(OR(AND(K52&gt;0,K50=0),W53=1),"Please check your figures. Is it all retained by preceptors?","")</f>
        <v>#N/A</v>
      </c>
      <c r="L53" s="1660"/>
      <c r="M53" s="1660"/>
      <c r="N53" s="1660"/>
      <c r="O53" s="1660"/>
      <c r="P53" s="1660"/>
      <c r="Q53" s="1660"/>
      <c r="R53" s="1660"/>
      <c r="S53" s="1660"/>
      <c r="T53" s="10"/>
      <c r="U53" s="1384"/>
      <c r="W53" s="1406" t="e">
        <f>IF(W253="yes",IF(K52&lt;&gt;0,1,0),0)</f>
        <v>#N/A</v>
      </c>
    </row>
    <row r="54" spans="1:25" ht="16.5" thickBot="1" x14ac:dyDescent="0.25">
      <c r="A54" s="1383"/>
      <c r="B54" s="10"/>
      <c r="C54" s="1651" t="s">
        <v>3392</v>
      </c>
      <c r="D54" s="1651"/>
      <c r="E54" s="1651"/>
      <c r="F54" s="1651"/>
      <c r="G54" s="1651"/>
      <c r="H54" s="1651"/>
      <c r="I54" s="1651"/>
      <c r="J54" s="10"/>
      <c r="K54" s="1074">
        <f>+'Part 3'!M37</f>
        <v>0</v>
      </c>
      <c r="L54" s="1407"/>
      <c r="M54" s="1407"/>
      <c r="N54" s="1407"/>
      <c r="O54" s="1407"/>
      <c r="P54" s="1407"/>
      <c r="Q54" s="1407"/>
      <c r="R54" s="1407"/>
      <c r="S54" s="1407"/>
      <c r="T54" s="10"/>
      <c r="U54" s="1385"/>
      <c r="W54" s="1408"/>
      <c r="X54" s="9" t="s">
        <v>2286</v>
      </c>
    </row>
    <row r="55" spans="1:25" ht="15.75" x14ac:dyDescent="0.2">
      <c r="A55" s="1383"/>
      <c r="B55" s="10"/>
      <c r="C55" s="1651"/>
      <c r="D55" s="1651"/>
      <c r="E55" s="1651"/>
      <c r="F55" s="1651"/>
      <c r="G55" s="1651"/>
      <c r="H55" s="1651"/>
      <c r="I55" s="1651"/>
      <c r="J55" s="10"/>
      <c r="K55" s="802"/>
      <c r="L55" s="1407"/>
      <c r="M55" s="1407"/>
      <c r="N55" s="1407"/>
      <c r="O55" s="1407"/>
      <c r="P55" s="1407"/>
      <c r="Q55" s="1407"/>
      <c r="R55" s="1407"/>
      <c r="S55" s="1407"/>
      <c r="T55" s="10"/>
      <c r="U55" s="1385"/>
      <c r="W55" s="1408"/>
      <c r="X55" s="9" t="e">
        <f>INDEX(TierSplit!CC:CC,MATCH(Import_LA_Code,Ref_LA_Codes2,0))</f>
        <v>#N/A</v>
      </c>
    </row>
    <row r="56" spans="1:25" ht="15.75" x14ac:dyDescent="0.2">
      <c r="A56" s="1383"/>
      <c r="B56" s="10"/>
      <c r="C56" s="10"/>
      <c r="D56" s="10"/>
      <c r="E56" s="10"/>
      <c r="F56" s="10"/>
      <c r="G56" s="10"/>
      <c r="H56" s="10"/>
      <c r="I56" s="10"/>
      <c r="J56" s="10"/>
      <c r="K56" s="1405"/>
      <c r="L56" s="1407"/>
      <c r="M56" s="1407"/>
      <c r="N56" s="1407"/>
      <c r="O56" s="1407"/>
      <c r="P56" s="1407"/>
      <c r="Q56" s="1407"/>
      <c r="R56" s="1407"/>
      <c r="S56" s="1407"/>
      <c r="T56" s="10"/>
      <c r="U56" s="1385"/>
      <c r="W56" s="1408"/>
    </row>
    <row r="57" spans="1:25" ht="16.5" thickBot="1" x14ac:dyDescent="0.3">
      <c r="A57" s="1383"/>
      <c r="B57" s="10"/>
      <c r="C57" s="12" t="s">
        <v>722</v>
      </c>
      <c r="D57" s="12"/>
      <c r="E57" s="12"/>
      <c r="F57" s="12"/>
      <c r="G57" s="12"/>
      <c r="H57" s="10"/>
      <c r="I57" s="10"/>
      <c r="J57" s="10"/>
      <c r="K57" s="1388"/>
      <c r="L57" s="1388"/>
      <c r="M57" s="1388"/>
      <c r="N57" s="1389"/>
      <c r="O57" s="1389"/>
      <c r="P57" s="1388"/>
      <c r="Q57" s="1388"/>
      <c r="R57" s="1388"/>
      <c r="S57" s="1388"/>
      <c r="T57" s="10"/>
      <c r="U57" s="1384"/>
    </row>
    <row r="58" spans="1:25" ht="16.5" thickBot="1" x14ac:dyDescent="0.25">
      <c r="A58" s="1383"/>
      <c r="B58" s="10"/>
      <c r="C58" s="1647" t="s">
        <v>2316</v>
      </c>
      <c r="D58" s="1647"/>
      <c r="E58" s="1647"/>
      <c r="F58" s="1647"/>
      <c r="G58" s="1647"/>
      <c r="H58" s="1647"/>
      <c r="I58" s="1647"/>
      <c r="J58" s="10"/>
      <c r="K58" s="1409" t="e">
        <f>ROUND(+K25+K30-K32-K39-K42-K45-K47-K54,0)</f>
        <v>#N/A</v>
      </c>
      <c r="L58" s="1388"/>
      <c r="M58" s="1410"/>
      <c r="N58" s="1661"/>
      <c r="O58" s="1661"/>
      <c r="P58" s="1411"/>
      <c r="Q58" s="1412"/>
      <c r="R58" s="1412"/>
      <c r="S58" s="1412"/>
      <c r="T58" s="354"/>
      <c r="U58" s="71"/>
    </row>
    <row r="59" spans="1:25" x14ac:dyDescent="0.2">
      <c r="A59" s="1413"/>
      <c r="B59" s="1414"/>
      <c r="C59" s="1414"/>
      <c r="D59" s="1414"/>
      <c r="E59" s="1414"/>
      <c r="F59" s="1414"/>
      <c r="G59" s="1414"/>
      <c r="H59" s="1414"/>
      <c r="I59" s="1414"/>
      <c r="J59" s="1414"/>
      <c r="K59" s="1414"/>
      <c r="L59" s="1414"/>
      <c r="M59" s="1414"/>
      <c r="N59" s="1415"/>
      <c r="O59" s="1415"/>
      <c r="P59" s="1416"/>
      <c r="Q59" s="1417"/>
      <c r="R59" s="1417"/>
      <c r="S59" s="1417"/>
      <c r="T59" s="1414"/>
      <c r="U59" s="1418"/>
    </row>
    <row r="60" spans="1:25" x14ac:dyDescent="0.2">
      <c r="A60" s="1419"/>
      <c r="B60" s="1420"/>
      <c r="C60" s="1420"/>
      <c r="D60" s="1420"/>
      <c r="E60" s="1420"/>
      <c r="F60" s="1420"/>
      <c r="G60" s="1420"/>
      <c r="H60" s="1420"/>
      <c r="I60" s="1420"/>
      <c r="J60" s="1420"/>
      <c r="K60" s="1420"/>
      <c r="L60" s="1420"/>
      <c r="M60" s="1420"/>
      <c r="N60" s="1421"/>
      <c r="O60" s="1421"/>
      <c r="P60" s="1422"/>
      <c r="Q60" s="1423"/>
      <c r="R60" s="1423"/>
      <c r="S60" s="1423"/>
      <c r="T60" s="1420"/>
      <c r="U60" s="1424"/>
    </row>
    <row r="61" spans="1:25" ht="15.75" hidden="1" x14ac:dyDescent="0.25">
      <c r="A61" s="1425" t="e">
        <f>VLOOKUP(F1,datar,4,FALSE)</f>
        <v>#N/A</v>
      </c>
      <c r="B61" s="1426"/>
      <c r="C61" s="1427" t="e">
        <f>+IF(B76=0,"","Please investigate the error messages shown below and make the appropriate changes to the form.  Any comments should be added at the bottom of Part 4")</f>
        <v>#N/A</v>
      </c>
      <c r="D61" s="1427"/>
      <c r="E61" s="1427"/>
      <c r="F61" s="1427"/>
      <c r="G61" s="1427"/>
      <c r="H61" s="1427"/>
      <c r="I61" s="1427"/>
      <c r="J61" s="1427"/>
      <c r="K61" s="1427"/>
      <c r="L61" s="1428"/>
      <c r="M61" s="1428"/>
      <c r="N61" s="1428"/>
      <c r="O61" s="1428"/>
      <c r="P61" s="1428"/>
      <c r="Q61" s="1428"/>
      <c r="R61" s="1428"/>
      <c r="S61" s="1428"/>
      <c r="T61" s="1429"/>
      <c r="U61" s="1430"/>
    </row>
    <row r="62" spans="1:25" ht="15.75" hidden="1" x14ac:dyDescent="0.25">
      <c r="A62" s="1425"/>
      <c r="B62" s="1431"/>
      <c r="C62" s="1432"/>
      <c r="D62" s="1432"/>
      <c r="E62" s="1432"/>
      <c r="F62" s="1432"/>
      <c r="G62" s="1432"/>
      <c r="H62" s="1432"/>
      <c r="I62" s="1432"/>
      <c r="J62" s="1432"/>
      <c r="K62" s="1432"/>
      <c r="L62" s="1433"/>
      <c r="M62" s="1433"/>
      <c r="N62" s="1433"/>
      <c r="O62" s="1433"/>
      <c r="P62" s="1433"/>
      <c r="Q62" s="1433"/>
      <c r="R62" s="1433"/>
      <c r="S62" s="1433"/>
      <c r="T62" s="1434"/>
      <c r="U62" s="1430"/>
    </row>
    <row r="63" spans="1:25" ht="15.75" hidden="1" x14ac:dyDescent="0.25">
      <c r="A63" s="1435">
        <f>+IF(C63="",0,1)</f>
        <v>0</v>
      </c>
      <c r="B63" s="1431"/>
      <c r="C63" s="1658" t="str">
        <f>IF(K25=+'Part 3'!$M$27,"","Line 1 does not equal Part 3 Line 4 column 3. Please check why.")</f>
        <v/>
      </c>
      <c r="D63" s="1658"/>
      <c r="E63" s="1658"/>
      <c r="F63" s="1658"/>
      <c r="G63" s="1658"/>
      <c r="H63" s="1658"/>
      <c r="I63" s="1658"/>
      <c r="J63" s="1658"/>
      <c r="K63" s="1658"/>
      <c r="L63" s="1433"/>
      <c r="M63" s="1433"/>
      <c r="N63" s="1437"/>
      <c r="O63" s="1437"/>
      <c r="P63" s="1438"/>
      <c r="Q63" s="1439"/>
      <c r="R63" s="1439"/>
      <c r="S63" s="1439"/>
      <c r="T63" s="1434"/>
      <c r="U63" s="1430"/>
    </row>
    <row r="64" spans="1:25" ht="15.75" hidden="1" x14ac:dyDescent="0.25">
      <c r="A64" s="1435"/>
      <c r="B64" s="1431"/>
      <c r="C64" s="1436"/>
      <c r="D64" s="1432"/>
      <c r="E64" s="1432"/>
      <c r="F64" s="1432"/>
      <c r="G64" s="1432"/>
      <c r="H64" s="1432"/>
      <c r="I64" s="1432"/>
      <c r="J64" s="1432"/>
      <c r="K64" s="1432"/>
      <c r="L64" s="1433"/>
      <c r="M64" s="1433"/>
      <c r="N64" s="1437"/>
      <c r="O64" s="1437"/>
      <c r="P64" s="1438"/>
      <c r="Q64" s="1439"/>
      <c r="R64" s="1439"/>
      <c r="S64" s="1439"/>
      <c r="T64" s="1434"/>
      <c r="U64" s="1430"/>
    </row>
    <row r="65" spans="1:109" ht="15.75" hidden="1" x14ac:dyDescent="0.25">
      <c r="A65" s="1435">
        <f>+IF(C65="",0,1)</f>
        <v>0</v>
      </c>
      <c r="B65" s="1431"/>
      <c r="C65" s="1658" t="str">
        <f>IF(K30+ K32=ABS(+'Part 2'!$AB$51),"","Lines 2 &amp; 3 do not equal Part 2 Line 11 column 3. Please check why.")</f>
        <v/>
      </c>
      <c r="D65" s="1658"/>
      <c r="E65" s="1658"/>
      <c r="F65" s="1658"/>
      <c r="G65" s="1658"/>
      <c r="H65" s="1658"/>
      <c r="I65" s="1658"/>
      <c r="J65" s="1658"/>
      <c r="K65" s="1658"/>
      <c r="L65" s="1433"/>
      <c r="M65" s="1433"/>
      <c r="N65" s="1437"/>
      <c r="O65" s="1437"/>
      <c r="P65" s="1438"/>
      <c r="Q65" s="1439"/>
      <c r="R65" s="1439"/>
      <c r="S65" s="1439"/>
      <c r="T65" s="1434"/>
      <c r="U65" s="1430"/>
    </row>
    <row r="66" spans="1:109" ht="15.75" hidden="1" x14ac:dyDescent="0.25">
      <c r="A66" s="1435"/>
      <c r="B66" s="1431"/>
      <c r="C66" s="1436"/>
      <c r="D66" s="1432"/>
      <c r="E66" s="1432"/>
      <c r="F66" s="1432"/>
      <c r="G66" s="1432"/>
      <c r="H66" s="1432"/>
      <c r="I66" s="1432"/>
      <c r="J66" s="1432"/>
      <c r="K66" s="1432"/>
      <c r="L66" s="1433"/>
      <c r="M66" s="1433"/>
      <c r="N66" s="1437"/>
      <c r="O66" s="1437"/>
      <c r="P66" s="1438"/>
      <c r="Q66" s="1439"/>
      <c r="R66" s="1439"/>
      <c r="S66" s="1439"/>
      <c r="T66" s="1434"/>
      <c r="U66" s="1430"/>
    </row>
    <row r="67" spans="1:109" ht="15.75" hidden="1" x14ac:dyDescent="0.25">
      <c r="A67" s="1435" t="e">
        <f t="shared" ref="A67:A75" si="0">+IF(C67="",0,1)</f>
        <v>#N/A</v>
      </c>
      <c r="B67" s="1431"/>
      <c r="C67" s="1658" t="e">
        <f>IF(K35=A61,"","Line 4 does not equal the calculated cost of collection provided by DLUHC on the data sheet. Please amend.")</f>
        <v>#N/A</v>
      </c>
      <c r="D67" s="1658"/>
      <c r="E67" s="1658"/>
      <c r="F67" s="1658"/>
      <c r="G67" s="1658"/>
      <c r="H67" s="1658"/>
      <c r="I67" s="1658"/>
      <c r="J67" s="1658"/>
      <c r="K67" s="1658"/>
      <c r="L67" s="1433"/>
      <c r="M67" s="1433"/>
      <c r="N67" s="1437"/>
      <c r="O67" s="1437"/>
      <c r="P67" s="1438"/>
      <c r="Q67" s="1439"/>
      <c r="R67" s="1439"/>
      <c r="S67" s="1439"/>
      <c r="T67" s="1434"/>
      <c r="U67" s="1430"/>
    </row>
    <row r="68" spans="1:109" ht="15.75" hidden="1" x14ac:dyDescent="0.25">
      <c r="A68" s="1435"/>
      <c r="B68" s="1431"/>
      <c r="C68" s="1436"/>
      <c r="D68" s="1432"/>
      <c r="E68" s="1432"/>
      <c r="F68" s="1432"/>
      <c r="G68" s="1432"/>
      <c r="H68" s="1432"/>
      <c r="I68" s="1432"/>
      <c r="J68" s="1432"/>
      <c r="K68" s="1432"/>
      <c r="L68" s="1433"/>
      <c r="M68" s="1433"/>
      <c r="N68" s="1437"/>
      <c r="O68" s="1437"/>
      <c r="P68" s="1438"/>
      <c r="Q68" s="1439"/>
      <c r="R68" s="1439"/>
      <c r="S68" s="1439"/>
      <c r="T68" s="1434"/>
      <c r="U68" s="1430"/>
    </row>
    <row r="69" spans="1:109" ht="15.75" hidden="1" x14ac:dyDescent="0.25">
      <c r="A69" s="1435" t="e">
        <f t="shared" si="0"/>
        <v>#N/A</v>
      </c>
      <c r="B69" s="1431"/>
      <c r="C69" s="1658" t="e">
        <f>IF(K39=K35 + K37,"","Line 6 does not equal line 4 + line 5. Please check why.")</f>
        <v>#N/A</v>
      </c>
      <c r="D69" s="1658"/>
      <c r="E69" s="1658"/>
      <c r="F69" s="1658"/>
      <c r="G69" s="1658"/>
      <c r="H69" s="1658"/>
      <c r="I69" s="1658"/>
      <c r="J69" s="1658"/>
      <c r="K69" s="1658"/>
      <c r="L69" s="1433"/>
      <c r="M69" s="1433"/>
      <c r="N69" s="1437"/>
      <c r="O69" s="1437"/>
      <c r="P69" s="1438"/>
      <c r="Q69" s="1439"/>
      <c r="R69" s="1439"/>
      <c r="S69" s="1439"/>
      <c r="T69" s="1434"/>
      <c r="U69" s="1430"/>
    </row>
    <row r="70" spans="1:109" ht="15.75" hidden="1" x14ac:dyDescent="0.25">
      <c r="A70" s="1435"/>
      <c r="B70" s="1431"/>
      <c r="C70" s="1436"/>
      <c r="D70" s="1432"/>
      <c r="E70" s="1432"/>
      <c r="F70" s="1432"/>
      <c r="G70" s="1432"/>
      <c r="H70" s="1432"/>
      <c r="I70" s="1432"/>
      <c r="J70" s="1432"/>
      <c r="K70" s="1432"/>
      <c r="L70" s="1433"/>
      <c r="M70" s="1433"/>
      <c r="N70" s="1437"/>
      <c r="O70" s="1437"/>
      <c r="P70" s="1438"/>
      <c r="Q70" s="1439"/>
      <c r="R70" s="1439"/>
      <c r="S70" s="1439"/>
      <c r="T70" s="1434"/>
      <c r="U70" s="1430"/>
    </row>
    <row r="71" spans="1:109" ht="15.75" hidden="1" x14ac:dyDescent="0.25">
      <c r="A71" s="1435">
        <f t="shared" si="0"/>
        <v>0</v>
      </c>
      <c r="B71" s="1431"/>
      <c r="C71" s="1658" t="str">
        <f>IF(K45=+'Part 3'!M45,"","Line 8 does not equal Part 3 Line 9 column 3. Please check why.")</f>
        <v/>
      </c>
      <c r="D71" s="1658"/>
      <c r="E71" s="1658"/>
      <c r="F71" s="1658"/>
      <c r="G71" s="1658"/>
      <c r="H71" s="1658"/>
      <c r="I71" s="1658"/>
      <c r="J71" s="1658"/>
      <c r="K71" s="1658"/>
      <c r="L71" s="1433"/>
      <c r="M71" s="1433"/>
      <c r="N71" s="1437"/>
      <c r="O71" s="1437"/>
      <c r="P71" s="1438"/>
      <c r="Q71" s="1439"/>
      <c r="R71" s="1439"/>
      <c r="S71" s="1439"/>
      <c r="T71" s="1434"/>
      <c r="U71" s="1430"/>
    </row>
    <row r="72" spans="1:109" ht="15.75" hidden="1" x14ac:dyDescent="0.25">
      <c r="A72" s="1435"/>
      <c r="B72" s="1431"/>
      <c r="C72" s="1436"/>
      <c r="D72" s="1432"/>
      <c r="E72" s="1432"/>
      <c r="F72" s="1432"/>
      <c r="G72" s="1432"/>
      <c r="H72" s="1432"/>
      <c r="I72" s="1432"/>
      <c r="J72" s="1432"/>
      <c r="K72" s="1432"/>
      <c r="L72" s="1433"/>
      <c r="M72" s="1433"/>
      <c r="N72" s="1437"/>
      <c r="O72" s="1437"/>
      <c r="P72" s="1438"/>
      <c r="Q72" s="1439"/>
      <c r="R72" s="1439"/>
      <c r="S72" s="1439"/>
      <c r="T72" s="1434"/>
      <c r="U72" s="1430"/>
    </row>
    <row r="73" spans="1:109" ht="15.75" hidden="1" x14ac:dyDescent="0.25">
      <c r="A73" s="1435">
        <f t="shared" si="0"/>
        <v>0</v>
      </c>
      <c r="B73" s="1431"/>
      <c r="C73" s="1658" t="str">
        <f>IF(K47=+'Part 3'!M35,"","Line 9 does not equal Part 3 Line 5 column 3. Please check why.")</f>
        <v/>
      </c>
      <c r="D73" s="1658"/>
      <c r="E73" s="1658"/>
      <c r="F73" s="1658"/>
      <c r="G73" s="1658"/>
      <c r="H73" s="1658"/>
      <c r="I73" s="1658"/>
      <c r="J73" s="1658"/>
      <c r="K73" s="1658"/>
      <c r="L73" s="1433"/>
      <c r="M73" s="1433"/>
      <c r="N73" s="1437"/>
      <c r="O73" s="1437"/>
      <c r="P73" s="1438"/>
      <c r="Q73" s="1439"/>
      <c r="R73" s="1439"/>
      <c r="S73" s="1439"/>
      <c r="T73" s="1434"/>
      <c r="U73" s="1430"/>
    </row>
    <row r="74" spans="1:109" ht="15.75" hidden="1" x14ac:dyDescent="0.25">
      <c r="A74" s="1435"/>
      <c r="B74" s="1431"/>
      <c r="C74" s="1436"/>
      <c r="D74" s="1432"/>
      <c r="E74" s="1432"/>
      <c r="F74" s="1432"/>
      <c r="G74" s="1432"/>
      <c r="H74" s="1432"/>
      <c r="I74" s="1432"/>
      <c r="J74" s="1432"/>
      <c r="K74" s="1432"/>
      <c r="L74" s="1433"/>
      <c r="M74" s="1433"/>
      <c r="N74" s="1437"/>
      <c r="O74" s="1437"/>
      <c r="P74" s="1438"/>
      <c r="Q74" s="1439"/>
      <c r="R74" s="1439"/>
      <c r="S74" s="1439"/>
      <c r="T74" s="1434"/>
      <c r="U74" s="1430"/>
      <c r="W74" s="9"/>
      <c r="Y74" s="1440"/>
      <c r="Z74" s="1440"/>
      <c r="AA74" s="1440"/>
      <c r="AB74" s="1440"/>
      <c r="AC74" s="1440"/>
      <c r="AD74" s="1440"/>
      <c r="AE74" s="1440"/>
    </row>
    <row r="75" spans="1:109" ht="15.75" hidden="1" x14ac:dyDescent="0.25">
      <c r="A75" s="1435" t="e">
        <f t="shared" si="0"/>
        <v>#N/A</v>
      </c>
      <c r="B75" s="1431"/>
      <c r="C75" s="1436" t="e">
        <f>IF(K25+K30-K32-K39-K42-K45-K47-K54-K58=0,"","Line 11 does not equal line 1 plus line 2, minus lines 3 and 6 to 10. Please check why.")</f>
        <v>#N/A</v>
      </c>
      <c r="D75" s="1436"/>
      <c r="E75" s="1436"/>
      <c r="F75" s="1436"/>
      <c r="G75" s="1436"/>
      <c r="H75" s="1436"/>
      <c r="I75" s="1436"/>
      <c r="J75" s="1436"/>
      <c r="K75" s="1436"/>
      <c r="L75" s="1433"/>
      <c r="M75" s="1433"/>
      <c r="N75" s="1437"/>
      <c r="O75" s="1437"/>
      <c r="P75" s="1438"/>
      <c r="Q75" s="1439"/>
      <c r="R75" s="1439"/>
      <c r="S75" s="1439"/>
      <c r="T75" s="1434"/>
      <c r="U75" s="1430"/>
      <c r="W75" s="9"/>
      <c r="Y75" s="1440"/>
      <c r="Z75" s="1440"/>
      <c r="AA75" s="1440"/>
      <c r="AB75" s="1440"/>
      <c r="AC75" s="1440"/>
      <c r="AD75" s="1440"/>
      <c r="AE75" s="1440"/>
    </row>
    <row r="76" spans="1:109" ht="15.75" hidden="1" x14ac:dyDescent="0.25">
      <c r="A76" s="1441"/>
      <c r="B76" s="1656" t="e">
        <f>SUM(A63:A75)</f>
        <v>#N/A</v>
      </c>
      <c r="C76" s="1657"/>
      <c r="D76" s="1657"/>
      <c r="E76" s="1657"/>
      <c r="F76" s="1657"/>
      <c r="G76" s="1657"/>
      <c r="H76" s="1657"/>
      <c r="I76" s="1442"/>
      <c r="J76" s="1442"/>
      <c r="K76" s="1442"/>
      <c r="L76" s="1443"/>
      <c r="M76" s="1443"/>
      <c r="N76" s="1443"/>
      <c r="O76" s="1443"/>
      <c r="P76" s="1443"/>
      <c r="Q76" s="1443"/>
      <c r="R76" s="1443"/>
      <c r="S76" s="1443"/>
      <c r="T76" s="1444"/>
      <c r="U76" s="1430"/>
      <c r="W76" s="9"/>
      <c r="Y76" s="1440"/>
      <c r="Z76" s="1440"/>
      <c r="AA76" s="1440"/>
      <c r="AB76" s="1440"/>
      <c r="AC76" s="1440"/>
      <c r="AD76" s="1440"/>
      <c r="AE76" s="1440"/>
    </row>
    <row r="77" spans="1:109" ht="15.75" thickBot="1" x14ac:dyDescent="0.25">
      <c r="A77" s="1445"/>
      <c r="B77" s="1446"/>
      <c r="C77" s="1446"/>
      <c r="D77" s="1446"/>
      <c r="E77" s="1446"/>
      <c r="F77" s="1446"/>
      <c r="G77" s="1446"/>
      <c r="H77" s="1446"/>
      <c r="I77" s="1446"/>
      <c r="J77" s="1446"/>
      <c r="K77" s="1446"/>
      <c r="L77" s="1446"/>
      <c r="M77" s="1446"/>
      <c r="N77" s="1447"/>
      <c r="O77" s="1447"/>
      <c r="P77" s="1448"/>
      <c r="Q77" s="1447"/>
      <c r="R77" s="1447"/>
      <c r="S77" s="1447"/>
      <c r="T77" s="1446"/>
      <c r="U77" s="1449"/>
      <c r="W77" s="9"/>
      <c r="Y77" s="1440"/>
      <c r="Z77" s="1440"/>
      <c r="AA77" s="1440"/>
      <c r="AB77" s="1440"/>
      <c r="AC77" s="1440"/>
      <c r="AD77" s="1440"/>
      <c r="AE77" s="1440"/>
    </row>
    <row r="78" spans="1:109" s="1450" customFormat="1" ht="15.75" thickBot="1" x14ac:dyDescent="0.25">
      <c r="A78" s="1383"/>
      <c r="B78" s="10"/>
      <c r="C78" s="10"/>
      <c r="D78" s="10"/>
      <c r="E78" s="10"/>
      <c r="F78" s="10"/>
      <c r="G78" s="10"/>
      <c r="H78" s="10"/>
      <c r="I78" s="10"/>
      <c r="J78" s="10"/>
      <c r="K78" s="10"/>
      <c r="L78" s="10"/>
      <c r="M78" s="10"/>
      <c r="N78" s="1388"/>
      <c r="O78" s="1388"/>
      <c r="P78" s="1411"/>
      <c r="Q78" s="1388"/>
      <c r="R78" s="1388"/>
      <c r="S78" s="1388"/>
      <c r="T78" s="10"/>
      <c r="U78" s="1384"/>
      <c r="V78" s="8"/>
      <c r="W78" s="9"/>
      <c r="X78" s="9"/>
      <c r="Y78" s="1440"/>
      <c r="Z78" s="1440"/>
      <c r="AA78" s="1440"/>
      <c r="AB78" s="1440"/>
      <c r="AC78" s="1440"/>
      <c r="AD78" s="1440"/>
      <c r="AE78" s="1440"/>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row>
    <row r="79" spans="1:109" s="1452" customFormat="1" ht="15.75" x14ac:dyDescent="0.25">
      <c r="A79" s="1383"/>
      <c r="B79" s="10"/>
      <c r="C79" s="12" t="e">
        <f>+CONCATENATE("Local Authority : ",+'Part 1'!$K$15)</f>
        <v>#N/A</v>
      </c>
      <c r="D79" s="12"/>
      <c r="E79" s="12"/>
      <c r="F79" s="12"/>
      <c r="G79" s="12"/>
      <c r="H79" s="10"/>
      <c r="I79" s="10"/>
      <c r="J79" s="10"/>
      <c r="K79" s="10"/>
      <c r="L79" s="10"/>
      <c r="M79" s="10"/>
      <c r="N79" s="1388"/>
      <c r="O79" s="1388"/>
      <c r="P79" s="1411"/>
      <c r="Q79" s="1388"/>
      <c r="R79" s="1388"/>
      <c r="S79" s="1451"/>
      <c r="T79" s="10"/>
      <c r="U79" s="1384"/>
      <c r="V79" s="8"/>
      <c r="W79" s="9"/>
      <c r="X79" s="9"/>
      <c r="Y79" s="1440"/>
      <c r="Z79" s="1440"/>
      <c r="AA79" s="1440"/>
      <c r="AB79" s="1440"/>
      <c r="AC79" s="1440"/>
      <c r="AD79" s="1440"/>
      <c r="AE79" s="1440"/>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row>
    <row r="80" spans="1:109" ht="15.75" x14ac:dyDescent="0.25">
      <c r="A80" s="1383"/>
      <c r="B80" s="10"/>
      <c r="C80" s="11"/>
      <c r="D80" s="10"/>
      <c r="E80" s="10"/>
      <c r="F80" s="10"/>
      <c r="G80" s="10"/>
      <c r="H80" s="10"/>
      <c r="I80" s="10"/>
      <c r="J80" s="10"/>
      <c r="K80" s="1388"/>
      <c r="L80" s="1388"/>
      <c r="M80" s="1388"/>
      <c r="N80" s="1388"/>
      <c r="O80" s="1388"/>
      <c r="P80" s="1411"/>
      <c r="Q80" s="1388"/>
      <c r="R80" s="1388"/>
      <c r="S80" s="1388"/>
      <c r="T80" s="10"/>
      <c r="U80" s="1384"/>
      <c r="W80" s="9"/>
      <c r="Y80" s="1440"/>
      <c r="Z80" s="1440"/>
      <c r="AA80" s="1440"/>
      <c r="AB80" s="1440"/>
      <c r="AC80" s="1440"/>
      <c r="AD80" s="1440"/>
      <c r="AE80" s="1440"/>
    </row>
    <row r="81" spans="1:31" ht="15.75" x14ac:dyDescent="0.25">
      <c r="A81" s="1383"/>
      <c r="B81" s="10"/>
      <c r="C81" s="12" t="s">
        <v>245</v>
      </c>
      <c r="D81" s="12"/>
      <c r="E81" s="12"/>
      <c r="F81" s="12"/>
      <c r="G81" s="10"/>
      <c r="H81" s="10"/>
      <c r="I81" s="10"/>
      <c r="J81" s="10"/>
      <c r="K81" s="1388"/>
      <c r="L81" s="1388"/>
      <c r="M81" s="1388"/>
      <c r="N81" s="1388"/>
      <c r="O81" s="1388"/>
      <c r="P81" s="1388"/>
      <c r="Q81" s="1388"/>
      <c r="R81" s="1388"/>
      <c r="S81" s="1388"/>
      <c r="T81" s="10"/>
      <c r="U81" s="1384"/>
      <c r="W81" s="9"/>
      <c r="Y81" s="1440"/>
      <c r="Z81" s="1440"/>
      <c r="AA81" s="1440"/>
      <c r="AB81" s="1440"/>
      <c r="AC81" s="1440"/>
      <c r="AD81" s="1440"/>
      <c r="AE81" s="1440"/>
    </row>
    <row r="82" spans="1:31" ht="15.75" x14ac:dyDescent="0.25">
      <c r="A82" s="1383"/>
      <c r="B82" s="10"/>
      <c r="C82" s="194" t="s">
        <v>890</v>
      </c>
      <c r="D82" s="10"/>
      <c r="E82" s="10"/>
      <c r="F82" s="10"/>
      <c r="G82" s="10"/>
      <c r="H82" s="10"/>
      <c r="I82" s="10"/>
      <c r="J82" s="10"/>
      <c r="K82" s="1388"/>
      <c r="L82" s="1388"/>
      <c r="M82" s="1388"/>
      <c r="N82" s="1388"/>
      <c r="O82" s="1388"/>
      <c r="P82" s="1388"/>
      <c r="Q82" s="1388"/>
      <c r="R82" s="1388"/>
      <c r="S82" s="1388"/>
      <c r="T82" s="10"/>
      <c r="U82" s="1384"/>
      <c r="W82" s="9"/>
      <c r="Y82" s="1440"/>
      <c r="Z82" s="1440"/>
      <c r="AA82" s="1440"/>
      <c r="AB82" s="1440"/>
      <c r="AC82" s="1440"/>
      <c r="AD82" s="1440"/>
      <c r="AE82" s="1440"/>
    </row>
    <row r="83" spans="1:31" x14ac:dyDescent="0.2">
      <c r="A83" s="1383"/>
      <c r="B83" s="10"/>
      <c r="C83" s="10" t="s">
        <v>2833</v>
      </c>
      <c r="D83" s="10"/>
      <c r="E83" s="10"/>
      <c r="F83" s="10"/>
      <c r="G83" s="10"/>
      <c r="H83" s="10"/>
      <c r="I83" s="10"/>
      <c r="J83" s="10"/>
      <c r="K83" s="1388"/>
      <c r="L83" s="1388"/>
      <c r="M83" s="1388"/>
      <c r="N83" s="1388"/>
      <c r="O83" s="1388"/>
      <c r="P83" s="1388"/>
      <c r="Q83" s="1388"/>
      <c r="R83" s="1388"/>
      <c r="S83" s="1388"/>
      <c r="T83" s="10"/>
      <c r="U83" s="1384"/>
      <c r="W83" s="9"/>
      <c r="Y83" s="1440"/>
      <c r="Z83" s="1440"/>
      <c r="AA83" s="1440"/>
      <c r="AB83" s="1440"/>
      <c r="AC83" s="1440"/>
      <c r="AD83" s="1440"/>
      <c r="AE83" s="1440"/>
    </row>
    <row r="84" spans="1:31" x14ac:dyDescent="0.2">
      <c r="A84" s="1383"/>
      <c r="B84" s="10"/>
      <c r="C84" s="10"/>
      <c r="D84" s="10" t="s">
        <v>703</v>
      </c>
      <c r="E84" s="10"/>
      <c r="F84" s="10"/>
      <c r="G84" s="10"/>
      <c r="H84" s="10"/>
      <c r="I84" s="10"/>
      <c r="J84" s="10"/>
      <c r="K84" s="1388"/>
      <c r="L84" s="1388"/>
      <c r="M84" s="1388"/>
      <c r="N84" s="1388"/>
      <c r="O84" s="1388"/>
      <c r="P84" s="1388"/>
      <c r="Q84" s="1388"/>
      <c r="R84" s="1388"/>
      <c r="S84" s="1388"/>
      <c r="T84" s="10"/>
      <c r="U84" s="1384"/>
      <c r="W84" s="9"/>
      <c r="Y84" s="1440"/>
      <c r="Z84" s="1440"/>
      <c r="AA84" s="1440"/>
      <c r="AB84" s="1440"/>
      <c r="AC84" s="1440"/>
      <c r="AD84" s="1440"/>
      <c r="AE84" s="1440"/>
    </row>
    <row r="85" spans="1:31" x14ac:dyDescent="0.2">
      <c r="A85" s="1383"/>
      <c r="B85" s="10"/>
      <c r="C85" s="10"/>
      <c r="D85" s="10" t="s">
        <v>704</v>
      </c>
      <c r="E85" s="10"/>
      <c r="F85" s="10"/>
      <c r="G85" s="10"/>
      <c r="H85" s="10"/>
      <c r="I85" s="10"/>
      <c r="J85" s="10"/>
      <c r="K85" s="1388"/>
      <c r="L85" s="1388"/>
      <c r="M85" s="1388"/>
      <c r="N85" s="1388"/>
      <c r="O85" s="1388"/>
      <c r="P85" s="1388"/>
      <c r="Q85" s="1388"/>
      <c r="R85" s="1388"/>
      <c r="S85" s="1388"/>
      <c r="T85" s="10"/>
      <c r="U85" s="1384"/>
      <c r="W85" s="9"/>
      <c r="Y85" s="1440"/>
      <c r="Z85" s="1440"/>
      <c r="AA85" s="1440"/>
      <c r="AB85" s="1440"/>
      <c r="AC85" s="1440"/>
      <c r="AD85" s="1440"/>
      <c r="AE85" s="1440"/>
    </row>
    <row r="86" spans="1:31" x14ac:dyDescent="0.2">
      <c r="A86" s="1383"/>
      <c r="B86" s="10"/>
      <c r="C86" s="10"/>
      <c r="D86" s="10" t="s">
        <v>705</v>
      </c>
      <c r="E86" s="10"/>
      <c r="F86" s="10"/>
      <c r="G86" s="10"/>
      <c r="H86" s="10"/>
      <c r="I86" s="10"/>
      <c r="J86" s="10"/>
      <c r="K86" s="1388"/>
      <c r="L86" s="1388"/>
      <c r="M86" s="1388"/>
      <c r="N86" s="1388"/>
      <c r="O86" s="1388"/>
      <c r="P86" s="1388"/>
      <c r="Q86" s="1388"/>
      <c r="R86" s="1388"/>
      <c r="S86" s="1388"/>
      <c r="T86" s="10"/>
      <c r="U86" s="1384"/>
      <c r="W86" s="9"/>
      <c r="Y86" s="1440"/>
      <c r="Z86" s="1440"/>
      <c r="AA86" s="1440"/>
      <c r="AB86" s="1440"/>
      <c r="AC86" s="1440"/>
      <c r="AD86" s="1440"/>
      <c r="AE86" s="1440"/>
    </row>
    <row r="87" spans="1:31" x14ac:dyDescent="0.2">
      <c r="A87" s="1383"/>
      <c r="B87" s="10"/>
      <c r="C87" s="10" t="s">
        <v>706</v>
      </c>
      <c r="D87" s="10"/>
      <c r="E87" s="10"/>
      <c r="F87" s="10"/>
      <c r="G87" s="10"/>
      <c r="H87" s="10"/>
      <c r="I87" s="10"/>
      <c r="J87" s="10"/>
      <c r="K87" s="1388"/>
      <c r="L87" s="1388"/>
      <c r="M87" s="1388"/>
      <c r="N87" s="1388"/>
      <c r="O87" s="1388"/>
      <c r="P87" s="1388"/>
      <c r="Q87" s="1388"/>
      <c r="R87" s="1388"/>
      <c r="S87" s="1388"/>
      <c r="T87" s="10"/>
      <c r="U87" s="1384"/>
      <c r="W87" s="9"/>
      <c r="Y87" s="1440"/>
      <c r="Z87" s="1440"/>
      <c r="AA87" s="1440"/>
      <c r="AB87" s="1440"/>
      <c r="AC87" s="1440"/>
      <c r="AD87" s="1440"/>
      <c r="AE87" s="1440"/>
    </row>
    <row r="88" spans="1:31" x14ac:dyDescent="0.2">
      <c r="A88" s="1383"/>
      <c r="B88" s="10"/>
      <c r="C88" s="10"/>
      <c r="D88" s="10"/>
      <c r="E88" s="10"/>
      <c r="F88" s="10"/>
      <c r="G88" s="10"/>
      <c r="H88" s="10"/>
      <c r="I88" s="10"/>
      <c r="J88" s="10"/>
      <c r="K88" s="1388"/>
      <c r="L88" s="1388"/>
      <c r="M88" s="1388"/>
      <c r="N88" s="1388"/>
      <c r="O88" s="1388"/>
      <c r="P88" s="1388"/>
      <c r="Q88" s="1388"/>
      <c r="R88" s="1388"/>
      <c r="S88" s="1388"/>
      <c r="T88" s="10"/>
      <c r="U88" s="1384"/>
      <c r="W88" s="9"/>
      <c r="Y88" s="1440"/>
      <c r="Z88" s="1440"/>
      <c r="AA88" s="1440"/>
      <c r="AB88" s="1440"/>
      <c r="AC88" s="1440"/>
      <c r="AD88" s="1440"/>
      <c r="AE88" s="1440"/>
    </row>
    <row r="89" spans="1:31" x14ac:dyDescent="0.2">
      <c r="A89" s="1383"/>
      <c r="B89" s="10"/>
      <c r="C89" s="10"/>
      <c r="D89" s="10"/>
      <c r="E89" s="10"/>
      <c r="F89" s="10"/>
      <c r="G89" s="10"/>
      <c r="H89" s="10"/>
      <c r="I89" s="10"/>
      <c r="J89" s="10"/>
      <c r="K89" s="1072" t="s">
        <v>695</v>
      </c>
      <c r="L89" s="1388"/>
      <c r="M89" s="1072" t="s">
        <v>696</v>
      </c>
      <c r="N89" s="1453"/>
      <c r="O89" s="1072" t="s">
        <v>697</v>
      </c>
      <c r="P89" s="1453"/>
      <c r="Q89" s="1072" t="s">
        <v>698</v>
      </c>
      <c r="R89" s="1453"/>
      <c r="S89" s="1072" t="s">
        <v>715</v>
      </c>
      <c r="T89" s="10"/>
      <c r="U89" s="1384"/>
      <c r="W89" s="9"/>
      <c r="Y89" s="1440"/>
      <c r="Z89" s="1440"/>
      <c r="AA89" s="1440"/>
      <c r="AB89" s="1440"/>
      <c r="AC89" s="1440"/>
      <c r="AD89" s="1440"/>
      <c r="AE89" s="1440"/>
    </row>
    <row r="90" spans="1:31" ht="15.75" customHeight="1" x14ac:dyDescent="0.2">
      <c r="A90" s="1383"/>
      <c r="B90" s="10"/>
      <c r="C90" s="10"/>
      <c r="D90" s="10"/>
      <c r="E90" s="10"/>
      <c r="F90" s="10"/>
      <c r="G90" s="10"/>
      <c r="H90" s="10"/>
      <c r="I90" s="10"/>
      <c r="J90" s="10"/>
      <c r="K90" s="1649" t="s">
        <v>28</v>
      </c>
      <c r="L90" s="1454"/>
      <c r="M90" s="1649" t="e">
        <f>+K15</f>
        <v>#N/A</v>
      </c>
      <c r="N90" s="1455"/>
      <c r="O90" s="1649" t="e">
        <f>+IF($K$16="E0703","Tees Valley Combined Authority",IF(E253="UA","",IF(E253="MD","",IF(E253="Greater London Authority",E253,IF('Part 1'!$E$253="GLA - functions exc police",'Part 1'!$E$253,IF(E253="West of England CA",E253,(CONCATENATE(E253," County Council"))))))))</f>
        <v>#N/A</v>
      </c>
      <c r="P90" s="1455"/>
      <c r="Q90" s="1649" t="e">
        <f>+IF(K253="County","",IF(K253="NA","",K253))</f>
        <v>#N/A</v>
      </c>
      <c r="R90" s="1454"/>
      <c r="S90" s="1456" t="s">
        <v>707</v>
      </c>
      <c r="T90" s="10"/>
      <c r="U90" s="1384"/>
      <c r="W90" s="9"/>
      <c r="Y90" s="1440"/>
      <c r="Z90" s="1440"/>
      <c r="AA90" s="1440"/>
      <c r="AB90" s="1440"/>
      <c r="AC90" s="1440"/>
      <c r="AD90" s="1440"/>
      <c r="AE90" s="1440"/>
    </row>
    <row r="91" spans="1:31" ht="15.75" customHeight="1" x14ac:dyDescent="0.2">
      <c r="A91" s="1383"/>
      <c r="B91" s="10"/>
      <c r="C91" s="10"/>
      <c r="D91" s="10"/>
      <c r="E91" s="10"/>
      <c r="F91" s="10"/>
      <c r="G91" s="10"/>
      <c r="H91" s="10"/>
      <c r="I91" s="10"/>
      <c r="J91" s="10"/>
      <c r="K91" s="1649"/>
      <c r="L91" s="1454"/>
      <c r="M91" s="1649"/>
      <c r="N91" s="1455"/>
      <c r="O91" s="1649"/>
      <c r="P91" s="1455"/>
      <c r="Q91" s="1649"/>
      <c r="R91" s="1454"/>
      <c r="S91" s="1454"/>
      <c r="T91" s="10"/>
      <c r="U91" s="1384"/>
      <c r="W91" s="1652" t="s">
        <v>929</v>
      </c>
      <c r="Y91" s="1440"/>
      <c r="Z91" s="1440" t="s">
        <v>708</v>
      </c>
      <c r="AA91" s="1440"/>
      <c r="AB91" s="1440"/>
      <c r="AC91" s="1440"/>
      <c r="AD91" s="1440"/>
      <c r="AE91" s="1440"/>
    </row>
    <row r="92" spans="1:31" ht="15.75" customHeight="1" x14ac:dyDescent="0.2">
      <c r="A92" s="1383"/>
      <c r="B92" s="10"/>
      <c r="C92" s="10"/>
      <c r="D92" s="10"/>
      <c r="E92" s="10"/>
      <c r="F92" s="10"/>
      <c r="G92" s="10"/>
      <c r="H92" s="10"/>
      <c r="I92" s="10"/>
      <c r="J92" s="10"/>
      <c r="K92" s="1649"/>
      <c r="L92" s="1454"/>
      <c r="M92" s="1649"/>
      <c r="N92" s="1455"/>
      <c r="O92" s="1649"/>
      <c r="P92" s="1455"/>
      <c r="Q92" s="1649"/>
      <c r="R92" s="1455"/>
      <c r="S92" s="1455"/>
      <c r="T92" s="10"/>
      <c r="U92" s="1384"/>
      <c r="W92" s="1653"/>
      <c r="Y92" s="1440"/>
      <c r="Z92" s="1440"/>
      <c r="AA92" s="1440"/>
      <c r="AB92" s="1440"/>
      <c r="AC92" s="1440"/>
      <c r="AD92" s="1440"/>
      <c r="AE92" s="1440"/>
    </row>
    <row r="93" spans="1:31" ht="15" customHeight="1" thickBot="1" x14ac:dyDescent="0.3">
      <c r="A93" s="1383"/>
      <c r="B93" s="10"/>
      <c r="C93" s="18" t="s">
        <v>32</v>
      </c>
      <c r="D93" s="10"/>
      <c r="E93" s="10"/>
      <c r="F93" s="10"/>
      <c r="G93" s="10"/>
      <c r="H93" s="10"/>
      <c r="I93" s="10"/>
      <c r="J93" s="1457"/>
      <c r="K93" s="1458" t="s">
        <v>687</v>
      </c>
      <c r="L93" s="1459"/>
      <c r="M93" s="1458" t="s">
        <v>687</v>
      </c>
      <c r="N93" s="1460"/>
      <c r="O93" s="1458" t="s">
        <v>687</v>
      </c>
      <c r="P93" s="1460"/>
      <c r="Q93" s="1458" t="s">
        <v>687</v>
      </c>
      <c r="R93" s="1459"/>
      <c r="S93" s="1458" t="s">
        <v>687</v>
      </c>
      <c r="T93" s="1457"/>
      <c r="U93" s="1384"/>
      <c r="W93" s="9"/>
      <c r="Y93" s="1440"/>
      <c r="Z93" s="1440"/>
      <c r="AA93" s="1440"/>
      <c r="AB93" s="1440"/>
      <c r="AC93" s="1440"/>
      <c r="AD93" s="1440"/>
      <c r="AE93" s="1440"/>
    </row>
    <row r="94" spans="1:31" ht="15" customHeight="1" thickBot="1" x14ac:dyDescent="0.25">
      <c r="A94" s="1383"/>
      <c r="B94" s="10"/>
      <c r="C94" s="10"/>
      <c r="D94" s="1654" t="s">
        <v>2834</v>
      </c>
      <c r="E94" s="1655"/>
      <c r="F94" s="1655"/>
      <c r="G94" s="1655"/>
      <c r="H94" s="1655"/>
      <c r="I94" s="1655"/>
      <c r="J94" s="1457"/>
      <c r="K94" s="1076" t="e">
        <f>S94-Q94-O94-M94</f>
        <v>#N/A</v>
      </c>
      <c r="L94" s="1461"/>
      <c r="M94" s="1076" t="e">
        <f>VLOOKUP($K$16,TierSplit!$A$6:$CI$302,3,FALSE)</f>
        <v>#N/A</v>
      </c>
      <c r="N94" s="1461"/>
      <c r="O94" s="1076" t="e">
        <f>VLOOKUP($K$16,TierSplit!$A$6:$CI$302,6,FALSE)</f>
        <v>#N/A</v>
      </c>
      <c r="P94" s="1461"/>
      <c r="Q94" s="1076" t="e">
        <f>VLOOKUP($K$16,TierSplit!$A$6:$CI$302,9,FALSE)</f>
        <v>#N/A</v>
      </c>
      <c r="R94" s="1460"/>
      <c r="S94" s="1076">
        <f>1</f>
        <v>1</v>
      </c>
      <c r="T94" s="1457"/>
      <c r="U94" s="1384"/>
      <c r="W94" s="9"/>
      <c r="Y94" s="1440"/>
      <c r="Z94" s="1440"/>
      <c r="AA94" s="1440"/>
      <c r="AB94" s="1440"/>
      <c r="AC94" s="1440"/>
      <c r="AD94" s="1440"/>
      <c r="AE94" s="1440"/>
    </row>
    <row r="95" spans="1:31" ht="15" customHeight="1" x14ac:dyDescent="0.2">
      <c r="A95" s="1383"/>
      <c r="B95" s="10"/>
      <c r="C95" s="10"/>
      <c r="D95" s="1655"/>
      <c r="E95" s="1655"/>
      <c r="F95" s="1655"/>
      <c r="G95" s="1655"/>
      <c r="H95" s="1655"/>
      <c r="I95" s="1655"/>
      <c r="J95" s="1457"/>
      <c r="K95" s="1462"/>
      <c r="L95" s="1459"/>
      <c r="M95" s="1462"/>
      <c r="N95" s="1460"/>
      <c r="O95" s="1462"/>
      <c r="P95" s="1460"/>
      <c r="Q95" s="1462"/>
      <c r="R95" s="1459"/>
      <c r="S95" s="1462"/>
      <c r="T95" s="1457"/>
      <c r="U95" s="1384"/>
      <c r="W95" s="1463" t="s">
        <v>2285</v>
      </c>
      <c r="Y95" s="1440"/>
      <c r="Z95" s="1440"/>
      <c r="AA95" s="1440"/>
      <c r="AB95" s="1440"/>
      <c r="AC95" s="1440"/>
      <c r="AD95" s="1440"/>
      <c r="AE95" s="1440"/>
    </row>
    <row r="96" spans="1:31" ht="15" customHeight="1" x14ac:dyDescent="0.2">
      <c r="A96" s="1383"/>
      <c r="B96" s="10"/>
      <c r="C96" s="10"/>
      <c r="D96" s="10"/>
      <c r="E96" s="10"/>
      <c r="F96" s="10"/>
      <c r="G96" s="10"/>
      <c r="H96" s="10"/>
      <c r="I96" s="10"/>
      <c r="J96" s="1457"/>
      <c r="K96" s="1462"/>
      <c r="L96" s="1459"/>
      <c r="M96" s="1462"/>
      <c r="N96" s="1460"/>
      <c r="O96" s="1462"/>
      <c r="P96" s="1460"/>
      <c r="Q96" s="1462"/>
      <c r="R96" s="1459"/>
      <c r="S96" s="1462"/>
      <c r="T96" s="1457"/>
      <c r="U96" s="1384"/>
      <c r="W96" s="1406" t="s">
        <v>53</v>
      </c>
      <c r="Y96" s="1440"/>
      <c r="Z96" s="1440"/>
      <c r="AA96" s="1440"/>
      <c r="AB96" s="1440"/>
      <c r="AC96" s="1440"/>
      <c r="AD96" s="1440"/>
      <c r="AE96" s="1440"/>
    </row>
    <row r="97" spans="1:31" ht="16.5" thickBot="1" x14ac:dyDescent="0.3">
      <c r="A97" s="1383"/>
      <c r="B97" s="10"/>
      <c r="C97" s="12" t="s">
        <v>2835</v>
      </c>
      <c r="D97" s="10"/>
      <c r="E97" s="10"/>
      <c r="F97" s="10"/>
      <c r="G97" s="10"/>
      <c r="H97" s="10"/>
      <c r="I97" s="10"/>
      <c r="J97" s="1457"/>
      <c r="K97" s="1460"/>
      <c r="L97" s="1460"/>
      <c r="M97" s="1460"/>
      <c r="N97" s="1460"/>
      <c r="O97" s="1460"/>
      <c r="P97" s="1460"/>
      <c r="Q97" s="1460"/>
      <c r="R97" s="1460"/>
      <c r="S97" s="1460"/>
      <c r="T97" s="1457"/>
      <c r="U97" s="1384"/>
      <c r="W97" s="1400"/>
      <c r="Y97" s="1440"/>
      <c r="Z97" s="1440"/>
      <c r="AA97" s="1440"/>
      <c r="AB97" s="1440"/>
      <c r="AC97" s="1440"/>
      <c r="AD97" s="1440"/>
      <c r="AE97" s="1440"/>
    </row>
    <row r="98" spans="1:31" ht="16.5" thickBot="1" x14ac:dyDescent="0.25">
      <c r="A98" s="1383"/>
      <c r="B98" s="10"/>
      <c r="C98" s="10"/>
      <c r="D98" s="1650" t="s">
        <v>1362</v>
      </c>
      <c r="E98" s="1650"/>
      <c r="F98" s="1650"/>
      <c r="G98" s="1650"/>
      <c r="H98" s="1650"/>
      <c r="I98" s="1650"/>
      <c r="J98" s="1457"/>
      <c r="K98" s="1464" t="e">
        <f>IF(K94=0,0,+K58-M98-O98-Q98)</f>
        <v>#N/A</v>
      </c>
      <c r="L98" s="1465"/>
      <c r="M98" s="1464" t="e">
        <f>ROUND(+K58*$M$94,0)</f>
        <v>#N/A</v>
      </c>
      <c r="N98" s="1465"/>
      <c r="O98" s="1464" t="e">
        <f>ROUND(+K58*$O$94,0)</f>
        <v>#N/A</v>
      </c>
      <c r="P98" s="1465"/>
      <c r="Q98" s="1464" t="e">
        <f>ROUND(+K58*$Q$94,0)</f>
        <v>#N/A</v>
      </c>
      <c r="R98" s="1465"/>
      <c r="S98" s="1464" t="e">
        <f>+K58</f>
        <v>#N/A</v>
      </c>
      <c r="T98" s="1457"/>
      <c r="U98" s="71"/>
      <c r="W98" s="1400" t="e">
        <f>+S98-K58</f>
        <v>#N/A</v>
      </c>
      <c r="Y98" s="1440"/>
      <c r="Z98" s="1440"/>
      <c r="AA98" s="1440"/>
      <c r="AB98" s="1440"/>
      <c r="AC98" s="1440"/>
      <c r="AD98" s="1440"/>
      <c r="AE98" s="1440"/>
    </row>
    <row r="99" spans="1:31" x14ac:dyDescent="0.2">
      <c r="A99" s="1383"/>
      <c r="B99" s="10"/>
      <c r="C99" s="10"/>
      <c r="D99" s="1650"/>
      <c r="E99" s="1650"/>
      <c r="F99" s="1650"/>
      <c r="G99" s="1650"/>
      <c r="H99" s="1650"/>
      <c r="I99" s="1650"/>
      <c r="J99" s="1457"/>
      <c r="K99" s="1465"/>
      <c r="L99" s="1465"/>
      <c r="M99" s="1465"/>
      <c r="N99" s="1465"/>
      <c r="O99" s="1465"/>
      <c r="P99" s="1465"/>
      <c r="Q99" s="1465"/>
      <c r="R99" s="1465"/>
      <c r="S99" s="1465"/>
      <c r="T99" s="1457"/>
      <c r="U99" s="1384"/>
      <c r="W99" s="1400"/>
      <c r="Y99" s="1440"/>
      <c r="Z99" s="1440"/>
      <c r="AA99" s="1440"/>
      <c r="AB99" s="1440"/>
      <c r="AC99" s="1440"/>
      <c r="AD99" s="1440"/>
      <c r="AE99" s="1440"/>
    </row>
    <row r="100" spans="1:31" ht="15.75" thickBot="1" x14ac:dyDescent="0.25">
      <c r="A100" s="1383"/>
      <c r="B100" s="10"/>
      <c r="C100" s="10"/>
      <c r="D100" s="10"/>
      <c r="E100" s="10"/>
      <c r="F100" s="10"/>
      <c r="G100" s="10"/>
      <c r="H100" s="10"/>
      <c r="I100" s="10"/>
      <c r="J100" s="1457"/>
      <c r="K100" s="1465"/>
      <c r="L100" s="1465"/>
      <c r="M100" s="1465"/>
      <c r="N100" s="1465"/>
      <c r="O100" s="1465"/>
      <c r="P100" s="1465"/>
      <c r="Q100" s="1465"/>
      <c r="R100" s="1465"/>
      <c r="S100" s="1465"/>
      <c r="T100" s="1457"/>
      <c r="U100" s="1384"/>
      <c r="W100" s="1400" t="e">
        <f>IF(AND(K94=0,K58-M98-O98-Q98&lt;&gt;0),0,+IF(ABS(K98+M98+O98+Q98-S98)&lt;0.5,0,1))</f>
        <v>#N/A</v>
      </c>
      <c r="Y100" s="1440"/>
      <c r="Z100" s="1440"/>
      <c r="AA100" s="1440"/>
      <c r="AB100" s="1440"/>
      <c r="AC100" s="1440"/>
      <c r="AD100" s="1440"/>
      <c r="AE100" s="1440"/>
    </row>
    <row r="101" spans="1:31" ht="16.5" thickBot="1" x14ac:dyDescent="0.25">
      <c r="A101" s="1383"/>
      <c r="B101" s="10"/>
      <c r="C101" s="10"/>
      <c r="D101" s="1639" t="s">
        <v>1363</v>
      </c>
      <c r="E101" s="1639"/>
      <c r="F101" s="1639"/>
      <c r="G101" s="1639"/>
      <c r="H101" s="1639"/>
      <c r="I101" s="1639"/>
      <c r="J101" s="1457"/>
      <c r="K101" s="1464" t="e">
        <f>+'Part 3'!M62</f>
        <v>#N/A</v>
      </c>
      <c r="L101" s="1465"/>
      <c r="M101" s="1465"/>
      <c r="N101" s="1465"/>
      <c r="O101" s="1465"/>
      <c r="P101" s="1465"/>
      <c r="Q101" s="1465"/>
      <c r="R101" s="1465"/>
      <c r="S101" s="1464" t="e">
        <f>+K101</f>
        <v>#N/A</v>
      </c>
      <c r="T101" s="1457"/>
      <c r="U101" s="1384"/>
      <c r="W101" s="1400"/>
      <c r="Y101" s="96"/>
      <c r="Z101" s="1440"/>
      <c r="AA101" s="1440"/>
      <c r="AB101" s="1440"/>
      <c r="AC101" s="1440"/>
      <c r="AD101" s="1440"/>
      <c r="AE101" s="1440"/>
    </row>
    <row r="102" spans="1:31" ht="16.5" thickBot="1" x14ac:dyDescent="0.25">
      <c r="A102" s="1383"/>
      <c r="B102" s="10"/>
      <c r="C102" s="10"/>
      <c r="D102" s="19"/>
      <c r="E102" s="10"/>
      <c r="F102" s="10"/>
      <c r="G102" s="10"/>
      <c r="H102" s="10"/>
      <c r="I102" s="10"/>
      <c r="J102" s="1457"/>
      <c r="K102" s="1466"/>
      <c r="L102" s="1465"/>
      <c r="M102" s="1466"/>
      <c r="N102" s="1465"/>
      <c r="O102" s="1466"/>
      <c r="P102" s="1465"/>
      <c r="Q102" s="1466"/>
      <c r="R102" s="1465"/>
      <c r="S102" s="1466"/>
      <c r="T102" s="1457"/>
      <c r="U102" s="1384"/>
      <c r="W102" s="1400"/>
      <c r="Y102" s="96"/>
      <c r="Z102" s="1440"/>
      <c r="AA102" s="1440"/>
      <c r="AB102" s="1440"/>
      <c r="AC102" s="1440"/>
      <c r="AD102" s="1440"/>
      <c r="AE102" s="1440"/>
    </row>
    <row r="103" spans="1:31" ht="16.5" thickBot="1" x14ac:dyDescent="0.3">
      <c r="A103" s="1383"/>
      <c r="B103" s="10"/>
      <c r="C103" s="10"/>
      <c r="D103" s="13">
        <v>15</v>
      </c>
      <c r="E103" s="10"/>
      <c r="F103" s="10"/>
      <c r="G103" s="10"/>
      <c r="H103" s="10"/>
      <c r="I103" s="1467" t="s">
        <v>727</v>
      </c>
      <c r="J103" s="1468"/>
      <c r="K103" s="1464" t="e">
        <f>ROUND(+K98-K101,0)</f>
        <v>#N/A</v>
      </c>
      <c r="L103" s="1465"/>
      <c r="M103" s="1464" t="e">
        <f>ROUND(+M98,0)</f>
        <v>#N/A</v>
      </c>
      <c r="N103" s="1469"/>
      <c r="O103" s="1464" t="e">
        <f>ROUND(+O98,0)</f>
        <v>#N/A</v>
      </c>
      <c r="P103" s="1469"/>
      <c r="Q103" s="1464" t="e">
        <f>ROUND(+Q98,0)</f>
        <v>#N/A</v>
      </c>
      <c r="R103" s="1465"/>
      <c r="S103" s="1464" t="e">
        <f>ROUND(+S98-S101,0)</f>
        <v>#N/A</v>
      </c>
      <c r="T103" s="1457"/>
      <c r="U103" s="1384"/>
      <c r="W103" s="1400"/>
      <c r="Y103" s="96"/>
      <c r="Z103" s="96"/>
      <c r="AA103" s="96"/>
      <c r="AB103" s="96"/>
      <c r="AC103" s="96"/>
      <c r="AD103" s="96"/>
      <c r="AE103" s="96"/>
    </row>
    <row r="104" spans="1:31" x14ac:dyDescent="0.2">
      <c r="A104" s="1383"/>
      <c r="B104" s="10"/>
      <c r="C104" s="10"/>
      <c r="D104" s="10"/>
      <c r="E104" s="10"/>
      <c r="F104" s="10"/>
      <c r="G104" s="10"/>
      <c r="H104" s="10"/>
      <c r="I104" s="10"/>
      <c r="J104" s="1457"/>
      <c r="K104" s="1465"/>
      <c r="L104" s="1465"/>
      <c r="M104" s="1465"/>
      <c r="N104" s="1465"/>
      <c r="O104" s="1465"/>
      <c r="P104" s="1465"/>
      <c r="Q104" s="1465"/>
      <c r="R104" s="1465"/>
      <c r="S104" s="1465"/>
      <c r="T104" s="1457"/>
      <c r="U104" s="1384"/>
      <c r="W104" s="1400" t="e">
        <f>+IF(K98-K101-K103=0,0,1)</f>
        <v>#N/A</v>
      </c>
      <c r="Y104" s="96"/>
      <c r="Z104" s="96"/>
      <c r="AA104" s="96"/>
      <c r="AB104" s="96"/>
      <c r="AC104" s="96"/>
      <c r="AD104" s="96"/>
      <c r="AE104" s="96"/>
    </row>
    <row r="105" spans="1:31" ht="16.5" thickBot="1" x14ac:dyDescent="0.3">
      <c r="A105" s="1383"/>
      <c r="B105" s="10"/>
      <c r="C105" s="12" t="s">
        <v>2836</v>
      </c>
      <c r="D105" s="10"/>
      <c r="E105" s="10"/>
      <c r="F105" s="10"/>
      <c r="G105" s="10"/>
      <c r="H105" s="10"/>
      <c r="I105" s="10"/>
      <c r="J105" s="1457"/>
      <c r="K105" s="1465"/>
      <c r="L105" s="1465"/>
      <c r="M105" s="1465"/>
      <c r="N105" s="1465"/>
      <c r="O105" s="1465"/>
      <c r="P105" s="1465"/>
      <c r="Q105" s="1465"/>
      <c r="R105" s="1465"/>
      <c r="S105" s="1465"/>
      <c r="T105" s="1457"/>
      <c r="U105" s="1384"/>
      <c r="W105" s="1400"/>
      <c r="Y105" s="96"/>
      <c r="Z105" s="96"/>
      <c r="AA105" s="96"/>
      <c r="AB105" s="96"/>
      <c r="AC105" s="96"/>
      <c r="AD105" s="96"/>
      <c r="AE105" s="96"/>
    </row>
    <row r="106" spans="1:31" ht="16.5" thickBot="1" x14ac:dyDescent="0.25">
      <c r="A106" s="1383"/>
      <c r="B106" s="10"/>
      <c r="C106" s="10"/>
      <c r="D106" s="1639" t="s">
        <v>1364</v>
      </c>
      <c r="E106" s="1639"/>
      <c r="F106" s="1639"/>
      <c r="G106" s="1639"/>
      <c r="H106" s="1639"/>
      <c r="I106" s="1639"/>
      <c r="J106" s="1457"/>
      <c r="K106" s="1465"/>
      <c r="L106" s="1465"/>
      <c r="M106" s="1470" t="e">
        <f>+S106</f>
        <v>#N/A</v>
      </c>
      <c r="N106" s="1471"/>
      <c r="O106" s="1471"/>
      <c r="P106" s="1471"/>
      <c r="Q106" s="1471"/>
      <c r="R106" s="1471"/>
      <c r="S106" s="1470" t="e">
        <f>+K39</f>
        <v>#N/A</v>
      </c>
      <c r="T106" s="1457"/>
      <c r="U106" s="71"/>
      <c r="W106" s="1400" t="e">
        <f>+IF(M106-S106=0,0,1)</f>
        <v>#N/A</v>
      </c>
      <c r="Y106" s="96"/>
      <c r="Z106" s="96"/>
      <c r="AA106" s="96"/>
      <c r="AB106" s="96"/>
      <c r="AC106" s="96"/>
      <c r="AD106" s="96"/>
      <c r="AE106" s="96"/>
    </row>
    <row r="107" spans="1:31" ht="15.75" thickBot="1" x14ac:dyDescent="0.25">
      <c r="A107" s="1383"/>
      <c r="B107" s="10"/>
      <c r="C107" s="10"/>
      <c r="D107" s="10"/>
      <c r="E107" s="10"/>
      <c r="F107" s="10"/>
      <c r="G107" s="10"/>
      <c r="H107" s="10"/>
      <c r="I107" s="10"/>
      <c r="J107" s="1457"/>
      <c r="K107" s="1465"/>
      <c r="L107" s="1465"/>
      <c r="M107" s="1472" t="e">
        <f>IF($K$16="E0703","50% of the disregarded amount for South Tees Development Corporation is given to Tees Valley CA","")</f>
        <v>#N/A</v>
      </c>
      <c r="N107" s="1471"/>
      <c r="O107" s="1471"/>
      <c r="P107" s="1471"/>
      <c r="Q107" s="1471"/>
      <c r="R107" s="1471"/>
      <c r="S107" s="1471"/>
      <c r="T107" s="1457"/>
      <c r="U107" s="1384"/>
      <c r="W107" s="1400"/>
      <c r="Y107" s="96"/>
      <c r="Z107" s="96"/>
      <c r="AA107" s="96"/>
      <c r="AB107" s="96"/>
      <c r="AC107" s="96"/>
      <c r="AD107" s="96"/>
      <c r="AE107" s="96"/>
    </row>
    <row r="108" spans="1:31" ht="16.5" thickBot="1" x14ac:dyDescent="0.25">
      <c r="A108" s="1383"/>
      <c r="B108" s="10"/>
      <c r="C108" s="10"/>
      <c r="D108" s="1639" t="s">
        <v>1365</v>
      </c>
      <c r="E108" s="1639"/>
      <c r="F108" s="1639"/>
      <c r="G108" s="1639"/>
      <c r="H108" s="1639"/>
      <c r="I108" s="1639"/>
      <c r="J108" s="1457"/>
      <c r="K108" s="1465"/>
      <c r="L108" s="1465"/>
      <c r="M108" s="1470" t="e">
        <f>+IF($K$16="E0703",S108-'Part 3 DA summary'!$U$14*0.5,S108)</f>
        <v>#N/A</v>
      </c>
      <c r="N108" s="1471"/>
      <c r="O108" s="1473" t="e">
        <f>+IF($K$16="E0703",'Part 3 DA summary'!$U$14*0.5,0)</f>
        <v>#N/A</v>
      </c>
      <c r="P108" s="1471"/>
      <c r="Q108" s="1471"/>
      <c r="R108" s="1471"/>
      <c r="S108" s="1470">
        <f>+K45</f>
        <v>0</v>
      </c>
      <c r="T108" s="1457"/>
      <c r="U108" s="71"/>
      <c r="W108" s="1400" t="e">
        <f>+IF(M108-S108=0,0,1)</f>
        <v>#N/A</v>
      </c>
      <c r="Y108" s="96"/>
      <c r="Z108" s="96"/>
      <c r="AA108" s="96"/>
      <c r="AB108" s="96"/>
      <c r="AC108" s="96"/>
      <c r="AD108" s="96"/>
      <c r="AE108" s="96"/>
    </row>
    <row r="109" spans="1:31" ht="15.75" thickBot="1" x14ac:dyDescent="0.25">
      <c r="A109" s="1383"/>
      <c r="B109" s="10"/>
      <c r="C109" s="10"/>
      <c r="D109" s="10"/>
      <c r="E109" s="10"/>
      <c r="F109" s="10"/>
      <c r="G109" s="10"/>
      <c r="H109" s="10"/>
      <c r="I109" s="10"/>
      <c r="J109" s="1457"/>
      <c r="K109" s="1465"/>
      <c r="L109" s="1465"/>
      <c r="M109" s="1471"/>
      <c r="N109" s="1471"/>
      <c r="O109" s="1471"/>
      <c r="P109" s="1471"/>
      <c r="Q109" s="1471"/>
      <c r="R109" s="1471"/>
      <c r="S109" s="1471"/>
      <c r="T109" s="1457"/>
      <c r="U109" s="1384"/>
      <c r="W109" s="1400"/>
      <c r="Y109" s="96"/>
      <c r="Z109" s="96"/>
      <c r="AA109" s="96"/>
      <c r="AB109" s="96"/>
      <c r="AC109" s="96"/>
      <c r="AD109" s="96"/>
      <c r="AE109" s="96"/>
    </row>
    <row r="110" spans="1:31" ht="16.5" thickBot="1" x14ac:dyDescent="0.25">
      <c r="A110" s="1383"/>
      <c r="B110" s="10"/>
      <c r="C110" s="10"/>
      <c r="D110" s="1650" t="s">
        <v>1366</v>
      </c>
      <c r="E110" s="1650"/>
      <c r="F110" s="1650"/>
      <c r="G110" s="1650"/>
      <c r="H110" s="1650"/>
      <c r="I110" s="1650"/>
      <c r="J110" s="1457"/>
      <c r="K110" s="1465"/>
      <c r="L110" s="1465"/>
      <c r="M110" s="1470">
        <f>+K50</f>
        <v>0</v>
      </c>
      <c r="N110" s="1471"/>
      <c r="O110" s="1470" t="e">
        <f>+K52</f>
        <v>#N/A</v>
      </c>
      <c r="P110" s="1471"/>
      <c r="Q110" s="1471"/>
      <c r="R110" s="1471"/>
      <c r="S110" s="1470">
        <f>+K47</f>
        <v>0</v>
      </c>
      <c r="T110" s="1457"/>
      <c r="U110" s="71"/>
      <c r="W110" s="1400" t="e">
        <f>+IF(M110+O110-S110=0,0,1)</f>
        <v>#N/A</v>
      </c>
      <c r="Y110" s="96"/>
      <c r="Z110" s="96"/>
      <c r="AA110" s="96"/>
      <c r="AB110" s="96"/>
      <c r="AC110" s="96"/>
      <c r="AD110" s="96"/>
      <c r="AE110" s="96"/>
    </row>
    <row r="111" spans="1:31" ht="15.75" thickBot="1" x14ac:dyDescent="0.25">
      <c r="A111" s="1383"/>
      <c r="B111" s="10"/>
      <c r="C111" s="10"/>
      <c r="D111" s="1650"/>
      <c r="E111" s="1650"/>
      <c r="F111" s="1650"/>
      <c r="G111" s="1650"/>
      <c r="H111" s="1650"/>
      <c r="I111" s="1650"/>
      <c r="J111" s="1457"/>
      <c r="K111" s="1465"/>
      <c r="L111" s="1465"/>
      <c r="M111" s="1471"/>
      <c r="N111" s="1471"/>
      <c r="O111" s="1471"/>
      <c r="P111" s="1471"/>
      <c r="Q111" s="1471"/>
      <c r="R111" s="1471"/>
      <c r="S111" s="1471"/>
      <c r="T111" s="1457"/>
      <c r="U111" s="1384"/>
      <c r="W111" s="1400"/>
      <c r="Y111" s="96"/>
      <c r="Z111" s="96"/>
      <c r="AA111" s="96"/>
      <c r="AB111" s="96"/>
      <c r="AC111" s="96"/>
      <c r="AD111" s="96"/>
      <c r="AE111" s="96"/>
    </row>
    <row r="112" spans="1:31" ht="16.5" thickBot="1" x14ac:dyDescent="0.25">
      <c r="A112" s="1383"/>
      <c r="B112" s="10"/>
      <c r="C112" s="10"/>
      <c r="D112" s="1651" t="s">
        <v>1367</v>
      </c>
      <c r="E112" s="1651"/>
      <c r="F112" s="1651"/>
      <c r="G112" s="1651"/>
      <c r="H112" s="1651"/>
      <c r="I112" s="1651"/>
      <c r="J112" s="1457"/>
      <c r="K112" s="1465"/>
      <c r="L112" s="1465"/>
      <c r="M112" s="1470" t="e">
        <f>S112-O112-Q112</f>
        <v>#N/A</v>
      </c>
      <c r="N112" s="1471"/>
      <c r="O112" s="1470" t="e">
        <f>(INDEX(TierSplit!CF:CF,MATCH(Import_LA_Code,Ref_LA_Codes2,0))*S112)</f>
        <v>#N/A</v>
      </c>
      <c r="P112" s="1471"/>
      <c r="Q112" s="1470" t="e">
        <f>(INDEX(TierSplit!CI:CI,MATCH(Import_LA_Code,Ref_LA_Codes2,0))*S112)</f>
        <v>#N/A</v>
      </c>
      <c r="R112" s="1471"/>
      <c r="S112" s="1470">
        <f>+K54</f>
        <v>0</v>
      </c>
      <c r="T112" s="1457"/>
      <c r="U112" s="1385"/>
      <c r="W112" s="1400" t="e">
        <f>+IF(M112+O112-S112=0,0,1)</f>
        <v>#N/A</v>
      </c>
      <c r="Y112" s="1474"/>
      <c r="Z112" s="96"/>
      <c r="AA112" s="96"/>
      <c r="AB112" s="96"/>
      <c r="AC112" s="96"/>
      <c r="AD112" s="96"/>
      <c r="AE112" s="96"/>
    </row>
    <row r="113" spans="1:31" ht="15.75" thickBot="1" x14ac:dyDescent="0.25">
      <c r="A113" s="1383"/>
      <c r="B113" s="10"/>
      <c r="C113" s="10"/>
      <c r="D113" s="1651"/>
      <c r="E113" s="1651"/>
      <c r="F113" s="1651"/>
      <c r="G113" s="1651"/>
      <c r="H113" s="1651"/>
      <c r="I113" s="1651"/>
      <c r="J113" s="1457"/>
      <c r="K113" s="1465"/>
      <c r="L113" s="1465"/>
      <c r="M113" s="1471"/>
      <c r="N113" s="1471"/>
      <c r="O113" s="1471"/>
      <c r="P113" s="1471"/>
      <c r="Q113" s="1471"/>
      <c r="R113" s="1471"/>
      <c r="S113" s="1471"/>
      <c r="T113" s="1457"/>
      <c r="U113" s="1385"/>
      <c r="W113" s="1400"/>
      <c r="Y113" s="96"/>
      <c r="Z113" s="96"/>
      <c r="AA113" s="96"/>
      <c r="AB113" s="96"/>
      <c r="AC113" s="96"/>
      <c r="AD113" s="96"/>
      <c r="AE113" s="96"/>
    </row>
    <row r="114" spans="1:31" ht="16.5" thickBot="1" x14ac:dyDescent="0.25">
      <c r="A114" s="1383"/>
      <c r="B114" s="10"/>
      <c r="C114" s="10"/>
      <c r="D114" s="1639" t="s">
        <v>1368</v>
      </c>
      <c r="E114" s="1639"/>
      <c r="F114" s="1639"/>
      <c r="G114" s="1639"/>
      <c r="H114" s="1639"/>
      <c r="I114" s="1639"/>
      <c r="J114" s="1457"/>
      <c r="K114" s="1465"/>
      <c r="L114" s="1465"/>
      <c r="M114" s="1470" t="e">
        <f>+S114-O114-Q114</f>
        <v>#N/A</v>
      </c>
      <c r="N114" s="1471"/>
      <c r="O114" s="1470" t="e">
        <f>IF(Local_Share_Total=1,0,ROUND(+('Part 2'!G129+'Part 2'!S129)*O94,0)*-1)</f>
        <v>#N/A</v>
      </c>
      <c r="P114" s="1471"/>
      <c r="Q114" s="1470" t="e">
        <f>IF(Local_Share_Total=1,0,ROUND(+('Part 2'!G129+'Part 2'!S129)*Q94,0)*-1)</f>
        <v>#N/A</v>
      </c>
      <c r="R114" s="1471"/>
      <c r="S114" s="1470" t="e">
        <f>+'Part 3'!M55</f>
        <v>#N/A</v>
      </c>
      <c r="T114" s="1457"/>
      <c r="U114" s="71"/>
      <c r="W114" s="1400" t="e">
        <f>+IF(M114+O114+Q114-S114=0,0,1)</f>
        <v>#N/A</v>
      </c>
      <c r="Y114" s="96"/>
      <c r="Z114" s="96"/>
      <c r="AA114" s="96"/>
      <c r="AB114" s="96"/>
      <c r="AC114" s="96"/>
      <c r="AD114" s="96"/>
      <c r="AE114" s="96"/>
    </row>
    <row r="115" spans="1:31" ht="16.5" thickBot="1" x14ac:dyDescent="0.25">
      <c r="A115" s="1383"/>
      <c r="B115" s="10"/>
      <c r="C115" s="10"/>
      <c r="D115" s="10"/>
      <c r="E115" s="10"/>
      <c r="F115" s="10"/>
      <c r="G115" s="10"/>
      <c r="H115" s="10"/>
      <c r="I115" s="10"/>
      <c r="J115" s="1457"/>
      <c r="K115" s="1460"/>
      <c r="L115" s="1460"/>
      <c r="M115" s="1475"/>
      <c r="N115" s="1476"/>
      <c r="O115" s="1475"/>
      <c r="P115" s="1476"/>
      <c r="Q115" s="1475"/>
      <c r="R115" s="1476"/>
      <c r="S115" s="1476"/>
      <c r="T115" s="1457"/>
      <c r="U115" s="1384"/>
      <c r="W115" s="1400"/>
      <c r="Y115" s="96"/>
      <c r="Z115" s="96"/>
      <c r="AA115" s="96"/>
      <c r="AB115" s="96"/>
      <c r="AC115" s="96"/>
      <c r="AD115" s="96"/>
      <c r="AE115" s="96"/>
    </row>
    <row r="116" spans="1:31" ht="16.5" thickBot="1" x14ac:dyDescent="0.25">
      <c r="A116" s="1383"/>
      <c r="B116" s="10"/>
      <c r="C116" s="10"/>
      <c r="D116" s="1639" t="s">
        <v>1369</v>
      </c>
      <c r="E116" s="1639"/>
      <c r="F116" s="1639"/>
      <c r="G116" s="1639"/>
      <c r="H116" s="1639"/>
      <c r="I116" s="1639"/>
      <c r="J116" s="1457"/>
      <c r="K116" s="1460"/>
      <c r="L116" s="1460"/>
      <c r="M116" s="1470" t="e">
        <f>+K42</f>
        <v>#N/A</v>
      </c>
      <c r="N116" s="1471"/>
      <c r="O116" s="1471"/>
      <c r="P116" s="1471"/>
      <c r="Q116" s="1471"/>
      <c r="R116" s="1471"/>
      <c r="S116" s="1470" t="e">
        <f>+M116</f>
        <v>#N/A</v>
      </c>
      <c r="T116" s="1457"/>
      <c r="U116" s="71"/>
      <c r="W116" s="1400" t="e">
        <f>+IF(M116-S116=0,0,1)</f>
        <v>#N/A</v>
      </c>
      <c r="Y116" s="96"/>
      <c r="Z116" s="96"/>
      <c r="AA116" s="96"/>
      <c r="AB116" s="96"/>
      <c r="AC116" s="96"/>
      <c r="AD116" s="96"/>
      <c r="AE116" s="96"/>
    </row>
    <row r="117" spans="1:31" ht="15.75" thickBot="1" x14ac:dyDescent="0.25">
      <c r="A117" s="1383"/>
      <c r="B117" s="10"/>
      <c r="C117" s="10"/>
      <c r="D117" s="19"/>
      <c r="E117" s="10"/>
      <c r="F117" s="10"/>
      <c r="G117" s="10"/>
      <c r="H117" s="10"/>
      <c r="I117" s="10"/>
      <c r="J117" s="1457"/>
      <c r="K117" s="1460"/>
      <c r="L117" s="1460"/>
      <c r="M117" s="1476"/>
      <c r="N117" s="1476"/>
      <c r="O117" s="1476"/>
      <c r="P117" s="1476"/>
      <c r="Q117" s="1476"/>
      <c r="R117" s="1476"/>
      <c r="S117" s="1476"/>
      <c r="T117" s="1457"/>
      <c r="U117" s="1384"/>
      <c r="W117" s="1400"/>
      <c r="Y117" s="96"/>
      <c r="Z117" s="96"/>
      <c r="AA117" s="96"/>
      <c r="AB117" s="96"/>
      <c r="AC117" s="96"/>
      <c r="AD117" s="96"/>
      <c r="AE117" s="96"/>
    </row>
    <row r="118" spans="1:31" ht="16.5" thickBot="1" x14ac:dyDescent="0.25">
      <c r="A118" s="1383"/>
      <c r="B118" s="10"/>
      <c r="C118" s="10"/>
      <c r="D118" s="1647" t="s">
        <v>2288</v>
      </c>
      <c r="E118" s="1647"/>
      <c r="F118" s="1647"/>
      <c r="G118" s="1647"/>
      <c r="H118" s="1647"/>
      <c r="I118" s="1647"/>
      <c r="J118" s="1457"/>
      <c r="K118" s="1460"/>
      <c r="L118" s="1460"/>
      <c r="M118" s="1477">
        <f>+S118</f>
        <v>0</v>
      </c>
      <c r="N118" s="1471"/>
      <c r="O118" s="1478"/>
      <c r="P118" s="1471"/>
      <c r="Q118" s="1478"/>
      <c r="R118" s="1471"/>
      <c r="S118" s="1477">
        <f>'Part 3'!M58</f>
        <v>0</v>
      </c>
      <c r="T118" s="1457"/>
      <c r="U118" s="1384"/>
      <c r="W118" s="1400">
        <f>+IF(M118-S118=0,0,1)</f>
        <v>0</v>
      </c>
      <c r="Y118" s="96"/>
      <c r="Z118" s="96"/>
      <c r="AA118" s="96"/>
      <c r="AB118" s="96"/>
      <c r="AC118" s="96"/>
      <c r="AD118" s="96"/>
      <c r="AE118" s="96"/>
    </row>
    <row r="119" spans="1:31" ht="15.75" x14ac:dyDescent="0.2">
      <c r="A119" s="1383"/>
      <c r="B119" s="10"/>
      <c r="C119" s="10"/>
      <c r="D119" s="10"/>
      <c r="E119" s="10"/>
      <c r="F119" s="10"/>
      <c r="G119" s="10"/>
      <c r="H119" s="10"/>
      <c r="I119" s="10"/>
      <c r="J119" s="1457"/>
      <c r="K119" s="1460"/>
      <c r="L119" s="1460"/>
      <c r="M119" s="1461"/>
      <c r="N119" s="1460"/>
      <c r="O119" s="1461"/>
      <c r="P119" s="1460"/>
      <c r="Q119" s="1461"/>
      <c r="R119" s="1460"/>
      <c r="S119" s="1461"/>
      <c r="T119" s="1457"/>
      <c r="U119" s="1384"/>
      <c r="W119" s="1400"/>
      <c r="Y119" s="96"/>
      <c r="Z119" s="96"/>
      <c r="AA119" s="96"/>
      <c r="AB119" s="96"/>
      <c r="AC119" s="96"/>
      <c r="AD119" s="96"/>
      <c r="AE119" s="96"/>
    </row>
    <row r="120" spans="1:31" ht="15.75" x14ac:dyDescent="0.25">
      <c r="A120" s="1383"/>
      <c r="B120" s="10"/>
      <c r="C120" s="12" t="s">
        <v>29</v>
      </c>
      <c r="D120" s="10"/>
      <c r="E120" s="10"/>
      <c r="F120" s="10"/>
      <c r="G120" s="10"/>
      <c r="H120" s="10"/>
      <c r="I120" s="10"/>
      <c r="J120" s="1457"/>
      <c r="K120" s="1462" t="s">
        <v>687</v>
      </c>
      <c r="L120" s="1459"/>
      <c r="M120" s="1462" t="s">
        <v>687</v>
      </c>
      <c r="N120" s="1460"/>
      <c r="O120" s="1462" t="s">
        <v>687</v>
      </c>
      <c r="P120" s="1460"/>
      <c r="Q120" s="1462" t="s">
        <v>687</v>
      </c>
      <c r="R120" s="1459"/>
      <c r="S120" s="1462" t="s">
        <v>687</v>
      </c>
      <c r="T120" s="1457"/>
      <c r="U120" s="1384"/>
      <c r="W120" s="1400"/>
      <c r="Y120" s="96"/>
      <c r="Z120" s="96"/>
      <c r="AA120" s="96"/>
      <c r="AB120" s="96"/>
      <c r="AC120" s="96"/>
      <c r="AD120" s="96"/>
      <c r="AE120" s="96"/>
    </row>
    <row r="121" spans="1:31" ht="16.5" thickBot="1" x14ac:dyDescent="0.3">
      <c r="A121" s="1479"/>
      <c r="B121" s="1480"/>
      <c r="C121" s="1481"/>
      <c r="D121" s="1480"/>
      <c r="E121" s="1480"/>
      <c r="F121" s="1480"/>
      <c r="G121" s="1480"/>
      <c r="H121" s="1480"/>
      <c r="I121" s="1480"/>
      <c r="J121" s="1482"/>
      <c r="K121" s="1483"/>
      <c r="L121" s="1484"/>
      <c r="M121" s="1483"/>
      <c r="N121" s="1485"/>
      <c r="O121" s="1483"/>
      <c r="P121" s="1485"/>
      <c r="Q121" s="1483"/>
      <c r="R121" s="1484"/>
      <c r="S121" s="1483"/>
      <c r="T121" s="1457"/>
      <c r="U121" s="1385"/>
      <c r="W121" s="1400"/>
      <c r="Y121" s="96"/>
      <c r="Z121" s="96"/>
      <c r="AA121" s="96"/>
      <c r="AB121" s="96"/>
      <c r="AC121" s="96"/>
      <c r="AD121" s="96"/>
      <c r="AE121" s="96"/>
    </row>
    <row r="122" spans="1:31" s="251" customFormat="1" ht="16.5" thickBot="1" x14ac:dyDescent="0.25">
      <c r="A122" s="1479"/>
      <c r="B122" s="1486"/>
      <c r="C122" s="1486"/>
      <c r="D122" s="1648" t="s">
        <v>3332</v>
      </c>
      <c r="E122" s="1648"/>
      <c r="F122" s="1648"/>
      <c r="G122" s="1648"/>
      <c r="H122" s="1480"/>
      <c r="I122" s="1480"/>
      <c r="J122" s="1487"/>
      <c r="K122" s="1464" t="e">
        <f>S122-Q122-O122-M122</f>
        <v>#N/A</v>
      </c>
      <c r="L122" s="1469"/>
      <c r="M122" s="1464" t="e">
        <f>S122*VLOOKUP('Part 1'!$K$16,TierSplit!$A$6:$CI$302,11,FALSE)</f>
        <v>#N/A</v>
      </c>
      <c r="N122" s="1469"/>
      <c r="O122" s="1464" t="e">
        <f>S122*VLOOKUP('Part 1'!$K$16,TierSplit!$A$6:$CI$302,14,FALSE)</f>
        <v>#N/A</v>
      </c>
      <c r="P122" s="1469"/>
      <c r="Q122" s="1464" t="e">
        <f>S122*VLOOKUP('Part 1'!$K$16,TierSplit!$A$6:$CI$302,17,FALSE)</f>
        <v>#N/A</v>
      </c>
      <c r="R122" s="1469"/>
      <c r="S122" s="1464" t="e">
        <f>'Part 4'!J55</f>
        <v>#N/A</v>
      </c>
      <c r="T122" s="1488"/>
      <c r="U122" s="1489"/>
      <c r="V122" s="1371"/>
      <c r="W122" s="1400"/>
      <c r="X122" s="9"/>
      <c r="Y122" s="1490"/>
      <c r="Z122" s="1490"/>
      <c r="AA122" s="1490"/>
      <c r="AB122" s="1490"/>
      <c r="AC122" s="1490"/>
      <c r="AD122" s="1490"/>
      <c r="AE122" s="1490"/>
    </row>
    <row r="123" spans="1:31" x14ac:dyDescent="0.2">
      <c r="A123" s="1383"/>
      <c r="B123" s="10"/>
      <c r="C123" s="10"/>
      <c r="D123" s="1648"/>
      <c r="E123" s="1648"/>
      <c r="F123" s="1648"/>
      <c r="G123" s="1648"/>
      <c r="H123" s="10"/>
      <c r="I123" s="10"/>
      <c r="J123" s="1457"/>
      <c r="K123" s="1465"/>
      <c r="L123" s="1465"/>
      <c r="M123" s="1465"/>
      <c r="N123" s="1465"/>
      <c r="O123" s="1465"/>
      <c r="P123" s="1465"/>
      <c r="Q123" s="1465"/>
      <c r="R123" s="1465"/>
      <c r="S123" s="1465"/>
      <c r="T123" s="1457"/>
      <c r="U123" s="1384"/>
      <c r="W123" s="1400"/>
      <c r="Y123" s="96"/>
      <c r="Z123" s="96"/>
      <c r="AA123" s="96"/>
      <c r="AB123" s="96"/>
      <c r="AC123" s="96"/>
      <c r="AD123" s="96"/>
      <c r="AE123" s="96"/>
    </row>
    <row r="124" spans="1:31" ht="15.75" thickBot="1" x14ac:dyDescent="0.25">
      <c r="A124" s="1383"/>
      <c r="B124" s="10"/>
      <c r="C124" s="10"/>
      <c r="D124" s="10"/>
      <c r="E124" s="10"/>
      <c r="F124" s="10"/>
      <c r="G124" s="10"/>
      <c r="H124" s="10"/>
      <c r="I124" s="10"/>
      <c r="J124" s="1457"/>
      <c r="K124" s="1465"/>
      <c r="L124" s="1465"/>
      <c r="M124" s="1465"/>
      <c r="N124" s="1465"/>
      <c r="O124" s="1465"/>
      <c r="P124" s="1465"/>
      <c r="Q124" s="1465"/>
      <c r="R124" s="1465"/>
      <c r="S124" s="1465"/>
      <c r="T124" s="1457"/>
      <c r="U124" s="1385"/>
      <c r="W124" s="1406" t="e">
        <f>IF(AND(K94=0,K58-M98-O98-Q98&lt;&gt;0),0,+IF(ROUND(K122+M122+O122+Q122,0)-ROUND(S122,0)=0,0,1))</f>
        <v>#N/A</v>
      </c>
      <c r="X124" s="96"/>
      <c r="Y124" s="96"/>
      <c r="Z124" s="96"/>
      <c r="AA124" s="96"/>
      <c r="AB124" s="96"/>
      <c r="AC124" s="96"/>
      <c r="AD124" s="96"/>
      <c r="AE124" s="96"/>
    </row>
    <row r="125" spans="1:31" x14ac:dyDescent="0.2">
      <c r="A125" s="1383"/>
      <c r="B125" s="1491"/>
      <c r="C125" s="1492"/>
      <c r="D125" s="1492"/>
      <c r="E125" s="1492"/>
      <c r="F125" s="1492"/>
      <c r="G125" s="1492"/>
      <c r="H125" s="1492"/>
      <c r="I125" s="1492"/>
      <c r="J125" s="1493"/>
      <c r="K125" s="1494"/>
      <c r="L125" s="1494"/>
      <c r="M125" s="1494"/>
      <c r="N125" s="1494"/>
      <c r="O125" s="1494"/>
      <c r="P125" s="1494"/>
      <c r="Q125" s="1494"/>
      <c r="R125" s="1494"/>
      <c r="S125" s="1494"/>
      <c r="T125" s="1495"/>
      <c r="U125" s="1384"/>
      <c r="W125" s="1496"/>
      <c r="Y125" s="96"/>
      <c r="Z125" s="96"/>
      <c r="AA125" s="96"/>
      <c r="AB125" s="96"/>
      <c r="AC125" s="96"/>
      <c r="AD125" s="96"/>
      <c r="AE125" s="96"/>
    </row>
    <row r="126" spans="1:31" ht="16.5" thickBot="1" x14ac:dyDescent="0.3">
      <c r="A126" s="1383"/>
      <c r="B126" s="1497"/>
      <c r="C126" s="14" t="s">
        <v>709</v>
      </c>
      <c r="D126" s="8"/>
      <c r="E126" s="8"/>
      <c r="F126" s="8"/>
      <c r="G126" s="8"/>
      <c r="H126" s="8"/>
      <c r="I126" s="8"/>
      <c r="J126" s="1457"/>
      <c r="K126" s="1498" t="s">
        <v>687</v>
      </c>
      <c r="L126" s="1465"/>
      <c r="M126" s="1498" t="s">
        <v>687</v>
      </c>
      <c r="N126" s="1465"/>
      <c r="O126" s="1498" t="s">
        <v>687</v>
      </c>
      <c r="P126" s="1465"/>
      <c r="Q126" s="1498" t="s">
        <v>687</v>
      </c>
      <c r="R126" s="1465"/>
      <c r="S126" s="1498" t="s">
        <v>687</v>
      </c>
      <c r="T126" s="1499"/>
      <c r="U126" s="1384"/>
      <c r="W126" s="1496"/>
      <c r="Y126" s="96"/>
      <c r="Z126" s="96"/>
      <c r="AA126" s="96"/>
      <c r="AB126" s="96"/>
      <c r="AC126" s="96"/>
      <c r="AD126" s="96"/>
      <c r="AE126" s="96"/>
    </row>
    <row r="127" spans="1:31" ht="16.5" thickBot="1" x14ac:dyDescent="0.25">
      <c r="A127" s="1383"/>
      <c r="B127" s="1497"/>
      <c r="C127" s="1640" t="s">
        <v>2289</v>
      </c>
      <c r="D127" s="1640"/>
      <c r="E127" s="1640"/>
      <c r="F127" s="1640"/>
      <c r="G127" s="1640"/>
      <c r="H127" s="1640"/>
      <c r="I127" s="1640"/>
      <c r="J127" s="1457"/>
      <c r="K127" s="1464" t="e">
        <f>ROUND(+K103+K122,0)</f>
        <v>#N/A</v>
      </c>
      <c r="L127" s="1465"/>
      <c r="M127" s="1464" t="e">
        <f>ROUND(+M103+M106+M108+M110+M112+M114+M116+M118+M122,0)</f>
        <v>#N/A</v>
      </c>
      <c r="N127" s="1465"/>
      <c r="O127" s="1464" t="e">
        <f>ROUND(+O103+O108+O110+O112+O114+O122,0)</f>
        <v>#N/A</v>
      </c>
      <c r="P127" s="1465"/>
      <c r="Q127" s="1464" t="e">
        <f>ROUND(+Q103+Q112+Q114+Q122,0)</f>
        <v>#N/A</v>
      </c>
      <c r="R127" s="1465"/>
      <c r="S127" s="1464" t="e">
        <f>ROUND(+S103+S106+S108+S110+S112+S114+S116+S118+S122,0)</f>
        <v>#N/A</v>
      </c>
      <c r="T127" s="1499"/>
      <c r="U127" s="71"/>
      <c r="W127" s="1496"/>
      <c r="X127" s="96"/>
      <c r="Y127" s="96"/>
      <c r="Z127" s="96"/>
      <c r="AA127" s="96"/>
      <c r="AB127" s="96"/>
      <c r="AC127" s="96"/>
      <c r="AD127" s="96"/>
      <c r="AE127" s="96"/>
    </row>
    <row r="128" spans="1:31" s="1506" customFormat="1" ht="15.75" thickBot="1" x14ac:dyDescent="0.25">
      <c r="A128" s="1383"/>
      <c r="B128" s="1500"/>
      <c r="C128" s="1501"/>
      <c r="D128" s="1501"/>
      <c r="E128" s="1501"/>
      <c r="F128" s="1501"/>
      <c r="G128" s="1501"/>
      <c r="H128" s="1501"/>
      <c r="I128" s="1501"/>
      <c r="J128" s="1502"/>
      <c r="K128" s="1502"/>
      <c r="L128" s="1502"/>
      <c r="M128" s="1502"/>
      <c r="N128" s="1502"/>
      <c r="O128" s="1502"/>
      <c r="P128" s="1502"/>
      <c r="Q128" s="1502"/>
      <c r="R128" s="1502"/>
      <c r="S128" s="1502"/>
      <c r="T128" s="1503"/>
      <c r="U128" s="1504"/>
      <c r="V128" s="1505"/>
      <c r="Y128" s="1507"/>
      <c r="Z128" s="1507"/>
      <c r="AA128" s="1507"/>
      <c r="AB128" s="1507"/>
      <c r="AC128" s="1507"/>
      <c r="AD128" s="1507"/>
      <c r="AE128" s="1507"/>
    </row>
    <row r="129" spans="1:31" s="1506" customFormat="1" x14ac:dyDescent="0.2">
      <c r="A129" s="1383"/>
      <c r="B129" s="1508"/>
      <c r="C129" s="1508"/>
      <c r="D129" s="1508"/>
      <c r="E129" s="1508"/>
      <c r="F129" s="1508"/>
      <c r="G129" s="1508"/>
      <c r="H129" s="1508"/>
      <c r="I129" s="1508"/>
      <c r="J129" s="1508"/>
      <c r="K129" s="1508"/>
      <c r="L129" s="1508"/>
      <c r="M129" s="1508"/>
      <c r="N129" s="1508"/>
      <c r="O129" s="1508"/>
      <c r="P129" s="1508"/>
      <c r="Q129" s="1508"/>
      <c r="R129" s="1508"/>
      <c r="S129" s="1508"/>
      <c r="T129" s="1508"/>
      <c r="U129" s="1504"/>
      <c r="V129" s="1505"/>
      <c r="Y129" s="1507"/>
      <c r="Z129" s="1507"/>
      <c r="AA129" s="1507"/>
      <c r="AB129" s="1507"/>
      <c r="AC129" s="1507"/>
      <c r="AD129" s="1507"/>
      <c r="AE129" s="1507"/>
    </row>
    <row r="130" spans="1:31" s="1506" customFormat="1" ht="15.75" thickBot="1" x14ac:dyDescent="0.25">
      <c r="A130" s="1419"/>
      <c r="B130" s="1509"/>
      <c r="C130" s="1509"/>
      <c r="D130" s="1509"/>
      <c r="E130" s="1509"/>
      <c r="F130" s="1509"/>
      <c r="G130" s="1509"/>
      <c r="H130" s="1509"/>
      <c r="I130" s="1509"/>
      <c r="J130" s="1509"/>
      <c r="K130" s="1509"/>
      <c r="L130" s="1509"/>
      <c r="M130" s="1509"/>
      <c r="N130" s="1509"/>
      <c r="O130" s="1509"/>
      <c r="P130" s="1509"/>
      <c r="Q130" s="1509"/>
      <c r="R130" s="1509"/>
      <c r="S130" s="1509"/>
      <c r="T130" s="1509"/>
      <c r="U130" s="1510"/>
      <c r="V130" s="1505"/>
      <c r="Y130" s="1507"/>
      <c r="Z130" s="1507"/>
      <c r="AA130" s="1507"/>
      <c r="AB130" s="1507"/>
      <c r="AC130" s="1507"/>
      <c r="AD130" s="1507"/>
      <c r="AE130" s="1507"/>
    </row>
    <row r="131" spans="1:31" s="1506" customFormat="1" ht="16.5" hidden="1" thickBot="1" x14ac:dyDescent="0.3">
      <c r="A131" s="1511"/>
      <c r="B131" s="1512"/>
      <c r="C131" s="1513" t="e">
        <f>+IF(B152=0,"","Please investigate the error messages shown below and make the appropriate changes to the form.  Any comments should be added at the bottom of Part 4")</f>
        <v>#N/A</v>
      </c>
      <c r="D131" s="1514"/>
      <c r="E131" s="1514"/>
      <c r="F131" s="1514"/>
      <c r="G131" s="1514"/>
      <c r="H131" s="1514"/>
      <c r="I131" s="1514"/>
      <c r="J131" s="1514"/>
      <c r="K131" s="1514"/>
      <c r="L131" s="1515"/>
      <c r="M131" s="1515"/>
      <c r="N131" s="1515"/>
      <c r="O131" s="1515"/>
      <c r="P131" s="1515"/>
      <c r="Q131" s="1515"/>
      <c r="R131" s="1515"/>
      <c r="S131" s="1515"/>
      <c r="T131" s="1516"/>
      <c r="U131" s="1517"/>
      <c r="V131" s="1505"/>
      <c r="W131" s="1518"/>
      <c r="Y131" s="1507"/>
      <c r="Z131" s="1507"/>
      <c r="AA131" s="1507"/>
      <c r="AB131" s="1507"/>
      <c r="AC131" s="1507"/>
      <c r="AD131" s="1507"/>
      <c r="AE131" s="1507"/>
    </row>
    <row r="132" spans="1:31" s="1506" customFormat="1" ht="16.5" hidden="1" thickBot="1" x14ac:dyDescent="0.3">
      <c r="A132" s="1511"/>
      <c r="B132" s="1519"/>
      <c r="C132" s="1520"/>
      <c r="D132" s="1520"/>
      <c r="E132" s="1520"/>
      <c r="F132" s="1520"/>
      <c r="G132" s="1520"/>
      <c r="H132" s="1520"/>
      <c r="I132" s="1520"/>
      <c r="J132" s="1520"/>
      <c r="K132" s="1520"/>
      <c r="L132" s="1521"/>
      <c r="M132" s="1521"/>
      <c r="N132" s="1521"/>
      <c r="O132" s="1521"/>
      <c r="P132" s="1521"/>
      <c r="Q132" s="1521"/>
      <c r="R132" s="1521"/>
      <c r="S132" s="1521"/>
      <c r="T132" s="1522"/>
      <c r="U132" s="1517"/>
      <c r="V132" s="1505"/>
      <c r="W132" s="1518"/>
      <c r="Y132" s="1507"/>
      <c r="Z132" s="1507"/>
      <c r="AA132" s="1507"/>
      <c r="AB132" s="1507"/>
      <c r="AC132" s="1507"/>
      <c r="AD132" s="1507"/>
      <c r="AE132" s="1507"/>
    </row>
    <row r="133" spans="1:31" s="1506" customFormat="1" ht="16.5" hidden="1" thickBot="1" x14ac:dyDescent="0.3">
      <c r="A133" s="1523" t="e">
        <f t="shared" ref="A133:A151" si="1">+IF(C133="",0,1)</f>
        <v>#N/A</v>
      </c>
      <c r="B133" s="1519"/>
      <c r="C133" s="1646" t="e">
        <f>IF(W98=0,"","Line 14 column 5 doesn't equal line 12. Please check why.")</f>
        <v>#N/A</v>
      </c>
      <c r="D133" s="1646"/>
      <c r="E133" s="1646"/>
      <c r="F133" s="1646"/>
      <c r="G133" s="1646"/>
      <c r="H133" s="1646"/>
      <c r="I133" s="1646"/>
      <c r="J133" s="1646"/>
      <c r="K133" s="1646"/>
      <c r="L133" s="1521"/>
      <c r="M133" s="1521"/>
      <c r="N133" s="1521"/>
      <c r="O133" s="1521"/>
      <c r="P133" s="1521"/>
      <c r="Q133" s="1521"/>
      <c r="R133" s="1521"/>
      <c r="S133" s="1521"/>
      <c r="T133" s="1522"/>
      <c r="U133" s="1517"/>
      <c r="V133" s="1505"/>
      <c r="W133" s="1518"/>
      <c r="Y133" s="1507"/>
      <c r="Z133" s="1507"/>
      <c r="AA133" s="1507"/>
      <c r="AB133" s="1507"/>
      <c r="AC133" s="1507"/>
      <c r="AD133" s="1507"/>
      <c r="AE133" s="1507"/>
    </row>
    <row r="134" spans="1:31" s="1506" customFormat="1" ht="16.5" hidden="1" thickBot="1" x14ac:dyDescent="0.3">
      <c r="A134" s="1523"/>
      <c r="B134" s="1519"/>
      <c r="C134" s="1646"/>
      <c r="D134" s="1646"/>
      <c r="E134" s="1646"/>
      <c r="F134" s="1646"/>
      <c r="G134" s="1646"/>
      <c r="H134" s="1646"/>
      <c r="I134" s="1646"/>
      <c r="J134" s="1646"/>
      <c r="K134" s="1646"/>
      <c r="L134" s="1521"/>
      <c r="M134" s="1521"/>
      <c r="N134" s="1521"/>
      <c r="O134" s="1521"/>
      <c r="P134" s="1521"/>
      <c r="Q134" s="1521"/>
      <c r="R134" s="1521"/>
      <c r="S134" s="1521"/>
      <c r="T134" s="1522"/>
      <c r="U134" s="1517"/>
      <c r="V134" s="1505"/>
      <c r="W134" s="1518"/>
      <c r="Y134" s="1507"/>
      <c r="Z134" s="1507"/>
      <c r="AA134" s="1507"/>
      <c r="AB134" s="1507"/>
      <c r="AC134" s="1507"/>
      <c r="AD134" s="1507"/>
      <c r="AE134" s="1507"/>
    </row>
    <row r="135" spans="1:31" s="1506" customFormat="1" ht="16.5" hidden="1" thickBot="1" x14ac:dyDescent="0.3">
      <c r="A135" s="1523" t="e">
        <f t="shared" si="1"/>
        <v>#N/A</v>
      </c>
      <c r="B135" s="1519"/>
      <c r="C135" s="1524" t="e">
        <f>IF(W100=0,"","Line 14 column 5 doesn't equal the sum of columns 1 to 4. Please check why.")</f>
        <v>#N/A</v>
      </c>
      <c r="D135" s="1524"/>
      <c r="E135" s="1524"/>
      <c r="F135" s="1524"/>
      <c r="G135" s="1524"/>
      <c r="H135" s="1524"/>
      <c r="I135" s="1524"/>
      <c r="J135" s="1524"/>
      <c r="K135" s="1524"/>
      <c r="L135" s="1521"/>
      <c r="M135" s="1521"/>
      <c r="N135" s="1521"/>
      <c r="O135" s="1521"/>
      <c r="P135" s="1521"/>
      <c r="Q135" s="1521"/>
      <c r="R135" s="1521"/>
      <c r="S135" s="1521"/>
      <c r="T135" s="1522"/>
      <c r="U135" s="1517"/>
      <c r="V135" s="1505"/>
      <c r="W135" s="1518"/>
      <c r="Y135" s="1507"/>
      <c r="Z135" s="1507"/>
      <c r="AA135" s="1507"/>
      <c r="AB135" s="1507"/>
      <c r="AC135" s="1507"/>
      <c r="AD135" s="1507"/>
      <c r="AE135" s="1507"/>
    </row>
    <row r="136" spans="1:31" s="1506" customFormat="1" ht="16.5" hidden="1" thickBot="1" x14ac:dyDescent="0.3">
      <c r="A136" s="1523"/>
      <c r="B136" s="1519"/>
      <c r="C136" s="1646"/>
      <c r="D136" s="1646"/>
      <c r="E136" s="1646"/>
      <c r="F136" s="1646"/>
      <c r="G136" s="1646"/>
      <c r="H136" s="1646"/>
      <c r="I136" s="1646"/>
      <c r="J136" s="1646"/>
      <c r="K136" s="1646"/>
      <c r="L136" s="1521"/>
      <c r="M136" s="1521"/>
      <c r="N136" s="1521"/>
      <c r="O136" s="1521"/>
      <c r="P136" s="1521"/>
      <c r="Q136" s="1521"/>
      <c r="R136" s="1521"/>
      <c r="S136" s="1521"/>
      <c r="T136" s="1522"/>
      <c r="U136" s="1517"/>
      <c r="V136" s="1505"/>
      <c r="W136" s="1525"/>
      <c r="Y136" s="1507"/>
    </row>
    <row r="137" spans="1:31" s="1506" customFormat="1" ht="16.5" hidden="1" thickBot="1" x14ac:dyDescent="0.3">
      <c r="A137" s="1523" t="e">
        <f t="shared" si="1"/>
        <v>#N/A</v>
      </c>
      <c r="B137" s="1519"/>
      <c r="C137" s="1646" t="e">
        <f>IF(W104=0,"","Line 16 column 1 doesn't equal line 14 col 1 less line 15 col 1. Please check why.")</f>
        <v>#N/A</v>
      </c>
      <c r="D137" s="1646"/>
      <c r="E137" s="1646"/>
      <c r="F137" s="1646"/>
      <c r="G137" s="1646"/>
      <c r="H137" s="1646"/>
      <c r="I137" s="1646"/>
      <c r="J137" s="1646"/>
      <c r="K137" s="1646"/>
      <c r="L137" s="1521"/>
      <c r="M137" s="1521"/>
      <c r="N137" s="1521"/>
      <c r="O137" s="1521"/>
      <c r="P137" s="1521"/>
      <c r="Q137" s="1521"/>
      <c r="R137" s="1521"/>
      <c r="S137" s="1521"/>
      <c r="T137" s="1522"/>
      <c r="U137" s="1517"/>
      <c r="V137" s="1505"/>
      <c r="W137" s="1518"/>
    </row>
    <row r="138" spans="1:31" s="1506" customFormat="1" ht="16.5" hidden="1" thickBot="1" x14ac:dyDescent="0.3">
      <c r="A138" s="1523"/>
      <c r="B138" s="1519"/>
      <c r="C138" s="1524"/>
      <c r="D138" s="1524"/>
      <c r="E138" s="1524"/>
      <c r="F138" s="1524"/>
      <c r="G138" s="1524"/>
      <c r="H138" s="1524"/>
      <c r="I138" s="1524"/>
      <c r="J138" s="1524"/>
      <c r="K138" s="1524"/>
      <c r="L138" s="1521"/>
      <c r="M138" s="1521"/>
      <c r="N138" s="1521"/>
      <c r="O138" s="1521"/>
      <c r="P138" s="1521"/>
      <c r="Q138" s="1521"/>
      <c r="R138" s="1521"/>
      <c r="S138" s="1521"/>
      <c r="T138" s="1522"/>
      <c r="U138" s="1517"/>
      <c r="V138" s="1505"/>
      <c r="W138" s="1518"/>
    </row>
    <row r="139" spans="1:31" s="1506" customFormat="1" ht="16.5" hidden="1" thickBot="1" x14ac:dyDescent="0.3">
      <c r="A139" s="1523" t="e">
        <f t="shared" si="1"/>
        <v>#N/A</v>
      </c>
      <c r="B139" s="1519"/>
      <c r="C139" s="1646" t="e">
        <f>IF(W106=0,"","Line 17 column 5 doesn't equal column 2. Please check why.")</f>
        <v>#N/A</v>
      </c>
      <c r="D139" s="1646"/>
      <c r="E139" s="1646"/>
      <c r="F139" s="1646"/>
      <c r="G139" s="1646"/>
      <c r="H139" s="1646"/>
      <c r="I139" s="1646"/>
      <c r="J139" s="1646"/>
      <c r="K139" s="1646"/>
      <c r="L139" s="1521"/>
      <c r="M139" s="1521"/>
      <c r="N139" s="1521"/>
      <c r="O139" s="1521"/>
      <c r="P139" s="1521"/>
      <c r="Q139" s="1521"/>
      <c r="R139" s="1521"/>
      <c r="S139" s="1521"/>
      <c r="T139" s="1522"/>
      <c r="U139" s="1517"/>
      <c r="V139" s="1505"/>
      <c r="W139" s="1518"/>
    </row>
    <row r="140" spans="1:31" s="1506" customFormat="1" ht="16.5" hidden="1" thickBot="1" x14ac:dyDescent="0.3">
      <c r="A140" s="1523"/>
      <c r="B140" s="1519"/>
      <c r="C140" s="1646"/>
      <c r="D140" s="1646"/>
      <c r="E140" s="1646"/>
      <c r="F140" s="1646"/>
      <c r="G140" s="1646"/>
      <c r="H140" s="1646"/>
      <c r="I140" s="1646"/>
      <c r="J140" s="1646"/>
      <c r="K140" s="1646"/>
      <c r="L140" s="1521"/>
      <c r="M140" s="1521"/>
      <c r="N140" s="1521"/>
      <c r="O140" s="1521"/>
      <c r="P140" s="1521"/>
      <c r="Q140" s="1521"/>
      <c r="R140" s="1521"/>
      <c r="S140" s="1521"/>
      <c r="T140" s="1522"/>
      <c r="U140" s="1517"/>
      <c r="V140" s="1505"/>
      <c r="W140" s="1518"/>
    </row>
    <row r="141" spans="1:31" s="1506" customFormat="1" ht="16.5" hidden="1" thickBot="1" x14ac:dyDescent="0.3">
      <c r="A141" s="1523" t="e">
        <f t="shared" si="1"/>
        <v>#N/A</v>
      </c>
      <c r="B141" s="1519"/>
      <c r="C141" s="1646" t="e">
        <f>IF(W108=0,"","Line 18 column 5 doesn't equal column 2. Please check why.")</f>
        <v>#N/A</v>
      </c>
      <c r="D141" s="1646"/>
      <c r="E141" s="1646"/>
      <c r="F141" s="1646"/>
      <c r="G141" s="1646"/>
      <c r="H141" s="1646"/>
      <c r="I141" s="1646"/>
      <c r="J141" s="1646"/>
      <c r="K141" s="1646"/>
      <c r="L141" s="1521"/>
      <c r="M141" s="1521"/>
      <c r="N141" s="1521"/>
      <c r="O141" s="1521"/>
      <c r="P141" s="1521"/>
      <c r="Q141" s="1521"/>
      <c r="R141" s="1521"/>
      <c r="S141" s="1521"/>
      <c r="T141" s="1522"/>
      <c r="U141" s="1517"/>
      <c r="V141" s="1505"/>
      <c r="W141" s="1518"/>
    </row>
    <row r="142" spans="1:31" s="1506" customFormat="1" ht="16.5" hidden="1" thickBot="1" x14ac:dyDescent="0.3">
      <c r="A142" s="1523"/>
      <c r="B142" s="1519"/>
      <c r="C142" s="1646"/>
      <c r="D142" s="1646"/>
      <c r="E142" s="1646"/>
      <c r="F142" s="1646"/>
      <c r="G142" s="1646"/>
      <c r="H142" s="1646"/>
      <c r="I142" s="1646"/>
      <c r="J142" s="1646"/>
      <c r="K142" s="1646"/>
      <c r="L142" s="1521"/>
      <c r="M142" s="1521"/>
      <c r="N142" s="1521"/>
      <c r="O142" s="1521"/>
      <c r="P142" s="1521"/>
      <c r="Q142" s="1521"/>
      <c r="R142" s="1521"/>
      <c r="S142" s="1521"/>
      <c r="T142" s="1522"/>
      <c r="U142" s="1517"/>
      <c r="V142" s="1505"/>
    </row>
    <row r="143" spans="1:31" s="1506" customFormat="1" ht="16.5" hidden="1" thickBot="1" x14ac:dyDescent="0.3">
      <c r="A143" s="1523" t="e">
        <f t="shared" si="1"/>
        <v>#N/A</v>
      </c>
      <c r="B143" s="1519"/>
      <c r="C143" s="1646" t="e">
        <f>IF(W110=0,"","Line 19 column 5 doesn't equal column 2 plus column 3. Please check why.")</f>
        <v>#N/A</v>
      </c>
      <c r="D143" s="1646"/>
      <c r="E143" s="1646"/>
      <c r="F143" s="1646"/>
      <c r="G143" s="1646"/>
      <c r="H143" s="1646"/>
      <c r="I143" s="1646"/>
      <c r="J143" s="1646"/>
      <c r="K143" s="1646"/>
      <c r="L143" s="1521"/>
      <c r="M143" s="1521"/>
      <c r="N143" s="1521"/>
      <c r="O143" s="1521"/>
      <c r="P143" s="1521"/>
      <c r="Q143" s="1521"/>
      <c r="R143" s="1521"/>
      <c r="S143" s="1521"/>
      <c r="T143" s="1522"/>
      <c r="U143" s="1517"/>
      <c r="V143" s="1505"/>
    </row>
    <row r="144" spans="1:31" s="1506" customFormat="1" ht="16.5" hidden="1" thickBot="1" x14ac:dyDescent="0.3">
      <c r="A144" s="1523"/>
      <c r="B144" s="1519"/>
      <c r="C144" s="1524"/>
      <c r="D144" s="1524"/>
      <c r="E144" s="1524"/>
      <c r="F144" s="1524"/>
      <c r="G144" s="1524"/>
      <c r="H144" s="1524"/>
      <c r="I144" s="1524"/>
      <c r="J144" s="1524"/>
      <c r="K144" s="1524"/>
      <c r="L144" s="1521"/>
      <c r="M144" s="1521"/>
      <c r="N144" s="1521"/>
      <c r="O144" s="1521"/>
      <c r="P144" s="1521"/>
      <c r="Q144" s="1521"/>
      <c r="R144" s="1521"/>
      <c r="S144" s="1521"/>
      <c r="T144" s="1522"/>
      <c r="U144" s="1526"/>
      <c r="V144" s="1505"/>
    </row>
    <row r="145" spans="1:251" s="1506" customFormat="1" ht="16.5" hidden="1" thickBot="1" x14ac:dyDescent="0.3">
      <c r="A145" s="1523" t="e">
        <f t="shared" si="1"/>
        <v>#N/A</v>
      </c>
      <c r="B145" s="1519"/>
      <c r="C145" s="1646" t="e">
        <f>IF(W112=0,"","Line 19 column 5 doesn't equal column 2 plus column 3. Please check why.")</f>
        <v>#N/A</v>
      </c>
      <c r="D145" s="1646"/>
      <c r="E145" s="1646"/>
      <c r="F145" s="1646"/>
      <c r="G145" s="1646"/>
      <c r="H145" s="1646"/>
      <c r="I145" s="1646"/>
      <c r="J145" s="1646"/>
      <c r="K145" s="1646"/>
      <c r="L145" s="1521"/>
      <c r="M145" s="1521"/>
      <c r="N145" s="1521"/>
      <c r="O145" s="1521"/>
      <c r="P145" s="1521"/>
      <c r="Q145" s="1521"/>
      <c r="R145" s="1521"/>
      <c r="S145" s="1521"/>
      <c r="T145" s="1522"/>
      <c r="U145" s="1526"/>
      <c r="V145" s="1505"/>
    </row>
    <row r="146" spans="1:251" s="1506" customFormat="1" ht="16.5" hidden="1" thickBot="1" x14ac:dyDescent="0.3">
      <c r="A146" s="1523"/>
      <c r="B146" s="1519"/>
      <c r="C146" s="1646"/>
      <c r="D146" s="1646"/>
      <c r="E146" s="1646"/>
      <c r="F146" s="1646"/>
      <c r="G146" s="1646"/>
      <c r="H146" s="1646"/>
      <c r="I146" s="1646"/>
      <c r="J146" s="1646"/>
      <c r="K146" s="1646"/>
      <c r="L146" s="1521"/>
      <c r="M146" s="1521"/>
      <c r="N146" s="1521"/>
      <c r="O146" s="1521"/>
      <c r="P146" s="1521"/>
      <c r="Q146" s="1521"/>
      <c r="R146" s="1521"/>
      <c r="S146" s="1521"/>
      <c r="T146" s="1522"/>
      <c r="U146" s="1517"/>
      <c r="V146" s="1505"/>
    </row>
    <row r="147" spans="1:251" s="1506" customFormat="1" ht="16.5" hidden="1" thickBot="1" x14ac:dyDescent="0.3">
      <c r="A147" s="1523" t="e">
        <f t="shared" si="1"/>
        <v>#N/A</v>
      </c>
      <c r="B147" s="1519"/>
      <c r="C147" s="1646" t="e">
        <f>IF(W114=0,"","Line 21 column 5 doesn't equal the sum of columns 2, 3 &amp; 4. Please check why.")</f>
        <v>#N/A</v>
      </c>
      <c r="D147" s="1646"/>
      <c r="E147" s="1646"/>
      <c r="F147" s="1646"/>
      <c r="G147" s="1646"/>
      <c r="H147" s="1646"/>
      <c r="I147" s="1646"/>
      <c r="J147" s="1646"/>
      <c r="K147" s="1646"/>
      <c r="L147" s="1521"/>
      <c r="M147" s="1521"/>
      <c r="N147" s="1521"/>
      <c r="O147" s="1521"/>
      <c r="P147" s="1521"/>
      <c r="Q147" s="1521"/>
      <c r="R147" s="1521"/>
      <c r="S147" s="1521"/>
      <c r="T147" s="1522"/>
      <c r="U147" s="1517"/>
      <c r="V147" s="1505"/>
    </row>
    <row r="148" spans="1:251" s="1506" customFormat="1" ht="16.5" hidden="1" thickBot="1" x14ac:dyDescent="0.3">
      <c r="A148" s="1523"/>
      <c r="B148" s="1519"/>
      <c r="C148" s="1646"/>
      <c r="D148" s="1646"/>
      <c r="E148" s="1646"/>
      <c r="F148" s="1646"/>
      <c r="G148" s="1646"/>
      <c r="H148" s="1646"/>
      <c r="I148" s="1646"/>
      <c r="J148" s="1646"/>
      <c r="K148" s="1646"/>
      <c r="L148" s="1521"/>
      <c r="M148" s="1521"/>
      <c r="N148" s="1521"/>
      <c r="O148" s="1521"/>
      <c r="P148" s="1521"/>
      <c r="Q148" s="1521"/>
      <c r="R148" s="1521"/>
      <c r="S148" s="1521"/>
      <c r="T148" s="1522"/>
      <c r="U148" s="1517"/>
      <c r="V148" s="1505"/>
    </row>
    <row r="149" spans="1:251" s="1506" customFormat="1" ht="16.5" hidden="1" thickBot="1" x14ac:dyDescent="0.3">
      <c r="A149" s="1523" t="e">
        <f t="shared" si="1"/>
        <v>#N/A</v>
      </c>
      <c r="B149" s="1519"/>
      <c r="C149" s="1646" t="e">
        <f>IF(W116=0,"","Line 22 column 5 doesn't equal column 2. Please check why.")</f>
        <v>#N/A</v>
      </c>
      <c r="D149" s="1646"/>
      <c r="E149" s="1646"/>
      <c r="F149" s="1646"/>
      <c r="G149" s="1646"/>
      <c r="H149" s="1646"/>
      <c r="I149" s="1646"/>
      <c r="J149" s="1646"/>
      <c r="K149" s="1646"/>
      <c r="L149" s="1521"/>
      <c r="M149" s="1521"/>
      <c r="N149" s="1521"/>
      <c r="O149" s="1521"/>
      <c r="P149" s="1521"/>
      <c r="Q149" s="1521"/>
      <c r="R149" s="1521"/>
      <c r="S149" s="1521"/>
      <c r="T149" s="1522"/>
      <c r="U149" s="1517"/>
      <c r="V149" s="1505"/>
    </row>
    <row r="150" spans="1:251" s="1506" customFormat="1" ht="16.5" hidden="1" thickBot="1" x14ac:dyDescent="0.3">
      <c r="A150" s="1523"/>
      <c r="B150" s="1519"/>
      <c r="C150" s="1524"/>
      <c r="D150" s="1524"/>
      <c r="E150" s="1524"/>
      <c r="F150" s="1524"/>
      <c r="G150" s="1524"/>
      <c r="H150" s="1524"/>
      <c r="I150" s="1524"/>
      <c r="J150" s="1524"/>
      <c r="K150" s="1524"/>
      <c r="L150" s="1521"/>
      <c r="M150" s="1521"/>
      <c r="N150" s="1521"/>
      <c r="O150" s="1521"/>
      <c r="P150" s="1521"/>
      <c r="Q150" s="1521"/>
      <c r="R150" s="1521"/>
      <c r="S150" s="1521"/>
      <c r="T150" s="1522"/>
      <c r="U150" s="1517"/>
      <c r="V150" s="1505"/>
      <c r="Y150" s="1507"/>
    </row>
    <row r="151" spans="1:251" s="1506" customFormat="1" ht="16.5" hidden="1" thickBot="1" x14ac:dyDescent="0.3">
      <c r="A151" s="1523">
        <f t="shared" si="1"/>
        <v>0</v>
      </c>
      <c r="B151" s="1519"/>
      <c r="C151" s="1524" t="str">
        <f>IF(W127=0,"","Line 25 column 5 doesn't equal the sum of columns 1 to 4. Please check why.")</f>
        <v/>
      </c>
      <c r="D151" s="1524"/>
      <c r="E151" s="1524"/>
      <c r="F151" s="1524"/>
      <c r="G151" s="1524"/>
      <c r="H151" s="1524"/>
      <c r="I151" s="1524"/>
      <c r="J151" s="1524"/>
      <c r="K151" s="1524"/>
      <c r="L151" s="1521"/>
      <c r="M151" s="1521"/>
      <c r="N151" s="1521"/>
      <c r="O151" s="1521"/>
      <c r="P151" s="1521"/>
      <c r="Q151" s="1521"/>
      <c r="R151" s="1521"/>
      <c r="S151" s="1521"/>
      <c r="T151" s="1522"/>
      <c r="U151" s="1517"/>
      <c r="V151" s="1505"/>
      <c r="X151" s="1507"/>
    </row>
    <row r="152" spans="1:251" s="1506" customFormat="1" ht="16.5" hidden="1" thickBot="1" x14ac:dyDescent="0.3">
      <c r="A152" s="1441"/>
      <c r="B152" s="1672" t="e">
        <f>SUM(A133:A151)</f>
        <v>#N/A</v>
      </c>
      <c r="C152" s="1673"/>
      <c r="D152" s="1673"/>
      <c r="E152" s="1673"/>
      <c r="F152" s="1673"/>
      <c r="G152" s="1673"/>
      <c r="H152" s="1673"/>
      <c r="I152" s="1527"/>
      <c r="J152" s="1527"/>
      <c r="K152" s="1527"/>
      <c r="L152" s="1528"/>
      <c r="M152" s="1528"/>
      <c r="N152" s="1528"/>
      <c r="O152" s="1528"/>
      <c r="P152" s="1528"/>
      <c r="Q152" s="1528"/>
      <c r="R152" s="1528"/>
      <c r="S152" s="1528"/>
      <c r="T152" s="1529"/>
      <c r="U152" s="1517"/>
      <c r="V152" s="1505"/>
      <c r="X152" s="1507"/>
    </row>
    <row r="153" spans="1:251" ht="15.75" hidden="1" thickBot="1" x14ac:dyDescent="0.25">
      <c r="A153" s="1445"/>
      <c r="B153" s="1446"/>
      <c r="C153" s="1671"/>
      <c r="D153" s="1671"/>
      <c r="E153" s="1671"/>
      <c r="F153" s="1671"/>
      <c r="G153" s="1671"/>
      <c r="H153" s="1671"/>
      <c r="I153" s="1671"/>
      <c r="J153" s="1446"/>
      <c r="K153" s="1446"/>
      <c r="L153" s="1446"/>
      <c r="M153" s="1446"/>
      <c r="N153" s="1446"/>
      <c r="O153" s="1446"/>
      <c r="P153" s="1446"/>
      <c r="Q153" s="1446"/>
      <c r="R153" s="1446"/>
      <c r="S153" s="1446"/>
      <c r="T153" s="1446"/>
      <c r="U153" s="1449"/>
      <c r="W153" s="9"/>
      <c r="X153" s="96"/>
    </row>
    <row r="154" spans="1:251" x14ac:dyDescent="0.2">
      <c r="A154" s="1530"/>
      <c r="B154" s="1530"/>
      <c r="C154" s="1530"/>
      <c r="D154" s="1530"/>
      <c r="E154" s="1530"/>
      <c r="F154" s="1530"/>
      <c r="G154" s="1530"/>
      <c r="H154" s="1530"/>
      <c r="I154" s="1530"/>
      <c r="J154" s="1530"/>
      <c r="K154" s="1530"/>
      <c r="L154" s="1530"/>
      <c r="M154" s="1530"/>
      <c r="N154" s="1530"/>
      <c r="O154" s="1530"/>
      <c r="P154" s="1530"/>
      <c r="Q154" s="1530"/>
      <c r="R154" s="1530"/>
      <c r="S154" s="1530"/>
      <c r="T154" s="1530"/>
      <c r="U154" s="1531"/>
      <c r="W154" s="9"/>
    </row>
    <row r="155" spans="1:251" ht="15.75" x14ac:dyDescent="0.25">
      <c r="A155" s="1532"/>
      <c r="B155" s="2"/>
      <c r="C155" s="11" t="e">
        <f>+CONCATENATE("Local Authority : ",+'Part 1'!$K$15)</f>
        <v>#N/A</v>
      </c>
      <c r="D155" s="2"/>
      <c r="E155" s="2"/>
      <c r="F155" s="2"/>
      <c r="G155" s="2"/>
      <c r="H155" s="2"/>
      <c r="I155" s="2"/>
      <c r="J155" s="2"/>
      <c r="K155" s="2"/>
      <c r="L155" s="2"/>
      <c r="M155" s="2"/>
      <c r="N155" s="2"/>
      <c r="O155" s="2"/>
      <c r="P155" s="2"/>
      <c r="Q155" s="2"/>
      <c r="R155" s="2"/>
      <c r="S155" s="1451"/>
      <c r="T155" s="2"/>
      <c r="U155" s="1384"/>
      <c r="W155" s="9"/>
    </row>
    <row r="156" spans="1:251" ht="15.75" x14ac:dyDescent="0.25">
      <c r="A156" s="1532"/>
      <c r="B156" s="2"/>
      <c r="C156" s="11"/>
      <c r="D156" s="2"/>
      <c r="E156" s="2"/>
      <c r="F156" s="2"/>
      <c r="G156" s="2"/>
      <c r="H156" s="2"/>
      <c r="I156" s="2"/>
      <c r="J156" s="2"/>
      <c r="K156" s="2"/>
      <c r="L156" s="2"/>
      <c r="M156" s="2"/>
      <c r="N156" s="2"/>
      <c r="O156" s="2"/>
      <c r="P156" s="2"/>
      <c r="Q156" s="2"/>
      <c r="R156" s="2"/>
      <c r="S156" s="2"/>
      <c r="T156" s="2"/>
      <c r="U156" s="1384"/>
      <c r="W156" s="9"/>
    </row>
    <row r="157" spans="1:251" ht="15.75" x14ac:dyDescent="0.25">
      <c r="A157" s="1532"/>
      <c r="B157" s="2"/>
      <c r="C157" s="12" t="s">
        <v>3393</v>
      </c>
      <c r="D157" s="2"/>
      <c r="E157" s="2"/>
      <c r="F157" s="2"/>
      <c r="G157" s="2"/>
      <c r="H157" s="2"/>
      <c r="I157" s="2"/>
      <c r="J157" s="2"/>
      <c r="K157" s="2"/>
      <c r="L157" s="2"/>
      <c r="M157" s="2"/>
      <c r="N157" s="2"/>
      <c r="O157" s="2"/>
      <c r="P157" s="2"/>
      <c r="Q157" s="2"/>
      <c r="R157" s="2"/>
      <c r="S157" s="2"/>
      <c r="T157" s="2"/>
      <c r="U157" s="1384"/>
      <c r="V157" s="400"/>
      <c r="W157" s="9"/>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c r="BP157" s="400"/>
      <c r="BQ157" s="400"/>
      <c r="BR157" s="400"/>
      <c r="BS157" s="400"/>
      <c r="BT157" s="400"/>
      <c r="BU157" s="400"/>
      <c r="BV157" s="400"/>
      <c r="BW157" s="400"/>
      <c r="BX157" s="400"/>
      <c r="BY157" s="400"/>
      <c r="BZ157" s="400"/>
      <c r="CA157" s="400"/>
      <c r="CB157" s="400"/>
      <c r="CC157" s="400"/>
      <c r="CD157" s="400"/>
      <c r="CE157" s="400"/>
      <c r="CF157" s="400"/>
      <c r="CG157" s="400"/>
      <c r="CH157" s="400"/>
      <c r="CI157" s="400"/>
      <c r="CJ157" s="400"/>
      <c r="CK157" s="400"/>
      <c r="CL157" s="400"/>
      <c r="CM157" s="400"/>
      <c r="CN157" s="400"/>
      <c r="CO157" s="400"/>
      <c r="CP157" s="400"/>
      <c r="CQ157" s="400"/>
      <c r="CR157" s="400"/>
      <c r="CS157" s="400"/>
      <c r="CT157" s="400"/>
      <c r="CU157" s="400"/>
      <c r="CV157" s="400"/>
      <c r="CW157" s="400"/>
      <c r="CX157" s="400"/>
      <c r="CY157" s="400"/>
      <c r="CZ157" s="400"/>
      <c r="DA157" s="400"/>
      <c r="DB157" s="400"/>
      <c r="DC157" s="400"/>
      <c r="DD157" s="400"/>
      <c r="DE157" s="400"/>
      <c r="DF157" s="400"/>
      <c r="DG157" s="400"/>
      <c r="DH157" s="400"/>
      <c r="DI157" s="400"/>
      <c r="DJ157" s="400"/>
      <c r="DK157" s="400"/>
      <c r="DL157" s="400"/>
      <c r="DM157" s="400"/>
      <c r="DN157" s="400"/>
      <c r="DO157" s="400"/>
      <c r="DP157" s="400"/>
      <c r="DQ157" s="400"/>
      <c r="DR157" s="400"/>
      <c r="DS157" s="400"/>
      <c r="DT157" s="400"/>
      <c r="DU157" s="400"/>
      <c r="DV157" s="400"/>
      <c r="DW157" s="400"/>
      <c r="DX157" s="400"/>
      <c r="DY157" s="400"/>
      <c r="DZ157" s="400"/>
      <c r="EA157" s="400"/>
      <c r="EB157" s="400"/>
      <c r="EC157" s="400"/>
      <c r="ED157" s="400"/>
      <c r="EE157" s="400"/>
      <c r="EF157" s="400"/>
      <c r="EG157" s="400"/>
      <c r="EH157" s="400"/>
      <c r="EI157" s="400"/>
      <c r="EJ157" s="400"/>
      <c r="EK157" s="400"/>
      <c r="EL157" s="400"/>
      <c r="EM157" s="400"/>
      <c r="EN157" s="400"/>
      <c r="EO157" s="400"/>
      <c r="EP157" s="400"/>
      <c r="EQ157" s="400"/>
      <c r="ER157" s="400"/>
      <c r="ES157" s="400"/>
      <c r="ET157" s="400"/>
      <c r="EU157" s="400"/>
      <c r="EV157" s="400"/>
      <c r="EW157" s="400"/>
      <c r="EX157" s="400"/>
      <c r="EY157" s="400"/>
      <c r="EZ157" s="400"/>
      <c r="FA157" s="400"/>
      <c r="FB157" s="400"/>
      <c r="FC157" s="400"/>
      <c r="FD157" s="400"/>
      <c r="FE157" s="400"/>
      <c r="FF157" s="400"/>
      <c r="FG157" s="400"/>
      <c r="FH157" s="400"/>
      <c r="FI157" s="400"/>
      <c r="FJ157" s="400"/>
      <c r="FK157" s="400"/>
      <c r="FL157" s="400"/>
      <c r="FM157" s="400"/>
      <c r="FN157" s="400"/>
      <c r="FO157" s="400"/>
      <c r="FP157" s="400"/>
      <c r="FQ157" s="400"/>
      <c r="FR157" s="400"/>
      <c r="FS157" s="400"/>
      <c r="FT157" s="400"/>
      <c r="FU157" s="400"/>
      <c r="FV157" s="400"/>
      <c r="FW157" s="400"/>
      <c r="FX157" s="400"/>
      <c r="FY157" s="400"/>
    </row>
    <row r="158" spans="1:251" ht="15.75" x14ac:dyDescent="0.25">
      <c r="A158" s="1533"/>
      <c r="B158" s="194"/>
      <c r="C158" s="194" t="s">
        <v>890</v>
      </c>
      <c r="D158" s="194"/>
      <c r="E158" s="194"/>
      <c r="F158" s="194"/>
      <c r="G158" s="194"/>
      <c r="H158" s="194"/>
      <c r="I158" s="194"/>
      <c r="J158" s="194"/>
      <c r="K158" s="194"/>
      <c r="L158" s="194"/>
      <c r="M158" s="194"/>
      <c r="N158" s="194"/>
      <c r="O158" s="194"/>
      <c r="P158" s="194"/>
      <c r="Q158" s="194"/>
      <c r="R158" s="194"/>
      <c r="S158" s="194"/>
      <c r="T158" s="194"/>
      <c r="U158" s="1534"/>
      <c r="V158" s="399"/>
      <c r="X158" s="1535"/>
      <c r="Y158" s="1535"/>
      <c r="Z158" s="1535"/>
      <c r="AA158" s="1535"/>
      <c r="AB158" s="1535"/>
      <c r="AC158" s="1535"/>
      <c r="AD158" s="1535"/>
      <c r="AE158" s="1535"/>
      <c r="AF158" s="1535"/>
      <c r="AG158" s="1535"/>
      <c r="AH158" s="1535"/>
      <c r="AI158" s="1535"/>
      <c r="AJ158" s="1535"/>
      <c r="AK158" s="1535"/>
      <c r="AL158" s="1535"/>
      <c r="AM158" s="1535"/>
      <c r="AN158" s="399"/>
      <c r="AO158" s="399"/>
      <c r="AP158" s="399"/>
      <c r="AQ158" s="399"/>
      <c r="AR158" s="399"/>
      <c r="AS158" s="399"/>
      <c r="AT158" s="399"/>
      <c r="AU158" s="399"/>
      <c r="AV158" s="399"/>
      <c r="AW158" s="399"/>
      <c r="AX158" s="399"/>
      <c r="AY158" s="399"/>
      <c r="AZ158" s="399"/>
      <c r="BA158" s="399"/>
      <c r="BB158" s="399"/>
      <c r="BC158" s="399"/>
      <c r="BD158" s="399"/>
      <c r="BE158" s="399"/>
      <c r="BF158" s="399"/>
      <c r="BG158" s="399"/>
      <c r="BH158" s="399"/>
      <c r="BI158" s="399"/>
      <c r="BJ158" s="399"/>
      <c r="BK158" s="399"/>
      <c r="BL158" s="399"/>
      <c r="BM158" s="399"/>
      <c r="BN158" s="399"/>
      <c r="BO158" s="399"/>
      <c r="BP158" s="399"/>
      <c r="BQ158" s="399"/>
      <c r="BR158" s="399"/>
      <c r="BS158" s="399"/>
      <c r="BT158" s="399"/>
      <c r="BU158" s="399"/>
      <c r="BV158" s="399"/>
      <c r="BW158" s="399"/>
      <c r="BX158" s="399"/>
      <c r="BY158" s="399"/>
      <c r="BZ158" s="399"/>
      <c r="CA158" s="399"/>
      <c r="CB158" s="399"/>
      <c r="CC158" s="399"/>
      <c r="CD158" s="399"/>
      <c r="CE158" s="399"/>
      <c r="CF158" s="399"/>
      <c r="CG158" s="399"/>
      <c r="CH158" s="399"/>
      <c r="CI158" s="399"/>
      <c r="CJ158" s="399"/>
      <c r="CK158" s="399"/>
      <c r="CL158" s="399"/>
      <c r="CM158" s="399"/>
      <c r="CN158" s="399"/>
      <c r="CO158" s="399"/>
      <c r="CP158" s="399"/>
      <c r="CQ158" s="399"/>
      <c r="CR158" s="399"/>
      <c r="CS158" s="399"/>
      <c r="CT158" s="399"/>
      <c r="CU158" s="399"/>
      <c r="CV158" s="399"/>
      <c r="CW158" s="399"/>
      <c r="CX158" s="399"/>
      <c r="CY158" s="399"/>
      <c r="CZ158" s="399"/>
      <c r="DA158" s="399"/>
      <c r="DB158" s="399"/>
      <c r="DC158" s="399"/>
      <c r="DD158" s="399"/>
      <c r="DE158" s="399"/>
      <c r="DF158" s="399"/>
      <c r="DG158" s="399"/>
      <c r="DH158" s="399"/>
      <c r="DI158" s="399"/>
      <c r="DJ158" s="399"/>
      <c r="DK158" s="399"/>
      <c r="DL158" s="399"/>
      <c r="DM158" s="399"/>
      <c r="DN158" s="399"/>
      <c r="DO158" s="399"/>
      <c r="DP158" s="399"/>
      <c r="DQ158" s="399"/>
      <c r="DR158" s="399"/>
      <c r="DS158" s="399"/>
      <c r="DT158" s="399"/>
      <c r="DU158" s="399"/>
      <c r="DV158" s="399"/>
      <c r="DW158" s="399"/>
      <c r="DX158" s="399"/>
      <c r="DY158" s="399"/>
      <c r="DZ158" s="399"/>
      <c r="EA158" s="399"/>
      <c r="EB158" s="399"/>
      <c r="EC158" s="399"/>
      <c r="ED158" s="399"/>
      <c r="EE158" s="399"/>
      <c r="EF158" s="399"/>
      <c r="EG158" s="399"/>
      <c r="EH158" s="399"/>
      <c r="EI158" s="399"/>
      <c r="EJ158" s="399"/>
      <c r="EK158" s="399"/>
      <c r="EL158" s="399"/>
      <c r="EM158" s="399"/>
      <c r="EN158" s="399"/>
      <c r="EO158" s="399"/>
      <c r="EP158" s="399"/>
      <c r="EQ158" s="399"/>
      <c r="ER158" s="399"/>
      <c r="ES158" s="399"/>
      <c r="ET158" s="399"/>
      <c r="EU158" s="399"/>
      <c r="EV158" s="399"/>
      <c r="EW158" s="399"/>
      <c r="EX158" s="399"/>
      <c r="EY158" s="399"/>
      <c r="EZ158" s="399"/>
      <c r="FA158" s="399"/>
      <c r="FB158" s="399"/>
      <c r="FC158" s="399"/>
      <c r="FD158" s="399"/>
      <c r="FE158" s="399"/>
      <c r="FF158" s="399"/>
      <c r="FG158" s="399"/>
      <c r="FH158" s="399"/>
      <c r="FI158" s="399"/>
      <c r="FJ158" s="399"/>
      <c r="FK158" s="399"/>
      <c r="FL158" s="399"/>
      <c r="FM158" s="399"/>
      <c r="FN158" s="399"/>
      <c r="FO158" s="399"/>
      <c r="FP158" s="399"/>
      <c r="FQ158" s="399"/>
      <c r="FR158" s="399"/>
      <c r="FS158" s="399"/>
      <c r="FT158" s="399"/>
      <c r="FU158" s="399"/>
      <c r="FV158" s="399"/>
      <c r="FW158" s="399"/>
      <c r="FX158" s="399"/>
      <c r="FY158" s="399"/>
      <c r="FZ158" s="194"/>
      <c r="GA158" s="194"/>
      <c r="GB158" s="194"/>
      <c r="GC158" s="194"/>
      <c r="GD158" s="194"/>
      <c r="GE158" s="194"/>
      <c r="GF158" s="194"/>
      <c r="GG158" s="194"/>
      <c r="GH158" s="194"/>
      <c r="GI158" s="194"/>
      <c r="GJ158" s="194"/>
      <c r="GK158" s="194"/>
      <c r="GL158" s="194"/>
      <c r="GM158" s="194"/>
      <c r="GN158" s="194"/>
      <c r="GO158" s="194"/>
      <c r="GP158" s="194"/>
      <c r="GQ158" s="194"/>
      <c r="GR158" s="194"/>
      <c r="GS158" s="194"/>
      <c r="GT158" s="194"/>
      <c r="GU158" s="194"/>
      <c r="GV158" s="194"/>
      <c r="GW158" s="194"/>
      <c r="GX158" s="194"/>
      <c r="GY158" s="194"/>
      <c r="GZ158" s="194"/>
      <c r="HA158" s="194"/>
      <c r="HB158" s="194"/>
      <c r="HC158" s="194"/>
      <c r="HD158" s="194"/>
      <c r="HE158" s="194"/>
      <c r="HF158" s="194"/>
      <c r="HG158" s="194"/>
      <c r="HH158" s="194"/>
      <c r="HI158" s="194"/>
      <c r="HJ158" s="194"/>
      <c r="HK158" s="194"/>
      <c r="HL158" s="194"/>
      <c r="HM158" s="194"/>
      <c r="HN158" s="194"/>
      <c r="HO158" s="194"/>
      <c r="HP158" s="194"/>
      <c r="HQ158" s="194"/>
      <c r="HR158" s="194"/>
      <c r="HS158" s="194"/>
      <c r="HT158" s="194"/>
      <c r="HU158" s="194"/>
      <c r="HV158" s="194"/>
      <c r="HW158" s="194"/>
      <c r="HX158" s="194"/>
      <c r="HY158" s="194"/>
      <c r="HZ158" s="194"/>
      <c r="IA158" s="194"/>
      <c r="IB158" s="194"/>
      <c r="IC158" s="194"/>
      <c r="ID158" s="194"/>
      <c r="IE158" s="194"/>
      <c r="IF158" s="194"/>
      <c r="IG158" s="194"/>
      <c r="IH158" s="194"/>
      <c r="II158" s="194"/>
      <c r="IJ158" s="194"/>
      <c r="IK158" s="194"/>
      <c r="IL158" s="194"/>
      <c r="IM158" s="194"/>
      <c r="IN158" s="194"/>
      <c r="IO158" s="194"/>
      <c r="IP158" s="194"/>
      <c r="IQ158" s="194"/>
    </row>
    <row r="159" spans="1:251" ht="15" customHeight="1" x14ac:dyDescent="0.25">
      <c r="A159" s="1532"/>
      <c r="B159" s="2"/>
      <c r="C159" s="1645" t="s">
        <v>3358</v>
      </c>
      <c r="D159" s="1645"/>
      <c r="E159" s="1645"/>
      <c r="F159" s="1645"/>
      <c r="G159" s="1645"/>
      <c r="H159" s="1645"/>
      <c r="I159" s="1645"/>
      <c r="J159" s="1645"/>
      <c r="K159" s="1645"/>
      <c r="L159" s="1645"/>
      <c r="M159" s="1645"/>
      <c r="N159" s="1645"/>
      <c r="O159" s="1645"/>
      <c r="P159" s="1645"/>
      <c r="Q159" s="1645"/>
      <c r="R159" s="1645"/>
      <c r="S159" s="1645"/>
      <c r="T159" s="2"/>
      <c r="U159" s="1384"/>
      <c r="V159" s="400"/>
      <c r="W159" s="1668" t="s">
        <v>929</v>
      </c>
      <c r="Y159" s="1535"/>
      <c r="Z159" s="1535"/>
      <c r="AA159" s="1535"/>
      <c r="AB159" s="1535"/>
      <c r="AC159" s="1535"/>
      <c r="AD159" s="1535"/>
      <c r="AE159" s="1535"/>
      <c r="AF159" s="1535"/>
      <c r="AG159" s="1535"/>
      <c r="AH159" s="1535"/>
      <c r="AI159" s="1535"/>
      <c r="AJ159" s="1535"/>
      <c r="AK159" s="1535"/>
      <c r="AL159" s="1535"/>
      <c r="AM159" s="1535"/>
      <c r="AN159" s="399"/>
      <c r="AO159" s="399"/>
      <c r="AP159" s="400"/>
      <c r="AQ159" s="400"/>
      <c r="AR159" s="400"/>
      <c r="AS159" s="400"/>
      <c r="AT159" s="400"/>
      <c r="AU159" s="400"/>
      <c r="AV159" s="400"/>
      <c r="AW159" s="400"/>
      <c r="AX159" s="400"/>
      <c r="AY159" s="400"/>
      <c r="AZ159" s="400"/>
      <c r="BA159" s="400"/>
      <c r="BB159" s="400"/>
      <c r="BC159" s="400"/>
      <c r="BD159" s="400"/>
      <c r="BE159" s="400"/>
      <c r="BF159" s="400"/>
      <c r="BG159" s="400"/>
      <c r="BH159" s="400"/>
      <c r="BI159" s="400"/>
      <c r="BJ159" s="400"/>
      <c r="BK159" s="400"/>
      <c r="BL159" s="400"/>
      <c r="BM159" s="400"/>
      <c r="BN159" s="400"/>
      <c r="BO159" s="400"/>
      <c r="BP159" s="400"/>
      <c r="BQ159" s="400"/>
      <c r="BR159" s="400"/>
      <c r="BS159" s="400"/>
      <c r="BT159" s="400"/>
      <c r="BU159" s="400"/>
      <c r="BV159" s="400"/>
      <c r="BW159" s="400"/>
      <c r="BX159" s="400"/>
      <c r="BY159" s="400"/>
      <c r="BZ159" s="400"/>
      <c r="CA159" s="400"/>
      <c r="CB159" s="400"/>
      <c r="CC159" s="400"/>
      <c r="CD159" s="400"/>
      <c r="CE159" s="400"/>
      <c r="CF159" s="400"/>
      <c r="CG159" s="400"/>
      <c r="CH159" s="400"/>
      <c r="CI159" s="400"/>
      <c r="CJ159" s="400"/>
      <c r="CK159" s="400"/>
      <c r="CL159" s="400"/>
      <c r="CM159" s="400"/>
      <c r="CN159" s="400"/>
      <c r="CO159" s="400"/>
      <c r="CP159" s="400"/>
      <c r="CQ159" s="400"/>
      <c r="CR159" s="400"/>
      <c r="CS159" s="400"/>
      <c r="CT159" s="400"/>
      <c r="CU159" s="400"/>
      <c r="CV159" s="400"/>
      <c r="CW159" s="400"/>
      <c r="CX159" s="400"/>
      <c r="CY159" s="400"/>
      <c r="CZ159" s="400"/>
      <c r="DA159" s="400"/>
      <c r="DB159" s="400"/>
      <c r="DC159" s="400"/>
      <c r="DD159" s="400"/>
      <c r="DE159" s="400"/>
      <c r="DF159" s="400"/>
      <c r="DG159" s="400"/>
      <c r="DH159" s="400"/>
      <c r="DI159" s="400"/>
      <c r="DJ159" s="400"/>
      <c r="DK159" s="400"/>
      <c r="DL159" s="400"/>
      <c r="DM159" s="400"/>
      <c r="DN159" s="400"/>
      <c r="DO159" s="400"/>
      <c r="DP159" s="400"/>
      <c r="DQ159" s="400"/>
      <c r="DR159" s="400"/>
      <c r="DS159" s="400"/>
      <c r="DT159" s="400"/>
      <c r="DU159" s="400"/>
      <c r="DV159" s="400"/>
      <c r="DW159" s="400"/>
      <c r="DX159" s="400"/>
      <c r="DY159" s="400"/>
      <c r="DZ159" s="400"/>
      <c r="EA159" s="400"/>
      <c r="EB159" s="400"/>
      <c r="EC159" s="400"/>
      <c r="ED159" s="400"/>
      <c r="EE159" s="400"/>
      <c r="EF159" s="400"/>
      <c r="EG159" s="400"/>
      <c r="EH159" s="400"/>
      <c r="EI159" s="400"/>
      <c r="EJ159" s="400"/>
      <c r="EK159" s="400"/>
      <c r="EL159" s="400"/>
      <c r="EM159" s="400"/>
      <c r="EN159" s="400"/>
      <c r="EO159" s="400"/>
      <c r="EP159" s="400"/>
      <c r="EQ159" s="400"/>
      <c r="ER159" s="400"/>
      <c r="ES159" s="400"/>
      <c r="ET159" s="400"/>
      <c r="EU159" s="400"/>
      <c r="EV159" s="400"/>
      <c r="EW159" s="400"/>
      <c r="EX159" s="400"/>
      <c r="EY159" s="400"/>
      <c r="EZ159" s="400"/>
      <c r="FA159" s="400"/>
      <c r="FB159" s="400"/>
      <c r="FC159" s="400"/>
      <c r="FD159" s="400"/>
      <c r="FE159" s="400"/>
      <c r="FF159" s="400"/>
      <c r="FG159" s="400"/>
      <c r="FH159" s="400"/>
      <c r="FI159" s="400"/>
      <c r="FJ159" s="400"/>
      <c r="FK159" s="400"/>
      <c r="FL159" s="400"/>
      <c r="FM159" s="400"/>
      <c r="FN159" s="400"/>
      <c r="FO159" s="400"/>
      <c r="FP159" s="400"/>
      <c r="FQ159" s="400"/>
      <c r="FR159" s="400"/>
      <c r="FS159" s="400"/>
      <c r="FT159" s="400"/>
      <c r="FU159" s="400"/>
      <c r="FV159" s="400"/>
      <c r="FW159" s="400"/>
      <c r="FX159" s="400"/>
      <c r="FY159" s="400"/>
    </row>
    <row r="160" spans="1:251" ht="15.75" x14ac:dyDescent="0.25">
      <c r="A160" s="1532"/>
      <c r="B160" s="2"/>
      <c r="C160" s="1645"/>
      <c r="D160" s="1645"/>
      <c r="E160" s="1645"/>
      <c r="F160" s="1645"/>
      <c r="G160" s="1645"/>
      <c r="H160" s="1645"/>
      <c r="I160" s="1645"/>
      <c r="J160" s="1645"/>
      <c r="K160" s="1645"/>
      <c r="L160" s="1645"/>
      <c r="M160" s="1645"/>
      <c r="N160" s="1645"/>
      <c r="O160" s="1645"/>
      <c r="P160" s="1645"/>
      <c r="Q160" s="1645"/>
      <c r="R160" s="1645"/>
      <c r="S160" s="1645"/>
      <c r="T160" s="2"/>
      <c r="U160" s="1384"/>
      <c r="W160" s="1669"/>
      <c r="Y160" s="1535"/>
      <c r="Z160" s="1535"/>
      <c r="AA160" s="1535"/>
      <c r="AB160" s="1535"/>
      <c r="AC160" s="1535"/>
      <c r="AD160" s="1535"/>
      <c r="AE160" s="1535"/>
      <c r="AF160" s="1535"/>
      <c r="AG160" s="1535"/>
      <c r="AH160" s="1535"/>
      <c r="AI160" s="1535"/>
      <c r="AJ160" s="1535"/>
      <c r="AK160" s="1535"/>
      <c r="AL160" s="1535"/>
      <c r="AM160" s="1535"/>
      <c r="AN160" s="399"/>
      <c r="AO160" s="399"/>
    </row>
    <row r="161" spans="1:41" ht="15.75" x14ac:dyDescent="0.25">
      <c r="A161" s="1532"/>
      <c r="B161" s="2"/>
      <c r="C161" s="2"/>
      <c r="D161" s="2"/>
      <c r="E161" s="2"/>
      <c r="F161" s="2"/>
      <c r="G161" s="2"/>
      <c r="H161" s="2"/>
      <c r="I161" s="2"/>
      <c r="J161" s="2"/>
      <c r="K161" s="2"/>
      <c r="L161" s="2"/>
      <c r="M161" s="1072" t="s">
        <v>696</v>
      </c>
      <c r="N161" s="1453"/>
      <c r="O161" s="1072" t="s">
        <v>697</v>
      </c>
      <c r="P161" s="1453"/>
      <c r="Q161" s="1072" t="s">
        <v>698</v>
      </c>
      <c r="R161" s="1453"/>
      <c r="S161" s="1072" t="s">
        <v>715</v>
      </c>
      <c r="T161" s="2"/>
      <c r="U161" s="1384"/>
      <c r="W161" s="9"/>
      <c r="Y161" s="1535"/>
      <c r="Z161" s="1535"/>
      <c r="AA161" s="1535"/>
      <c r="AB161" s="1535"/>
      <c r="AC161" s="1535"/>
      <c r="AD161" s="1535"/>
      <c r="AE161" s="1535"/>
      <c r="AF161" s="1535"/>
      <c r="AG161" s="1535"/>
      <c r="AH161" s="1535"/>
      <c r="AI161" s="1535"/>
      <c r="AJ161" s="1535"/>
      <c r="AK161" s="1535"/>
      <c r="AL161" s="1535"/>
      <c r="AM161" s="1535"/>
      <c r="AN161" s="399"/>
      <c r="AO161" s="399"/>
    </row>
    <row r="162" spans="1:41" ht="15.75" customHeight="1" x14ac:dyDescent="0.25">
      <c r="A162" s="1532"/>
      <c r="B162" s="2"/>
      <c r="C162" s="10" t="str">
        <f>CONCATENATE("Small Business Rates Multiplier Adjustment Factor: ",ROUND(1+adj_factor,3))</f>
        <v>Small Business Rates Multiplier Adjustment Factor: 1.248</v>
      </c>
      <c r="D162" s="2"/>
      <c r="E162" s="2"/>
      <c r="F162" s="2"/>
      <c r="G162" s="2"/>
      <c r="H162" s="2"/>
      <c r="I162" s="2"/>
      <c r="J162" s="2"/>
      <c r="K162" s="2"/>
      <c r="L162" s="2"/>
      <c r="M162" s="1649" t="e">
        <f>+M90</f>
        <v>#N/A</v>
      </c>
      <c r="N162" s="1388"/>
      <c r="O162" s="1649" t="e">
        <f>+O90</f>
        <v>#N/A</v>
      </c>
      <c r="P162" s="1388"/>
      <c r="Q162" s="1649" t="e">
        <f>+Q90</f>
        <v>#N/A</v>
      </c>
      <c r="R162" s="1363"/>
      <c r="S162" s="1536" t="s">
        <v>707</v>
      </c>
      <c r="T162" s="2"/>
      <c r="U162" s="1384"/>
      <c r="W162" s="9"/>
      <c r="Y162" s="1535"/>
      <c r="Z162" s="1535"/>
      <c r="AA162" s="1535"/>
      <c r="AB162" s="1535"/>
      <c r="AC162" s="1535"/>
      <c r="AD162" s="1535"/>
      <c r="AE162" s="1535"/>
      <c r="AF162" s="1535"/>
      <c r="AG162" s="1535"/>
      <c r="AH162" s="1535"/>
      <c r="AI162" s="1535"/>
      <c r="AJ162" s="1535"/>
      <c r="AK162" s="1535"/>
      <c r="AL162" s="1535"/>
      <c r="AM162" s="1535"/>
      <c r="AN162" s="399"/>
      <c r="AO162" s="399"/>
    </row>
    <row r="163" spans="1:41" ht="15.75" customHeight="1" x14ac:dyDescent="0.25">
      <c r="A163" s="1532"/>
      <c r="B163" s="2"/>
      <c r="C163" s="10" t="str">
        <f>CONCATENATE("Supplementary Multiplier Adjustment Factor: ",ROUND(1+adj_factor_supp,3))</f>
        <v>Supplementary Multiplier Adjustment Factor: 1.167</v>
      </c>
      <c r="D163" s="2"/>
      <c r="E163" s="2"/>
      <c r="F163" s="2"/>
      <c r="G163" s="2"/>
      <c r="H163" s="2"/>
      <c r="I163" s="2"/>
      <c r="J163" s="2"/>
      <c r="K163" s="2"/>
      <c r="L163" s="2"/>
      <c r="M163" s="1649"/>
      <c r="N163" s="1388"/>
      <c r="O163" s="1649"/>
      <c r="P163" s="1388"/>
      <c r="Q163" s="1649"/>
      <c r="R163" s="1388"/>
      <c r="S163" s="1388"/>
      <c r="T163" s="2"/>
      <c r="U163" s="1384"/>
      <c r="V163" s="14"/>
      <c r="W163" s="1463" t="s">
        <v>2285</v>
      </c>
      <c r="Y163" s="1535"/>
      <c r="Z163" s="1535"/>
      <c r="AA163" s="1535"/>
      <c r="AB163" s="1535"/>
      <c r="AC163" s="1535"/>
      <c r="AD163" s="1535"/>
      <c r="AE163" s="1535"/>
      <c r="AF163" s="1535"/>
      <c r="AG163" s="1535"/>
      <c r="AH163" s="1535"/>
      <c r="AI163" s="1535"/>
      <c r="AJ163" s="1535"/>
      <c r="AK163" s="1535"/>
      <c r="AL163" s="1535"/>
      <c r="AM163" s="1535"/>
      <c r="AN163" s="399"/>
      <c r="AO163" s="399"/>
    </row>
    <row r="164" spans="1:41" ht="15.75" customHeight="1" x14ac:dyDescent="0.25">
      <c r="A164" s="1532"/>
      <c r="B164" s="2"/>
      <c r="C164" s="2"/>
      <c r="D164" s="2"/>
      <c r="E164" s="2"/>
      <c r="F164" s="2"/>
      <c r="G164" s="2"/>
      <c r="H164" s="2"/>
      <c r="I164" s="2"/>
      <c r="J164" s="2"/>
      <c r="K164" s="2"/>
      <c r="L164" s="2"/>
      <c r="M164" s="1649"/>
      <c r="N164" s="1388"/>
      <c r="O164" s="1649"/>
      <c r="P164" s="1388"/>
      <c r="Q164" s="1649"/>
      <c r="R164" s="1388"/>
      <c r="S164" s="1388"/>
      <c r="T164" s="2"/>
      <c r="U164" s="1384"/>
      <c r="V164" s="1537"/>
      <c r="W164" s="1406" t="s">
        <v>53</v>
      </c>
      <c r="Y164" s="1535"/>
      <c r="Z164" s="1535"/>
      <c r="AA164" s="1535"/>
      <c r="AB164" s="1535"/>
      <c r="AC164" s="1535"/>
      <c r="AD164" s="1535"/>
      <c r="AE164" s="1535"/>
      <c r="AF164" s="1535"/>
      <c r="AG164" s="1535"/>
      <c r="AH164" s="1535"/>
      <c r="AI164" s="1535"/>
      <c r="AJ164" s="1535"/>
      <c r="AK164" s="1535"/>
      <c r="AL164" s="1535"/>
      <c r="AM164" s="1535"/>
      <c r="AN164" s="399"/>
      <c r="AO164" s="399"/>
    </row>
    <row r="165" spans="1:41" ht="16.5" thickBot="1" x14ac:dyDescent="0.3">
      <c r="A165" s="1532"/>
      <c r="B165" s="2"/>
      <c r="C165" s="12" t="s">
        <v>1190</v>
      </c>
      <c r="D165" s="12"/>
      <c r="E165" s="2"/>
      <c r="F165" s="2"/>
      <c r="G165" s="2"/>
      <c r="H165" s="2"/>
      <c r="I165" s="2"/>
      <c r="J165" s="2"/>
      <c r="K165" s="2"/>
      <c r="L165" s="186"/>
      <c r="M165" s="1458" t="s">
        <v>687</v>
      </c>
      <c r="N165" s="1460"/>
      <c r="O165" s="1458" t="s">
        <v>687</v>
      </c>
      <c r="P165" s="1460"/>
      <c r="Q165" s="1458" t="s">
        <v>687</v>
      </c>
      <c r="R165" s="1459"/>
      <c r="S165" s="1458" t="s">
        <v>687</v>
      </c>
      <c r="T165" s="186"/>
      <c r="U165" s="1384"/>
      <c r="V165" s="14"/>
      <c r="W165" s="1400"/>
      <c r="Y165" s="1535"/>
      <c r="Z165" s="1535"/>
      <c r="AA165" s="1535"/>
      <c r="AB165" s="1535"/>
      <c r="AC165" s="1535"/>
      <c r="AD165" s="1535"/>
      <c r="AE165" s="1535"/>
      <c r="AF165" s="1535"/>
      <c r="AG165" s="1535"/>
      <c r="AH165" s="1535"/>
      <c r="AI165" s="1535"/>
      <c r="AJ165" s="1535"/>
      <c r="AK165" s="1535"/>
      <c r="AL165" s="1535"/>
      <c r="AM165" s="1535"/>
      <c r="AN165" s="399"/>
      <c r="AO165" s="399"/>
    </row>
    <row r="166" spans="1:41" ht="16.5" customHeight="1" thickBot="1" x14ac:dyDescent="0.3">
      <c r="A166" s="1532"/>
      <c r="B166" s="2"/>
      <c r="C166" s="10"/>
      <c r="D166" s="1662" t="s">
        <v>3361</v>
      </c>
      <c r="E166" s="1662"/>
      <c r="F166" s="1662"/>
      <c r="G166" s="1662"/>
      <c r="H166" s="1662"/>
      <c r="I166" s="1662"/>
      <c r="J166" s="1662"/>
      <c r="K166" s="1662"/>
      <c r="L166" s="1538"/>
      <c r="M166" s="1464" t="e">
        <f>ROUND(((((('Part 2'!M176 + (('Part 3'!M19 +'Part 3'!M22) * small_share_total))+'Part 2'!M51-('Part 3'!M45*small_share_da)-('Part 3'!G35*small_share_baa)-('Part 3'!J35*small_share_da)-('Part 3'!M37*small_share_total)-('Part 1'!K39*small_share_total))*$M$94)+(M108*small_share_da)+(M110*small_share_total)+(M112*small_share_total)+IF(Local_Share_Total=1,0,('Part 2'!$J$127+('Part 2'!$G$129*$M$94))*-1))*adj_factor)+
((((('Part 2'!Y176 + (('Part 3'!M19 +'Part 3'!M22) * standard_share_total))+'Part 2'!Y51-('Part 3'!M45*standard_share_da)-('Part 3'!G35*standard_share_baa)-('Part 3'!J35*standard_share_da)-('Part 3'!M37*standard_share_total)-('Part 1'!K39*standard_share_total))*$M$94)+(M108*standard_share_da)+(M110*standard_share_total)+(M112*standard_share_total)+M118+IF(Local_Share_Total=1,0,('Part 2'!$V$127+('Part 2'!$S$129*$M$94))*-1))*adj_factor_supp),0)</f>
        <v>#N/A</v>
      </c>
      <c r="N166" s="1460"/>
      <c r="O166" s="1464" t="e">
        <f>ROUND(((((('Part 2'!M176 + (('Part 3'!M19 +'Part 3'!M22) * small_share_total))+'Part 2'!M51-('Part 3'!M45*small_share_da)-('Part 3'!G35*small_share_baa)-('Part 3'!J35*small_share_da)-('Part 3'!M37*small_share_total)-('Part 1'!K39*small_share_total))*$O$94)+(O108*small_share_total)+(O110*small_share_total)+(O112*small_share_total)+IF(Local_Share_Total=1,0,('Part 2'!$G$129*$O$94)*-1))*adj_factor)+
((((('Part 2'!Y176 + (('Part 3'!M19 +'Part 3'!M22) * standard_share_total))+'Part 2'!Y51-('Part 3'!M45*standard_share_da)-('Part 3'!G35*standard_share_baa)-('Part 3'!J35*standard_share_da)-('Part 3'!M37*standard_share_total)-('Part 1'!K39*standard_share_total))*$O$94)+(O108*standard_share_da)+(O110*standard_share_total)+(O112*standard_share_total)+IF(Local_Share_Total=1,0,('Part 2'!$S$129*$O$94)*-1))*adj_factor_supp),0)</f>
        <v>#N/A</v>
      </c>
      <c r="P166" s="1460"/>
      <c r="Q166" s="1464" t="e">
        <f>ROUND(((((('Part 2'!M176 + (('Part 3'!M19 +'Part 3'!M22) * small_share_total))+'Part 2'!M51-('Part 3'!M45*small_share_da)-('Part 3'!G35*small_share_baa)-('Part 3'!J35*small_share_da)-('Part 3'!M37*small_share_total)-('Part 1'!K39*small_share_total))*$Q$94)+(Q112*small_share_total)+IF(Local_Share_Total=1,0,('Part 2'!$G$129*$Q$94)*-1))*adj_factor)+
((((('Part 2'!Y176 + (('Part 3'!M19 +'Part 3'!M22) * standard_share_total))+'Part 2'!Y51-('Part 3'!M45*standard_share_da)-('Part 3'!G35*standard_share_baa)-('Part 3'!J35*standard_share_da)-('Part 3'!M37*standard_share_total)-('Part 1'!K39*standard_share_total))*$Q$94)+(Q112*standard_share_total)+IF(Local_Share_Total=1,0,('Part 2'!$S$129*$Q$94)*-1))*adj_factor_supp),0)</f>
        <v>#N/A</v>
      </c>
      <c r="R166" s="1460"/>
      <c r="S166" s="1464" t="e">
        <f>+$M$166+$O$166+$Q$166</f>
        <v>#N/A</v>
      </c>
      <c r="T166" s="186"/>
      <c r="U166" s="71"/>
      <c r="V166" s="1537"/>
      <c r="W166" s="1400" t="e">
        <f>+IF(M166+O166+Q166-S166=0,0,1)</f>
        <v>#N/A</v>
      </c>
      <c r="Y166" s="1535"/>
      <c r="Z166" s="1535"/>
      <c r="AA166" s="1535"/>
      <c r="AB166" s="1535"/>
      <c r="AC166" s="1535"/>
      <c r="AD166" s="1535"/>
      <c r="AE166" s="1535"/>
      <c r="AF166" s="1535"/>
      <c r="AG166" s="1535"/>
      <c r="AH166" s="1535"/>
      <c r="AI166" s="1535"/>
      <c r="AJ166" s="1535"/>
      <c r="AK166" s="1535"/>
      <c r="AL166" s="1535"/>
      <c r="AM166" s="1535"/>
      <c r="AN166" s="399"/>
      <c r="AO166" s="399"/>
    </row>
    <row r="167" spans="1:41" ht="15.75" customHeight="1" x14ac:dyDescent="0.25">
      <c r="A167" s="1532"/>
      <c r="B167" s="2"/>
      <c r="C167" s="10"/>
      <c r="D167" s="1662"/>
      <c r="E167" s="1662"/>
      <c r="F167" s="1662"/>
      <c r="G167" s="1662"/>
      <c r="H167" s="1662"/>
      <c r="I167" s="1662"/>
      <c r="J167" s="1662"/>
      <c r="K167" s="1662"/>
      <c r="L167" s="1538"/>
      <c r="M167" s="1461"/>
      <c r="N167" s="1460"/>
      <c r="O167" s="1461"/>
      <c r="P167" s="1460"/>
      <c r="Q167" s="1461"/>
      <c r="R167" s="1460"/>
      <c r="S167" s="1461"/>
      <c r="T167" s="186"/>
      <c r="U167" s="651"/>
      <c r="V167" s="1679"/>
      <c r="W167" s="1400"/>
      <c r="Y167" s="1535"/>
      <c r="Z167" s="1535"/>
      <c r="AA167" s="1535"/>
      <c r="AB167" s="1535"/>
      <c r="AC167" s="1535"/>
      <c r="AD167" s="1535"/>
      <c r="AE167" s="1535"/>
      <c r="AF167" s="1535"/>
      <c r="AG167" s="1535"/>
      <c r="AH167" s="1535"/>
      <c r="AI167" s="1535"/>
      <c r="AJ167" s="1535"/>
      <c r="AK167" s="1535"/>
      <c r="AL167" s="1535"/>
      <c r="AM167" s="1535"/>
      <c r="AN167" s="399"/>
      <c r="AO167" s="399"/>
    </row>
    <row r="168" spans="1:41" ht="15.75" x14ac:dyDescent="0.25">
      <c r="A168" s="1539"/>
      <c r="B168" s="2"/>
      <c r="C168" s="10"/>
      <c r="D168" s="1662"/>
      <c r="E168" s="1662"/>
      <c r="F168" s="1662"/>
      <c r="G168" s="1662"/>
      <c r="H168" s="1662"/>
      <c r="I168" s="1662"/>
      <c r="J168" s="1662"/>
      <c r="K168" s="1662"/>
      <c r="L168" s="1538"/>
      <c r="M168" s="1461"/>
      <c r="N168" s="1460"/>
      <c r="O168" s="1461"/>
      <c r="P168" s="1460"/>
      <c r="Q168" s="1461"/>
      <c r="R168" s="1460"/>
      <c r="S168" s="1461"/>
      <c r="T168" s="186"/>
      <c r="U168" s="651"/>
      <c r="V168" s="1679"/>
      <c r="W168" s="1400"/>
      <c r="Y168" s="1535"/>
      <c r="Z168" s="1535"/>
      <c r="AA168" s="1535"/>
      <c r="AB168" s="1535"/>
      <c r="AC168" s="1535"/>
      <c r="AD168" s="1535"/>
      <c r="AE168" s="1535"/>
      <c r="AF168" s="1535"/>
      <c r="AG168" s="1535"/>
      <c r="AH168" s="1535"/>
      <c r="AI168" s="1535"/>
      <c r="AJ168" s="1535"/>
      <c r="AK168" s="1535"/>
      <c r="AL168" s="1535"/>
      <c r="AM168" s="1535"/>
      <c r="AN168" s="399"/>
      <c r="AO168" s="399"/>
    </row>
    <row r="169" spans="1:41" ht="16.5" thickBot="1" x14ac:dyDescent="0.3">
      <c r="A169" s="1532"/>
      <c r="B169" s="2"/>
      <c r="C169" s="10"/>
      <c r="D169" s="10"/>
      <c r="E169" s="252"/>
      <c r="F169" s="252"/>
      <c r="G169" s="252"/>
      <c r="H169" s="252"/>
      <c r="I169" s="252"/>
      <c r="J169" s="252"/>
      <c r="K169" s="10"/>
      <c r="L169" s="186"/>
      <c r="M169" s="1540"/>
      <c r="N169" s="1540"/>
      <c r="O169" s="1540"/>
      <c r="P169" s="1540"/>
      <c r="Q169" s="1540"/>
      <c r="R169" s="1540"/>
      <c r="S169" s="1540"/>
      <c r="T169" s="186"/>
      <c r="U169" s="1384"/>
      <c r="V169" s="1679"/>
      <c r="W169" s="1400"/>
      <c r="Y169" s="1535"/>
      <c r="Z169" s="1535"/>
      <c r="AA169" s="1535"/>
      <c r="AB169" s="1535"/>
      <c r="AC169" s="1535"/>
      <c r="AD169" s="1535"/>
      <c r="AE169" s="1535"/>
      <c r="AF169" s="1535"/>
      <c r="AG169" s="1535"/>
      <c r="AH169" s="1535"/>
      <c r="AI169" s="1535"/>
      <c r="AJ169" s="1535"/>
      <c r="AK169" s="1535"/>
      <c r="AL169" s="1535"/>
      <c r="AM169" s="1535"/>
      <c r="AN169" s="399"/>
      <c r="AO169" s="399"/>
    </row>
    <row r="170" spans="1:41" ht="16.5" customHeight="1" thickBot="1" x14ac:dyDescent="0.3">
      <c r="A170" s="1539"/>
      <c r="B170" s="2"/>
      <c r="C170" s="10"/>
      <c r="D170" s="1663" t="s">
        <v>3362</v>
      </c>
      <c r="E170" s="1663"/>
      <c r="F170" s="1663"/>
      <c r="G170" s="1663"/>
      <c r="H170" s="1663"/>
      <c r="I170" s="1663"/>
      <c r="J170" s="1663"/>
      <c r="K170" s="1663"/>
      <c r="L170" s="186"/>
      <c r="M170" s="1464" t="e">
        <f>ROUND(+S170-Q170-O170,0)</f>
        <v>#N/A</v>
      </c>
      <c r="N170" s="1460"/>
      <c r="O170" s="1464" t="e">
        <f>ROUND(((+(((('Part 2'!$G$57-'Part 2'!$G$59)*INDEX(TierSplit!$CB:$CB,MATCH(Import_LA_Code,Ref_LA_Codes2,0)))+'Part 2'!$G$59+('Part 2'!$G$69*0.5)+'Part 2'!$G$151+'Part 2'!$G$154+'Part 2'!$G$72+'Part 2'!$G$157+'Part 2'!$G$75)*adj_factor)
+((('Part 2'!$S$69*0.5)+'Part 2'!$S$151+'Part 2'!$S$154+'Part 2'!$S$72+'Part 2'!$S$157+'Part 2'!$S$75)*adj_factor_supp))*-1*$O$94),0)</f>
        <v>#N/A</v>
      </c>
      <c r="P170" s="1460"/>
      <c r="Q170" s="1464" t="e">
        <f>ROUND(((+(((('Part 2'!$G$57-'Part 2'!$G$59)*INDEX(TierSplit!$CB:$CB,MATCH(Import_LA_Code,Ref_LA_Codes2,0)))+'Part 2'!$G$59+('Part 2'!$G$69*0.5)+'Part 2'!$G$151+'Part 2'!$G$154+'Part 2'!$G$72+'Part 2'!$G$157+'Part 2'!$G$75)*adj_factor)
+((('Part 2'!$S$69*0.5)+'Part 2'!$S$151+'Part 2'!$S$154+'Part 2'!$S$72+'Part 2'!$S$157+'Part 2'!$S$75)*adj_factor_supp))*-1*$Q$94),0)</f>
        <v>#N/A</v>
      </c>
      <c r="R170" s="1460"/>
      <c r="S170" s="1464" t="e">
        <f>(ROUND(((((('Part 2'!$G$57-'Part 2'!$G$59)*INDEX(TierSplit!$CB:$CB,MATCH(Import_LA_Code,Ref_LA_Codes2,0)))+'Part 2'!$G$59+('Part 2'!$G$69*0.5)+'Part 2'!$G$151+'Part 2'!$G$154+'Part 2'!$G$72+'Part 2'!$G$157+'Part 2'!$G$75)*adj_factor)+
((('Part 2'!$S$69*0.5)+'Part 2'!$S$151+'Part 2'!$S$154+'Part 2'!$S$72+'Part 2'!$S$157+'Part 2'!$S$75)*(adj_factor_supp)))*Local_Share_Total,0)
+
ROUND(((((('Part 2'!$J$57-'Part 2'!$J$59)*INDEX(TierSplit!$CB:$CB,MATCH(Import_LA_Code,Ref_LA_Codes2,0)))+'Part 2'!$J$59+('Part 2'!$J$69*0.5)+'Part 2'!$J$151+'Part 2'!$J$154+'Part 2'!$J$72+'Part 2'!$J$157+'Part 2'!$J$75)*adj_factor)+
((('Part 2'!$V$69*0.5)+'Part 2'!$V$151+'Part 2'!$V$154+'Part 2'!$V$72+'Part 2'!$V$157+'Part 2'!$V$75)*(adj_factor_supp)))*IF('Part 3 DA summary'!$U$6&gt;0,1,Local_Share_Total),0))*-1</f>
        <v>#N/A</v>
      </c>
      <c r="T170" s="186"/>
      <c r="U170" s="1385"/>
      <c r="V170" s="1180"/>
      <c r="W170" s="1400"/>
      <c r="Y170" s="1535"/>
      <c r="Z170" s="1535"/>
      <c r="AA170" s="1535"/>
      <c r="AB170" s="1535"/>
      <c r="AC170" s="1535"/>
      <c r="AD170" s="1535"/>
      <c r="AE170" s="1535"/>
      <c r="AF170" s="1535"/>
      <c r="AG170" s="1535"/>
      <c r="AH170" s="1535"/>
      <c r="AI170" s="1535"/>
      <c r="AJ170" s="1535"/>
      <c r="AK170" s="1535"/>
      <c r="AL170" s="1535"/>
      <c r="AM170" s="1535"/>
      <c r="AN170" s="399"/>
      <c r="AO170" s="399"/>
    </row>
    <row r="171" spans="1:41" ht="15.75" x14ac:dyDescent="0.25">
      <c r="A171" s="1539"/>
      <c r="B171" s="2"/>
      <c r="C171" s="10"/>
      <c r="D171" s="1663"/>
      <c r="E171" s="1663"/>
      <c r="F171" s="1663"/>
      <c r="G171" s="1663"/>
      <c r="H171" s="1663"/>
      <c r="I171" s="1663"/>
      <c r="J171" s="1663"/>
      <c r="K171" s="1663"/>
      <c r="L171" s="186"/>
      <c r="M171" s="1540"/>
      <c r="N171" s="1540"/>
      <c r="O171" s="1540"/>
      <c r="P171" s="1540"/>
      <c r="Q171" s="1540"/>
      <c r="R171" s="1540"/>
      <c r="S171" s="1540"/>
      <c r="T171" s="186"/>
      <c r="U171" s="1385"/>
      <c r="V171" s="96"/>
      <c r="W171" s="1400"/>
      <c r="Y171" s="1535"/>
      <c r="Z171" s="1535"/>
      <c r="AA171" s="1535"/>
      <c r="AB171" s="1535"/>
      <c r="AC171" s="1535"/>
      <c r="AD171" s="1535"/>
      <c r="AE171" s="1535"/>
      <c r="AF171" s="1535"/>
      <c r="AG171" s="1535"/>
      <c r="AH171" s="1535"/>
      <c r="AI171" s="1535"/>
      <c r="AJ171" s="1535"/>
      <c r="AK171" s="1535"/>
      <c r="AL171" s="1535"/>
      <c r="AM171" s="1535"/>
      <c r="AN171" s="399"/>
      <c r="AO171" s="399"/>
    </row>
    <row r="172" spans="1:41" ht="29.25" customHeight="1" x14ac:dyDescent="0.25">
      <c r="A172" s="1539"/>
      <c r="B172" s="2"/>
      <c r="C172" s="10"/>
      <c r="D172" s="1663"/>
      <c r="E172" s="1663"/>
      <c r="F172" s="1663"/>
      <c r="G172" s="1663"/>
      <c r="H172" s="1663"/>
      <c r="I172" s="1663"/>
      <c r="J172" s="1663"/>
      <c r="K172" s="1663"/>
      <c r="L172" s="186"/>
      <c r="M172" s="1540"/>
      <c r="N172" s="1540"/>
      <c r="O172" s="1540"/>
      <c r="P172" s="1540"/>
      <c r="Q172" s="1540"/>
      <c r="R172" s="1540"/>
      <c r="S172" s="1540"/>
      <c r="T172" s="186"/>
      <c r="U172" s="1385"/>
      <c r="V172" s="1180"/>
      <c r="W172" s="1400"/>
      <c r="Y172" s="1535"/>
      <c r="Z172" s="1535"/>
      <c r="AA172" s="1535"/>
      <c r="AB172" s="1535"/>
      <c r="AC172" s="1535"/>
      <c r="AD172" s="1535"/>
      <c r="AE172" s="1535"/>
      <c r="AF172" s="1535"/>
      <c r="AG172" s="1535"/>
      <c r="AH172" s="1535"/>
      <c r="AI172" s="1535"/>
      <c r="AJ172" s="1535"/>
      <c r="AK172" s="1535"/>
      <c r="AL172" s="1535"/>
      <c r="AM172" s="1535"/>
      <c r="AN172" s="399"/>
      <c r="AO172" s="399"/>
    </row>
    <row r="173" spans="1:41" ht="16.5" thickBot="1" x14ac:dyDescent="0.3">
      <c r="A173" s="1539"/>
      <c r="B173" s="2"/>
      <c r="C173" s="10"/>
      <c r="D173" s="10"/>
      <c r="E173" s="252"/>
      <c r="F173" s="252"/>
      <c r="G173" s="252"/>
      <c r="H173" s="252"/>
      <c r="I173" s="252"/>
      <c r="J173" s="252"/>
      <c r="K173" s="10"/>
      <c r="L173" s="186"/>
      <c r="M173" s="1540"/>
      <c r="N173" s="1540"/>
      <c r="O173" s="1540"/>
      <c r="P173" s="1540"/>
      <c r="Q173" s="1540"/>
      <c r="R173" s="1540"/>
      <c r="S173" s="1540"/>
      <c r="T173" s="186"/>
      <c r="U173" s="1385"/>
      <c r="V173" s="96"/>
      <c r="W173" s="1400"/>
      <c r="Y173" s="1535"/>
      <c r="Z173" s="1535"/>
      <c r="AA173" s="1535"/>
      <c r="AB173" s="1535"/>
      <c r="AC173" s="1535"/>
      <c r="AD173" s="1535"/>
      <c r="AE173" s="1535"/>
      <c r="AF173" s="1535"/>
      <c r="AG173" s="1535"/>
      <c r="AH173" s="1535"/>
      <c r="AI173" s="1535"/>
      <c r="AJ173" s="1535"/>
      <c r="AK173" s="1535"/>
      <c r="AL173" s="1535"/>
      <c r="AM173" s="1535"/>
      <c r="AN173" s="399"/>
      <c r="AO173" s="399"/>
    </row>
    <row r="174" spans="1:41" ht="16.5" customHeight="1" thickBot="1" x14ac:dyDescent="0.3">
      <c r="A174" s="1539"/>
      <c r="B174" s="2"/>
      <c r="C174" s="10"/>
      <c r="D174" s="1644" t="s">
        <v>3363</v>
      </c>
      <c r="E174" s="1644"/>
      <c r="F174" s="1644"/>
      <c r="G174" s="1644"/>
      <c r="H174" s="1644"/>
      <c r="I174" s="1644"/>
      <c r="J174" s="1644"/>
      <c r="K174" s="1644"/>
      <c r="L174" s="186"/>
      <c r="M174" s="1464" t="e">
        <f>$M$166+$M$170</f>
        <v>#N/A</v>
      </c>
      <c r="N174" s="1460"/>
      <c r="O174" s="1464" t="e">
        <f>$O$166+$O$170</f>
        <v>#N/A</v>
      </c>
      <c r="P174" s="1460"/>
      <c r="Q174" s="1464" t="e">
        <f>$Q$166+$Q$170</f>
        <v>#N/A</v>
      </c>
      <c r="R174" s="1460"/>
      <c r="S174" s="1464" t="e">
        <f>$S$166+$S$170</f>
        <v>#N/A</v>
      </c>
      <c r="T174" s="186"/>
      <c r="U174" s="1385"/>
      <c r="V174" s="1541"/>
      <c r="W174" s="1400"/>
      <c r="Y174" s="1535"/>
      <c r="Z174" s="1535"/>
      <c r="AA174" s="1535"/>
      <c r="AB174" s="1535"/>
      <c r="AC174" s="1535"/>
      <c r="AD174" s="1535"/>
      <c r="AE174" s="1535"/>
      <c r="AF174" s="1535"/>
      <c r="AG174" s="1535"/>
      <c r="AH174" s="1535"/>
      <c r="AI174" s="1535"/>
      <c r="AJ174" s="1535"/>
      <c r="AK174" s="1535"/>
      <c r="AL174" s="1535"/>
      <c r="AM174" s="1535"/>
      <c r="AN174" s="399"/>
      <c r="AO174" s="399"/>
    </row>
    <row r="175" spans="1:41" ht="27.75" customHeight="1" x14ac:dyDescent="0.25">
      <c r="A175" s="1539"/>
      <c r="B175" s="2"/>
      <c r="C175" s="10"/>
      <c r="D175" s="1644"/>
      <c r="E175" s="1644"/>
      <c r="F175" s="1644"/>
      <c r="G175" s="1644"/>
      <c r="H175" s="1644"/>
      <c r="I175" s="1644"/>
      <c r="J175" s="1644"/>
      <c r="K175" s="1644"/>
      <c r="L175" s="186"/>
      <c r="M175" s="1540"/>
      <c r="N175" s="1540"/>
      <c r="O175" s="1540"/>
      <c r="P175" s="1540"/>
      <c r="Q175" s="1540"/>
      <c r="R175" s="1540"/>
      <c r="S175" s="1540"/>
      <c r="T175" s="186"/>
      <c r="U175" s="1385"/>
      <c r="V175" s="1542"/>
      <c r="W175" s="1400"/>
      <c r="Y175" s="1535"/>
      <c r="Z175" s="1535"/>
      <c r="AA175" s="1535"/>
      <c r="AB175" s="1535"/>
      <c r="AC175" s="1535"/>
      <c r="AD175" s="1535"/>
      <c r="AE175" s="1535"/>
      <c r="AF175" s="1535"/>
      <c r="AG175" s="1535"/>
      <c r="AH175" s="1535"/>
      <c r="AI175" s="1535"/>
      <c r="AJ175" s="1535"/>
      <c r="AK175" s="1535"/>
      <c r="AL175" s="1535"/>
      <c r="AM175" s="1535"/>
      <c r="AN175" s="399"/>
      <c r="AO175" s="399"/>
    </row>
    <row r="176" spans="1:41" ht="15.75" x14ac:dyDescent="0.25">
      <c r="A176" s="1539"/>
      <c r="B176" s="2"/>
      <c r="C176" s="10"/>
      <c r="D176" s="10"/>
      <c r="E176" s="252"/>
      <c r="F176" s="252"/>
      <c r="G176" s="252"/>
      <c r="H176" s="252"/>
      <c r="I176" s="252"/>
      <c r="J176" s="252"/>
      <c r="K176" s="10"/>
      <c r="L176" s="186"/>
      <c r="M176" s="1540"/>
      <c r="N176" s="1540"/>
      <c r="O176" s="1540"/>
      <c r="P176" s="1540"/>
      <c r="Q176" s="1540"/>
      <c r="R176" s="1540"/>
      <c r="S176" s="1540"/>
      <c r="T176" s="186"/>
      <c r="U176" s="1385"/>
      <c r="V176" s="1542"/>
      <c r="W176" s="1400"/>
      <c r="Y176" s="1535"/>
      <c r="Z176" s="1535"/>
      <c r="AA176" s="1535"/>
      <c r="AB176" s="1535"/>
      <c r="AC176" s="1535"/>
      <c r="AD176" s="1535"/>
      <c r="AE176" s="1535"/>
      <c r="AF176" s="1535"/>
      <c r="AG176" s="1535"/>
      <c r="AH176" s="1535"/>
      <c r="AI176" s="1535"/>
      <c r="AJ176" s="1535"/>
      <c r="AK176" s="1535"/>
      <c r="AL176" s="1535"/>
      <c r="AM176" s="1535"/>
      <c r="AN176" s="399"/>
      <c r="AO176" s="399"/>
    </row>
    <row r="177" spans="1:41" ht="16.5" thickBot="1" x14ac:dyDescent="0.3">
      <c r="A177" s="1532"/>
      <c r="B177" s="2"/>
      <c r="C177" s="12" t="s">
        <v>699</v>
      </c>
      <c r="D177" s="10"/>
      <c r="E177" s="252"/>
      <c r="F177" s="252"/>
      <c r="G177" s="252"/>
      <c r="H177" s="252"/>
      <c r="I177" s="252"/>
      <c r="J177" s="252"/>
      <c r="K177" s="10"/>
      <c r="L177" s="186"/>
      <c r="M177" s="1540"/>
      <c r="N177" s="1540"/>
      <c r="O177" s="1540"/>
      <c r="P177" s="1540"/>
      <c r="Q177" s="1540"/>
      <c r="R177" s="1540"/>
      <c r="S177" s="1540"/>
      <c r="T177" s="186"/>
      <c r="U177" s="1384"/>
      <c r="V177" s="1542"/>
      <c r="W177" s="1400"/>
      <c r="Y177" s="1535"/>
      <c r="Z177" s="1535"/>
      <c r="AA177" s="1535"/>
      <c r="AB177" s="1535"/>
      <c r="AC177" s="1535"/>
      <c r="AD177" s="1535"/>
      <c r="AE177" s="1535"/>
      <c r="AF177" s="1535"/>
      <c r="AG177" s="1535"/>
      <c r="AH177" s="1535"/>
      <c r="AI177" s="1535"/>
      <c r="AJ177" s="1535"/>
      <c r="AK177" s="1535"/>
      <c r="AL177" s="1535"/>
      <c r="AM177" s="1535"/>
      <c r="AN177" s="399"/>
      <c r="AO177" s="399"/>
    </row>
    <row r="178" spans="1:41" ht="16.5" thickBot="1" x14ac:dyDescent="0.3">
      <c r="A178" s="1532"/>
      <c r="B178" s="2"/>
      <c r="C178" s="10"/>
      <c r="D178" s="1639" t="s">
        <v>3236</v>
      </c>
      <c r="E178" s="1639"/>
      <c r="F178" s="1639"/>
      <c r="G178" s="1639"/>
      <c r="H178" s="1639"/>
      <c r="I178" s="1639"/>
      <c r="J178" s="1639"/>
      <c r="K178" s="1639"/>
      <c r="L178" s="1538"/>
      <c r="M178" s="1464" t="e">
        <f>ROUND(+$S$178-$O$178-$Q$178,0)</f>
        <v>#N/A</v>
      </c>
      <c r="N178" s="1543"/>
      <c r="O178" s="1464" t="e">
        <f>+ROUND((('Part 2'!$G$57-'Part 2'!$G$59)*INDEX(TierSplit!$CB:$CB,MATCH(Import_LA_Code,Ref_LA_Codes2,0)))*-1*$O$94,0)</f>
        <v>#N/A</v>
      </c>
      <c r="P178" s="1543"/>
      <c r="Q178" s="1464" t="e">
        <f>+ROUND((('Part 2'!$G$57-'Part 2'!$G$59)*INDEX(TierSplit!$CB:$CB,MATCH(Import_LA_Code,Ref_LA_Codes2,0)))*-1*$Q$94,0)</f>
        <v>#N/A</v>
      </c>
      <c r="R178" s="1460"/>
      <c r="S178" s="1464" t="e">
        <f>+ROUND((('Part 2'!$G$57-'Part 2'!$G$59)*INDEX(TierSplit!$CB:$CB,MATCH(Import_LA_Code,Ref_LA_Codes2,0))*Local_Share_Total)+(('Part 2'!$J$57-'Part 2'!$J$59)*INDEX(TierSplit!$CB:$CB,MATCH(Import_LA_Code,Ref_LA_Codes2,0))*IF('Part 3 DA summary'!$U$6&gt;0,1,Local_Share_Total)),0)*-1</f>
        <v>#N/A</v>
      </c>
      <c r="T178" s="186"/>
      <c r="U178" s="71"/>
      <c r="V178" s="1542"/>
      <c r="W178" s="1400" t="e">
        <f>+IF(M178+O178+Q178-S178=0,0,1)</f>
        <v>#N/A</v>
      </c>
      <c r="Y178" s="1535"/>
      <c r="Z178" s="1535"/>
      <c r="AA178" s="1535"/>
      <c r="AB178" s="1535"/>
      <c r="AC178" s="1535"/>
      <c r="AD178" s="1535"/>
      <c r="AE178" s="1535"/>
      <c r="AF178" s="1535"/>
      <c r="AG178" s="1535"/>
      <c r="AH178" s="1535"/>
      <c r="AI178" s="1535"/>
      <c r="AJ178" s="1535"/>
      <c r="AK178" s="1535"/>
      <c r="AL178" s="1535"/>
      <c r="AM178" s="1535"/>
      <c r="AN178" s="399"/>
      <c r="AO178" s="399"/>
    </row>
    <row r="179" spans="1:41" ht="16.5" thickBot="1" x14ac:dyDescent="0.3">
      <c r="A179" s="1532"/>
      <c r="B179" s="2"/>
      <c r="C179" s="12"/>
      <c r="D179" s="10"/>
      <c r="E179" s="252"/>
      <c r="F179" s="252"/>
      <c r="G179" s="252"/>
      <c r="H179" s="252"/>
      <c r="I179" s="252"/>
      <c r="J179" s="252"/>
      <c r="K179" s="10"/>
      <c r="L179" s="186"/>
      <c r="M179" s="1544"/>
      <c r="N179" s="1544"/>
      <c r="O179" s="1544"/>
      <c r="P179" s="1544"/>
      <c r="Q179" s="1544"/>
      <c r="R179" s="1544"/>
      <c r="S179" s="1545"/>
      <c r="T179" s="186"/>
      <c r="U179" s="1384"/>
      <c r="V179" s="1542"/>
      <c r="W179" s="1400"/>
      <c r="Y179" s="1535"/>
      <c r="Z179" s="1535"/>
      <c r="AA179" s="1535"/>
      <c r="AB179" s="1535"/>
      <c r="AC179" s="1535"/>
      <c r="AD179" s="1535"/>
      <c r="AE179" s="1535"/>
      <c r="AF179" s="1535"/>
      <c r="AG179" s="1535"/>
      <c r="AH179" s="1535"/>
      <c r="AI179" s="1535"/>
      <c r="AJ179" s="1535"/>
      <c r="AK179" s="1535"/>
      <c r="AL179" s="1535"/>
      <c r="AM179" s="1535"/>
      <c r="AN179" s="399"/>
      <c r="AO179" s="399"/>
    </row>
    <row r="180" spans="1:41" ht="16.5" thickBot="1" x14ac:dyDescent="0.3">
      <c r="A180" s="1532"/>
      <c r="B180" s="2"/>
      <c r="C180" s="12"/>
      <c r="D180" s="1639" t="s">
        <v>3237</v>
      </c>
      <c r="E180" s="1639"/>
      <c r="F180" s="1639"/>
      <c r="G180" s="1639"/>
      <c r="H180" s="1639"/>
      <c r="I180" s="1639"/>
      <c r="J180" s="1639"/>
      <c r="K180" s="1639"/>
      <c r="L180" s="186"/>
      <c r="M180" s="1464" t="e">
        <f>ROUND(((INDEX(Data!$BG:$BG,MATCH(Import_LA_Code,Ref_LA_Codes,0))*SBRR_supp_historic*$M94)+INDEX(Data!$BH:$BH,MATCH(Import_LA_Code,Ref_LA_Codes,0))*SBRR_supp_historic),0)</f>
        <v>#N/A</v>
      </c>
      <c r="N180" s="1546"/>
      <c r="O180" s="1547" t="e">
        <f>ROUND(INDEX(Data!$BG:$BG,MATCH(Import_LA_Code,Ref_LA_Codes,0))*SBRR_supp_historic*$O94,0)</f>
        <v>#N/A</v>
      </c>
      <c r="P180" s="1546"/>
      <c r="Q180" s="1547" t="e">
        <f>ROUND(INDEX(Data!$BG:$BG,MATCH(Import_LA_Code,Ref_LA_Codes,0))*SBRR_supp_historic*$Q94,0)</f>
        <v>#N/A</v>
      </c>
      <c r="R180" s="1546"/>
      <c r="S180" s="1547" t="e">
        <f>$M$180+$O$180+$Q$180</f>
        <v>#N/A</v>
      </c>
      <c r="T180" s="186"/>
      <c r="U180" s="1385"/>
      <c r="V180" s="1542"/>
      <c r="W180" s="1400" t="e">
        <f>+IF(M180+O180+Q180-S180=0,0,1)</f>
        <v>#N/A</v>
      </c>
      <c r="Y180" s="1535"/>
      <c r="Z180" s="1535"/>
      <c r="AA180" s="1535"/>
      <c r="AB180" s="1535"/>
      <c r="AC180" s="1535"/>
      <c r="AD180" s="1535"/>
      <c r="AE180" s="1535"/>
      <c r="AF180" s="1535"/>
      <c r="AG180" s="1535"/>
      <c r="AH180" s="1535"/>
      <c r="AI180" s="1535"/>
      <c r="AJ180" s="1535"/>
      <c r="AK180" s="1535"/>
      <c r="AL180" s="1535"/>
      <c r="AM180" s="1535"/>
      <c r="AN180" s="399"/>
      <c r="AO180" s="399"/>
    </row>
    <row r="181" spans="1:41" ht="16.5" thickBot="1" x14ac:dyDescent="0.3">
      <c r="A181" s="1532"/>
      <c r="B181" s="2"/>
      <c r="C181" s="12"/>
      <c r="D181" s="10"/>
      <c r="E181" s="252"/>
      <c r="F181" s="252"/>
      <c r="G181" s="252"/>
      <c r="H181" s="252"/>
      <c r="I181" s="252"/>
      <c r="J181" s="252"/>
      <c r="K181" s="10"/>
      <c r="L181" s="186"/>
      <c r="M181" s="1546"/>
      <c r="N181" s="1546"/>
      <c r="O181" s="1546"/>
      <c r="P181" s="1546"/>
      <c r="Q181" s="1546"/>
      <c r="R181" s="1546"/>
      <c r="S181" s="1548"/>
      <c r="T181" s="186"/>
      <c r="U181" s="1385"/>
      <c r="V181" s="1542"/>
      <c r="W181" s="1400"/>
      <c r="Y181" s="1535"/>
      <c r="Z181" s="1535"/>
      <c r="AA181" s="1535"/>
      <c r="AB181" s="1535"/>
      <c r="AC181" s="1535"/>
      <c r="AD181" s="1535"/>
      <c r="AE181" s="1535"/>
      <c r="AF181" s="1535"/>
      <c r="AG181" s="1535"/>
      <c r="AH181" s="1535"/>
      <c r="AI181" s="1535"/>
      <c r="AJ181" s="1535"/>
      <c r="AK181" s="1535"/>
      <c r="AL181" s="1535"/>
      <c r="AM181" s="1535"/>
      <c r="AN181" s="399"/>
      <c r="AO181" s="399"/>
    </row>
    <row r="182" spans="1:41" ht="16.5" thickBot="1" x14ac:dyDescent="0.3">
      <c r="A182" s="1532"/>
      <c r="B182" s="2"/>
      <c r="C182" s="10"/>
      <c r="D182" s="1639" t="s">
        <v>3238</v>
      </c>
      <c r="E182" s="1639"/>
      <c r="F182" s="1639"/>
      <c r="G182" s="1639"/>
      <c r="H182" s="1639"/>
      <c r="I182" s="1639"/>
      <c r="J182" s="1639"/>
      <c r="K182" s="1639"/>
      <c r="L182" s="186"/>
      <c r="M182" s="1464" t="e">
        <f>ROUND(+$S$182-$O$182-$Q$182,0)</f>
        <v>#N/A</v>
      </c>
      <c r="N182" s="1460"/>
      <c r="O182" s="1464" t="e">
        <f>ROUND(+('Part 2'!$G$59)*-1*$O$94,0)</f>
        <v>#N/A</v>
      </c>
      <c r="P182" s="1460"/>
      <c r="Q182" s="1464" t="e">
        <f>ROUND(+('Part 2'!$G$59)*-1*$Q$94,0)</f>
        <v>#N/A</v>
      </c>
      <c r="R182" s="1460"/>
      <c r="S182" s="1464" t="e">
        <f>ROUND(((ROUND(+('Part 2'!G$59)*Local_Share_Total,0)*-1)+(ROUND(+('Part 2'!J$59*IF('Part 3 DA summary'!U$6&gt;0,1,Local_Share_Total)),0)*-1)), 0)</f>
        <v>#N/A</v>
      </c>
      <c r="T182" s="186"/>
      <c r="U182" s="71"/>
      <c r="W182" s="1400" t="e">
        <f>+IF(M182+O182+Q182-S182=0,0,1)</f>
        <v>#N/A</v>
      </c>
      <c r="Y182" s="1535"/>
      <c r="Z182" s="1535"/>
      <c r="AA182" s="1535"/>
      <c r="AB182" s="1535"/>
      <c r="AC182" s="1535"/>
      <c r="AD182" s="1535"/>
      <c r="AE182" s="1535"/>
      <c r="AF182" s="1535"/>
      <c r="AG182" s="1535"/>
      <c r="AH182" s="1535"/>
      <c r="AI182" s="1535"/>
      <c r="AJ182" s="1535"/>
      <c r="AK182" s="1535"/>
      <c r="AL182" s="1535"/>
      <c r="AM182" s="1535"/>
      <c r="AN182" s="399"/>
      <c r="AO182" s="399"/>
    </row>
    <row r="183" spans="1:41" ht="15.75" x14ac:dyDescent="0.25">
      <c r="A183" s="1532"/>
      <c r="B183" s="2"/>
      <c r="C183" s="10"/>
      <c r="D183" s="10"/>
      <c r="E183" s="252"/>
      <c r="F183" s="252"/>
      <c r="G183" s="252"/>
      <c r="H183" s="252"/>
      <c r="I183" s="252"/>
      <c r="J183" s="252"/>
      <c r="K183" s="252"/>
      <c r="L183" s="186"/>
      <c r="M183" s="1540"/>
      <c r="N183" s="1540"/>
      <c r="O183" s="1540"/>
      <c r="P183" s="1540"/>
      <c r="Q183" s="1540"/>
      <c r="R183" s="1540"/>
      <c r="S183" s="1540"/>
      <c r="T183" s="186"/>
      <c r="U183" s="1384"/>
      <c r="V183" s="1542"/>
      <c r="W183" s="1400"/>
      <c r="Y183" s="1535"/>
      <c r="Z183" s="1535"/>
      <c r="AA183" s="1535"/>
      <c r="AB183" s="1535"/>
      <c r="AC183" s="1535"/>
      <c r="AD183" s="1535"/>
      <c r="AE183" s="1535"/>
      <c r="AF183" s="1535"/>
      <c r="AG183" s="1535"/>
      <c r="AH183" s="1535"/>
      <c r="AI183" s="1535"/>
      <c r="AJ183" s="1535"/>
      <c r="AK183" s="1535"/>
      <c r="AL183" s="1535"/>
      <c r="AM183" s="1535"/>
      <c r="AN183" s="399"/>
      <c r="AO183" s="399"/>
    </row>
    <row r="184" spans="1:41" ht="16.5" thickBot="1" x14ac:dyDescent="0.3">
      <c r="A184" s="1532"/>
      <c r="B184" s="2"/>
      <c r="C184" s="482" t="s">
        <v>981</v>
      </c>
      <c r="D184" s="491"/>
      <c r="E184" s="770"/>
      <c r="F184" s="770"/>
      <c r="G184" s="770"/>
      <c r="H184" s="770"/>
      <c r="I184" s="770"/>
      <c r="J184" s="770"/>
      <c r="K184" s="770"/>
      <c r="L184" s="981"/>
      <c r="M184" s="1549"/>
      <c r="N184" s="1549"/>
      <c r="O184" s="1549"/>
      <c r="P184" s="1549"/>
      <c r="Q184" s="1549"/>
      <c r="R184" s="1549"/>
      <c r="S184" s="1549"/>
      <c r="T184" s="186"/>
      <c r="U184" s="1384"/>
      <c r="W184" s="1400"/>
      <c r="Y184" s="1535"/>
      <c r="Z184" s="1535"/>
      <c r="AA184" s="1535"/>
      <c r="AB184" s="1535"/>
      <c r="AC184" s="1535"/>
      <c r="AD184" s="1535"/>
      <c r="AE184" s="1535"/>
      <c r="AF184" s="1535"/>
      <c r="AG184" s="1535"/>
      <c r="AH184" s="1535"/>
      <c r="AI184" s="1535"/>
      <c r="AJ184" s="1535"/>
      <c r="AK184" s="1535"/>
      <c r="AL184" s="1535"/>
      <c r="AM184" s="1535"/>
      <c r="AN184" s="399"/>
      <c r="AO184" s="399"/>
    </row>
    <row r="185" spans="1:41" ht="16.5" thickBot="1" x14ac:dyDescent="0.3">
      <c r="A185" s="1532"/>
      <c r="B185" s="2"/>
      <c r="C185" s="491"/>
      <c r="D185" s="1638" t="s">
        <v>3239</v>
      </c>
      <c r="E185" s="1638"/>
      <c r="F185" s="1638"/>
      <c r="G185" s="1638"/>
      <c r="H185" s="1638"/>
      <c r="I185" s="1638"/>
      <c r="J185" s="1638"/>
      <c r="K185" s="1638"/>
      <c r="L185" s="981"/>
      <c r="M185" s="1470" t="e">
        <f>ROUND(+$S$185-$O$185-$Q$185,0)</f>
        <v>#N/A</v>
      </c>
      <c r="N185" s="1476"/>
      <c r="O185" s="1470" t="e">
        <f>ROUND(+(('Part 2'!$G$69*0.5)+('Part 2'!$S$69*0.5))*-1*$O$94,0)</f>
        <v>#N/A</v>
      </c>
      <c r="P185" s="1476"/>
      <c r="Q185" s="1470" t="e">
        <f>ROUND(+(('Part 2'!$G$69*0.5)+('Part 2'!$S$69*0.5))*-1*$Q$94,0)</f>
        <v>#N/A</v>
      </c>
      <c r="R185" s="1476"/>
      <c r="S185" s="1470" t="e">
        <f>ROUND(((ROUND(+(('Part 2'!G$69*0.5)+('Part 2'!S$69*0.5))*Local_Share_Total,0)*-1)+(ROUND(+((('Part 2'!J$69*0.5)+('Part 2'!V$69*0.5))*IF('Part 3 DA summary'!U$6&gt;0,1,Local_Share_Total)),0)*-1)), 0)</f>
        <v>#N/A</v>
      </c>
      <c r="T185" s="186"/>
      <c r="U185" s="71"/>
      <c r="W185" s="1400" t="e">
        <f>+IF(M185+O185+Q185-S185=0,0,1)</f>
        <v>#N/A</v>
      </c>
      <c r="Y185" s="1535"/>
      <c r="Z185" s="1535"/>
      <c r="AA185" s="1535"/>
      <c r="AB185" s="1535"/>
      <c r="AC185" s="1535"/>
      <c r="AD185" s="1535"/>
      <c r="AE185" s="1535"/>
      <c r="AF185" s="1535"/>
      <c r="AG185" s="1535"/>
      <c r="AH185" s="1535"/>
      <c r="AI185" s="1535"/>
      <c r="AJ185" s="1535"/>
      <c r="AK185" s="1535"/>
      <c r="AL185" s="1535"/>
      <c r="AM185" s="1535"/>
      <c r="AN185" s="399"/>
      <c r="AO185" s="399"/>
    </row>
    <row r="186" spans="1:41" ht="15.75" x14ac:dyDescent="0.25">
      <c r="A186" s="1532"/>
      <c r="B186" s="2"/>
      <c r="C186" s="10"/>
      <c r="D186" s="10"/>
      <c r="E186" s="10"/>
      <c r="F186" s="10"/>
      <c r="G186" s="10"/>
      <c r="H186" s="10"/>
      <c r="I186" s="10"/>
      <c r="J186" s="10"/>
      <c r="K186" s="10"/>
      <c r="L186" s="186"/>
      <c r="M186" s="1540"/>
      <c r="N186" s="1540"/>
      <c r="O186" s="1540"/>
      <c r="P186" s="1540"/>
      <c r="Q186" s="1540"/>
      <c r="R186" s="1540"/>
      <c r="S186" s="1540"/>
      <c r="T186" s="186"/>
      <c r="U186" s="1384"/>
      <c r="V186" s="1537"/>
      <c r="W186" s="1400"/>
      <c r="Y186" s="1535"/>
      <c r="Z186" s="1535"/>
      <c r="AA186" s="1535"/>
      <c r="AB186" s="1535"/>
      <c r="AC186" s="1535"/>
      <c r="AD186" s="1535"/>
      <c r="AE186" s="1535"/>
      <c r="AF186" s="1535"/>
      <c r="AG186" s="1535"/>
      <c r="AH186" s="1535"/>
      <c r="AI186" s="1535"/>
      <c r="AJ186" s="1535"/>
      <c r="AK186" s="1535"/>
      <c r="AL186" s="1535"/>
      <c r="AM186" s="1535"/>
      <c r="AN186" s="399"/>
      <c r="AO186" s="399"/>
    </row>
    <row r="187" spans="1:41" ht="16.5" thickBot="1" x14ac:dyDescent="0.3">
      <c r="A187" s="1532"/>
      <c r="B187" s="2"/>
      <c r="C187" s="482" t="s">
        <v>2381</v>
      </c>
      <c r="D187" s="10"/>
      <c r="E187" s="10"/>
      <c r="F187" s="10"/>
      <c r="G187" s="10"/>
      <c r="H187" s="10"/>
      <c r="I187" s="10"/>
      <c r="J187" s="10"/>
      <c r="K187" s="10"/>
      <c r="L187" s="1550"/>
      <c r="M187" s="1544"/>
      <c r="N187" s="1544"/>
      <c r="O187" s="1544"/>
      <c r="P187" s="1544"/>
      <c r="Q187" s="1544"/>
      <c r="R187" s="1544"/>
      <c r="S187" s="1544"/>
      <c r="T187" s="186"/>
      <c r="U187" s="1384"/>
      <c r="W187" s="1400"/>
      <c r="Y187" s="1535"/>
      <c r="Z187" s="1535"/>
      <c r="AA187" s="1535"/>
      <c r="AB187" s="1535"/>
      <c r="AC187" s="1535"/>
      <c r="AD187" s="1535"/>
      <c r="AE187" s="1535"/>
      <c r="AF187" s="1535"/>
      <c r="AG187" s="1535"/>
      <c r="AH187" s="1535"/>
      <c r="AI187" s="1535"/>
      <c r="AJ187" s="1535"/>
      <c r="AK187" s="1535"/>
      <c r="AL187" s="1535"/>
      <c r="AM187" s="1535"/>
      <c r="AN187" s="399"/>
      <c r="AO187" s="399"/>
    </row>
    <row r="188" spans="1:41" ht="16.5" thickBot="1" x14ac:dyDescent="0.3">
      <c r="A188" s="1532"/>
      <c r="B188" s="2"/>
      <c r="C188" s="10"/>
      <c r="D188" s="1639" t="s">
        <v>1381</v>
      </c>
      <c r="E188" s="1639"/>
      <c r="F188" s="1639"/>
      <c r="G188" s="1639"/>
      <c r="H188" s="1639"/>
      <c r="I188" s="1639"/>
      <c r="J188" s="1639"/>
      <c r="K188" s="1639"/>
      <c r="L188" s="1550"/>
      <c r="M188" s="1464" t="e">
        <f>ROUND(+$S$188-$O$188-$Q$188,0)</f>
        <v>#N/A</v>
      </c>
      <c r="N188" s="1460"/>
      <c r="O188" s="1464" t="e">
        <f>ROUND(+(('Part 2'!$G$151)+('Part 2'!$S$151))*-1*$O$94,0)</f>
        <v>#N/A</v>
      </c>
      <c r="P188" s="1460"/>
      <c r="Q188" s="1464" t="e">
        <f>ROUND(+(('Part 2'!$G$151)+('Part 2'!$S$151))*-1*$Q$94,0)</f>
        <v>#N/A</v>
      </c>
      <c r="R188" s="1460"/>
      <c r="S188" s="1464" t="e">
        <f>ROUND(((ROUND(+(('Part 2'!G$151)+('Part 2'!S$151))*Local_Share_Total,0)*-1)+(ROUND(+((('Part 2'!J$151)+('Part 2'!V$151))*IF('Part 3 DA summary'!U$6&gt;0,1,Local_Share_Total)),0)*-1)), 0)</f>
        <v>#N/A</v>
      </c>
      <c r="T188" s="186"/>
      <c r="U188" s="71"/>
      <c r="W188" s="1400" t="e">
        <f>+IF(M188+O188+Q188-S188=0,0,1)</f>
        <v>#N/A</v>
      </c>
      <c r="Y188" s="1535"/>
      <c r="Z188" s="1535"/>
      <c r="AA188" s="1535"/>
      <c r="AB188" s="1535"/>
      <c r="AC188" s="1535"/>
      <c r="AD188" s="1535"/>
      <c r="AE188" s="1535"/>
      <c r="AF188" s="1535"/>
      <c r="AG188" s="1535"/>
      <c r="AH188" s="1535"/>
      <c r="AI188" s="1535"/>
      <c r="AJ188" s="1535"/>
      <c r="AK188" s="1535"/>
      <c r="AL188" s="1535"/>
      <c r="AM188" s="1535"/>
      <c r="AN188" s="399"/>
      <c r="AO188" s="399"/>
    </row>
    <row r="189" spans="1:41" ht="15.75" x14ac:dyDescent="0.25">
      <c r="A189" s="1532"/>
      <c r="B189" s="2"/>
      <c r="C189" s="1480"/>
      <c r="D189" s="1480"/>
      <c r="E189" s="1551"/>
      <c r="F189" s="1551"/>
      <c r="G189" s="1551"/>
      <c r="H189" s="1551"/>
      <c r="I189" s="1551"/>
      <c r="J189" s="1551"/>
      <c r="K189" s="1551"/>
      <c r="L189" s="1538"/>
      <c r="M189" s="1552"/>
      <c r="N189" s="1485"/>
      <c r="O189" s="1552"/>
      <c r="P189" s="1485"/>
      <c r="Q189" s="1552"/>
      <c r="R189" s="1485"/>
      <c r="S189" s="1552"/>
      <c r="T189" s="186"/>
      <c r="U189" s="71"/>
      <c r="W189" s="1400"/>
      <c r="Y189" s="1535"/>
      <c r="Z189" s="1535"/>
      <c r="AA189" s="1535"/>
      <c r="AB189" s="1535"/>
      <c r="AC189" s="1535"/>
      <c r="AD189" s="1535"/>
      <c r="AE189" s="1535"/>
      <c r="AF189" s="1535"/>
      <c r="AG189" s="1535"/>
      <c r="AH189" s="1535"/>
      <c r="AI189" s="1535"/>
      <c r="AJ189" s="1535"/>
      <c r="AK189" s="1535"/>
      <c r="AL189" s="1535"/>
      <c r="AM189" s="1535"/>
      <c r="AN189" s="399"/>
      <c r="AO189" s="399"/>
    </row>
    <row r="190" spans="1:41" ht="16.5" thickBot="1" x14ac:dyDescent="0.3">
      <c r="A190" s="1532"/>
      <c r="B190" s="2"/>
      <c r="C190" s="12" t="s">
        <v>2379</v>
      </c>
      <c r="D190" s="10"/>
      <c r="E190" s="252"/>
      <c r="F190" s="252"/>
      <c r="G190" s="252"/>
      <c r="H190" s="252"/>
      <c r="I190" s="252"/>
      <c r="J190" s="252"/>
      <c r="K190" s="252"/>
      <c r="L190" s="1538"/>
      <c r="M190" s="1461"/>
      <c r="N190" s="1460"/>
      <c r="O190" s="1461"/>
      <c r="P190" s="1460"/>
      <c r="Q190" s="1461"/>
      <c r="R190" s="1460"/>
      <c r="S190" s="1461"/>
      <c r="T190" s="186"/>
      <c r="U190" s="71"/>
      <c r="W190" s="1400"/>
      <c r="Y190" s="1535"/>
      <c r="Z190" s="1535"/>
      <c r="AA190" s="1535"/>
      <c r="AB190" s="1535"/>
      <c r="AC190" s="1535"/>
      <c r="AD190" s="1535"/>
      <c r="AE190" s="1535"/>
      <c r="AF190" s="1535"/>
      <c r="AG190" s="1535"/>
      <c r="AH190" s="1535"/>
      <c r="AI190" s="1535"/>
      <c r="AJ190" s="1535"/>
      <c r="AK190" s="1535"/>
      <c r="AL190" s="1535"/>
      <c r="AM190" s="1535"/>
      <c r="AN190" s="399"/>
      <c r="AO190" s="399"/>
    </row>
    <row r="191" spans="1:41" ht="16.5" thickBot="1" x14ac:dyDescent="0.3">
      <c r="A191" s="1532"/>
      <c r="B191" s="2"/>
      <c r="C191" s="10"/>
      <c r="D191" s="1639" t="s">
        <v>1370</v>
      </c>
      <c r="E191" s="1639"/>
      <c r="F191" s="1639"/>
      <c r="G191" s="1639"/>
      <c r="H191" s="1639"/>
      <c r="I191" s="1639"/>
      <c r="J191" s="1639"/>
      <c r="K191" s="1639"/>
      <c r="L191" s="1538"/>
      <c r="M191" s="1547" t="e">
        <f>$S$191-$Q$191-$O$191</f>
        <v>#N/A</v>
      </c>
      <c r="N191" s="1460"/>
      <c r="O191" s="1547" t="e">
        <f>IF(Local_Share_Total=1,'Part 3'!$G$50*'Part 1'!$O$94,0)</f>
        <v>#N/A</v>
      </c>
      <c r="P191" s="1460"/>
      <c r="Q191" s="1547" t="e">
        <f>IF(Local_Share_Total=1,'Part 3'!$G$50*'Part 1'!$Q$94,0)</f>
        <v>#N/A</v>
      </c>
      <c r="R191" s="1460"/>
      <c r="S191" s="1547" t="e">
        <f>IF(Local_Share_Total=1,'Part 3'!$G$50+'Part 3'!$J$50,0)</f>
        <v>#N/A</v>
      </c>
      <c r="T191" s="186"/>
      <c r="U191" s="71"/>
      <c r="W191" s="1400" t="e">
        <f>+IF(M191+O191+Q191-S191=0,0,1)</f>
        <v>#N/A</v>
      </c>
      <c r="Y191" s="1535"/>
      <c r="Z191" s="1535"/>
      <c r="AA191" s="1535"/>
      <c r="AB191" s="1535"/>
      <c r="AC191" s="1535"/>
      <c r="AD191" s="1535"/>
      <c r="AE191" s="1535"/>
      <c r="AF191" s="1535"/>
      <c r="AG191" s="1535"/>
      <c r="AH191" s="1535"/>
      <c r="AI191" s="1535"/>
      <c r="AJ191" s="1535"/>
      <c r="AK191" s="1535"/>
      <c r="AL191" s="1535"/>
      <c r="AM191" s="1535"/>
      <c r="AN191" s="399"/>
      <c r="AO191" s="399"/>
    </row>
    <row r="192" spans="1:41" ht="15.75" x14ac:dyDescent="0.25">
      <c r="A192" s="1532"/>
      <c r="B192" s="2"/>
      <c r="C192" s="10"/>
      <c r="D192" s="10"/>
      <c r="E192" s="252"/>
      <c r="F192" s="252"/>
      <c r="G192" s="252"/>
      <c r="H192" s="252"/>
      <c r="I192" s="252"/>
      <c r="J192" s="252"/>
      <c r="K192" s="252"/>
      <c r="L192" s="1538"/>
      <c r="M192" s="1461"/>
      <c r="N192" s="1460"/>
      <c r="O192" s="1461"/>
      <c r="P192" s="1460"/>
      <c r="Q192" s="1461"/>
      <c r="R192" s="1460"/>
      <c r="S192" s="1553"/>
      <c r="T192" s="186"/>
      <c r="U192" s="651"/>
      <c r="W192" s="1400"/>
      <c r="Y192" s="1535"/>
      <c r="Z192" s="1535"/>
      <c r="AA192" s="1535"/>
      <c r="AB192" s="1535"/>
      <c r="AC192" s="1535"/>
      <c r="AD192" s="1535"/>
      <c r="AE192" s="1535"/>
      <c r="AF192" s="1535"/>
      <c r="AG192" s="1535"/>
      <c r="AH192" s="1535"/>
      <c r="AI192" s="1535"/>
      <c r="AJ192" s="1535"/>
      <c r="AK192" s="1535"/>
      <c r="AL192" s="1535"/>
      <c r="AM192" s="1535"/>
      <c r="AN192" s="399"/>
      <c r="AO192" s="399"/>
    </row>
    <row r="193" spans="1:41" ht="16.5" thickBot="1" x14ac:dyDescent="0.3">
      <c r="A193" s="1532"/>
      <c r="B193" s="2"/>
      <c r="C193" s="12" t="s">
        <v>1335</v>
      </c>
      <c r="D193" s="10"/>
      <c r="E193" s="252"/>
      <c r="F193" s="252"/>
      <c r="G193" s="252"/>
      <c r="H193" s="252"/>
      <c r="I193" s="252"/>
      <c r="J193" s="252"/>
      <c r="K193" s="252"/>
      <c r="L193" s="1538"/>
      <c r="M193" s="1461"/>
      <c r="N193" s="1460"/>
      <c r="O193" s="1461"/>
      <c r="P193" s="1460"/>
      <c r="Q193" s="1461"/>
      <c r="R193" s="1460"/>
      <c r="S193" s="1461"/>
      <c r="T193" s="186"/>
      <c r="U193" s="651"/>
      <c r="W193" s="1400"/>
      <c r="Y193" s="1535"/>
      <c r="Z193" s="1535"/>
      <c r="AA193" s="1535"/>
      <c r="AB193" s="1535"/>
      <c r="AC193" s="1535"/>
      <c r="AD193" s="1535"/>
      <c r="AE193" s="1535"/>
      <c r="AF193" s="1535"/>
      <c r="AG193" s="1535"/>
      <c r="AH193" s="1535"/>
      <c r="AI193" s="1535"/>
      <c r="AJ193" s="1535"/>
      <c r="AK193" s="1535"/>
      <c r="AL193" s="1535"/>
      <c r="AM193" s="1535"/>
      <c r="AN193" s="399"/>
      <c r="AO193" s="399"/>
    </row>
    <row r="194" spans="1:41" ht="16.5" thickBot="1" x14ac:dyDescent="0.3">
      <c r="A194" s="1532"/>
      <c r="B194" s="2"/>
      <c r="C194" s="10"/>
      <c r="D194" s="1639" t="s">
        <v>2317</v>
      </c>
      <c r="E194" s="1639"/>
      <c r="F194" s="1639"/>
      <c r="G194" s="1639"/>
      <c r="H194" s="1639"/>
      <c r="I194" s="1639"/>
      <c r="J194" s="1639"/>
      <c r="K194" s="1639"/>
      <c r="L194" s="1538"/>
      <c r="M194" s="1464" t="e">
        <f>ROUND(+$S$194-$O$194-$Q$194,0)</f>
        <v>#N/A</v>
      </c>
      <c r="N194" s="1460"/>
      <c r="O194" s="1464" t="e">
        <f>ROUND(+(('Part 2'!$G$154)+('Part 2'!$S$154))*-1*$O$94,0)</f>
        <v>#N/A</v>
      </c>
      <c r="P194" s="1460"/>
      <c r="Q194" s="1464" t="e">
        <f>ROUND(+(('Part 2'!$G$154)+('Part 2'!$S$154))*-1*$Q$94,0)</f>
        <v>#N/A</v>
      </c>
      <c r="R194" s="1460"/>
      <c r="S194" s="1464" t="e">
        <f>ROUND(((ROUND(+(('Part 2'!G$154)+('Part 2'!S$154))*Local_Share_Total,0)*-1)+(ROUND(+((('Part 2'!J$154)+('Part 2'!V$154))*IF('Part 3 DA summary'!U$6&gt;0,1,Local_Share_Total)),0)*-1)), 0)</f>
        <v>#N/A</v>
      </c>
      <c r="T194" s="186"/>
      <c r="U194" s="651"/>
      <c r="W194" s="1400" t="e">
        <f>+IF(M194+O194+Q194-S194=0,0,1)</f>
        <v>#N/A</v>
      </c>
      <c r="Y194" s="1535"/>
      <c r="Z194" s="1535"/>
      <c r="AA194" s="1535"/>
      <c r="AB194" s="1535"/>
      <c r="AC194" s="1535"/>
      <c r="AD194" s="1535"/>
      <c r="AE194" s="1535"/>
      <c r="AF194" s="1535"/>
      <c r="AG194" s="1535"/>
      <c r="AH194" s="1535"/>
      <c r="AI194" s="1535"/>
      <c r="AJ194" s="1535"/>
      <c r="AK194" s="1535"/>
      <c r="AL194" s="1535"/>
      <c r="AM194" s="1535"/>
      <c r="AN194" s="399"/>
      <c r="AO194" s="399"/>
    </row>
    <row r="195" spans="1:41" ht="15.75" x14ac:dyDescent="0.25">
      <c r="A195" s="1532"/>
      <c r="B195" s="2"/>
      <c r="C195" s="10"/>
      <c r="D195" s="10"/>
      <c r="E195" s="252"/>
      <c r="F195" s="252"/>
      <c r="G195" s="252"/>
      <c r="H195" s="252"/>
      <c r="I195" s="252"/>
      <c r="J195" s="252"/>
      <c r="K195" s="252"/>
      <c r="L195" s="1538"/>
      <c r="M195" s="1461"/>
      <c r="N195" s="1460"/>
      <c r="O195" s="1461"/>
      <c r="P195" s="1460"/>
      <c r="Q195" s="1461"/>
      <c r="R195" s="1460"/>
      <c r="S195" s="1461"/>
      <c r="T195" s="186"/>
      <c r="U195" s="651"/>
      <c r="W195" s="1400"/>
      <c r="Y195" s="1535"/>
      <c r="Z195" s="1535"/>
      <c r="AA195" s="1535"/>
      <c r="AB195" s="1535"/>
      <c r="AC195" s="1535"/>
      <c r="AD195" s="1535"/>
      <c r="AE195" s="1535"/>
      <c r="AF195" s="1535"/>
      <c r="AG195" s="1535"/>
      <c r="AH195" s="1535"/>
      <c r="AI195" s="1535"/>
      <c r="AJ195" s="1535"/>
      <c r="AK195" s="1535"/>
      <c r="AL195" s="1535"/>
      <c r="AM195" s="1535"/>
      <c r="AN195" s="399"/>
      <c r="AO195" s="399"/>
    </row>
    <row r="196" spans="1:41" ht="16.5" thickBot="1" x14ac:dyDescent="0.3">
      <c r="A196" s="1532"/>
      <c r="B196" s="2"/>
      <c r="C196" s="12" t="s">
        <v>2338</v>
      </c>
      <c r="D196" s="10"/>
      <c r="E196" s="252"/>
      <c r="F196" s="252"/>
      <c r="G196" s="252"/>
      <c r="H196" s="252"/>
      <c r="I196" s="252"/>
      <c r="J196" s="252"/>
      <c r="K196" s="252"/>
      <c r="L196" s="1538"/>
      <c r="M196" s="1461"/>
      <c r="N196" s="1460"/>
      <c r="O196" s="1461"/>
      <c r="P196" s="1460"/>
      <c r="Q196" s="1461"/>
      <c r="R196" s="1460"/>
      <c r="S196" s="1461"/>
      <c r="T196" s="186"/>
      <c r="U196" s="651"/>
      <c r="W196" s="1400"/>
      <c r="Y196" s="1535"/>
      <c r="Z196" s="1535"/>
      <c r="AA196" s="1535"/>
      <c r="AB196" s="1535"/>
      <c r="AC196" s="1535"/>
      <c r="AD196" s="1535"/>
      <c r="AE196" s="1535"/>
      <c r="AF196" s="1535"/>
      <c r="AG196" s="1535"/>
      <c r="AH196" s="1535"/>
      <c r="AI196" s="1535"/>
      <c r="AJ196" s="1535"/>
      <c r="AK196" s="1535"/>
      <c r="AL196" s="1535"/>
      <c r="AM196" s="1535"/>
      <c r="AN196" s="399"/>
      <c r="AO196" s="399"/>
    </row>
    <row r="197" spans="1:41" ht="16.5" thickBot="1" x14ac:dyDescent="0.3">
      <c r="A197" s="1532"/>
      <c r="B197" s="2"/>
      <c r="C197" s="10"/>
      <c r="D197" s="1639" t="s">
        <v>1184</v>
      </c>
      <c r="E197" s="1639"/>
      <c r="F197" s="1639"/>
      <c r="G197" s="1639"/>
      <c r="H197" s="1639"/>
      <c r="I197" s="1639"/>
      <c r="J197" s="1639"/>
      <c r="K197" s="1639"/>
      <c r="L197" s="1538"/>
      <c r="M197" s="1464" t="e">
        <f>ROUND(+$S$197-$O$197-$Q$197,0)</f>
        <v>#N/A</v>
      </c>
      <c r="N197" s="1460"/>
      <c r="O197" s="1464" t="e">
        <f>ROUND(+(('Part 2'!$G$72)+('Part 2'!$S$72))*-1*$O$94,0)</f>
        <v>#N/A</v>
      </c>
      <c r="P197" s="1460"/>
      <c r="Q197" s="1464" t="e">
        <f>ROUND(+(('Part 2'!$G$72)+('Part 2'!$S$72))*-1*$Q$94,0)</f>
        <v>#N/A</v>
      </c>
      <c r="R197" s="1460"/>
      <c r="S197" s="1464" t="e">
        <f>ROUND(((ROUND(+(('Part 2'!$G$72)+('Part 2'!$S$72))*Local_Share_Total,0)*-1)+(ROUND(+((('Part 2'!$J$72)+('Part 2'!$V$72))*IF('Part 3 DA summary'!$U$6&gt;0,1,Local_Share_Total)),0)*-1)), 0)</f>
        <v>#N/A</v>
      </c>
      <c r="T197" s="186"/>
      <c r="U197" s="651"/>
      <c r="W197" s="1400" t="e">
        <f>+IF(M197+O197+Q197-S197=0,0,1)</f>
        <v>#N/A</v>
      </c>
      <c r="Y197" s="1535"/>
      <c r="Z197" s="1535"/>
      <c r="AA197" s="1535"/>
      <c r="AB197" s="1535"/>
      <c r="AC197" s="1535"/>
      <c r="AD197" s="1535"/>
      <c r="AE197" s="1535"/>
      <c r="AF197" s="1535"/>
      <c r="AG197" s="1535"/>
      <c r="AH197" s="1535"/>
      <c r="AI197" s="1535"/>
      <c r="AJ197" s="1535"/>
      <c r="AK197" s="1535"/>
      <c r="AL197" s="1535"/>
      <c r="AM197" s="1535"/>
      <c r="AN197" s="399"/>
      <c r="AO197" s="399"/>
    </row>
    <row r="198" spans="1:41" ht="15.75" x14ac:dyDescent="0.25">
      <c r="A198" s="1532"/>
      <c r="B198" s="2"/>
      <c r="C198" s="10"/>
      <c r="D198" s="10"/>
      <c r="E198" s="252"/>
      <c r="F198" s="252"/>
      <c r="G198" s="252"/>
      <c r="H198" s="252"/>
      <c r="I198" s="252"/>
      <c r="J198" s="252"/>
      <c r="K198" s="252"/>
      <c r="L198" s="1538"/>
      <c r="M198" s="1461"/>
      <c r="N198" s="1460"/>
      <c r="O198" s="1461"/>
      <c r="P198" s="1460"/>
      <c r="Q198" s="1461"/>
      <c r="R198" s="1460"/>
      <c r="S198" s="1461"/>
      <c r="T198" s="186"/>
      <c r="U198" s="651"/>
      <c r="W198" s="1400"/>
      <c r="Y198" s="1535"/>
      <c r="Z198" s="1535"/>
      <c r="AA198" s="1535"/>
      <c r="AB198" s="1535"/>
      <c r="AC198" s="1535"/>
      <c r="AD198" s="1535"/>
      <c r="AE198" s="1535"/>
      <c r="AF198" s="1535"/>
      <c r="AG198" s="1535"/>
      <c r="AH198" s="1535"/>
      <c r="AI198" s="1535"/>
      <c r="AJ198" s="1535"/>
      <c r="AK198" s="1535"/>
      <c r="AL198" s="1535"/>
      <c r="AM198" s="1535"/>
      <c r="AN198" s="399"/>
      <c r="AO198" s="399"/>
    </row>
    <row r="199" spans="1:41" ht="16.5" thickBot="1" x14ac:dyDescent="0.3">
      <c r="A199" s="1532"/>
      <c r="B199" s="2"/>
      <c r="C199" s="482" t="s">
        <v>2312</v>
      </c>
      <c r="D199" s="491"/>
      <c r="E199" s="770"/>
      <c r="F199" s="770"/>
      <c r="G199" s="770"/>
      <c r="H199" s="770"/>
      <c r="I199" s="252"/>
      <c r="J199" s="252"/>
      <c r="K199" s="252"/>
      <c r="L199" s="1538"/>
      <c r="M199" s="1461"/>
      <c r="N199" s="1460"/>
      <c r="O199" s="1461"/>
      <c r="P199" s="1460"/>
      <c r="Q199" s="1461"/>
      <c r="R199" s="1460"/>
      <c r="S199" s="1461"/>
      <c r="T199" s="186"/>
      <c r="U199" s="651"/>
      <c r="W199" s="1400"/>
      <c r="Y199" s="1535"/>
      <c r="Z199" s="1535"/>
      <c r="AA199" s="1535"/>
      <c r="AB199" s="1535"/>
      <c r="AC199" s="1535"/>
      <c r="AD199" s="1535"/>
      <c r="AE199" s="1535"/>
      <c r="AF199" s="1535"/>
      <c r="AG199" s="1535"/>
      <c r="AH199" s="1535"/>
      <c r="AI199" s="1535"/>
      <c r="AJ199" s="1535"/>
      <c r="AK199" s="1535"/>
      <c r="AL199" s="1535"/>
      <c r="AM199" s="1535"/>
      <c r="AN199" s="399"/>
      <c r="AO199" s="399"/>
    </row>
    <row r="200" spans="1:41" ht="16.5" thickBot="1" x14ac:dyDescent="0.3">
      <c r="A200" s="1532"/>
      <c r="B200" s="2"/>
      <c r="C200" s="491"/>
      <c r="D200" s="1638" t="s">
        <v>2337</v>
      </c>
      <c r="E200" s="1638"/>
      <c r="F200" s="1638"/>
      <c r="G200" s="1638"/>
      <c r="H200" s="1638"/>
      <c r="I200" s="1638"/>
      <c r="J200" s="1638"/>
      <c r="K200" s="1638"/>
      <c r="L200" s="1538"/>
      <c r="M200" s="1464" t="e">
        <f>ROUND(+$S$200-$O$200-$Q$200,0)</f>
        <v>#N/A</v>
      </c>
      <c r="N200" s="1460"/>
      <c r="O200" s="1464" t="e">
        <f>ROUND(+(('Part 2'!$G$157)+('Part 2'!$S$157))*-1*$O$94,0)</f>
        <v>#N/A</v>
      </c>
      <c r="P200" s="1460"/>
      <c r="Q200" s="1464" t="e">
        <f>ROUND(+(('Part 2'!$G$157)+('Part 2'!$S$157))*-1*$Q$94,0)</f>
        <v>#N/A</v>
      </c>
      <c r="R200" s="1460"/>
      <c r="S200" s="1464" t="e">
        <f>ROUND(((ROUND(+(('Part 2'!$G$157)+('Part 2'!$S$157))*Local_Share_Total,0)*-1)+(ROUND(+((('Part 2'!$J$157)+('Part 2'!$V$157))*IF('Part 3 DA summary'!$U$6&gt;0,1,Local_Share_Total)),0)*-1)), 0)</f>
        <v>#N/A</v>
      </c>
      <c r="T200" s="186"/>
      <c r="U200" s="651"/>
      <c r="W200" s="1400" t="e">
        <f>+IF(M200+O200+Q200-S200=0,0,1)</f>
        <v>#N/A</v>
      </c>
      <c r="Y200" s="1535"/>
      <c r="Z200" s="1535"/>
      <c r="AA200" s="1535"/>
      <c r="AB200" s="1535"/>
      <c r="AC200" s="1535"/>
      <c r="AD200" s="1535"/>
      <c r="AE200" s="1535"/>
      <c r="AF200" s="1535"/>
      <c r="AG200" s="1535"/>
      <c r="AH200" s="1535"/>
      <c r="AI200" s="1535"/>
      <c r="AJ200" s="1535"/>
      <c r="AK200" s="1535"/>
      <c r="AL200" s="1535"/>
      <c r="AM200" s="1535"/>
      <c r="AN200" s="399"/>
      <c r="AO200" s="399"/>
    </row>
    <row r="201" spans="1:41" ht="15.75" x14ac:dyDescent="0.25">
      <c r="A201" s="1532"/>
      <c r="B201" s="2"/>
      <c r="C201" s="491"/>
      <c r="D201" s="491"/>
      <c r="E201" s="770"/>
      <c r="F201" s="770"/>
      <c r="G201" s="770"/>
      <c r="H201" s="770"/>
      <c r="I201" s="252"/>
      <c r="J201" s="252"/>
      <c r="K201" s="252"/>
      <c r="L201" s="1538"/>
      <c r="M201" s="1461"/>
      <c r="N201" s="1460"/>
      <c r="O201" s="1461"/>
      <c r="P201" s="1460"/>
      <c r="Q201" s="1461"/>
      <c r="R201" s="1460"/>
      <c r="S201" s="1461"/>
      <c r="T201" s="186"/>
      <c r="U201" s="651"/>
      <c r="W201" s="1400"/>
      <c r="Y201" s="1535"/>
      <c r="Z201" s="1535"/>
      <c r="AA201" s="1535"/>
      <c r="AB201" s="1535"/>
      <c r="AC201" s="1535"/>
      <c r="AD201" s="1535"/>
      <c r="AE201" s="1535"/>
      <c r="AF201" s="1535"/>
      <c r="AG201" s="1535"/>
      <c r="AH201" s="1535"/>
      <c r="AI201" s="1535"/>
      <c r="AJ201" s="1535"/>
      <c r="AK201" s="1535"/>
      <c r="AL201" s="1535"/>
      <c r="AM201" s="1535"/>
      <c r="AN201" s="399"/>
      <c r="AO201" s="399"/>
    </row>
    <row r="202" spans="1:41" ht="16.5" thickBot="1" x14ac:dyDescent="0.3">
      <c r="A202" s="1532"/>
      <c r="B202" s="2"/>
      <c r="C202" s="482" t="s">
        <v>2330</v>
      </c>
      <c r="D202" s="491"/>
      <c r="E202" s="770"/>
      <c r="F202" s="770"/>
      <c r="G202" s="770"/>
      <c r="H202" s="770"/>
      <c r="I202" s="770"/>
      <c r="J202" s="252"/>
      <c r="K202" s="252"/>
      <c r="L202" s="1538"/>
      <c r="M202" s="1461"/>
      <c r="N202" s="1460"/>
      <c r="O202" s="1461"/>
      <c r="P202" s="1460"/>
      <c r="Q202" s="1461"/>
      <c r="R202" s="1460"/>
      <c r="S202" s="1461"/>
      <c r="T202" s="186"/>
      <c r="U202" s="651"/>
      <c r="W202" s="1400"/>
      <c r="X202" s="1270" t="s">
        <v>2328</v>
      </c>
      <c r="Y202" s="1535"/>
      <c r="Z202" s="1535"/>
      <c r="AA202" s="1535"/>
      <c r="AB202" s="1535"/>
      <c r="AC202" s="1535"/>
      <c r="AD202" s="1535"/>
      <c r="AE202" s="1535"/>
      <c r="AF202" s="1535"/>
      <c r="AG202" s="1535"/>
      <c r="AH202" s="1535"/>
      <c r="AI202" s="1535"/>
      <c r="AJ202" s="1535"/>
      <c r="AK202" s="1535"/>
      <c r="AL202" s="1535"/>
      <c r="AM202" s="1535"/>
      <c r="AN202" s="399"/>
      <c r="AO202" s="399"/>
    </row>
    <row r="203" spans="1:41" ht="16.5" thickBot="1" x14ac:dyDescent="0.3">
      <c r="A203" s="1532"/>
      <c r="B203" s="2"/>
      <c r="C203" s="491"/>
      <c r="D203" s="1638" t="s">
        <v>2402</v>
      </c>
      <c r="E203" s="1638"/>
      <c r="F203" s="1638"/>
      <c r="G203" s="1638"/>
      <c r="H203" s="1638"/>
      <c r="I203" s="1638"/>
      <c r="J203" s="1638"/>
      <c r="K203" s="1638"/>
      <c r="L203" s="1538"/>
      <c r="M203" s="1464">
        <f>ROUND(+$S$203-$O$203-$Q$203,0)</f>
        <v>0</v>
      </c>
      <c r="N203" s="1460"/>
      <c r="O203" s="1464">
        <v>0</v>
      </c>
      <c r="P203" s="1460"/>
      <c r="Q203" s="1464">
        <f>0</f>
        <v>0</v>
      </c>
      <c r="R203" s="1460"/>
      <c r="S203" s="1470">
        <f>ROUND(+(('Part 2'!$J$131*-1)+('Part 2'!$V$131*-1)), 0)</f>
        <v>0</v>
      </c>
      <c r="T203" s="186"/>
      <c r="U203" s="651"/>
      <c r="W203" s="1400">
        <f>+IF(M203+O203+Q203-S203=0,0,1)</f>
        <v>0</v>
      </c>
      <c r="X203" s="1271" t="e">
        <f>IF(INDEX(TierSplit!BY:BY,MATCH(Import_LA_Code,Ref_LA_Codes2,0))="Yes",1,0)</f>
        <v>#N/A</v>
      </c>
      <c r="Y203" s="1535"/>
      <c r="Z203" s="1535"/>
      <c r="AA203" s="1535"/>
      <c r="AB203" s="1535"/>
      <c r="AC203" s="1535"/>
      <c r="AD203" s="1535"/>
      <c r="AE203" s="1535"/>
      <c r="AF203" s="1535"/>
      <c r="AG203" s="1535"/>
      <c r="AH203" s="1535"/>
      <c r="AI203" s="1535"/>
      <c r="AJ203" s="1535"/>
      <c r="AK203" s="1535"/>
      <c r="AL203" s="1535"/>
      <c r="AM203" s="1535"/>
      <c r="AN203" s="399"/>
      <c r="AO203" s="399"/>
    </row>
    <row r="204" spans="1:41" ht="15.75" x14ac:dyDescent="0.25">
      <c r="A204" s="1532"/>
      <c r="B204" s="2"/>
      <c r="C204" s="491"/>
      <c r="D204" s="491"/>
      <c r="E204" s="770"/>
      <c r="F204" s="770"/>
      <c r="G204" s="770"/>
      <c r="H204" s="770"/>
      <c r="I204" s="770"/>
      <c r="J204" s="252"/>
      <c r="K204" s="252"/>
      <c r="L204" s="1538"/>
      <c r="M204" s="1478"/>
      <c r="N204" s="1476"/>
      <c r="O204" s="1478"/>
      <c r="P204" s="1476"/>
      <c r="Q204" s="1478"/>
      <c r="R204" s="1476"/>
      <c r="S204" s="1478"/>
      <c r="T204" s="186"/>
      <c r="U204" s="1140"/>
      <c r="W204" s="1400"/>
      <c r="X204"/>
      <c r="Y204" s="1535"/>
      <c r="Z204" s="1535"/>
      <c r="AA204" s="1535"/>
      <c r="AB204" s="1535"/>
      <c r="AC204" s="1535"/>
      <c r="AD204" s="1535"/>
      <c r="AE204" s="1535"/>
      <c r="AF204" s="1535"/>
      <c r="AG204" s="1535"/>
      <c r="AH204" s="1535"/>
      <c r="AI204" s="1535"/>
      <c r="AJ204" s="1535"/>
      <c r="AK204" s="1535"/>
      <c r="AL204" s="1535"/>
      <c r="AM204" s="1535"/>
      <c r="AN204" s="399"/>
      <c r="AO204" s="399"/>
    </row>
    <row r="205" spans="1:41" ht="16.5" thickBot="1" x14ac:dyDescent="0.3">
      <c r="A205" s="1532"/>
      <c r="B205" s="2"/>
      <c r="C205" s="482" t="s">
        <v>3299</v>
      </c>
      <c r="D205" s="491"/>
      <c r="E205" s="770"/>
      <c r="F205" s="770"/>
      <c r="G205" s="770"/>
      <c r="H205" s="770"/>
      <c r="I205" s="770"/>
      <c r="J205" s="252"/>
      <c r="K205" s="252"/>
      <c r="L205" s="1538"/>
      <c r="M205" s="1478"/>
      <c r="N205" s="1476"/>
      <c r="O205" s="1478"/>
      <c r="P205" s="1476"/>
      <c r="Q205" s="1478"/>
      <c r="R205" s="1476"/>
      <c r="S205" s="1478"/>
      <c r="T205" s="186"/>
      <c r="U205" s="1140"/>
      <c r="W205" s="1400"/>
      <c r="X205" s="1270" t="s">
        <v>3329</v>
      </c>
      <c r="Y205" s="1535"/>
      <c r="Z205" s="1535"/>
      <c r="AA205" s="1535"/>
      <c r="AB205" s="1535"/>
      <c r="AC205" s="1535"/>
      <c r="AD205" s="1535"/>
      <c r="AE205" s="1535"/>
      <c r="AF205" s="1535"/>
      <c r="AG205" s="1535"/>
      <c r="AH205" s="1535"/>
      <c r="AI205" s="1535"/>
      <c r="AJ205" s="1535"/>
      <c r="AK205" s="1535"/>
      <c r="AL205" s="1535"/>
      <c r="AM205" s="1535"/>
      <c r="AN205" s="399"/>
      <c r="AO205" s="399"/>
    </row>
    <row r="206" spans="1:41" ht="16.5" thickBot="1" x14ac:dyDescent="0.3">
      <c r="A206" s="1532"/>
      <c r="B206" s="2"/>
      <c r="C206" s="491"/>
      <c r="D206" s="1638" t="s">
        <v>3240</v>
      </c>
      <c r="E206" s="1638"/>
      <c r="F206" s="1638"/>
      <c r="G206" s="1638"/>
      <c r="H206" s="1638"/>
      <c r="I206" s="1638"/>
      <c r="J206" s="1638"/>
      <c r="K206" s="1638"/>
      <c r="L206" s="1538"/>
      <c r="M206" s="1464" t="e">
        <f>ROUND(+$S$206-$O$206-$Q$206,0)</f>
        <v>#N/A</v>
      </c>
      <c r="N206" s="1460"/>
      <c r="O206" s="1464" t="e">
        <f>ROUND(+(('Part 2'!$G$133)+('Part 2'!$S$133))*-1*$O$94,0)</f>
        <v>#N/A</v>
      </c>
      <c r="P206" s="1460"/>
      <c r="Q206" s="1464" t="e">
        <f>ROUND(+(('Part 2'!$G$133)+('Part 2'!$S$133))*-1*$Q$94,0)</f>
        <v>#N/A</v>
      </c>
      <c r="R206" s="1460"/>
      <c r="S206" s="1464" t="e">
        <f>ROUND(+(((('Part 2'!$G$133*-1)+('Part 2'!$S$133*-1))*Local_Share_Total)+('Part 2'!$J$133*-1)+('Part 2'!$V$133*-1)), 0)</f>
        <v>#N/A</v>
      </c>
      <c r="T206" s="186"/>
      <c r="U206" s="1140"/>
      <c r="W206" s="1400" t="e">
        <f>+IF(M206+O206+Q206-S206=0,0,1)</f>
        <v>#N/A</v>
      </c>
      <c r="X206" s="1271" t="e">
        <f>IF(INDEX(TierSplit!BZ:BZ,MATCH(Import_LA_Code,Ref_LA_Codes2,0))="Yes",1,0)</f>
        <v>#N/A</v>
      </c>
      <c r="Y206" s="1535"/>
      <c r="Z206" s="1535"/>
      <c r="AA206" s="1535"/>
      <c r="AB206" s="1535"/>
      <c r="AC206" s="1535"/>
      <c r="AD206" s="1535"/>
      <c r="AE206" s="1535"/>
      <c r="AF206" s="1535"/>
      <c r="AG206" s="1535"/>
      <c r="AH206" s="1535"/>
      <c r="AI206" s="1535"/>
      <c r="AJ206" s="1535"/>
      <c r="AK206" s="1535"/>
      <c r="AL206" s="1535"/>
      <c r="AM206" s="1535"/>
      <c r="AN206" s="399"/>
      <c r="AO206" s="399"/>
    </row>
    <row r="207" spans="1:41" ht="15.75" x14ac:dyDescent="0.25">
      <c r="A207" s="1532"/>
      <c r="B207" s="2"/>
      <c r="C207" s="491"/>
      <c r="D207" s="491"/>
      <c r="E207" s="770"/>
      <c r="F207" s="770"/>
      <c r="G207" s="770"/>
      <c r="H207" s="770"/>
      <c r="I207" s="770"/>
      <c r="J207" s="252"/>
      <c r="K207" s="252"/>
      <c r="L207" s="1538"/>
      <c r="M207" s="1461"/>
      <c r="N207" s="1460"/>
      <c r="O207" s="1461"/>
      <c r="P207" s="1460"/>
      <c r="Q207" s="1461"/>
      <c r="R207" s="1460"/>
      <c r="S207" s="1461"/>
      <c r="T207" s="186"/>
      <c r="U207" s="651"/>
      <c r="W207" s="1400"/>
      <c r="Y207" s="1535"/>
      <c r="Z207" s="1535"/>
      <c r="AA207" s="1535"/>
      <c r="AB207" s="1535"/>
      <c r="AC207" s="1535"/>
      <c r="AD207" s="1535"/>
      <c r="AE207" s="1535"/>
      <c r="AF207" s="1535"/>
      <c r="AG207" s="1535"/>
      <c r="AH207" s="1535"/>
      <c r="AI207" s="1535"/>
      <c r="AJ207" s="1535"/>
      <c r="AK207" s="1535"/>
      <c r="AL207" s="1535"/>
      <c r="AM207" s="1535"/>
      <c r="AN207" s="399"/>
      <c r="AO207" s="399"/>
    </row>
    <row r="208" spans="1:41" ht="16.5" thickBot="1" x14ac:dyDescent="0.3">
      <c r="A208" s="1532"/>
      <c r="B208" s="2"/>
      <c r="C208" s="482" t="s">
        <v>2401</v>
      </c>
      <c r="D208" s="491"/>
      <c r="E208" s="770"/>
      <c r="F208" s="770"/>
      <c r="G208" s="770"/>
      <c r="H208" s="770"/>
      <c r="I208" s="252"/>
      <c r="J208" s="252"/>
      <c r="K208" s="252"/>
      <c r="L208" s="1538"/>
      <c r="M208" s="1461"/>
      <c r="N208" s="1460"/>
      <c r="O208" s="1461"/>
      <c r="P208" s="1460"/>
      <c r="Q208" s="1461"/>
      <c r="R208" s="1460"/>
      <c r="S208" s="1461"/>
      <c r="T208" s="186"/>
      <c r="U208" s="651"/>
      <c r="W208" s="1400"/>
      <c r="Y208" s="1535"/>
      <c r="Z208" s="1535"/>
      <c r="AA208" s="1535"/>
      <c r="AB208" s="1535"/>
      <c r="AC208" s="1535"/>
      <c r="AD208" s="1535"/>
      <c r="AE208" s="1535"/>
      <c r="AF208" s="1535"/>
      <c r="AG208" s="1535"/>
      <c r="AH208" s="1535"/>
      <c r="AI208" s="1535"/>
      <c r="AJ208" s="1535"/>
      <c r="AK208" s="1535"/>
      <c r="AL208" s="1535"/>
      <c r="AM208" s="1535"/>
      <c r="AN208" s="399"/>
      <c r="AO208" s="399"/>
    </row>
    <row r="209" spans="1:41" ht="15.75" customHeight="1" thickBot="1" x14ac:dyDescent="0.3">
      <c r="A209" s="1532"/>
      <c r="B209" s="2"/>
      <c r="C209" s="491" t="s">
        <v>708</v>
      </c>
      <c r="D209" s="1638" t="s">
        <v>3241</v>
      </c>
      <c r="E209" s="1638"/>
      <c r="F209" s="1638"/>
      <c r="G209" s="1638"/>
      <c r="H209" s="1638"/>
      <c r="I209" s="1638"/>
      <c r="J209" s="1638"/>
      <c r="K209" s="1638"/>
      <c r="L209" s="1538"/>
      <c r="M209" s="1464" t="e">
        <f>ROUND(+$S$209-$O$209-$Q$209,0)</f>
        <v>#N/A</v>
      </c>
      <c r="N209" s="1460"/>
      <c r="O209" s="1464" t="e">
        <f>ROUND(+(('Part 2'!$G$75)+('Part 2'!$S$75))*-1*$O$94,0)</f>
        <v>#N/A</v>
      </c>
      <c r="P209" s="1460"/>
      <c r="Q209" s="1464" t="e">
        <f>ROUND(+(('Part 2'!$G$75)+('Part 2'!$S$75))*-1*$Q$94,0)</f>
        <v>#N/A</v>
      </c>
      <c r="R209" s="1460"/>
      <c r="S209" s="1464" t="e">
        <f>ROUND(((ROUND(+(('Part 2'!$G$75)+('Part 2'!$S$75))*Local_Share_Total,0)*-1)+(ROUND(+((('Part 2'!$J$75)+('Part 2'!$V$75))*IF('Part 3 DA summary'!$U$6&gt;0,1,Local_Share_Total)),0)*-1)), 0)</f>
        <v>#N/A</v>
      </c>
      <c r="T209" s="186"/>
      <c r="U209" s="651"/>
      <c r="W209" s="1400"/>
      <c r="Y209" s="1535"/>
      <c r="Z209" s="1535"/>
      <c r="AA209" s="1535"/>
      <c r="AB209" s="1535"/>
      <c r="AC209" s="1535"/>
      <c r="AD209" s="1535"/>
      <c r="AE209" s="1535"/>
      <c r="AF209" s="1535"/>
      <c r="AG209" s="1535"/>
      <c r="AH209" s="1535"/>
      <c r="AI209" s="1535"/>
      <c r="AJ209" s="1535"/>
      <c r="AK209" s="1535"/>
      <c r="AL209" s="1535"/>
      <c r="AM209" s="1535"/>
      <c r="AN209" s="399"/>
      <c r="AO209" s="399"/>
    </row>
    <row r="210" spans="1:41" ht="16.5" thickBot="1" x14ac:dyDescent="0.3">
      <c r="A210" s="1532"/>
      <c r="B210" s="2"/>
      <c r="C210" s="491"/>
      <c r="D210" s="491"/>
      <c r="E210" s="770"/>
      <c r="F210" s="770"/>
      <c r="G210" s="770"/>
      <c r="H210" s="770"/>
      <c r="I210" s="252"/>
      <c r="J210" s="252"/>
      <c r="K210" s="252"/>
      <c r="L210" s="1538"/>
      <c r="M210" s="1461"/>
      <c r="N210" s="1460"/>
      <c r="O210" s="1461"/>
      <c r="P210" s="1460"/>
      <c r="Q210" s="1461"/>
      <c r="R210" s="1460"/>
      <c r="S210" s="1461"/>
      <c r="T210" s="186"/>
      <c r="U210" s="651"/>
      <c r="W210" s="1400"/>
      <c r="Y210" s="1535"/>
      <c r="Z210" s="1535"/>
      <c r="AA210" s="1535"/>
      <c r="AB210" s="1535"/>
      <c r="AC210" s="1535"/>
      <c r="AD210" s="1535"/>
      <c r="AE210" s="1535"/>
      <c r="AF210" s="1535"/>
      <c r="AG210" s="1535"/>
      <c r="AH210" s="1535"/>
      <c r="AI210" s="1535"/>
      <c r="AJ210" s="1535"/>
      <c r="AK210" s="1535"/>
      <c r="AL210" s="1535"/>
      <c r="AM210" s="1535"/>
      <c r="AN210" s="399"/>
      <c r="AO210" s="399"/>
    </row>
    <row r="211" spans="1:41" ht="15.75" x14ac:dyDescent="0.25">
      <c r="A211" s="1383"/>
      <c r="B211" s="1491"/>
      <c r="C211" s="1492"/>
      <c r="D211" s="1492"/>
      <c r="E211" s="1492"/>
      <c r="F211" s="1492"/>
      <c r="G211" s="1492"/>
      <c r="H211" s="1492"/>
      <c r="I211" s="1492"/>
      <c r="J211" s="1492"/>
      <c r="K211" s="1554"/>
      <c r="L211" s="1555"/>
      <c r="M211" s="1555"/>
      <c r="N211" s="1555"/>
      <c r="O211" s="1555"/>
      <c r="P211" s="1555"/>
      <c r="Q211" s="1555"/>
      <c r="R211" s="1555"/>
      <c r="S211" s="1555"/>
      <c r="T211" s="1495"/>
      <c r="U211" s="1384"/>
      <c r="W211" s="1400"/>
      <c r="Y211" s="1535"/>
      <c r="Z211" s="1535"/>
      <c r="AA211" s="1535"/>
      <c r="AB211" s="1535"/>
      <c r="AC211" s="1535"/>
      <c r="AD211" s="1535"/>
      <c r="AE211" s="1535"/>
      <c r="AF211" s="1535"/>
      <c r="AG211" s="1535"/>
      <c r="AH211" s="1535"/>
      <c r="AI211" s="1535"/>
      <c r="AJ211" s="1535"/>
      <c r="AK211" s="1535"/>
      <c r="AL211" s="1535"/>
      <c r="AM211" s="1535"/>
      <c r="AN211" s="399"/>
      <c r="AO211" s="399"/>
    </row>
    <row r="212" spans="1:41" ht="16.5" thickBot="1" x14ac:dyDescent="0.3">
      <c r="A212" s="1383"/>
      <c r="B212" s="1497"/>
      <c r="C212" s="14" t="s">
        <v>709</v>
      </c>
      <c r="D212" s="8"/>
      <c r="E212" s="8"/>
      <c r="F212" s="8"/>
      <c r="G212" s="8"/>
      <c r="H212" s="8"/>
      <c r="I212" s="8"/>
      <c r="J212" s="8"/>
      <c r="K212" s="8"/>
      <c r="L212" s="1460"/>
      <c r="M212" s="1458" t="s">
        <v>687</v>
      </c>
      <c r="N212" s="1460"/>
      <c r="O212" s="1458" t="s">
        <v>687</v>
      </c>
      <c r="P212" s="1460"/>
      <c r="Q212" s="1458" t="s">
        <v>687</v>
      </c>
      <c r="R212" s="1460"/>
      <c r="S212" s="1458" t="s">
        <v>687</v>
      </c>
      <c r="T212" s="1499"/>
      <c r="U212" s="1384"/>
      <c r="W212" s="1400"/>
      <c r="Y212" s="1535"/>
      <c r="Z212" s="1535"/>
      <c r="AA212" s="1535"/>
      <c r="AB212" s="1535"/>
      <c r="AC212" s="1535"/>
      <c r="AD212" s="1535"/>
      <c r="AE212" s="1535"/>
      <c r="AF212" s="1535"/>
      <c r="AG212" s="1535"/>
      <c r="AH212" s="1535"/>
      <c r="AI212" s="1535"/>
      <c r="AJ212" s="1535"/>
      <c r="AK212" s="1535"/>
      <c r="AL212" s="1535"/>
      <c r="AM212" s="1535"/>
      <c r="AN212" s="399"/>
      <c r="AO212" s="399"/>
    </row>
    <row r="213" spans="1:41" ht="16.5" customHeight="1" thickBot="1" x14ac:dyDescent="0.3">
      <c r="A213" s="1383"/>
      <c r="B213" s="1497"/>
      <c r="C213" s="1640" t="s">
        <v>3354</v>
      </c>
      <c r="D213" s="1640"/>
      <c r="E213" s="1640"/>
      <c r="F213" s="1640"/>
      <c r="G213" s="1640"/>
      <c r="H213" s="1640"/>
      <c r="I213" s="1640"/>
      <c r="J213" s="1640"/>
      <c r="K213" s="1640"/>
      <c r="L213" s="1460"/>
      <c r="M213" s="1464" t="e">
        <f>+M174+M178+M180+M182+M185+M188+M191+M194+M197+M200+M209+M203+M206</f>
        <v>#N/A</v>
      </c>
      <c r="N213" s="1460"/>
      <c r="O213" s="1464" t="e">
        <f>+O174+O178+O180+O182+O185+O188+O191+O194+O197+O200+O209+O203+O206</f>
        <v>#N/A</v>
      </c>
      <c r="P213" s="1460"/>
      <c r="Q213" s="1464" t="e">
        <f>+Q174+Q178+Q180+Q182+Q185+Q188+Q191+Q194+Q197+Q200+Q209+Q203+Q206</f>
        <v>#N/A</v>
      </c>
      <c r="R213" s="1460"/>
      <c r="S213" s="1464" t="e">
        <f>+S174+S178+S180+S182+S185+S188+S191+S194+S197+S200+S209+S203+S206</f>
        <v>#N/A</v>
      </c>
      <c r="T213" s="1499"/>
      <c r="U213" s="71"/>
      <c r="W213" s="1406" t="e">
        <f>+IF(ROUND(M213+O213+Q213-S213,0)=0,0,1)</f>
        <v>#N/A</v>
      </c>
      <c r="Y213" s="1535"/>
      <c r="Z213" s="1535"/>
      <c r="AA213" s="1535"/>
      <c r="AB213" s="1535"/>
      <c r="AC213" s="1535"/>
      <c r="AD213" s="1535"/>
      <c r="AE213" s="1535"/>
      <c r="AF213" s="1535"/>
      <c r="AG213" s="1535"/>
      <c r="AH213" s="1535"/>
      <c r="AI213" s="1535"/>
      <c r="AJ213" s="1535"/>
      <c r="AK213" s="1535"/>
      <c r="AL213" s="1535"/>
      <c r="AM213" s="1535"/>
      <c r="AN213" s="399"/>
      <c r="AO213" s="399"/>
    </row>
    <row r="214" spans="1:41" ht="16.5" thickBot="1" x14ac:dyDescent="0.3">
      <c r="A214" s="1383"/>
      <c r="B214" s="1556"/>
      <c r="C214" s="1557"/>
      <c r="D214" s="1557"/>
      <c r="E214" s="1557"/>
      <c r="F214" s="1557"/>
      <c r="G214" s="1557"/>
      <c r="H214" s="1557"/>
      <c r="I214" s="1557"/>
      <c r="J214" s="1557"/>
      <c r="K214" s="1557"/>
      <c r="L214" s="1558"/>
      <c r="M214" s="1558"/>
      <c r="N214" s="1558"/>
      <c r="O214" s="1558"/>
      <c r="P214" s="1558"/>
      <c r="Q214" s="1558"/>
      <c r="R214" s="1558"/>
      <c r="S214" s="1558"/>
      <c r="T214" s="1559"/>
      <c r="U214" s="1384"/>
      <c r="Y214" s="1535"/>
      <c r="Z214" s="1535"/>
      <c r="AA214" s="1535"/>
      <c r="AB214" s="1535"/>
      <c r="AC214" s="1535"/>
      <c r="AD214" s="1535"/>
      <c r="AE214" s="1535"/>
      <c r="AF214" s="1535"/>
      <c r="AG214" s="1535"/>
      <c r="AH214" s="1535"/>
      <c r="AI214" s="1535"/>
      <c r="AJ214" s="1535"/>
      <c r="AK214" s="1535"/>
      <c r="AL214" s="1535"/>
      <c r="AM214" s="1535"/>
      <c r="AN214" s="399"/>
      <c r="AO214" s="399"/>
    </row>
    <row r="215" spans="1:41" ht="15.75" x14ac:dyDescent="0.25">
      <c r="A215" s="1383"/>
      <c r="B215" s="10"/>
      <c r="C215" s="10"/>
      <c r="D215" s="10"/>
      <c r="E215" s="10"/>
      <c r="F215" s="10"/>
      <c r="G215" s="10"/>
      <c r="H215" s="10"/>
      <c r="I215" s="10"/>
      <c r="J215" s="10"/>
      <c r="K215" s="10"/>
      <c r="L215" s="10"/>
      <c r="M215" s="10"/>
      <c r="N215" s="10"/>
      <c r="O215" s="10"/>
      <c r="P215" s="10"/>
      <c r="Q215" s="10"/>
      <c r="R215" s="10"/>
      <c r="S215" s="10"/>
      <c r="T215" s="10"/>
      <c r="U215" s="1384"/>
      <c r="Y215" s="1535"/>
      <c r="Z215" s="1535"/>
      <c r="AA215" s="1535"/>
      <c r="AB215" s="1535"/>
      <c r="AC215" s="1535"/>
      <c r="AD215" s="1535"/>
      <c r="AE215" s="1535"/>
      <c r="AF215" s="1535"/>
      <c r="AG215" s="1535"/>
      <c r="AH215" s="1535"/>
      <c r="AI215" s="1535"/>
      <c r="AJ215" s="1535"/>
      <c r="AK215" s="1535"/>
      <c r="AL215" s="1535"/>
      <c r="AM215" s="1535"/>
      <c r="AN215" s="399"/>
      <c r="AO215" s="399"/>
    </row>
    <row r="216" spans="1:41" ht="18.75" customHeight="1" x14ac:dyDescent="0.25">
      <c r="A216" s="1383"/>
      <c r="B216" s="10"/>
      <c r="C216" s="1675" t="s">
        <v>3242</v>
      </c>
      <c r="D216" s="1676"/>
      <c r="E216" s="1676"/>
      <c r="F216" s="1676"/>
      <c r="G216" s="1676"/>
      <c r="H216" s="1676"/>
      <c r="I216" s="1676"/>
      <c r="J216" s="1676"/>
      <c r="K216" s="1676"/>
      <c r="L216" s="1676"/>
      <c r="M216" s="1676"/>
      <c r="N216" s="1676"/>
      <c r="O216" s="1676"/>
      <c r="P216" s="1676"/>
      <c r="Q216" s="1676"/>
      <c r="R216" s="1676"/>
      <c r="S216" s="1676"/>
      <c r="T216" s="10"/>
      <c r="U216" s="1384"/>
      <c r="Y216" s="1535"/>
      <c r="Z216" s="1535"/>
      <c r="AA216" s="1535"/>
      <c r="AB216" s="1535"/>
      <c r="AC216" s="1535"/>
      <c r="AD216" s="1535"/>
      <c r="AE216" s="1535"/>
      <c r="AF216" s="1535"/>
      <c r="AG216" s="1535"/>
      <c r="AH216" s="1535"/>
      <c r="AI216" s="1535"/>
      <c r="AJ216" s="1535"/>
      <c r="AK216" s="1535"/>
      <c r="AL216" s="1535"/>
      <c r="AM216" s="1535"/>
      <c r="AN216" s="399"/>
      <c r="AO216" s="399"/>
    </row>
    <row r="217" spans="1:41" ht="18.75" customHeight="1" x14ac:dyDescent="0.25">
      <c r="A217" s="1383"/>
      <c r="B217" s="10"/>
      <c r="C217" s="1677"/>
      <c r="D217" s="1678"/>
      <c r="E217" s="1678"/>
      <c r="F217" s="1678"/>
      <c r="G217" s="1678"/>
      <c r="H217" s="1678"/>
      <c r="I217" s="1678"/>
      <c r="J217" s="1678"/>
      <c r="K217" s="1678"/>
      <c r="L217" s="1678"/>
      <c r="M217" s="1678"/>
      <c r="N217" s="1678"/>
      <c r="O217" s="1678"/>
      <c r="P217" s="1678"/>
      <c r="Q217" s="1678"/>
      <c r="R217" s="1678"/>
      <c r="S217" s="1678"/>
      <c r="T217" s="10"/>
      <c r="U217" s="1384"/>
      <c r="Y217" s="1535"/>
      <c r="Z217" s="1535"/>
      <c r="AA217" s="1535"/>
      <c r="AB217" s="1535"/>
      <c r="AC217" s="1535"/>
      <c r="AD217" s="1535"/>
      <c r="AE217" s="1535"/>
      <c r="AF217" s="1535"/>
      <c r="AG217" s="1535"/>
      <c r="AH217" s="1535"/>
      <c r="AI217" s="1535"/>
      <c r="AJ217" s="1535"/>
      <c r="AK217" s="1535"/>
      <c r="AL217" s="1535"/>
      <c r="AM217" s="1535"/>
      <c r="AN217" s="399"/>
      <c r="AO217" s="399"/>
    </row>
    <row r="218" spans="1:41" x14ac:dyDescent="0.2">
      <c r="A218" s="1383"/>
      <c r="B218" s="10"/>
      <c r="C218" s="10"/>
      <c r="D218" s="10"/>
      <c r="E218" s="10"/>
      <c r="F218" s="10"/>
      <c r="G218" s="10"/>
      <c r="H218" s="10"/>
      <c r="I218" s="10"/>
      <c r="J218" s="10"/>
      <c r="K218" s="10"/>
      <c r="L218" s="10"/>
      <c r="M218" s="10"/>
      <c r="N218" s="10"/>
      <c r="O218" s="10"/>
      <c r="P218" s="10"/>
      <c r="Q218" s="10"/>
      <c r="R218" s="10"/>
      <c r="S218" s="10"/>
      <c r="T218" s="10"/>
      <c r="U218" s="1384"/>
    </row>
    <row r="219" spans="1:41" x14ac:dyDescent="0.2">
      <c r="A219" s="1419"/>
      <c r="B219" s="1420"/>
      <c r="C219" s="1420"/>
      <c r="D219" s="1420"/>
      <c r="E219" s="1420"/>
      <c r="F219" s="1420"/>
      <c r="G219" s="1420"/>
      <c r="H219" s="1420"/>
      <c r="I219" s="1420"/>
      <c r="J219" s="1420"/>
      <c r="K219" s="1420"/>
      <c r="L219" s="1420"/>
      <c r="M219" s="1420"/>
      <c r="N219" s="1420"/>
      <c r="O219" s="1420"/>
      <c r="P219" s="1420"/>
      <c r="Q219" s="1420"/>
      <c r="R219" s="1420"/>
      <c r="S219" s="1420"/>
      <c r="T219" s="1420"/>
      <c r="U219" s="1424"/>
    </row>
    <row r="220" spans="1:41" ht="15.75" hidden="1" x14ac:dyDescent="0.25">
      <c r="A220" s="1441"/>
      <c r="B220" s="1560"/>
      <c r="C220" s="1666" t="e">
        <f>+IF(B238=0,"","Please investigate the error messages shown below and make the appropriate changes to the form.  Any comments should be added at the bottom of Part 4")</f>
        <v>#N/A</v>
      </c>
      <c r="D220" s="1666"/>
      <c r="E220" s="1666"/>
      <c r="F220" s="1666"/>
      <c r="G220" s="1666"/>
      <c r="H220" s="1666"/>
      <c r="I220" s="1666"/>
      <c r="J220" s="1666"/>
      <c r="K220" s="1666"/>
      <c r="L220" s="1666"/>
      <c r="M220" s="1666"/>
      <c r="N220" s="1666"/>
      <c r="O220" s="1666"/>
      <c r="P220" s="1666"/>
      <c r="Q220" s="1666"/>
      <c r="R220" s="1666"/>
      <c r="S220" s="1666"/>
      <c r="T220" s="1561"/>
      <c r="U220" s="1430"/>
    </row>
    <row r="221" spans="1:41" hidden="1" x14ac:dyDescent="0.2">
      <c r="A221" s="1441"/>
      <c r="B221" s="1562"/>
      <c r="C221" s="1563"/>
      <c r="D221" s="1563"/>
      <c r="E221" s="1563"/>
      <c r="F221" s="1563"/>
      <c r="G221" s="1563"/>
      <c r="H221" s="1563"/>
      <c r="I221" s="1563"/>
      <c r="J221" s="1563"/>
      <c r="K221" s="1563"/>
      <c r="L221" s="1564"/>
      <c r="M221" s="1564"/>
      <c r="N221" s="1564"/>
      <c r="O221" s="1564"/>
      <c r="P221" s="1564"/>
      <c r="Q221" s="1564"/>
      <c r="R221" s="1564"/>
      <c r="S221" s="1564"/>
      <c r="T221" s="1565"/>
      <c r="U221" s="1430"/>
    </row>
    <row r="222" spans="1:41" ht="15.75" hidden="1" x14ac:dyDescent="0.25">
      <c r="A222" s="1435" t="e">
        <f>+IF(C222="",0,1)</f>
        <v>#N/A</v>
      </c>
      <c r="B222" s="1562"/>
      <c r="C222" s="1524" t="e">
        <f>IF(W166=0,"","Line 25 column 5 doesn't equal the sum of columns 2 to 4. Please check why.")</f>
        <v>#N/A</v>
      </c>
      <c r="D222" s="1524"/>
      <c r="E222" s="1524"/>
      <c r="F222" s="1524"/>
      <c r="G222" s="1524"/>
      <c r="H222" s="1524"/>
      <c r="I222" s="1524"/>
      <c r="J222" s="1524"/>
      <c r="K222" s="1524"/>
      <c r="L222" s="1564"/>
      <c r="M222" s="1564"/>
      <c r="N222" s="1564"/>
      <c r="O222" s="1564"/>
      <c r="P222" s="1564"/>
      <c r="Q222" s="1564"/>
      <c r="R222" s="1564"/>
      <c r="S222" s="1564"/>
      <c r="T222" s="1565"/>
      <c r="U222" s="1430"/>
    </row>
    <row r="223" spans="1:41" ht="15.75" hidden="1" x14ac:dyDescent="0.25">
      <c r="A223" s="1435"/>
      <c r="B223" s="1562"/>
      <c r="C223" s="1646"/>
      <c r="D223" s="1646"/>
      <c r="E223" s="1646"/>
      <c r="F223" s="1646"/>
      <c r="G223" s="1646"/>
      <c r="H223" s="1646"/>
      <c r="I223" s="1646"/>
      <c r="J223" s="1646"/>
      <c r="K223" s="1646"/>
      <c r="L223" s="1564"/>
      <c r="M223" s="1564"/>
      <c r="N223" s="1564"/>
      <c r="O223" s="1564"/>
      <c r="P223" s="1564"/>
      <c r="Q223" s="1564"/>
      <c r="R223" s="1564"/>
      <c r="S223" s="1564"/>
      <c r="T223" s="1565"/>
      <c r="U223" s="1430"/>
    </row>
    <row r="224" spans="1:41" ht="15.75" hidden="1" x14ac:dyDescent="0.25">
      <c r="A224" s="1435" t="e">
        <f>+IF(C224="",0,1)</f>
        <v>#N/A</v>
      </c>
      <c r="B224" s="1562"/>
      <c r="C224" s="1524" t="e">
        <f>IF(W178=0,"","Line 26 column 5 doesn't equal the sum of columns 2 to 4. Please check why.")</f>
        <v>#N/A</v>
      </c>
      <c r="D224" s="1524"/>
      <c r="E224" s="1524"/>
      <c r="F224" s="1524"/>
      <c r="G224" s="1524"/>
      <c r="H224" s="1524"/>
      <c r="I224" s="1524"/>
      <c r="J224" s="1524"/>
      <c r="K224" s="1524"/>
      <c r="L224" s="1564"/>
      <c r="M224" s="1564"/>
      <c r="N224" s="1564"/>
      <c r="O224" s="1564"/>
      <c r="P224" s="1564"/>
      <c r="Q224" s="1564"/>
      <c r="R224" s="1564"/>
      <c r="S224" s="1564"/>
      <c r="T224" s="1565"/>
      <c r="U224" s="1430"/>
    </row>
    <row r="225" spans="1:23" ht="15.75" hidden="1" x14ac:dyDescent="0.25">
      <c r="A225" s="1435"/>
      <c r="B225" s="1562"/>
      <c r="C225" s="1646"/>
      <c r="D225" s="1646"/>
      <c r="E225" s="1646"/>
      <c r="F225" s="1646"/>
      <c r="G225" s="1646"/>
      <c r="H225" s="1646"/>
      <c r="I225" s="1646"/>
      <c r="J225" s="1646"/>
      <c r="K225" s="1646"/>
      <c r="L225" s="1564"/>
      <c r="M225" s="1564"/>
      <c r="N225" s="1564"/>
      <c r="O225" s="1564"/>
      <c r="P225" s="1564"/>
      <c r="Q225" s="1564"/>
      <c r="R225" s="1564"/>
      <c r="S225" s="1564"/>
      <c r="T225" s="1565"/>
      <c r="U225" s="1430"/>
    </row>
    <row r="226" spans="1:23" ht="15.75" hidden="1" x14ac:dyDescent="0.25">
      <c r="A226" s="1435" t="e">
        <f>+IF(C226="",0,1)</f>
        <v>#N/A</v>
      </c>
      <c r="B226" s="1562"/>
      <c r="C226" s="1524" t="e">
        <f>IF(W180=0,"","Line 26a column 5 doesn't equal the sum of columns 2 to 4. Please check why.")</f>
        <v>#N/A</v>
      </c>
      <c r="D226" s="1524"/>
      <c r="E226" s="1524"/>
      <c r="F226" s="1524"/>
      <c r="G226" s="1524"/>
      <c r="H226" s="1524"/>
      <c r="I226" s="1524"/>
      <c r="J226" s="1524"/>
      <c r="K226" s="1524"/>
      <c r="L226" s="1564"/>
      <c r="M226" s="1564"/>
      <c r="N226" s="1564"/>
      <c r="O226" s="1564"/>
      <c r="P226" s="1564"/>
      <c r="Q226" s="1564"/>
      <c r="R226" s="1564"/>
      <c r="S226" s="1564"/>
      <c r="T226" s="1565"/>
      <c r="U226" s="1566"/>
    </row>
    <row r="227" spans="1:23" ht="15.75" hidden="1" x14ac:dyDescent="0.25">
      <c r="A227" s="1435"/>
      <c r="B227" s="1562"/>
      <c r="C227" s="1524"/>
      <c r="D227" s="1524"/>
      <c r="E227" s="1524"/>
      <c r="F227" s="1524"/>
      <c r="G227" s="1524"/>
      <c r="H227" s="1524"/>
      <c r="I227" s="1524"/>
      <c r="J227" s="1524"/>
      <c r="K227" s="1524"/>
      <c r="L227" s="1564"/>
      <c r="M227" s="1564"/>
      <c r="N227" s="1564"/>
      <c r="O227" s="1564"/>
      <c r="P227" s="1564"/>
      <c r="Q227" s="1564"/>
      <c r="R227" s="1564"/>
      <c r="S227" s="1564"/>
      <c r="T227" s="1565"/>
      <c r="U227" s="1566"/>
    </row>
    <row r="228" spans="1:23" ht="15.75" hidden="1" x14ac:dyDescent="0.25">
      <c r="A228" s="1435" t="e">
        <f>+IF(C228="",0,1)</f>
        <v>#N/A</v>
      </c>
      <c r="B228" s="1562"/>
      <c r="C228" s="1524" t="e">
        <f>IF(W182=0,"","Line 27 column 5 doesn't equal the sum of columns 2 to 4. Please check why.")</f>
        <v>#N/A</v>
      </c>
      <c r="D228" s="1524"/>
      <c r="E228" s="1524"/>
      <c r="F228" s="1524"/>
      <c r="G228" s="1524"/>
      <c r="H228" s="1524"/>
      <c r="I228" s="1524"/>
      <c r="J228" s="1524"/>
      <c r="K228" s="1524"/>
      <c r="L228" s="1564"/>
      <c r="M228" s="1564"/>
      <c r="N228" s="1564"/>
      <c r="O228" s="1564"/>
      <c r="P228" s="1564"/>
      <c r="Q228" s="1564"/>
      <c r="R228" s="1564"/>
      <c r="S228" s="1564"/>
      <c r="T228" s="1565"/>
      <c r="U228" s="1430"/>
    </row>
    <row r="229" spans="1:23" ht="15.75" hidden="1" x14ac:dyDescent="0.25">
      <c r="A229" s="1435"/>
      <c r="B229" s="1562"/>
      <c r="C229" s="1524"/>
      <c r="D229" s="1524"/>
      <c r="E229" s="1524"/>
      <c r="F229" s="1524"/>
      <c r="G229" s="1524"/>
      <c r="H229" s="1524"/>
      <c r="I229" s="1524"/>
      <c r="J229" s="1524"/>
      <c r="K229" s="1524"/>
      <c r="L229" s="1564"/>
      <c r="M229" s="1564"/>
      <c r="N229" s="1564"/>
      <c r="O229" s="1564"/>
      <c r="P229" s="1564"/>
      <c r="Q229" s="1564"/>
      <c r="R229" s="1564"/>
      <c r="S229" s="1564"/>
      <c r="T229" s="1565"/>
      <c r="U229" s="1430"/>
    </row>
    <row r="230" spans="1:23" ht="15.75" hidden="1" x14ac:dyDescent="0.25">
      <c r="A230" s="1435" t="e">
        <f>+IF(C230="",0,1)</f>
        <v>#N/A</v>
      </c>
      <c r="B230" s="1562"/>
      <c r="C230" s="1524" t="e">
        <f>IF(W185=0,"","Line 28 column 5 doesn't equal the sum of columns 2 to 4. Please check why.")</f>
        <v>#N/A</v>
      </c>
      <c r="D230" s="1524"/>
      <c r="E230" s="1524"/>
      <c r="F230" s="1524"/>
      <c r="G230" s="1524"/>
      <c r="H230" s="1524"/>
      <c r="I230" s="1524"/>
      <c r="J230" s="1524"/>
      <c r="K230" s="1524"/>
      <c r="L230" s="1564"/>
      <c r="M230" s="1564"/>
      <c r="N230" s="1564"/>
      <c r="O230" s="1564"/>
      <c r="P230" s="1564"/>
      <c r="Q230" s="1564"/>
      <c r="R230" s="1564"/>
      <c r="S230" s="1564"/>
      <c r="T230" s="1565"/>
      <c r="U230" s="1430"/>
    </row>
    <row r="231" spans="1:23" ht="15.75" hidden="1" x14ac:dyDescent="0.25">
      <c r="A231" s="1435"/>
      <c r="B231" s="1562"/>
      <c r="C231" s="1524"/>
      <c r="D231" s="1524"/>
      <c r="E231" s="1524"/>
      <c r="F231" s="1524"/>
      <c r="G231" s="1524"/>
      <c r="H231" s="1524"/>
      <c r="I231" s="1524"/>
      <c r="J231" s="1524"/>
      <c r="K231" s="1524"/>
      <c r="L231" s="1564"/>
      <c r="M231" s="1564"/>
      <c r="N231" s="1564"/>
      <c r="O231" s="1564"/>
      <c r="P231" s="1564"/>
      <c r="Q231" s="1564"/>
      <c r="R231" s="1564"/>
      <c r="S231" s="1564"/>
      <c r="T231" s="1565"/>
      <c r="U231" s="1430"/>
    </row>
    <row r="232" spans="1:23" ht="15.75" hidden="1" x14ac:dyDescent="0.25">
      <c r="A232" s="1435" t="e">
        <f>+IF(C232="",0,1)</f>
        <v>#N/A</v>
      </c>
      <c r="B232" s="1562"/>
      <c r="C232" s="1524" t="e">
        <f>IF(W188=0,"","Line 29 column 5 doesn't equal the sum of columns 2 to 4. Please check why.")</f>
        <v>#N/A</v>
      </c>
      <c r="D232" s="1524"/>
      <c r="E232" s="1524"/>
      <c r="F232" s="1524"/>
      <c r="G232" s="1524"/>
      <c r="H232" s="1524"/>
      <c r="I232" s="1524"/>
      <c r="J232" s="1524"/>
      <c r="K232" s="1524"/>
      <c r="L232" s="1564"/>
      <c r="M232" s="1564"/>
      <c r="N232" s="1564"/>
      <c r="O232" s="1564"/>
      <c r="P232" s="1564"/>
      <c r="Q232" s="1564"/>
      <c r="R232" s="1564"/>
      <c r="S232" s="1564"/>
      <c r="T232" s="1565"/>
      <c r="U232" s="1430"/>
    </row>
    <row r="233" spans="1:23" ht="15.75" hidden="1" x14ac:dyDescent="0.25">
      <c r="A233" s="1435"/>
      <c r="B233" s="1562"/>
      <c r="C233" s="1646"/>
      <c r="D233" s="1646"/>
      <c r="E233" s="1646"/>
      <c r="F233" s="1646"/>
      <c r="G233" s="1646"/>
      <c r="H233" s="1646"/>
      <c r="I233" s="1646"/>
      <c r="J233" s="1646"/>
      <c r="K233" s="1646"/>
      <c r="L233" s="1564"/>
      <c r="M233" s="1564"/>
      <c r="N233" s="1564"/>
      <c r="O233" s="1564"/>
      <c r="P233" s="1564"/>
      <c r="Q233" s="1564"/>
      <c r="R233" s="1564"/>
      <c r="S233" s="1564"/>
      <c r="T233" s="1565"/>
      <c r="U233" s="1430"/>
    </row>
    <row r="234" spans="1:23" ht="15.75" hidden="1" x14ac:dyDescent="0.25">
      <c r="A234" s="1435" t="e">
        <f>+IF(C234="",0,1)</f>
        <v>#N/A</v>
      </c>
      <c r="B234" s="1562"/>
      <c r="C234" s="1524" t="e">
        <f>IF(W191=0,"","Line 30 column 5 doesn't equal the sum of columns 2 to 4. Please check why.")</f>
        <v>#N/A</v>
      </c>
      <c r="D234" s="1524"/>
      <c r="E234" s="1524"/>
      <c r="F234" s="1524"/>
      <c r="G234" s="1524"/>
      <c r="H234" s="1524"/>
      <c r="I234" s="1524"/>
      <c r="J234" s="1524"/>
      <c r="K234" s="1524"/>
      <c r="L234" s="1564"/>
      <c r="M234" s="1564"/>
      <c r="N234" s="1564"/>
      <c r="O234" s="1564"/>
      <c r="P234" s="1564"/>
      <c r="Q234" s="1564"/>
      <c r="R234" s="1564"/>
      <c r="S234" s="1564"/>
      <c r="T234" s="1565"/>
      <c r="U234" s="1566"/>
    </row>
    <row r="235" spans="1:23" ht="15.75" hidden="1" x14ac:dyDescent="0.25">
      <c r="A235" s="1435"/>
      <c r="B235" s="1562"/>
      <c r="C235" s="1524"/>
      <c r="D235" s="1524"/>
      <c r="E235" s="1524"/>
      <c r="F235" s="1524"/>
      <c r="G235" s="1524"/>
      <c r="H235" s="1524"/>
      <c r="I235" s="1524"/>
      <c r="J235" s="1524"/>
      <c r="K235" s="1524"/>
      <c r="L235" s="1564"/>
      <c r="M235" s="1564"/>
      <c r="N235" s="1564"/>
      <c r="O235" s="1564"/>
      <c r="P235" s="1564"/>
      <c r="Q235" s="1564"/>
      <c r="R235" s="1564"/>
      <c r="S235" s="1564"/>
      <c r="T235" s="1565"/>
      <c r="U235" s="1566"/>
    </row>
    <row r="236" spans="1:23" ht="15.75" hidden="1" x14ac:dyDescent="0.25">
      <c r="A236" s="1435" t="e">
        <f>+IF(C236="",0,1)</f>
        <v>#N/A</v>
      </c>
      <c r="B236" s="1562"/>
      <c r="C236" s="1524" t="e">
        <f>IF(W194=0,"","Line 32 column 5 doesn't equal the sum of columns 2 to 4. Please check why.")</f>
        <v>#N/A</v>
      </c>
      <c r="D236" s="1524"/>
      <c r="E236" s="1524"/>
      <c r="F236" s="1524"/>
      <c r="G236" s="1524"/>
      <c r="H236" s="1524"/>
      <c r="I236" s="1524"/>
      <c r="J236" s="1524"/>
      <c r="K236" s="1524"/>
      <c r="L236" s="1564"/>
      <c r="M236" s="1564"/>
      <c r="N236" s="1564"/>
      <c r="O236" s="1564"/>
      <c r="P236" s="1564"/>
      <c r="Q236" s="1564"/>
      <c r="R236" s="1564"/>
      <c r="S236" s="1564"/>
      <c r="T236" s="1565"/>
      <c r="U236" s="1566"/>
    </row>
    <row r="237" spans="1:23" ht="15.75" hidden="1" x14ac:dyDescent="0.25">
      <c r="A237" s="1435"/>
      <c r="B237" s="1562"/>
      <c r="C237" s="1524"/>
      <c r="D237" s="1524"/>
      <c r="E237" s="1524"/>
      <c r="F237" s="1524"/>
      <c r="G237" s="1524"/>
      <c r="H237" s="1524"/>
      <c r="I237" s="1524"/>
      <c r="J237" s="1524"/>
      <c r="K237" s="1524"/>
      <c r="L237" s="1564"/>
      <c r="M237" s="1564"/>
      <c r="N237" s="1564"/>
      <c r="O237" s="1564"/>
      <c r="P237" s="1564"/>
      <c r="Q237" s="1564"/>
      <c r="R237" s="1564"/>
      <c r="S237" s="1564"/>
      <c r="T237" s="1565"/>
      <c r="U237" s="1566"/>
    </row>
    <row r="238" spans="1:23" hidden="1" x14ac:dyDescent="0.2">
      <c r="A238" s="1441"/>
      <c r="B238" s="1664" t="e">
        <f>SUM(A221:A237)</f>
        <v>#N/A</v>
      </c>
      <c r="C238" s="1665"/>
      <c r="D238" s="1665"/>
      <c r="E238" s="1665"/>
      <c r="F238" s="1665"/>
      <c r="G238" s="1665"/>
      <c r="H238" s="1665"/>
      <c r="I238" s="1567"/>
      <c r="J238" s="1567"/>
      <c r="K238" s="1567"/>
      <c r="L238" s="1568"/>
      <c r="M238" s="1568"/>
      <c r="N238" s="1568"/>
      <c r="O238" s="1568"/>
      <c r="P238" s="1568"/>
      <c r="Q238" s="1568"/>
      <c r="R238" s="1568"/>
      <c r="S238" s="1568"/>
      <c r="T238" s="1569"/>
      <c r="U238" s="1430"/>
    </row>
    <row r="239" spans="1:23" ht="15.75" thickBot="1" x14ac:dyDescent="0.25">
      <c r="A239" s="1445"/>
      <c r="B239" s="1446"/>
      <c r="C239" s="1446"/>
      <c r="D239" s="1446"/>
      <c r="E239" s="1446"/>
      <c r="F239" s="1446"/>
      <c r="G239" s="1446"/>
      <c r="H239" s="1446"/>
      <c r="I239" s="1446"/>
      <c r="J239" s="1446"/>
      <c r="K239" s="1446"/>
      <c r="L239" s="1446"/>
      <c r="M239" s="1446"/>
      <c r="N239" s="1446"/>
      <c r="O239" s="1446"/>
      <c r="P239" s="1446"/>
      <c r="Q239" s="1446"/>
      <c r="R239" s="1446"/>
      <c r="S239" s="1446"/>
      <c r="T239" s="1446"/>
      <c r="U239" s="1449"/>
    </row>
    <row r="240" spans="1:23" s="1574" customFormat="1" ht="31.5" customHeight="1" x14ac:dyDescent="0.2">
      <c r="A240" s="1570"/>
      <c r="B240" s="1571"/>
      <c r="C240" s="1674" t="str">
        <f>+IF('Main Validation'!M50&gt;0,"There are a number of validation questions that require an answer. Please complete the main validation sheet","")</f>
        <v/>
      </c>
      <c r="D240" s="1674"/>
      <c r="E240" s="1674"/>
      <c r="F240" s="1674"/>
      <c r="G240" s="1674"/>
      <c r="H240" s="1674"/>
      <c r="I240" s="1674"/>
      <c r="J240" s="1674"/>
      <c r="K240" s="1674"/>
      <c r="L240" s="1674"/>
      <c r="M240" s="1674"/>
      <c r="N240" s="1674"/>
      <c r="O240" s="1674"/>
      <c r="P240" s="1674"/>
      <c r="Q240" s="1674"/>
      <c r="R240" s="1674"/>
      <c r="S240" s="1674"/>
      <c r="T240" s="1571"/>
      <c r="U240" s="1572"/>
      <c r="V240" s="357"/>
      <c r="W240" s="1573"/>
    </row>
    <row r="241" spans="1:23" ht="15.75" customHeight="1" x14ac:dyDescent="0.25">
      <c r="A241" s="1575"/>
      <c r="B241" s="273"/>
      <c r="C241" s="1670" t="s">
        <v>2773</v>
      </c>
      <c r="D241" s="1670"/>
      <c r="E241" s="1670"/>
      <c r="F241" s="1670"/>
      <c r="G241" s="1670"/>
      <c r="H241" s="1670"/>
      <c r="I241" s="1670"/>
      <c r="J241" s="1670"/>
      <c r="K241" s="1670"/>
      <c r="L241" s="1670"/>
      <c r="M241" s="1670"/>
      <c r="N241" s="1670"/>
      <c r="O241" s="1670"/>
      <c r="P241" s="1670"/>
      <c r="Q241" s="1670"/>
      <c r="R241" s="1670"/>
      <c r="S241" s="1670"/>
      <c r="T241" s="400"/>
      <c r="U241" s="551"/>
      <c r="V241"/>
    </row>
    <row r="242" spans="1:23" ht="15.75" customHeight="1" x14ac:dyDescent="0.25">
      <c r="A242" s="1575"/>
      <c r="B242" s="273"/>
      <c r="C242" s="1670"/>
      <c r="D242" s="1670"/>
      <c r="E242" s="1670"/>
      <c r="F242" s="1670"/>
      <c r="G242" s="1670"/>
      <c r="H242" s="1670"/>
      <c r="I242" s="1670"/>
      <c r="J242" s="1670"/>
      <c r="K242" s="1670"/>
      <c r="L242" s="1670"/>
      <c r="M242" s="1670"/>
      <c r="N242" s="1670"/>
      <c r="O242" s="1670"/>
      <c r="P242" s="1670"/>
      <c r="Q242" s="1670"/>
      <c r="R242" s="1670"/>
      <c r="S242" s="1670"/>
      <c r="T242" s="400"/>
      <c r="U242" s="551"/>
    </row>
    <row r="243" spans="1:23" ht="15.75" x14ac:dyDescent="0.25">
      <c r="A243" s="1575"/>
      <c r="B243" s="1576"/>
      <c r="C243" s="1670"/>
      <c r="D243" s="1670"/>
      <c r="E243" s="1670"/>
      <c r="F243" s="1670"/>
      <c r="G243" s="1670"/>
      <c r="H243" s="1670"/>
      <c r="I243" s="1670"/>
      <c r="J243" s="1670"/>
      <c r="K243" s="1670"/>
      <c r="L243" s="1670"/>
      <c r="M243" s="1670"/>
      <c r="N243" s="1670"/>
      <c r="O243" s="1670"/>
      <c r="P243" s="1670"/>
      <c r="Q243" s="1670"/>
      <c r="R243" s="1670"/>
      <c r="S243" s="1670"/>
      <c r="T243" s="400"/>
      <c r="U243" s="551"/>
    </row>
    <row r="244" spans="1:23" x14ac:dyDescent="0.2">
      <c r="A244" s="1511"/>
      <c r="B244" s="242"/>
      <c r="C244" s="1670"/>
      <c r="D244" s="1670"/>
      <c r="E244" s="1670"/>
      <c r="F244" s="1670"/>
      <c r="G244" s="1670"/>
      <c r="H244" s="1670"/>
      <c r="I244" s="1670"/>
      <c r="J244" s="1670"/>
      <c r="K244" s="1670"/>
      <c r="L244" s="1670"/>
      <c r="M244" s="1670"/>
      <c r="N244" s="1670"/>
      <c r="O244" s="1670"/>
      <c r="P244" s="1670"/>
      <c r="Q244" s="1670"/>
      <c r="R244" s="1670"/>
      <c r="S244" s="1670"/>
      <c r="T244" s="400"/>
      <c r="U244" s="551"/>
    </row>
    <row r="245" spans="1:23" ht="15.75" customHeight="1" x14ac:dyDescent="0.2">
      <c r="A245" s="1511"/>
      <c r="B245" s="242"/>
      <c r="C245" s="1670"/>
      <c r="D245" s="1670"/>
      <c r="E245" s="1670"/>
      <c r="F245" s="1670"/>
      <c r="G245" s="1670"/>
      <c r="H245" s="1670"/>
      <c r="I245" s="1670"/>
      <c r="J245" s="1670"/>
      <c r="K245" s="1670"/>
      <c r="L245" s="1670"/>
      <c r="M245" s="1670"/>
      <c r="N245" s="1670"/>
      <c r="O245" s="1670"/>
      <c r="P245" s="1670"/>
      <c r="Q245" s="1670"/>
      <c r="R245" s="1670"/>
      <c r="S245" s="1670"/>
      <c r="T245" s="400"/>
      <c r="U245" s="551"/>
    </row>
    <row r="246" spans="1:23" ht="15.75" x14ac:dyDescent="0.25">
      <c r="A246" s="1575"/>
      <c r="B246" s="1577"/>
      <c r="C246" s="1670"/>
      <c r="D246" s="1670"/>
      <c r="E246" s="1670"/>
      <c r="F246" s="1670"/>
      <c r="G246" s="1670"/>
      <c r="H246" s="1670"/>
      <c r="I246" s="1670"/>
      <c r="J246" s="1670"/>
      <c r="K246" s="1670"/>
      <c r="L246" s="1670"/>
      <c r="M246" s="1670"/>
      <c r="N246" s="1670"/>
      <c r="O246" s="1670"/>
      <c r="P246" s="1670"/>
      <c r="Q246" s="1670"/>
      <c r="R246" s="1670"/>
      <c r="S246" s="1670"/>
      <c r="T246" s="400"/>
      <c r="U246" s="551"/>
    </row>
    <row r="247" spans="1:23" ht="15.75" x14ac:dyDescent="0.25">
      <c r="A247" s="1575"/>
      <c r="B247" s="1577"/>
      <c r="C247" s="1670"/>
      <c r="D247" s="1670"/>
      <c r="E247" s="1670"/>
      <c r="F247" s="1670"/>
      <c r="G247" s="1670"/>
      <c r="H247" s="1670"/>
      <c r="I247" s="1670"/>
      <c r="J247" s="1670"/>
      <c r="K247" s="1670"/>
      <c r="L247" s="1670"/>
      <c r="M247" s="1670"/>
      <c r="N247" s="1670"/>
      <c r="O247" s="1670"/>
      <c r="P247" s="1670"/>
      <c r="Q247" s="1670"/>
      <c r="R247" s="1670"/>
      <c r="S247" s="1670"/>
      <c r="T247" s="400"/>
      <c r="U247" s="551"/>
    </row>
    <row r="248" spans="1:23" ht="15.75" thickBot="1" x14ac:dyDescent="0.25">
      <c r="A248" s="1578"/>
      <c r="B248" s="1579"/>
      <c r="C248" s="1579"/>
      <c r="D248" s="1580"/>
      <c r="E248" s="1580"/>
      <c r="F248" s="1580"/>
      <c r="G248" s="1580"/>
      <c r="H248" s="1580"/>
      <c r="I248" s="1580"/>
      <c r="J248" s="1580"/>
      <c r="K248" s="1580"/>
      <c r="L248" s="1580"/>
      <c r="M248" s="1580"/>
      <c r="N248" s="552"/>
      <c r="O248" s="552"/>
      <c r="P248" s="552"/>
      <c r="Q248" s="552"/>
      <c r="R248" s="552"/>
      <c r="S248" s="552"/>
      <c r="T248" s="552"/>
      <c r="U248" s="553"/>
    </row>
    <row r="249" spans="1:23" s="400" customFormat="1" x14ac:dyDescent="0.2">
      <c r="A249" s="1581"/>
      <c r="B249" s="242"/>
      <c r="C249" s="242"/>
      <c r="D249" s="273"/>
      <c r="E249" s="1582"/>
      <c r="F249" s="273"/>
      <c r="G249" s="273"/>
      <c r="H249" s="273"/>
      <c r="I249" s="273"/>
      <c r="J249" s="273"/>
      <c r="K249" s="273"/>
      <c r="L249" s="273"/>
      <c r="M249" s="273"/>
      <c r="R249" s="1583"/>
      <c r="S249" s="1583"/>
      <c r="T249" s="1583"/>
      <c r="U249" s="1583"/>
      <c r="V249" s="1583"/>
      <c r="W249" s="398"/>
    </row>
    <row r="250" spans="1:23" s="1583" customFormat="1" hidden="1" x14ac:dyDescent="0.2">
      <c r="A250" s="527"/>
      <c r="W250" s="1584"/>
    </row>
    <row r="251" spans="1:23" s="1583" customFormat="1" ht="15.75" hidden="1" x14ac:dyDescent="0.25">
      <c r="A251" s="332" t="s">
        <v>2327</v>
      </c>
      <c r="W251" s="1584"/>
    </row>
    <row r="252" spans="1:23" s="1586" customFormat="1" hidden="1" x14ac:dyDescent="0.25">
      <c r="A252" s="1585"/>
      <c r="C252" s="1586" t="s">
        <v>1209</v>
      </c>
      <c r="E252" s="1586" t="s">
        <v>552</v>
      </c>
      <c r="K252" s="1586" t="s">
        <v>1210</v>
      </c>
      <c r="M252" s="1586" t="s">
        <v>2299</v>
      </c>
      <c r="N252" s="1586" t="s">
        <v>1211</v>
      </c>
      <c r="O252" s="1586" t="s">
        <v>1212</v>
      </c>
      <c r="P252" s="1586" t="s">
        <v>1213</v>
      </c>
      <c r="Q252" s="1586" t="s">
        <v>1214</v>
      </c>
      <c r="R252" s="1586" t="s">
        <v>1215</v>
      </c>
      <c r="S252" s="1586" t="s">
        <v>1216</v>
      </c>
      <c r="T252" s="1586" t="s">
        <v>1217</v>
      </c>
      <c r="U252" s="1586" t="s">
        <v>1218</v>
      </c>
      <c r="V252" s="1586" t="s">
        <v>1236</v>
      </c>
      <c r="W252" s="1587" t="s">
        <v>1242</v>
      </c>
    </row>
    <row r="253" spans="1:23" s="836" customFormat="1" hidden="1" x14ac:dyDescent="0.25">
      <c r="A253" s="1588"/>
      <c r="C253" s="836" t="e">
        <f>+K16</f>
        <v>#N/A</v>
      </c>
      <c r="E253" s="1589" t="e">
        <f>VLOOKUP($K$16,TierSplit!$A$6:$BG$302,5,FALSE)</f>
        <v>#N/A</v>
      </c>
      <c r="F253" s="1589"/>
      <c r="G253" s="1589"/>
      <c r="H253" s="1589"/>
      <c r="I253" s="1589"/>
      <c r="J253" s="1589"/>
      <c r="K253" s="1589" t="e">
        <f>VLOOKUP($K$16,TierSplit!$A$6:$BG$302,8,FALSE)</f>
        <v>#N/A</v>
      </c>
      <c r="M253" s="1589" t="e">
        <f>INDEX(TierSplit!BL:BL,MATCH(Import_LA_Code,Ref_LA_Codes2,0))</f>
        <v>#N/A</v>
      </c>
      <c r="N253" s="1589" t="e">
        <f>IF(VLOOKUP($K$16,TierSplit!$A$6:$CI$302,10,FALSE)=1,"Yes","No")</f>
        <v>#N/A</v>
      </c>
      <c r="O253" s="1589" t="e">
        <f>+IF(AND(INDEX(TierSplit!BX:BX,MATCH(Import_LA_Code,Ref_LA_Codes2,0))="Yes"),"Yes",IF(AND(INDEX(TierSplit!BX:BX,MATCH(Import_LA_Code,Ref_LA_Codes2,0))=0),"No"))</f>
        <v>#N/A</v>
      </c>
      <c r="P253" s="1589" t="e">
        <f>INDEX(TierSplit!BH:BH,MATCH(Import_LA_Code,Ref_LA_Codes2,0))</f>
        <v>#N/A</v>
      </c>
      <c r="Q253" s="1589" t="e">
        <f>INDEX(TierSplit!BI:BI,MATCH(Import_LA_Code,Ref_LA_Codes2,0))</f>
        <v>#N/A</v>
      </c>
      <c r="R253" s="1589" t="e">
        <f>INDEX(TierSplit!BJ:BJ,MATCH(Import_LA_Code,Ref_LA_Codes2,0))</f>
        <v>#N/A</v>
      </c>
      <c r="S253" s="1589" t="e">
        <f>INDEX(TierSplit!BL:BL,MATCH(Import_LA_Code,Ref_LA_Codes2,0))</f>
        <v>#N/A</v>
      </c>
      <c r="T253" s="1589" t="e">
        <f>INDEX(TierSplit!BM:BM,MATCH(Import_LA_Code,Ref_LA_Codes2,0))</f>
        <v>#N/A</v>
      </c>
      <c r="U253" s="1589" t="e">
        <f>INDEX(TierSplit!BN:BN,MATCH(Import_LA_Code,Ref_LA_Codes2,0))</f>
        <v>#N/A</v>
      </c>
      <c r="V253" s="1589" t="e">
        <f>INDEX(TierSplit!CC:CC,MATCH(Import_LA_Code,Ref_LA_Codes2,0))</f>
        <v>#N/A</v>
      </c>
      <c r="W253" s="1589" t="e">
        <f>INDEX(TierSplit!CA:CA,MATCH(Import_LA_Code,Ref_LA_Codes2,0))</f>
        <v>#N/A</v>
      </c>
    </row>
    <row r="254" spans="1:23" s="1583" customFormat="1" hidden="1" x14ac:dyDescent="0.2">
      <c r="A254" s="527"/>
      <c r="W254" s="1584"/>
    </row>
    <row r="255" spans="1:23" s="1583" customFormat="1" hidden="1" x14ac:dyDescent="0.2">
      <c r="A255" s="527"/>
      <c r="C255" s="1583" t="s">
        <v>1203</v>
      </c>
      <c r="F255" s="251">
        <f>124/499</f>
        <v>0.24849699398797595</v>
      </c>
      <c r="I255" s="1583" t="s">
        <v>2297</v>
      </c>
      <c r="K255" s="1583" t="e">
        <f>VLOOKUP(Import_LA_Code,TierSplit!A6:CI302,10,FALSE)</f>
        <v>#N/A</v>
      </c>
      <c r="M255" s="1583" t="s">
        <v>2779</v>
      </c>
      <c r="N255" s="1590">
        <v>49.9</v>
      </c>
      <c r="P255" s="1591" t="s">
        <v>2780</v>
      </c>
      <c r="Q255" s="1592">
        <v>4.7E-2</v>
      </c>
      <c r="W255" s="1584"/>
    </row>
    <row r="256" spans="1:23" s="1583" customFormat="1" hidden="1" x14ac:dyDescent="0.2">
      <c r="A256" s="527"/>
      <c r="C256" s="1583" t="s">
        <v>2898</v>
      </c>
      <c r="F256" s="251">
        <f>91/546</f>
        <v>0.16666666666666666</v>
      </c>
      <c r="N256" s="1591" t="s">
        <v>2891</v>
      </c>
      <c r="Q256" s="1583" t="s">
        <v>3331</v>
      </c>
      <c r="W256" s="1584"/>
    </row>
    <row r="257" spans="1:23" s="1583" customFormat="1" ht="75" hidden="1" x14ac:dyDescent="0.2">
      <c r="A257" s="527"/>
      <c r="C257" s="1610" t="s">
        <v>3406</v>
      </c>
      <c r="F257" s="1583">
        <v>1.2999999999999999E-2</v>
      </c>
      <c r="W257" s="1584"/>
    </row>
    <row r="258" spans="1:23" s="1583" customFormat="1" x14ac:dyDescent="0.2">
      <c r="A258" s="527"/>
      <c r="W258" s="1584"/>
    </row>
    <row r="259" spans="1:23" s="1583" customFormat="1" x14ac:dyDescent="0.2">
      <c r="A259" s="527"/>
      <c r="W259" s="1584"/>
    </row>
    <row r="260" spans="1:23" s="1583" customFormat="1" x14ac:dyDescent="0.2">
      <c r="A260" s="527"/>
      <c r="W260" s="1584"/>
    </row>
    <row r="261" spans="1:23" s="1583" customFormat="1" x14ac:dyDescent="0.2">
      <c r="A261" s="527"/>
      <c r="W261" s="1584"/>
    </row>
    <row r="262" spans="1:23" s="1583" customFormat="1" x14ac:dyDescent="0.2">
      <c r="A262" s="527"/>
      <c r="W262" s="1584"/>
    </row>
    <row r="263" spans="1:23" s="1583" customFormat="1" x14ac:dyDescent="0.2">
      <c r="A263" s="527"/>
      <c r="W263" s="1584"/>
    </row>
    <row r="264" spans="1:23" s="1583" customFormat="1" x14ac:dyDescent="0.2">
      <c r="A264" s="527"/>
      <c r="W264" s="1584"/>
    </row>
    <row r="265" spans="1:23" s="527" customFormat="1" x14ac:dyDescent="0.2">
      <c r="W265" s="1593"/>
    </row>
    <row r="266" spans="1:23" s="527" customFormat="1" x14ac:dyDescent="0.2">
      <c r="W266" s="1593"/>
    </row>
    <row r="267" spans="1:23" s="527" customFormat="1" x14ac:dyDescent="0.2">
      <c r="W267" s="1593"/>
    </row>
    <row r="268" spans="1:23" s="527" customFormat="1" x14ac:dyDescent="0.2">
      <c r="W268" s="1593"/>
    </row>
    <row r="269" spans="1:23" s="527" customFormat="1" x14ac:dyDescent="0.2">
      <c r="W269" s="1593"/>
    </row>
    <row r="270" spans="1:23" s="527" customFormat="1" x14ac:dyDescent="0.2">
      <c r="W270" s="1593"/>
    </row>
    <row r="271" spans="1:23" s="527" customFormat="1" x14ac:dyDescent="0.2">
      <c r="W271" s="1593"/>
    </row>
    <row r="272" spans="1:23" s="527" customFormat="1" x14ac:dyDescent="0.2">
      <c r="W272" s="1593"/>
    </row>
    <row r="273" spans="1:23" s="400" customFormat="1" x14ac:dyDescent="0.2">
      <c r="A273" s="527"/>
      <c r="W273" s="398"/>
    </row>
    <row r="274" spans="1:23" s="400" customFormat="1" x14ac:dyDescent="0.2">
      <c r="A274" s="527"/>
      <c r="W274" s="398"/>
    </row>
    <row r="275" spans="1:23" s="400" customFormat="1" x14ac:dyDescent="0.2">
      <c r="A275" s="527"/>
      <c r="W275" s="398"/>
    </row>
    <row r="276" spans="1:23" s="400" customFormat="1" x14ac:dyDescent="0.2">
      <c r="A276" s="527"/>
      <c r="W276" s="398"/>
    </row>
    <row r="277" spans="1:23" s="400" customFormat="1" x14ac:dyDescent="0.2">
      <c r="A277" s="527"/>
      <c r="W277" s="398"/>
    </row>
    <row r="278" spans="1:23" s="400" customFormat="1" x14ac:dyDescent="0.2">
      <c r="A278" s="527"/>
      <c r="W278" s="398"/>
    </row>
    <row r="279" spans="1:23" s="400" customFormat="1" x14ac:dyDescent="0.2">
      <c r="A279" s="527"/>
      <c r="W279" s="398"/>
    </row>
    <row r="280" spans="1:23" s="400" customFormat="1" x14ac:dyDescent="0.2">
      <c r="A280" s="527"/>
      <c r="W280" s="398"/>
    </row>
    <row r="281" spans="1:23" s="400" customFormat="1" x14ac:dyDescent="0.2">
      <c r="A281" s="527"/>
      <c r="W281" s="398"/>
    </row>
    <row r="282" spans="1:23" s="400" customFormat="1" x14ac:dyDescent="0.2">
      <c r="A282" s="527"/>
      <c r="W282" s="398"/>
    </row>
    <row r="283" spans="1:23" s="400" customFormat="1" x14ac:dyDescent="0.2">
      <c r="A283" s="527"/>
      <c r="W283" s="398"/>
    </row>
    <row r="284" spans="1:23" s="400" customFormat="1" x14ac:dyDescent="0.2">
      <c r="A284" s="527"/>
      <c r="W284" s="398"/>
    </row>
    <row r="285" spans="1:23" s="400" customFormat="1" x14ac:dyDescent="0.2">
      <c r="A285" s="527"/>
      <c r="W285" s="398"/>
    </row>
    <row r="286" spans="1:23" s="400" customFormat="1" x14ac:dyDescent="0.2">
      <c r="A286" s="527"/>
      <c r="W286" s="398"/>
    </row>
    <row r="287" spans="1:23" s="400" customFormat="1" x14ac:dyDescent="0.2">
      <c r="A287" s="527"/>
      <c r="W287" s="398"/>
    </row>
    <row r="288" spans="1:23" s="400" customFormat="1" x14ac:dyDescent="0.2">
      <c r="A288" s="527"/>
      <c r="W288" s="398"/>
    </row>
    <row r="289" spans="1:23" s="400" customFormat="1" x14ac:dyDescent="0.2">
      <c r="A289" s="527"/>
      <c r="W289" s="398"/>
    </row>
    <row r="290" spans="1:23" s="400" customFormat="1" x14ac:dyDescent="0.2">
      <c r="A290" s="527"/>
      <c r="W290" s="398"/>
    </row>
    <row r="291" spans="1:23" s="400" customFormat="1" x14ac:dyDescent="0.2">
      <c r="A291" s="527"/>
      <c r="W291" s="398"/>
    </row>
    <row r="292" spans="1:23" s="400" customFormat="1" x14ac:dyDescent="0.2">
      <c r="A292" s="527"/>
      <c r="W292" s="398"/>
    </row>
    <row r="293" spans="1:23" s="400" customFormat="1" x14ac:dyDescent="0.2">
      <c r="A293" s="527"/>
      <c r="W293" s="398"/>
    </row>
    <row r="294" spans="1:23" s="400" customFormat="1" x14ac:dyDescent="0.2">
      <c r="A294" s="527"/>
      <c r="W294" s="398"/>
    </row>
    <row r="295" spans="1:23" s="400" customFormat="1" x14ac:dyDescent="0.2">
      <c r="A295" s="527"/>
      <c r="W295" s="398"/>
    </row>
    <row r="296" spans="1:23" s="400" customFormat="1" x14ac:dyDescent="0.2">
      <c r="A296" s="527"/>
      <c r="W296" s="398"/>
    </row>
    <row r="297" spans="1:23" s="400" customFormat="1" x14ac:dyDescent="0.2">
      <c r="A297" s="527"/>
      <c r="W297" s="398"/>
    </row>
    <row r="298" spans="1:23" s="400" customFormat="1" x14ac:dyDescent="0.2">
      <c r="A298" s="527"/>
      <c r="W298" s="398"/>
    </row>
    <row r="299" spans="1:23" s="400" customFormat="1" x14ac:dyDescent="0.2">
      <c r="A299" s="527"/>
      <c r="W299" s="398"/>
    </row>
    <row r="300" spans="1:23" s="400" customFormat="1" x14ac:dyDescent="0.2">
      <c r="A300" s="527"/>
      <c r="W300" s="398"/>
    </row>
    <row r="301" spans="1:23" s="400" customFormat="1" x14ac:dyDescent="0.2">
      <c r="A301" s="527"/>
      <c r="W301" s="398"/>
    </row>
    <row r="302" spans="1:23" s="400" customFormat="1" x14ac:dyDescent="0.2">
      <c r="A302" s="527"/>
      <c r="W302" s="398"/>
    </row>
    <row r="303" spans="1:23" s="400" customFormat="1" x14ac:dyDescent="0.2">
      <c r="A303" s="527"/>
      <c r="W303" s="398"/>
    </row>
    <row r="304" spans="1:23" s="400" customFormat="1" x14ac:dyDescent="0.2">
      <c r="A304" s="527"/>
      <c r="W304" s="398"/>
    </row>
    <row r="305" spans="1:23" s="400" customFormat="1" x14ac:dyDescent="0.2">
      <c r="A305" s="527"/>
      <c r="W305" s="398"/>
    </row>
    <row r="306" spans="1:23" s="400" customFormat="1" x14ac:dyDescent="0.2">
      <c r="A306" s="527"/>
      <c r="W306" s="398"/>
    </row>
    <row r="307" spans="1:23" s="400" customFormat="1" x14ac:dyDescent="0.2">
      <c r="A307" s="527"/>
      <c r="W307" s="398"/>
    </row>
    <row r="308" spans="1:23" s="400" customFormat="1" x14ac:dyDescent="0.2">
      <c r="A308" s="527"/>
      <c r="W308" s="398"/>
    </row>
    <row r="309" spans="1:23" s="400" customFormat="1" x14ac:dyDescent="0.2">
      <c r="A309" s="527"/>
      <c r="W309" s="398"/>
    </row>
    <row r="310" spans="1:23" s="400" customFormat="1" x14ac:dyDescent="0.2">
      <c r="A310" s="527"/>
      <c r="W310" s="398"/>
    </row>
    <row r="311" spans="1:23" s="400" customFormat="1" x14ac:dyDescent="0.2">
      <c r="A311" s="527"/>
      <c r="W311" s="398"/>
    </row>
    <row r="312" spans="1:23" s="400" customFormat="1" x14ac:dyDescent="0.2">
      <c r="A312" s="527"/>
      <c r="W312" s="398"/>
    </row>
    <row r="313" spans="1:23" s="400" customFormat="1" x14ac:dyDescent="0.2">
      <c r="A313" s="527"/>
      <c r="W313" s="398"/>
    </row>
    <row r="314" spans="1:23" s="400" customFormat="1" x14ac:dyDescent="0.2">
      <c r="A314" s="527"/>
      <c r="W314" s="398"/>
    </row>
    <row r="315" spans="1:23" s="400" customFormat="1" x14ac:dyDescent="0.2">
      <c r="A315" s="527"/>
      <c r="W315" s="398"/>
    </row>
    <row r="316" spans="1:23" s="400" customFormat="1" x14ac:dyDescent="0.2">
      <c r="A316" s="527"/>
      <c r="W316" s="398"/>
    </row>
    <row r="317" spans="1:23" s="400" customFormat="1" x14ac:dyDescent="0.2">
      <c r="A317" s="527"/>
      <c r="W317" s="398"/>
    </row>
    <row r="318" spans="1:23" s="400" customFormat="1" x14ac:dyDescent="0.2">
      <c r="A318" s="527"/>
      <c r="W318" s="398"/>
    </row>
    <row r="319" spans="1:23" s="400" customFormat="1" x14ac:dyDescent="0.2">
      <c r="A319" s="527"/>
      <c r="W319" s="398"/>
    </row>
  </sheetData>
  <sheetProtection sheet="1" objects="1" scenarios="1"/>
  <dataConsolidate/>
  <mergeCells count="98">
    <mergeCell ref="V167:V169"/>
    <mergeCell ref="A2:U2"/>
    <mergeCell ref="A3:U3"/>
    <mergeCell ref="O46:S46"/>
    <mergeCell ref="E11:J11"/>
    <mergeCell ref="A9:U9"/>
    <mergeCell ref="C25:I27"/>
    <mergeCell ref="C29:I29"/>
    <mergeCell ref="A4:U4"/>
    <mergeCell ref="A6:U6"/>
    <mergeCell ref="A8:U8"/>
    <mergeCell ref="C23:S23"/>
    <mergeCell ref="C45:I46"/>
    <mergeCell ref="M33:O34"/>
    <mergeCell ref="M35:O36"/>
    <mergeCell ref="C30:I30"/>
    <mergeCell ref="C32:I32"/>
    <mergeCell ref="W159:W160"/>
    <mergeCell ref="C241:S247"/>
    <mergeCell ref="C139:K139"/>
    <mergeCell ref="C140:K140"/>
    <mergeCell ref="C149:K149"/>
    <mergeCell ref="C153:I153"/>
    <mergeCell ref="B152:H152"/>
    <mergeCell ref="C143:K143"/>
    <mergeCell ref="C146:K146"/>
    <mergeCell ref="C141:K141"/>
    <mergeCell ref="C142:K142"/>
    <mergeCell ref="C148:K148"/>
    <mergeCell ref="C147:K147"/>
    <mergeCell ref="C240:S240"/>
    <mergeCell ref="C216:S217"/>
    <mergeCell ref="B238:H238"/>
    <mergeCell ref="C233:K233"/>
    <mergeCell ref="C225:K225"/>
    <mergeCell ref="C220:S220"/>
    <mergeCell ref="C223:K223"/>
    <mergeCell ref="M162:M164"/>
    <mergeCell ref="O162:O164"/>
    <mergeCell ref="Q162:Q164"/>
    <mergeCell ref="D166:K168"/>
    <mergeCell ref="D170:K172"/>
    <mergeCell ref="W34:W35"/>
    <mergeCell ref="C137:K137"/>
    <mergeCell ref="C133:K133"/>
    <mergeCell ref="C134:K134"/>
    <mergeCell ref="C136:K136"/>
    <mergeCell ref="C67:K67"/>
    <mergeCell ref="D98:I99"/>
    <mergeCell ref="C47:I48"/>
    <mergeCell ref="C54:I55"/>
    <mergeCell ref="K53:S53"/>
    <mergeCell ref="C65:K65"/>
    <mergeCell ref="C73:K73"/>
    <mergeCell ref="C69:K69"/>
    <mergeCell ref="C71:K71"/>
    <mergeCell ref="C63:K63"/>
    <mergeCell ref="N58:O58"/>
    <mergeCell ref="C52:I52"/>
    <mergeCell ref="C58:I58"/>
    <mergeCell ref="W91:W92"/>
    <mergeCell ref="D94:I95"/>
    <mergeCell ref="B76:H76"/>
    <mergeCell ref="O90:O92"/>
    <mergeCell ref="D101:I101"/>
    <mergeCell ref="D106:I106"/>
    <mergeCell ref="D108:I108"/>
    <mergeCell ref="D178:K178"/>
    <mergeCell ref="D180:K180"/>
    <mergeCell ref="C127:I127"/>
    <mergeCell ref="D110:I111"/>
    <mergeCell ref="D112:I113"/>
    <mergeCell ref="D182:K182"/>
    <mergeCell ref="C35:I35"/>
    <mergeCell ref="C37:I37"/>
    <mergeCell ref="C39:I39"/>
    <mergeCell ref="C42:I42"/>
    <mergeCell ref="C50:I50"/>
    <mergeCell ref="D174:K175"/>
    <mergeCell ref="C159:S160"/>
    <mergeCell ref="C145:K145"/>
    <mergeCell ref="D114:I114"/>
    <mergeCell ref="D116:I116"/>
    <mergeCell ref="D118:I118"/>
    <mergeCell ref="D122:G123"/>
    <mergeCell ref="K90:K92"/>
    <mergeCell ref="M90:M92"/>
    <mergeCell ref="Q90:Q92"/>
    <mergeCell ref="C213:K213"/>
    <mergeCell ref="D200:K200"/>
    <mergeCell ref="D203:K203"/>
    <mergeCell ref="D206:K206"/>
    <mergeCell ref="D209:K209"/>
    <mergeCell ref="D185:K185"/>
    <mergeCell ref="D188:K188"/>
    <mergeCell ref="D191:K191"/>
    <mergeCell ref="D194:K194"/>
    <mergeCell ref="D197:K197"/>
  </mergeCells>
  <phoneticPr fontId="7" type="noConversion"/>
  <conditionalFormatting sqref="K37">
    <cfRule type="cellIs" dxfId="194" priority="89" stopIfTrue="1" operator="lessThan">
      <formula>0</formula>
    </cfRule>
  </conditionalFormatting>
  <conditionalFormatting sqref="K42">
    <cfRule type="expression" dxfId="193" priority="315" stopIfTrue="1">
      <formula>AND($K$15="City of London")=TRUE</formula>
    </cfRule>
    <cfRule type="expression" dxfId="192" priority="314" stopIfTrue="1">
      <formula>AND($K$15&lt;&gt;"City of London")=TRUE</formula>
    </cfRule>
  </conditionalFormatting>
  <conditionalFormatting sqref="K52">
    <cfRule type="expression" dxfId="191" priority="341" stopIfTrue="1">
      <formula>AND($S$253="Yes")=TRUE</formula>
    </cfRule>
    <cfRule type="expression" dxfId="190" priority="340">
      <formula>$W$253="yes"</formula>
    </cfRule>
  </conditionalFormatting>
  <conditionalFormatting sqref="K54">
    <cfRule type="expression" dxfId="189" priority="1">
      <formula>$X$55="No"</formula>
    </cfRule>
  </conditionalFormatting>
  <conditionalFormatting sqref="K54:K55">
    <cfRule type="expression" dxfId="188" priority="333" stopIfTrue="1">
      <formula>AND($S$253="Yes")=TRUE</formula>
    </cfRule>
  </conditionalFormatting>
  <conditionalFormatting sqref="M112">
    <cfRule type="expression" dxfId="187" priority="21">
      <formula>AND($V$253&lt;&gt;"Yes")=TRUE</formula>
    </cfRule>
  </conditionalFormatting>
  <conditionalFormatting sqref="M114 O114 Q114 S114">
    <cfRule type="expression" dxfId="186" priority="35">
      <formula>AND($O$253&lt;&gt;"Yes")=TRUE</formula>
    </cfRule>
  </conditionalFormatting>
  <conditionalFormatting sqref="M116 S116">
    <cfRule type="expression" dxfId="185" priority="316">
      <formula>AND($K$15&lt;&gt;"City of London")=TRUE</formula>
    </cfRule>
  </conditionalFormatting>
  <conditionalFormatting sqref="M118">
    <cfRule type="expression" dxfId="184" priority="317">
      <formula>AND($K$15&lt;&gt;"North Somerset UA")=TRUE</formula>
    </cfRule>
  </conditionalFormatting>
  <conditionalFormatting sqref="M191 Q191">
    <cfRule type="expression" dxfId="183" priority="14">
      <formula>AND($N$253&lt;&gt;"Yes")=TRUE</formula>
    </cfRule>
  </conditionalFormatting>
  <conditionalFormatting sqref="M203 O203 Q203 S203">
    <cfRule type="expression" dxfId="182" priority="2">
      <formula>$X$203=0</formula>
    </cfRule>
  </conditionalFormatting>
  <conditionalFormatting sqref="M206 O206 Q206 S206">
    <cfRule type="expression" dxfId="181" priority="8">
      <formula>$X$206=0</formula>
    </cfRule>
  </conditionalFormatting>
  <conditionalFormatting sqref="O108">
    <cfRule type="expression" dxfId="180" priority="318">
      <formula>$K$16&lt;&gt;"E0703"</formula>
    </cfRule>
  </conditionalFormatting>
  <conditionalFormatting sqref="O112">
    <cfRule type="expression" dxfId="179" priority="18">
      <formula>AND($V$253&lt;&gt;"Yes")=TRUE</formula>
    </cfRule>
  </conditionalFormatting>
  <conditionalFormatting sqref="O191">
    <cfRule type="expression" dxfId="178" priority="34">
      <formula>AND($N$253&lt;&gt;"Yes")=TRUE</formula>
    </cfRule>
  </conditionalFormatting>
  <conditionalFormatting sqref="Q112">
    <cfRule type="expression" dxfId="177" priority="19">
      <formula>AND($V$253&lt;&gt;"Yes")=TRUE</formula>
    </cfRule>
  </conditionalFormatting>
  <conditionalFormatting sqref="S112">
    <cfRule type="expression" dxfId="176" priority="16">
      <formula>AND($V$253&lt;&gt;"Yes")=TRUE</formula>
    </cfRule>
  </conditionalFormatting>
  <conditionalFormatting sqref="S118">
    <cfRule type="expression" dxfId="175" priority="320">
      <formula>AND($K$15&lt;&gt;"North Somerset UA")=TRUE</formula>
    </cfRule>
  </conditionalFormatting>
  <conditionalFormatting sqref="S191">
    <cfRule type="expression" dxfId="174" priority="15">
      <formula>AND($N$253&lt;&gt;"Yes")=TRUE</formula>
    </cfRule>
  </conditionalFormatting>
  <conditionalFormatting sqref="T25:U25">
    <cfRule type="expression" dxfId="173" priority="80">
      <formula>AND($W40=0)=FALSE</formula>
    </cfRule>
  </conditionalFormatting>
  <conditionalFormatting sqref="T30:U30">
    <cfRule type="expression" dxfId="172" priority="78">
      <formula>AND($W$42=0)=FALSE</formula>
    </cfRule>
  </conditionalFormatting>
  <conditionalFormatting sqref="T32:U32">
    <cfRule type="expression" dxfId="171" priority="74">
      <formula>AND($W$42=0)=FALSE</formula>
    </cfRule>
  </conditionalFormatting>
  <conditionalFormatting sqref="T35:U35">
    <cfRule type="expression" dxfId="170" priority="67">
      <formula>AND(W46=0)=FALSE</formula>
    </cfRule>
    <cfRule type="expression" dxfId="169" priority="72">
      <formula>AND($W44=0)=FALSE</formula>
    </cfRule>
  </conditionalFormatting>
  <conditionalFormatting sqref="T37:U37">
    <cfRule type="expression" dxfId="168" priority="66">
      <formula>AND($W46=0)=FALSE</formula>
    </cfRule>
  </conditionalFormatting>
  <conditionalFormatting sqref="T39:U39">
    <cfRule type="expression" dxfId="167" priority="64">
      <formula>AND($W46=0)=FALSE</formula>
    </cfRule>
  </conditionalFormatting>
  <conditionalFormatting sqref="T45:U45">
    <cfRule type="expression" dxfId="166" priority="63">
      <formula>AND($W48=0)=FALSE</formula>
    </cfRule>
  </conditionalFormatting>
  <conditionalFormatting sqref="T47:U47">
    <cfRule type="expression" dxfId="165" priority="62">
      <formula>AND($W48=0)=FALSE</formula>
    </cfRule>
  </conditionalFormatting>
  <conditionalFormatting sqref="T58:U58">
    <cfRule type="expression" dxfId="164" priority="61">
      <formula>AND($W52=0)=FALSE</formula>
    </cfRule>
  </conditionalFormatting>
  <conditionalFormatting sqref="U98">
    <cfRule type="expression" dxfId="163" priority="47">
      <formula>AND($W98+W100=0)=FALSE</formula>
    </cfRule>
  </conditionalFormatting>
  <conditionalFormatting sqref="U106 U166:U168 U188:U210">
    <cfRule type="expression" dxfId="162" priority="40">
      <formula>AND($W106=0)=FALSE</formula>
    </cfRule>
  </conditionalFormatting>
  <conditionalFormatting sqref="U108">
    <cfRule type="expression" dxfId="161" priority="41">
      <formula>AND($W108=0)=FALSE</formula>
    </cfRule>
  </conditionalFormatting>
  <conditionalFormatting sqref="U110">
    <cfRule type="expression" dxfId="160" priority="42">
      <formula>AND($W110=0)=FALSE</formula>
    </cfRule>
  </conditionalFormatting>
  <conditionalFormatting sqref="U114">
    <cfRule type="expression" dxfId="159" priority="43">
      <formula>AND($W114=0)=FALSE</formula>
    </cfRule>
  </conditionalFormatting>
  <conditionalFormatting sqref="U116">
    <cfRule type="expression" dxfId="158" priority="46">
      <formula>AND($W116=0)=FALSE</formula>
    </cfRule>
  </conditionalFormatting>
  <conditionalFormatting sqref="U122">
    <cfRule type="expression" dxfId="157" priority="60">
      <formula>AND($W122=0)=FALSE</formula>
    </cfRule>
  </conditionalFormatting>
  <conditionalFormatting sqref="U127">
    <cfRule type="expression" dxfId="156" priority="44">
      <formula>AND($W127=0)=FALSE</formula>
    </cfRule>
  </conditionalFormatting>
  <conditionalFormatting sqref="U178">
    <cfRule type="expression" dxfId="155" priority="53">
      <formula>AND($W178=0)=FALSE</formula>
    </cfRule>
  </conditionalFormatting>
  <conditionalFormatting sqref="U182">
    <cfRule type="expression" dxfId="154" priority="52">
      <formula>AND($W182=0)=FALSE</formula>
    </cfRule>
  </conditionalFormatting>
  <conditionalFormatting sqref="U185">
    <cfRule type="expression" dxfId="153" priority="32">
      <formula>AND($W185=0)=FALSE</formula>
    </cfRule>
  </conditionalFormatting>
  <conditionalFormatting sqref="U213">
    <cfRule type="expression" dxfId="152" priority="48">
      <formula>AND($W213=0)=FALSE</formula>
    </cfRule>
  </conditionalFormatting>
  <dataValidations count="63">
    <dataValidation type="whole" operator="greaterThanOrEqual" allowBlank="1" showInputMessage="1" showErrorMessage="1" errorTitle="Positive whole number required" error="This number MUST be a positive whole number. " sqref="K37" xr:uid="{BEA3FB4D-9A96-41A9-9CA3-033B7A8C0BE6}">
      <formula1>0</formula1>
    </dataValidation>
    <dataValidation type="whole" operator="greaterThanOrEqual" allowBlank="1" showInputMessage="1" showErrorMessage="1" sqref="K55" xr:uid="{B1A73314-62C0-4A36-A1F9-78C2094F80EE}">
      <formula1>0</formula1>
    </dataValidation>
    <dataValidation type="custom" allowBlank="1" showInputMessage="1" showErrorMessage="1" error="Do not amend" sqref="B61:B76 C61:K62 C64:K64 C66:K70 C72:K76" xr:uid="{9E3C68CC-E0C8-48C5-BFFC-6F9D96E30684}">
      <formula1>"az1=""n/a"""</formula1>
    </dataValidation>
    <dataValidation type="custom" allowBlank="1" showInputMessage="1" showErrorMessage="1" error="Data entry is not allowed in this cell" sqref="M98 O108 M108 N166:N168 M112 P166:P168 S106 K101 O167:O168 M116 R174 K103 M114 R170 P174 N174 K127:L127 N127:R127 S98 Q98 R166:R168 S108 S110 S94 S101 O98 S103 M110 O110 S112 K98 K94 M94 O94 Q94 M106 Q106 O106 S118 M118 S116 S114 Q114 O114 M167:M168 N170 P170 S167:S168 Q167:Q168" xr:uid="{AF218ABF-EB57-4C6C-921D-39DA2F11A358}">
      <formula1>"if(AC50=""n/a"")"</formula1>
    </dataValidation>
    <dataValidation type="custom" allowBlank="1" showInputMessage="1" showErrorMessage="1" error="Data entry is not allowed in this cell" sqref="M103 O103 Q103" xr:uid="{A351E981-AAD3-4C0E-ABA0-EEF6A7475E57}">
      <formula1>"AC50=""na"""</formula1>
    </dataValidation>
    <dataValidation type="custom" operator="greaterThanOrEqual" allowBlank="1" showInputMessage="1" showErrorMessage="1" error="Data entry is not allowed in this cell" sqref="K52" xr:uid="{0E463B85-3579-4B27-B8C1-02E50C92A0E3}">
      <formula1>"$L$16=""NA"""</formula1>
    </dataValidation>
    <dataValidation type="custom" allowBlank="1" showInputMessage="1" showErrorMessage="1" error="Do not amend" sqref="C65:K65 C63:K63" xr:uid="{80DC8DA9-71B6-4B2E-B483-EB49B1197730}">
      <formula1>"az1=""na"""</formula1>
    </dataValidation>
    <dataValidation type="custom" allowBlank="1" showInputMessage="1" showErrorMessage="1" error="Data entry is not allowed in this cell" sqref="M127" xr:uid="{7CA3CBBF-0311-42AC-8E1C-2FABADA56DD5}">
      <formula1>"AC50=""NA"""</formula1>
    </dataValidation>
    <dataValidation type="custom" allowBlank="1" showInputMessage="1" showErrorMessage="1" error="Data entry is not allowed in this cell" sqref="S127" xr:uid="{2DBE807A-FB27-4269-9356-CCAE60106ADB}">
      <formula1>"AC1=""NA"""</formula1>
    </dataValidation>
    <dataValidation allowBlank="1" showInputMessage="1" showErrorMessage="1" error="Data entry is not allowed in this cell" sqref="K122 M122 O122 Q122 S122 N197 P197 R197 O112:Q112" xr:uid="{B31EE026-095A-47C2-8044-7E67E8A77A40}"/>
    <dataValidation type="custom" allowBlank="1" showInputMessage="1" showErrorMessage="1" error="Do not edit these cells" sqref="I255:K255 Q255 F255:F256" xr:uid="{874FE695-6DA5-455E-8BEC-F2BDB0149EE7}">
      <formula1>"AX1=""n/a"""</formula1>
    </dataValidation>
    <dataValidation type="whole" operator="greaterThanOrEqual" allowBlank="1" showInputMessage="1" showErrorMessage="1" error="Data entry is not allowed in this cell" sqref="K54" xr:uid="{CFA44706-66C9-4889-897D-14E459ED1207}">
      <formula1>0</formula1>
    </dataValidation>
    <dataValidation type="custom" allowBlank="1" showInputMessage="1" showErrorMessage="1" error="Do not amend these cells" sqref="N255" xr:uid="{56559844-F1E1-49A7-84D5-3581EC514A7A}">
      <formula1>"AX1=""n/a"""</formula1>
    </dataValidation>
    <dataValidation type="custom" allowBlank="1" showInputMessage="1" showErrorMessage="1" error="Data entry not allowed" sqref="K30" xr:uid="{F62A5E89-DF6E-48C3-B6BA-4EC01C4D1441}">
      <formula1>$K$15="n/a"</formula1>
    </dataValidation>
    <dataValidation type="custom" allowBlank="1" showInputMessage="1" showErrorMessage="1" error="This data is pre-filled from Part 3 of the form" sqref="K47" xr:uid="{16D91DB1-9A41-49AC-B915-630775C2C545}">
      <formula1>K15="n/a"</formula1>
    </dataValidation>
    <dataValidation type="custom" allowBlank="1" showInputMessage="1" showErrorMessage="1" error="Data entry not allowed in this cell" sqref="K39" xr:uid="{14E0C7D6-65EA-4E0C-840F-C63310FCDE8F}">
      <formula1>K15="N/A"</formula1>
    </dataValidation>
    <dataValidation type="custom" allowBlank="1" showInputMessage="1" showErrorMessage="1" error="This data is pre-filled from Part 3 of the form_x000a_" sqref="K45" xr:uid="{194328E2-A1B5-428E-A5B6-E08A6CF432E6}">
      <formula1>K15="N/A"</formula1>
    </dataValidation>
    <dataValidation type="custom" allowBlank="1" showInputMessage="1" showErrorMessage="1" error="Data entry is not allowed in this cell" sqref="K58" xr:uid="{41204629-4F24-414F-B0D5-60E8C5F22460}">
      <formula1>K15="n/a"</formula1>
    </dataValidation>
    <dataValidation type="custom" allowBlank="1" showInputMessage="1" showErrorMessage="1" errorTitle="Pre-filled cell" error="Data entry not allowed" sqref="K42" xr:uid="{392DAAE0-4D94-49F1-89F6-D2008428D2A6}">
      <formula1>K15="N/A"</formula1>
    </dataValidation>
    <dataValidation type="custom" allowBlank="1" showInputMessage="1" showErrorMessage="1" errorTitle="Pre-filled cell" error="Data entry not allowed" sqref="K35" xr:uid="{6601D6DE-BAD6-4921-8166-64927E73B0B0}">
      <formula1>K15="N/A"</formula1>
    </dataValidation>
    <dataValidation type="custom" allowBlank="1" showInputMessage="1" showErrorMessage="1" error="Emails should contain an '@'" sqref="K19:N19" xr:uid="{3FBF33D0-AB38-4FE1-AF53-A94DBBDB0517}">
      <formula1>NOT(ISERROR(FIND("@",K19)))</formula1>
    </dataValidation>
    <dataValidation type="custom" allowBlank="1" showInputMessage="1" showErrorMessage="1" error="Data entry not allowed" prompt="It is very unlikely that adjustments to the transitional relief will outweigh the revenue foregone in 2024-25. If you do have an amount in this cell, please check Part 2 lines 6-8" sqref="K32" xr:uid="{C2217E7C-3502-479B-BEDB-502EFAF2D643}">
      <formula1>$K$15="n/a"</formula1>
    </dataValidation>
    <dataValidation allowBlank="1" showInputMessage="1" showErrorMessage="1" error="Do not try to enter data here_x000a_" sqref="M253:U253" xr:uid="{F1213D3C-2191-415E-91E8-C48A4D87D378}"/>
    <dataValidation type="whole" allowBlank="1" showInputMessage="1" showErrorMessage="1" errorTitle="Please review data entry" error="Line 9a must be positive and no greater than Line 9" sqref="K50" xr:uid="{0A5FDAF8-EAEC-41D0-9653-D750270A86A4}">
      <formula1>0</formula1>
      <formula2>K47</formula2>
    </dataValidation>
    <dataValidation type="custom" allowBlank="1" showInputMessage="1" showErrorMessage="1" error="Do not try to enter data here_x000a_" sqref="A253:M253" xr:uid="{DD548D5A-CEAB-432E-8C0B-8067B43E0D10}">
      <formula1>"if(az1=""n/a"")"</formula1>
    </dataValidation>
    <dataValidation allowBlank="1" showInputMessage="1" showErrorMessage="1" error="Data entry not allowed in this cell" sqref="Q26 Q38 Q31 Q33 Q35 Q28:Q29" xr:uid="{C50C50B5-D1BF-434C-9723-ECB2D270278D}"/>
    <dataValidation type="custom" allowBlank="1" showInputMessage="1" showErrorMessage="1" error="Data entry not allowed in this cell" prompt="See the breakdown table to the right for how this is calculated from gross rates payable" sqref="K25" xr:uid="{EFE9BBF5-A028-4A58-ABA2-48EA4DF0CFE3}">
      <formula1>$K$15="n/a"</formula1>
    </dataValidation>
    <dataValidation allowBlank="1" showInputMessage="1" showErrorMessage="1" error="Do not amend" sqref="C73:K73 C71:K71" xr:uid="{96D6AD0D-8795-4978-AD05-2D1B7ACAF73A}"/>
    <dataValidation allowBlank="1" showInputMessage="1" showErrorMessage="1" prompt="This was line 26a in the 2023-24 form" sqref="D180" xr:uid="{CC7F5940-16D5-4C8F-8323-4EC8D67F8366}"/>
    <dataValidation allowBlank="1" showInputMessage="1" showErrorMessage="1" prompt="This was line 34 in the 2023-24 form._x000a_This data is being taken from 'Part 2 - line 32'." sqref="D204:D205" xr:uid="{B07C12C8-8193-4516-BA33-2A77F7E3438D}"/>
    <dataValidation allowBlank="1" showInputMessage="1" showErrorMessage="1" prompt="This data is being taken from 'Part 1 - line 25' and 'Part 1 - line 26'." sqref="D174:K175" xr:uid="{B7FC6CDC-750F-457C-BA25-31FECC301E79}"/>
    <dataValidation allowBlank="1" showInputMessage="1" showErrorMessage="1" prompt="This data is from 'Part 3 - line 9', _x000a_it's then being used in 'Part 1 - line 11' and 'Part 1 - line 17'." sqref="C45:I46" xr:uid="{7ADDFDB7-DE98-406A-8051-8A79AA2C0807}"/>
    <dataValidation allowBlank="1" showInputMessage="1" showErrorMessage="1" prompt="This data is from 'Part 3 - line 5', _x000a_it's then being used in 'Part 1 - line 11' and 'Part 1 - line 18'." sqref="C47:I48" xr:uid="{9EC3DD04-B718-42DA-A33F-1E1B3E5E9782}"/>
    <dataValidation allowBlank="1" showInputMessage="1" showErrorMessage="1" prompt="This data is from 'Part 3 - line 6', _x000a_it's then being used in 'Part 1 - line 11' and 'Part 1 - line 19'." sqref="C54:I55" xr:uid="{50AEED03-0BF1-4381-94B0-7AD5FA3B54A3}"/>
    <dataValidation allowBlank="1" showInputMessage="1" showErrorMessage="1" prompt="This is using data from 'Part 1 - line 11' and 'Part 1 - line 12',_x000a_it's then being used in 'Part 1 - line 15'." sqref="D98:I99" xr:uid="{5AD223B7-B482-412D-BE0D-5CC505A9CECE}"/>
    <dataValidation allowBlank="1" showInputMessage="1" showErrorMessage="1" prompt="This data is being taken from 'Part 3 - line 13', _x000a_it's then being used in 'Part 1 - line 15'." sqref="D101:I101" xr:uid="{E906C572-7F2E-4490-9C0F-1BA6D036F359}"/>
    <dataValidation allowBlank="1" showInputMessage="1" showErrorMessage="1" prompt="This data is being taken from 'Part 1 - line 6',_x000a_it's then being used in 'Part 1 - line 24'." sqref="D106:I106" xr:uid="{DF6E43C6-0F05-45A2-B209-82EFE7212085}"/>
    <dataValidation allowBlank="1" showInputMessage="1" showErrorMessage="1" prompt="This data is being taken from 'Part 1 - line 8',_x000a_it's then being used in 'Part 1 - line 24' and 'Part 1 - line 25'." sqref="D108:I108" xr:uid="{402B4D0D-DED2-4C0F-9202-F7E891AF08A9}"/>
    <dataValidation allowBlank="1" showInputMessage="1" showErrorMessage="1" prompt="This data is being taken from 'Part 2 - line 30' and 'Part 3 - line 11',_x000a_it's then being used in 'Part 1 - line 24'." sqref="D114:I114" xr:uid="{FEAEC626-3081-416F-BE17-183D17B7E628}"/>
    <dataValidation allowBlank="1" showInputMessage="1" showErrorMessage="1" prompt="This data is being taken from 'Part 1 - line 7',_x000a_it's then being used in 'Part 1 - line 24'" sqref="D116:I116" xr:uid="{A0F20F24-C158-4D8F-9804-3262F11D1D2A}"/>
    <dataValidation allowBlank="1" showInputMessage="1" showErrorMessage="1" prompt="This line uses data from 'Part 4 - line 20',_x000a_it's then being used in 'Part 1 - line 24'." sqref="D122:G123" xr:uid="{0E02FA0C-DB71-49D9-AFD5-DE47A4DC6252}"/>
    <dataValidation allowBlank="1" showInputMessage="1" showErrorMessage="1" prompt="This is the total of 'Part 1 : lines 15-23'" sqref="C127:I127" xr:uid="{1FBD867B-736E-4778-84E8-0DF098218014}"/>
    <dataValidation allowBlank="1" showInputMessage="1" showErrorMessage="1" prompt="This was line 34 in the 2023-24 form._x000a_This data is being taken from 'Part 2 - line 32',_x000a_it's then being used in 'Part 1 - line 39'." sqref="D206:K206" xr:uid="{07DBBADD-055B-4CE6-B4D0-5AE495BCA2A6}"/>
    <dataValidation allowBlank="1" showInputMessage="1" showErrorMessage="1" prompt="This data is being used in 'Part 1 - line 6'." sqref="C35:I35 C37:I37" xr:uid="{34086029-FCE8-4331-B5C2-85C6A18800AB}"/>
    <dataValidation allowBlank="1" showInputMessage="1" showErrorMessage="1" prompt="This data is being used in 'Part 1 - line 11', 'Part 1 - line 16' and  'Part 1 - line 25'." sqref="C39:I39" xr:uid="{8B1FBC07-9947-4107-AC41-E19008C12DC8}"/>
    <dataValidation type="custom" allowBlank="1" showInputMessage="1" showErrorMessage="1" error="Data entry not allowed in this cell" prompt="See the breakdown table to the right for how this is calculated from gross rates payable._x000a_This data is being used in 'Part 1 - line 11'." sqref="C25:I27" xr:uid="{319E8576-18B3-4C3C-8707-87BCFB72930D}">
      <formula1>$K$15="n/a"</formula1>
    </dataValidation>
    <dataValidation allowBlank="1" showInputMessage="1" showErrorMessage="1" prompt="This data is from 'Part 2 - line 8', _x000a_it's then being used in 'Part 1 - line 11'." sqref="C30:I30 C32:I32" xr:uid="{D2DAA966-3E5E-469E-85C3-BCD77BB20A81}"/>
    <dataValidation allowBlank="1" showInputMessage="1" showErrorMessage="1" prompt="This data is being used in 'Part 1 - line 11' and 'Part 1 - line 21'." sqref="C42:I42" xr:uid="{ABFAB395-78AF-423A-987B-E6D81B803F9D}"/>
    <dataValidation allowBlank="1" showInputMessage="1" showErrorMessage="1" prompt="This data is being used in 'Part 1 - line 13'." sqref="C58:I58" xr:uid="{FFAC1AA6-059B-4474-B5C0-34580D5A2B60}"/>
    <dataValidation allowBlank="1" showInputMessage="1" showErrorMessage="1" prompt="This data is being taken from 'Part 1 - lines 9, 9a, 9b',_x000a_its then being used in 'Part 1 - line 24' and 'Part 1 - line 25'." sqref="D110:I111" xr:uid="{F09860B9-1FB4-4BA4-BF0C-CB4FC3F80249}"/>
    <dataValidation allowBlank="1" showInputMessage="1" showErrorMessage="1" prompt="This data is being taken from 'Part 1 - line 10', _x000a_it's then being used in 'Part 1 line 24' and 'Part 1 - line 25'." sqref="D112:I113" xr:uid="{B074C2CA-2852-4B6A-8E12-ACCB845F8E15}"/>
    <dataValidation allowBlank="1" showInputMessage="1" showErrorMessage="1" prompt="This data is being taken from 'Part 3 - line 12',_x000a_it's then being used in 'Part 1 - line 24' and 'Part 1 - line 25'." sqref="D118:I118" xr:uid="{D4C9A57C-641F-4EB1-B7EC-EC8B6C412BF5}"/>
    <dataValidation allowBlank="1" showInputMessage="1" showErrorMessage="1" prompt="This was line 26 in the 2023-24 form._x000a_This is using data from 'Part 2 - line 9' and 'Part 2 - line 10',_x000a_it's then being used in 'Part 1 - line 39'." sqref="D178:K178" xr:uid="{4246CF63-3BB0-4A8B-806E-9DB44EF0A69A}"/>
    <dataValidation allowBlank="1" showInputMessage="1" showErrorMessage="1" prompt="This was line 27 in the 2023-24 form._x000a_This data is being taken from 'Part 2 - line 10',_x000a_it's then being used in 'Part 1 - line 39'." sqref="D182:K182" xr:uid="{5D648D61-898A-4134-891A-FA055C9D1575}"/>
    <dataValidation allowBlank="1" showInputMessage="1" showErrorMessage="1" prompt="This was line 28 in the 2023-24 form._x000a_This data is being taken from 'Part 2 - line 13',_x000a_it's then being used in 'Part 1 - line 39'." sqref="D185:K185" xr:uid="{B277037C-1831-43ED-B747-9B915916735B}"/>
    <dataValidation allowBlank="1" showInputMessage="1" showErrorMessage="1" prompt="This was line 29 in the 2023-24 form._x000a_This data is being taken from 'Part 2 - line 36',_x000a_it's then being used in 'Part 1 - line 39'." sqref="D188:K188" xr:uid="{AD80110D-1F8A-4646-B86C-3D23189B9D71}"/>
    <dataValidation allowBlank="1" showInputMessage="1" showErrorMessage="1" prompt="This was line 30 in the 2023-24 form._x000a_This data is being taken from 'Part 3 - line 10',_x000a_it's then being used in 'Part 1 - line 39'." sqref="D191:K191" xr:uid="{70A16707-18D8-4337-A408-CC1119A2A61D}"/>
    <dataValidation allowBlank="1" showInputMessage="1" showErrorMessage="1" prompt="This was line 31 in the 2023-24 form._x000a_This data is being taken from 'Part 2 - line 37',_x000a_it's then being used in 'Part 1 - line 39'." sqref="D194:K194" xr:uid="{027DEA46-F005-45D5-823A-4E8321EE59C7}"/>
    <dataValidation allowBlank="1" showInputMessage="1" showErrorMessage="1" prompt="This was line 32 in the 2023-24 form._x000a_This data is being taken from 'Part 2 - line 14',_x000a_it's then being used in 'Part 1 - line 39'." sqref="D197:K197" xr:uid="{8A577C72-CA7D-4457-A1F9-8D7B9E82D650}"/>
    <dataValidation allowBlank="1" showInputMessage="1" showErrorMessage="1" prompt="This was line 33 in the 2023-24 form._x000a_This data is being taken from 'Part 2 - Line 38',_x000a_it's then being used in 'Part 1 - line 39'." sqref="D200:K200" xr:uid="{2E358F4B-20FD-43F9-BBB7-7733A47B5A65}"/>
    <dataValidation allowBlank="1" showInputMessage="1" showErrorMessage="1" prompt="This was line 34 in the 2023-24 form._x000a_This data is being taken from 'Part 2 - line 31',_x000a_it's then being used in 'Part 1 - line 39'." sqref="D203:K203" xr:uid="{15771D8D-7202-4966-B3EA-48C54600C030}"/>
    <dataValidation allowBlank="1" showInputMessage="1" showErrorMessage="1" prompt="This was line 35 in the 2023-24 form._x000a_This data is being taken from 'Part 2 - line 15',_x000a_it's then being used in 'Part 1 - line 39'." sqref="D209:K209" xr:uid="{957043BC-0431-422C-AEC2-91E8FEC8C837}"/>
    <dataValidation allowBlank="1" showInputMessage="1" showErrorMessage="1" prompt="This was line 36 in the 2023-24 form._x000a_This is the sum of 'Part 1 - lines 27 : 38'." sqref="C213:K213" xr:uid="{66754CF8-5893-497B-8818-86B2DD188D7F}"/>
  </dataValidations>
  <printOptions horizontalCentered="1"/>
  <pageMargins left="0.39370078740157483" right="0.39370078740157483" top="0.59055118110236227" bottom="0.59055118110236227" header="0.51181102362204722" footer="0.51181102362204722"/>
  <pageSetup paperSize="9" fitToHeight="2" orientation="portrait" r:id="rId1"/>
  <headerFooter alignWithMargins="0"/>
  <rowBreaks count="2" manualBreakCount="2">
    <brk id="77" min="1" max="24" man="1"/>
    <brk id="153" min="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List Box 5">
              <controlPr locked="0" defaultSize="0" autoFill="0" autoLine="0" autoPict="0">
                <anchor moveWithCells="1">
                  <from>
                    <xdr:col>10</xdr:col>
                    <xdr:colOff>457200</xdr:colOff>
                    <xdr:row>9</xdr:row>
                    <xdr:rowOff>76200</xdr:rowOff>
                  </from>
                  <to>
                    <xdr:col>13</xdr:col>
                    <xdr:colOff>47625</xdr:colOff>
                    <xdr:row>13</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2" id="{2F5B5C7D-4C72-4292-A2E9-89996A6AC4DF}">
            <xm:f>'Main Validation'!#REF!&gt;0</xm:f>
            <x14:dxf>
              <font>
                <b/>
                <i val="0"/>
                <color rgb="FFFF0000"/>
              </font>
            </x14:dxf>
          </x14:cfRule>
          <xm:sqref>A8:U8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BR193"/>
  <sheetViews>
    <sheetView showGridLines="0" zoomScale="95" zoomScaleNormal="95" workbookViewId="0"/>
  </sheetViews>
  <sheetFormatPr defaultRowHeight="15" x14ac:dyDescent="0.2"/>
  <cols>
    <col min="1" max="2" width="1.140625" customWidth="1"/>
    <col min="3" max="3" width="36.5703125" customWidth="1"/>
    <col min="4" max="4" width="13.85546875" customWidth="1"/>
    <col min="5" max="5" width="1.140625" customWidth="1"/>
    <col min="6" max="6" width="2.85546875" customWidth="1"/>
    <col min="7" max="7" width="17.140625" customWidth="1"/>
    <col min="8" max="9" width="1.140625" customWidth="1"/>
    <col min="10" max="10" width="17.140625" customWidth="1"/>
    <col min="11" max="12" width="1.140625" customWidth="1"/>
    <col min="13" max="13" width="17.140625" customWidth="1"/>
    <col min="14" max="15" width="1.140625" customWidth="1"/>
    <col min="16" max="16" width="12" customWidth="1"/>
    <col min="17" max="18" width="1.140625" customWidth="1"/>
    <col min="19" max="19" width="17.140625" customWidth="1"/>
    <col min="20" max="21" width="1.140625" customWidth="1"/>
    <col min="22" max="22" width="17.140625" customWidth="1"/>
    <col min="23" max="24" width="1.140625" customWidth="1"/>
    <col min="25" max="25" width="17.140625" customWidth="1"/>
    <col min="26" max="26" width="1.42578125" customWidth="1"/>
    <col min="27" max="27" width="7.7109375" customWidth="1"/>
    <col min="28" max="28" width="17.140625" customWidth="1"/>
    <col min="29" max="29" width="2.28515625" customWidth="1"/>
    <col min="30" max="30" width="1.7109375" customWidth="1"/>
    <col min="31" max="31" width="9" hidden="1" customWidth="1"/>
    <col min="32" max="32" width="16.7109375" style="9" hidden="1" customWidth="1"/>
    <col min="33" max="33" width="30.42578125" hidden="1" customWidth="1"/>
    <col min="34" max="34" width="13.7109375" hidden="1" customWidth="1"/>
    <col min="35" max="35" width="26" hidden="1" customWidth="1"/>
    <col min="36" max="36" width="9.140625" hidden="1" customWidth="1"/>
    <col min="37" max="37" width="16.85546875" hidden="1" customWidth="1"/>
    <col min="38" max="59" width="9.140625" hidden="1" customWidth="1"/>
    <col min="60" max="66" width="9.140625" customWidth="1"/>
  </cols>
  <sheetData>
    <row r="1" spans="1:37" x14ac:dyDescent="0.2">
      <c r="A1" s="68"/>
      <c r="B1" s="69"/>
      <c r="C1" s="1708"/>
      <c r="D1" s="1708"/>
      <c r="E1" s="1708"/>
      <c r="F1" s="69"/>
      <c r="G1" s="69"/>
      <c r="H1" s="69"/>
      <c r="I1" s="69"/>
      <c r="J1" s="69"/>
      <c r="K1" s="69"/>
      <c r="L1" s="69"/>
      <c r="M1" s="69"/>
      <c r="N1" s="69"/>
      <c r="O1" s="69"/>
      <c r="P1" s="69"/>
      <c r="Q1" s="69"/>
      <c r="R1" s="69"/>
      <c r="S1" s="69"/>
      <c r="T1" s="69"/>
      <c r="U1" s="69"/>
      <c r="V1" s="69"/>
      <c r="W1" s="69"/>
      <c r="X1" s="69"/>
      <c r="Y1" s="69"/>
      <c r="Z1" s="69"/>
      <c r="AA1" s="69"/>
      <c r="AB1" s="69"/>
      <c r="AC1" s="69"/>
      <c r="AD1" s="70"/>
    </row>
    <row r="2" spans="1:37" s="26" customFormat="1" ht="18" x14ac:dyDescent="0.25">
      <c r="A2" s="31"/>
      <c r="B2" s="19"/>
      <c r="C2" s="87" t="e">
        <f>+CONCATENATE("Local Authority : ",+'Part 1'!K15)</f>
        <v>#N/A</v>
      </c>
      <c r="D2" s="320"/>
      <c r="E2" s="320"/>
      <c r="F2" s="19"/>
      <c r="G2" s="19"/>
      <c r="H2" s="19"/>
      <c r="I2" s="19"/>
      <c r="J2" s="19"/>
      <c r="K2" s="19"/>
      <c r="L2" s="19"/>
      <c r="M2" s="19"/>
      <c r="N2" s="19"/>
      <c r="O2" s="320"/>
      <c r="P2" s="320"/>
      <c r="Q2" s="320"/>
      <c r="R2" s="19"/>
      <c r="S2" s="19"/>
      <c r="T2" s="19"/>
      <c r="U2" s="19"/>
      <c r="V2" s="19"/>
      <c r="W2" s="19"/>
      <c r="X2" s="19"/>
      <c r="Y2" s="19"/>
      <c r="Z2" s="19"/>
      <c r="AA2" s="19"/>
      <c r="AB2" s="19"/>
      <c r="AC2" s="19"/>
      <c r="AD2" s="20"/>
      <c r="AE2"/>
      <c r="AF2" s="9"/>
    </row>
    <row r="3" spans="1:37" s="26" customFormat="1" ht="18" x14ac:dyDescent="0.25">
      <c r="A3" s="31"/>
      <c r="B3" s="19"/>
      <c r="C3" s="87"/>
      <c r="D3" s="320"/>
      <c r="E3" s="320"/>
      <c r="F3" s="19"/>
      <c r="G3" s="19"/>
      <c r="H3" s="19"/>
      <c r="I3" s="19"/>
      <c r="J3" s="19"/>
      <c r="K3" s="19"/>
      <c r="L3" s="19"/>
      <c r="M3" s="19"/>
      <c r="N3" s="19"/>
      <c r="O3" s="320"/>
      <c r="P3" s="320"/>
      <c r="Q3" s="320"/>
      <c r="R3" s="19"/>
      <c r="S3" s="19"/>
      <c r="T3" s="19"/>
      <c r="U3" s="19"/>
      <c r="V3" s="19"/>
      <c r="W3" s="19"/>
      <c r="X3" s="19"/>
      <c r="Y3" s="19"/>
      <c r="Z3" s="19"/>
      <c r="AA3" s="19"/>
      <c r="AB3" s="19"/>
      <c r="AC3" s="19"/>
      <c r="AD3" s="20"/>
      <c r="AE3"/>
      <c r="AF3" s="1652" t="s">
        <v>929</v>
      </c>
    </row>
    <row r="4" spans="1:37" ht="18" x14ac:dyDescent="0.25">
      <c r="A4" s="15"/>
      <c r="B4" s="2"/>
      <c r="C4" s="1135" t="s">
        <v>3394</v>
      </c>
      <c r="D4" s="1135"/>
      <c r="E4" s="1135"/>
      <c r="F4" s="19"/>
      <c r="G4" s="76"/>
      <c r="H4" s="76"/>
      <c r="I4" s="19"/>
      <c r="J4" s="76"/>
      <c r="K4" s="19"/>
      <c r="L4" s="19"/>
      <c r="M4" s="76"/>
      <c r="N4" s="1"/>
      <c r="O4" s="1"/>
      <c r="P4" s="1"/>
      <c r="Q4" s="1"/>
      <c r="R4" s="19"/>
      <c r="S4" s="76"/>
      <c r="T4" s="76"/>
      <c r="U4" s="19"/>
      <c r="V4" s="76"/>
      <c r="W4" s="19"/>
      <c r="X4" s="19"/>
      <c r="Y4" s="76"/>
      <c r="Z4" s="1"/>
      <c r="AA4" s="1"/>
      <c r="AB4" s="19"/>
      <c r="AC4" s="1"/>
      <c r="AD4" s="71"/>
      <c r="AF4" s="1653"/>
      <c r="AH4" s="963"/>
    </row>
    <row r="5" spans="1:37" ht="36.75" customHeight="1" x14ac:dyDescent="0.2">
      <c r="A5" s="15"/>
      <c r="B5" s="2"/>
      <c r="C5" s="1651" t="s">
        <v>2824</v>
      </c>
      <c r="D5" s="1651"/>
      <c r="E5" s="1651"/>
      <c r="F5" s="1651"/>
      <c r="G5" s="1651"/>
      <c r="H5" s="1651"/>
      <c r="I5" s="1651"/>
      <c r="J5" s="1651"/>
      <c r="K5" s="1651"/>
      <c r="L5" s="1651"/>
      <c r="M5" s="1651"/>
      <c r="N5" s="1651"/>
      <c r="O5" s="1651"/>
      <c r="P5" s="1651"/>
      <c r="Q5" s="1651"/>
      <c r="R5" s="1651"/>
      <c r="S5" s="1651"/>
      <c r="T5" s="1"/>
      <c r="U5" s="1"/>
      <c r="V5" s="1"/>
      <c r="W5" s="1"/>
      <c r="X5" s="1"/>
      <c r="Y5" s="1"/>
      <c r="Z5" s="1"/>
      <c r="AA5" s="1"/>
      <c r="AB5" s="19"/>
      <c r="AC5" s="1"/>
      <c r="AD5" s="651"/>
      <c r="AF5" s="955"/>
      <c r="AH5" s="963"/>
    </row>
    <row r="6" spans="1:37" ht="22.5" customHeight="1" thickBot="1" x14ac:dyDescent="0.3">
      <c r="A6" s="1097"/>
      <c r="B6" s="2"/>
      <c r="C6" s="409"/>
      <c r="D6" s="409"/>
      <c r="E6" s="97"/>
      <c r="F6" s="12"/>
      <c r="G6" s="97"/>
      <c r="H6" s="12"/>
      <c r="I6" s="12"/>
      <c r="J6" s="1716" t="s">
        <v>3360</v>
      </c>
      <c r="K6" s="1717"/>
      <c r="L6" s="1717"/>
      <c r="M6" s="1717"/>
      <c r="N6" s="1717"/>
      <c r="O6" s="1717"/>
      <c r="P6" s="1717"/>
      <c r="Q6" s="3"/>
      <c r="R6" s="19"/>
      <c r="S6" s="1139"/>
      <c r="T6" s="1139"/>
      <c r="U6" s="1139"/>
      <c r="V6" s="1356" t="s">
        <v>3318</v>
      </c>
      <c r="W6" s="1139"/>
      <c r="X6" s="1139"/>
      <c r="Y6" s="1139"/>
      <c r="Z6" s="3"/>
      <c r="AA6" s="3"/>
      <c r="AB6" s="19"/>
      <c r="AC6" s="3"/>
      <c r="AD6" s="651"/>
      <c r="AF6" s="49"/>
    </row>
    <row r="7" spans="1:37" ht="21.75" customHeight="1" thickBot="1" x14ac:dyDescent="0.3">
      <c r="A7" s="1097"/>
      <c r="B7" s="2"/>
      <c r="C7" s="1704" t="s">
        <v>3284</v>
      </c>
      <c r="D7" s="1704"/>
      <c r="E7" s="1704"/>
      <c r="F7" s="1704"/>
      <c r="G7" s="1704"/>
      <c r="H7" s="343"/>
      <c r="I7" s="343"/>
      <c r="J7" s="1710" t="s">
        <v>3405</v>
      </c>
      <c r="K7" s="1711"/>
      <c r="L7" s="1711"/>
      <c r="M7" s="1711"/>
      <c r="N7" s="1711"/>
      <c r="O7" s="1711"/>
      <c r="P7" s="1712"/>
      <c r="Q7" s="3"/>
      <c r="R7" s="19"/>
      <c r="S7" s="1232" t="s">
        <v>3313</v>
      </c>
      <c r="T7" s="1233"/>
      <c r="U7" s="1233"/>
      <c r="V7" s="1233"/>
      <c r="W7" s="1228"/>
      <c r="X7" s="1228"/>
      <c r="Y7" s="1261">
        <v>0</v>
      </c>
      <c r="Z7" s="3"/>
      <c r="AA7" s="354"/>
      <c r="AB7" s="19"/>
      <c r="AC7" s="1236"/>
      <c r="AD7" s="651"/>
      <c r="AF7" s="49"/>
    </row>
    <row r="8" spans="1:37" ht="21.75" customHeight="1" thickBot="1" x14ac:dyDescent="0.3">
      <c r="A8" s="1097"/>
      <c r="B8" s="2"/>
      <c r="C8" s="1704"/>
      <c r="D8" s="1704"/>
      <c r="E8" s="1704"/>
      <c r="F8" s="1704"/>
      <c r="G8" s="1704"/>
      <c r="H8" s="343"/>
      <c r="I8" s="343"/>
      <c r="J8" s="354"/>
      <c r="K8" s="354"/>
      <c r="L8" s="354"/>
      <c r="M8" s="354"/>
      <c r="N8" s="354"/>
      <c r="O8" s="354"/>
      <c r="P8" s="354"/>
      <c r="Q8" s="1251"/>
      <c r="R8" s="19"/>
      <c r="S8" s="1234" t="s">
        <v>3314</v>
      </c>
      <c r="T8" s="1235"/>
      <c r="U8" s="1235"/>
      <c r="V8" s="1235"/>
      <c r="W8" s="1230"/>
      <c r="X8" s="1231"/>
      <c r="Y8" s="1261">
        <v>0</v>
      </c>
      <c r="Z8" s="3"/>
      <c r="AA8" s="1236"/>
      <c r="AB8" s="19"/>
      <c r="AC8" s="1236"/>
      <c r="AD8" s="651"/>
      <c r="AF8" s="49"/>
    </row>
    <row r="9" spans="1:37" ht="35.25" customHeight="1" thickBot="1" x14ac:dyDescent="0.3">
      <c r="A9" s="1097"/>
      <c r="B9" s="2"/>
      <c r="C9" s="1704"/>
      <c r="D9" s="1704"/>
      <c r="E9" s="1704"/>
      <c r="F9" s="1704"/>
      <c r="G9" s="1704"/>
      <c r="H9" s="343"/>
      <c r="I9" s="343"/>
      <c r="J9" s="1707" t="s">
        <v>3317</v>
      </c>
      <c r="K9" s="1707"/>
      <c r="L9" s="1707"/>
      <c r="M9" s="1707"/>
      <c r="N9" s="1707"/>
      <c r="O9" s="1707"/>
      <c r="P9" s="1707"/>
      <c r="Q9" s="3"/>
      <c r="R9" s="19"/>
      <c r="S9" s="1713" t="s">
        <v>3315</v>
      </c>
      <c r="T9" s="1714"/>
      <c r="U9" s="1714"/>
      <c r="V9" s="1714"/>
      <c r="W9" s="1229"/>
      <c r="X9" s="1229"/>
      <c r="Y9" s="1261">
        <v>0</v>
      </c>
      <c r="Z9" s="3"/>
      <c r="AA9" s="1236"/>
      <c r="AB9" s="19"/>
      <c r="AC9" s="1236"/>
      <c r="AD9" s="651"/>
      <c r="AF9" s="49"/>
    </row>
    <row r="10" spans="1:37" ht="35.25" customHeight="1" thickBot="1" x14ac:dyDescent="0.3">
      <c r="A10" s="1097"/>
      <c r="B10" s="2"/>
      <c r="C10" s="1704"/>
      <c r="D10" s="1704"/>
      <c r="E10" s="1704"/>
      <c r="F10" s="1704"/>
      <c r="G10" s="1704"/>
      <c r="H10" s="343"/>
      <c r="I10" s="343"/>
      <c r="J10" s="1707"/>
      <c r="K10" s="1707"/>
      <c r="L10" s="1707"/>
      <c r="M10" s="1707"/>
      <c r="N10" s="1707"/>
      <c r="O10" s="1707"/>
      <c r="P10" s="1707"/>
      <c r="Q10" s="3"/>
      <c r="R10" s="19"/>
      <c r="S10" s="1713" t="s">
        <v>3316</v>
      </c>
      <c r="T10" s="1714"/>
      <c r="U10" s="1714"/>
      <c r="V10" s="1714"/>
      <c r="W10" s="1229"/>
      <c r="X10" s="1229"/>
      <c r="Y10" s="1261">
        <v>0</v>
      </c>
      <c r="Z10" s="3"/>
      <c r="AA10" s="1236"/>
      <c r="AB10" s="19"/>
      <c r="AC10" s="1236"/>
      <c r="AD10" s="651"/>
      <c r="AF10" s="49"/>
    </row>
    <row r="11" spans="1:37" ht="19.5" customHeight="1" x14ac:dyDescent="0.25">
      <c r="A11" s="1097"/>
      <c r="B11" s="2"/>
      <c r="C11" s="1227"/>
      <c r="D11" s="1227"/>
      <c r="E11" s="1227"/>
      <c r="F11" s="1227"/>
      <c r="G11" s="1227"/>
      <c r="H11" s="343"/>
      <c r="I11" s="343"/>
      <c r="J11" s="1139"/>
      <c r="K11" s="1139"/>
      <c r="L11" s="1139"/>
      <c r="M11" s="1139"/>
      <c r="N11" s="1139"/>
      <c r="O11" s="1139"/>
      <c r="P11" s="1139"/>
      <c r="Q11" s="3"/>
      <c r="R11" s="19"/>
      <c r="S11" s="1250"/>
      <c r="T11" s="1250"/>
      <c r="U11" s="1250"/>
      <c r="V11" s="1250"/>
      <c r="W11" s="1250"/>
      <c r="X11" s="1250"/>
      <c r="Y11" s="1250"/>
      <c r="Z11" s="1251"/>
      <c r="AA11" s="1252"/>
      <c r="AB11" s="1252"/>
      <c r="AC11" s="1236"/>
      <c r="AD11" s="651"/>
      <c r="AF11" s="49"/>
    </row>
    <row r="12" spans="1:37" ht="15.75" customHeight="1" x14ac:dyDescent="0.2">
      <c r="A12" s="15"/>
      <c r="B12" s="2"/>
      <c r="C12" s="1172" t="e">
        <f>+IF('Part 1'!O253="Yes", "You should complete columns 1, 2, 4 &amp; 5","You should complete columns 1 &amp; 4 only")</f>
        <v>#N/A</v>
      </c>
      <c r="D12" s="1136"/>
      <c r="E12" s="1136"/>
      <c r="F12" s="19"/>
      <c r="G12" s="76" t="s">
        <v>695</v>
      </c>
      <c r="H12" s="76"/>
      <c r="I12" s="19"/>
      <c r="J12" s="76" t="s">
        <v>696</v>
      </c>
      <c r="K12" s="19"/>
      <c r="L12" s="19"/>
      <c r="M12" s="76" t="s">
        <v>697</v>
      </c>
      <c r="N12" s="3"/>
      <c r="O12" s="3"/>
      <c r="P12" s="3"/>
      <c r="Q12" s="3"/>
      <c r="R12" s="19"/>
      <c r="S12" s="1068" t="s">
        <v>698</v>
      </c>
      <c r="T12" s="76"/>
      <c r="U12" s="19"/>
      <c r="V12" s="1068" t="s">
        <v>715</v>
      </c>
      <c r="W12" s="19"/>
      <c r="X12" s="19"/>
      <c r="Y12" s="1068" t="s">
        <v>2896</v>
      </c>
      <c r="Z12" s="3"/>
      <c r="AA12" s="3"/>
      <c r="AB12" s="1068" t="s">
        <v>2894</v>
      </c>
      <c r="AC12" s="3"/>
      <c r="AD12" s="71"/>
      <c r="AF12" s="49"/>
    </row>
    <row r="13" spans="1:37" ht="21.75" customHeight="1" x14ac:dyDescent="0.25">
      <c r="A13" s="1097"/>
      <c r="B13" s="2"/>
      <c r="C13" s="409"/>
      <c r="D13" s="409"/>
      <c r="E13" s="97" t="s">
        <v>2893</v>
      </c>
      <c r="F13" s="12"/>
      <c r="G13" s="97"/>
      <c r="H13" s="12"/>
      <c r="I13" s="12"/>
      <c r="J13" s="12"/>
      <c r="K13" s="12"/>
      <c r="L13" s="12"/>
      <c r="M13" s="12"/>
      <c r="N13" s="12"/>
      <c r="O13" s="12"/>
      <c r="P13" s="3"/>
      <c r="Q13" s="3"/>
      <c r="R13" s="19"/>
      <c r="S13" s="1715" t="s">
        <v>2912</v>
      </c>
      <c r="T13" s="1715"/>
      <c r="U13" s="1715"/>
      <c r="V13" s="1715"/>
      <c r="W13" s="1715"/>
      <c r="X13" s="1715"/>
      <c r="Y13" s="1715"/>
      <c r="Z13" s="3"/>
      <c r="AA13" s="3"/>
      <c r="AB13" s="3"/>
      <c r="AC13" s="3"/>
      <c r="AD13" s="651"/>
      <c r="AF13" s="49"/>
    </row>
    <row r="14" spans="1:37" ht="17.25" customHeight="1" x14ac:dyDescent="0.25">
      <c r="A14" s="1097"/>
      <c r="B14" s="2"/>
      <c r="C14" s="1227"/>
      <c r="D14" s="1227"/>
      <c r="E14" s="1227"/>
      <c r="F14" s="1227"/>
      <c r="G14" s="1227"/>
      <c r="H14" s="343"/>
      <c r="I14" s="343"/>
      <c r="J14" s="343"/>
      <c r="K14" s="77"/>
      <c r="L14" s="645"/>
      <c r="M14" s="645"/>
      <c r="N14" s="354"/>
      <c r="O14" s="491"/>
      <c r="P14" s="491"/>
      <c r="Q14" s="3"/>
      <c r="R14" s="19"/>
      <c r="S14" s="1139"/>
      <c r="T14" s="1139"/>
      <c r="U14" s="1139"/>
      <c r="V14" s="1139"/>
      <c r="W14" s="1139"/>
      <c r="X14" s="1139"/>
      <c r="Y14" s="1139"/>
      <c r="Z14" s="3"/>
      <c r="AA14" s="3"/>
      <c r="AB14" s="3"/>
      <c r="AC14" s="3"/>
      <c r="AD14" s="651"/>
      <c r="AF14" s="49"/>
    </row>
    <row r="15" spans="1:37" ht="46.5" customHeight="1" x14ac:dyDescent="0.25">
      <c r="A15" s="15"/>
      <c r="B15" s="2"/>
      <c r="C15" s="1064"/>
      <c r="D15" s="19"/>
      <c r="E15" s="19"/>
      <c r="F15" s="19"/>
      <c r="G15" s="1137" t="s">
        <v>2892</v>
      </c>
      <c r="H15" s="321"/>
      <c r="I15" s="76"/>
      <c r="J15" s="413" t="s">
        <v>839</v>
      </c>
      <c r="K15" s="76"/>
      <c r="L15" s="76"/>
      <c r="M15" s="413" t="s">
        <v>26</v>
      </c>
      <c r="N15" s="1"/>
      <c r="O15" s="76"/>
      <c r="P15" s="76"/>
      <c r="Q15" s="76"/>
      <c r="R15" s="76"/>
      <c r="S15" s="413" t="s">
        <v>837</v>
      </c>
      <c r="T15" s="321"/>
      <c r="U15" s="76"/>
      <c r="V15" s="413" t="s">
        <v>839</v>
      </c>
      <c r="W15" s="76"/>
      <c r="X15" s="76"/>
      <c r="Y15" s="413" t="s">
        <v>26</v>
      </c>
      <c r="Z15" s="2"/>
      <c r="AA15" s="2"/>
      <c r="AB15" s="413" t="s">
        <v>2895</v>
      </c>
      <c r="AC15" s="2"/>
      <c r="AD15" s="71"/>
      <c r="AF15" s="49"/>
      <c r="AI15" s="1718"/>
      <c r="AJ15" s="1719"/>
      <c r="AK15" s="1719"/>
    </row>
    <row r="16" spans="1:37" ht="45.75" customHeight="1" x14ac:dyDescent="0.25">
      <c r="A16" s="15"/>
      <c r="B16" s="2"/>
      <c r="C16" s="1705" t="s">
        <v>3395</v>
      </c>
      <c r="D16" s="1705"/>
      <c r="E16" s="1705"/>
      <c r="F16" s="19"/>
      <c r="G16" s="1064" t="s">
        <v>843</v>
      </c>
      <c r="H16" s="321"/>
      <c r="I16" s="19"/>
      <c r="J16" s="1064" t="e">
        <f>+IF('Part 1'!$O$253="Yes", "Complete this column","Do not complete this column")</f>
        <v>#N/A</v>
      </c>
      <c r="K16" s="19"/>
      <c r="L16" s="19"/>
      <c r="M16" s="1064" t="s">
        <v>844</v>
      </c>
      <c r="N16" s="2"/>
      <c r="O16" s="2"/>
      <c r="P16" s="2"/>
      <c r="Q16" s="2"/>
      <c r="R16" s="19"/>
      <c r="S16" s="1064" t="s">
        <v>843</v>
      </c>
      <c r="T16" s="321"/>
      <c r="U16" s="19"/>
      <c r="V16" s="1064" t="e">
        <f>+IF('Part 1'!$O$253="Yes", "Complete this column","Do not complete this column")</f>
        <v>#N/A</v>
      </c>
      <c r="W16" s="19"/>
      <c r="X16" s="19"/>
      <c r="Y16" s="1064" t="s">
        <v>844</v>
      </c>
      <c r="Z16" s="2"/>
      <c r="AA16" s="2"/>
      <c r="AB16" s="1064" t="s">
        <v>844</v>
      </c>
      <c r="AC16" s="2"/>
      <c r="AD16" s="71"/>
      <c r="AF16" s="1720" t="s">
        <v>892</v>
      </c>
      <c r="AH16" s="390"/>
    </row>
    <row r="17" spans="1:35" ht="16.5" customHeight="1" thickBot="1" x14ac:dyDescent="0.3">
      <c r="A17" s="15"/>
      <c r="B17" s="2"/>
      <c r="C17" s="1705"/>
      <c r="D17" s="1705"/>
      <c r="E17" s="1705"/>
      <c r="F17" s="19"/>
      <c r="G17" s="1066" t="s">
        <v>687</v>
      </c>
      <c r="H17" s="19"/>
      <c r="I17" s="19"/>
      <c r="J17" s="321" t="s">
        <v>687</v>
      </c>
      <c r="K17" s="19"/>
      <c r="L17" s="193"/>
      <c r="M17" s="341" t="s">
        <v>687</v>
      </c>
      <c r="N17" s="186"/>
      <c r="O17" s="354"/>
      <c r="P17" s="354"/>
      <c r="Q17" s="354"/>
      <c r="R17" s="19"/>
      <c r="S17" s="321" t="s">
        <v>687</v>
      </c>
      <c r="T17" s="19"/>
      <c r="U17" s="19"/>
      <c r="V17" s="321" t="s">
        <v>687</v>
      </c>
      <c r="W17" s="19"/>
      <c r="X17" s="193"/>
      <c r="Y17" s="341" t="s">
        <v>687</v>
      </c>
      <c r="Z17" s="186"/>
      <c r="AA17" s="186"/>
      <c r="AB17" s="341" t="s">
        <v>687</v>
      </c>
      <c r="AC17" s="186"/>
      <c r="AD17" s="71"/>
      <c r="AF17" s="1721"/>
    </row>
    <row r="18" spans="1:35" ht="16.5" thickBot="1" x14ac:dyDescent="0.25">
      <c r="A18" s="15"/>
      <c r="B18" s="2"/>
      <c r="C18" s="452" t="s">
        <v>720</v>
      </c>
      <c r="D18" s="1253"/>
      <c r="E18" s="19"/>
      <c r="F18" s="19"/>
      <c r="G18" s="1077">
        <v>0</v>
      </c>
      <c r="H18" s="77"/>
      <c r="I18" s="19"/>
      <c r="J18" s="1077">
        <v>0</v>
      </c>
      <c r="K18" s="19"/>
      <c r="L18" s="181"/>
      <c r="M18" s="1086">
        <f>+G18+J18</f>
        <v>0</v>
      </c>
      <c r="N18" s="186"/>
      <c r="O18" s="76"/>
      <c r="P18" s="354"/>
      <c r="Q18" s="19"/>
      <c r="R18" s="19"/>
      <c r="S18" s="1077">
        <v>0</v>
      </c>
      <c r="T18" s="77"/>
      <c r="U18" s="19"/>
      <c r="V18" s="1077">
        <v>0</v>
      </c>
      <c r="W18" s="19"/>
      <c r="X18" s="181"/>
      <c r="Y18" s="1086">
        <f>+S18+V18</f>
        <v>0</v>
      </c>
      <c r="Z18" s="186"/>
      <c r="AA18" s="186"/>
      <c r="AB18" s="1086">
        <f>Y18+M18</f>
        <v>0</v>
      </c>
      <c r="AC18" s="186"/>
      <c r="AD18" s="71"/>
      <c r="AF18" s="255">
        <f>IF(+G18+J18+S18+V18-AB18=0,0,1)</f>
        <v>0</v>
      </c>
      <c r="AH18" s="142"/>
      <c r="AI18" s="241"/>
    </row>
    <row r="19" spans="1:35" ht="15" customHeight="1" x14ac:dyDescent="0.2">
      <c r="A19" s="15"/>
      <c r="B19" s="2"/>
      <c r="C19" s="1723" t="str">
        <f>+IF($J$7 ="No - unable to provide disaggregated data", "Our calculated estimations based upon the figures you entered into table A:", "")</f>
        <v/>
      </c>
      <c r="D19" s="1723"/>
      <c r="E19" s="19"/>
      <c r="F19" s="76"/>
      <c r="G19" s="1254" t="str">
        <f>+IF($J$7 ="No - unable to provide disaggregated data",ROUND(+Y7-S19,0), "")</f>
        <v/>
      </c>
      <c r="H19" s="1254"/>
      <c r="I19" s="1255"/>
      <c r="J19" s="1254" t="str">
        <f>+IF($J$7 ="No - unable to provide disaggregated data",ROUND(+Y8-V19,0), "")</f>
        <v/>
      </c>
      <c r="K19" s="1255"/>
      <c r="L19" s="1256"/>
      <c r="M19" s="1257" t="str">
        <f>+IF($J$7 ="No - unable to provide disaggregated data", +$G$19+$J$19, "")</f>
        <v/>
      </c>
      <c r="N19" s="1258"/>
      <c r="O19" s="1255"/>
      <c r="P19" s="1255"/>
      <c r="Q19" s="1255"/>
      <c r="R19" s="1255"/>
      <c r="S19" s="1254" t="str">
        <f>+IF($J$7 ="No - unable to provide disaggregated data", ROUND(+Y9/0.047,0), "")</f>
        <v/>
      </c>
      <c r="T19" s="1254"/>
      <c r="U19" s="1255"/>
      <c r="V19" s="1254" t="str">
        <f>+IF($J$7 ="No - unable to provide disaggregated data", ROUND(Y10/0.047,0), "")</f>
        <v/>
      </c>
      <c r="W19" s="1255"/>
      <c r="X19" s="1256"/>
      <c r="Y19" s="1257" t="str">
        <f>+IF($J$7 ="No - unable to provide disaggregated data", +$S$19+$V$19, "")</f>
        <v/>
      </c>
      <c r="Z19" s="1258"/>
      <c r="AA19" s="1258"/>
      <c r="AB19" s="1257" t="str">
        <f>+IF($J$7 ="No - unable to provide disaggregated data", +$M$19+$Y$19, "")</f>
        <v/>
      </c>
      <c r="AC19" s="186"/>
      <c r="AD19" s="71"/>
      <c r="AF19" s="256"/>
    </row>
    <row r="20" spans="1:35" ht="18.75" customHeight="1" x14ac:dyDescent="0.2">
      <c r="A20" s="15"/>
      <c r="B20" s="2"/>
      <c r="C20" s="1723"/>
      <c r="D20" s="1723"/>
      <c r="E20" s="19"/>
      <c r="F20" s="76"/>
      <c r="G20" s="1259" t="str">
        <f>+IF($J$7 ="No - unable to provide disaggregated data", "approx.", "")</f>
        <v/>
      </c>
      <c r="H20" s="77"/>
      <c r="I20" s="452"/>
      <c r="J20" s="1274" t="str">
        <f>+IF($J$7 ="No - unable to provide disaggregated data", "approx.", "")</f>
        <v/>
      </c>
      <c r="K20" s="452"/>
      <c r="L20" s="979"/>
      <c r="M20" s="1361" t="str">
        <f>+IF($J$7 ="No - unable to provide disaggregated data", "approx.", "")</f>
        <v/>
      </c>
      <c r="N20" s="981"/>
      <c r="O20" s="890"/>
      <c r="P20" s="452"/>
      <c r="Q20" s="452"/>
      <c r="R20" s="890"/>
      <c r="S20" s="1274" t="str">
        <f>+IF($J$7 ="No - unable to provide disaggregated data", "approx.", "")</f>
        <v/>
      </c>
      <c r="T20" s="645"/>
      <c r="U20" s="452"/>
      <c r="V20" s="1274" t="str">
        <f>+IF($J$7 ="No - unable to provide disaggregated data", "approx.", "")</f>
        <v/>
      </c>
      <c r="W20" s="452"/>
      <c r="X20" s="979"/>
      <c r="Y20" s="1361" t="str">
        <f>+IF($J$7 ="No - unable to provide disaggregated data", "approx.", "")</f>
        <v/>
      </c>
      <c r="Z20" s="981"/>
      <c r="AA20" s="981"/>
      <c r="AB20" s="1362" t="str">
        <f>+IF($J$7 ="No - unable to provide disaggregated data", "approx.", "")</f>
        <v/>
      </c>
      <c r="AC20" s="981"/>
      <c r="AD20" s="651"/>
      <c r="AF20" s="256"/>
    </row>
    <row r="21" spans="1:35" ht="15.75" x14ac:dyDescent="0.2">
      <c r="A21" s="15"/>
      <c r="B21" s="2"/>
      <c r="C21" s="1355" t="str">
        <f>+IF($J$7 ="No - unable to provide disaggregated data", CONCATENATE("If you are content with these calculated figures please enter them into the cells above.", "", "If you have calculated the rateable value split in another way, please use your own figures."), "")</f>
        <v/>
      </c>
      <c r="D21" s="1260"/>
      <c r="E21" s="19"/>
      <c r="F21" s="76"/>
      <c r="G21" s="1259"/>
      <c r="H21" s="77"/>
      <c r="I21" s="452"/>
      <c r="J21" s="1274"/>
      <c r="K21" s="452"/>
      <c r="L21" s="979"/>
      <c r="M21" s="979"/>
      <c r="N21" s="979"/>
      <c r="O21" s="890"/>
      <c r="P21" s="452"/>
      <c r="Q21" s="452"/>
      <c r="R21" s="890"/>
      <c r="S21" s="1274"/>
      <c r="T21" s="645"/>
      <c r="U21" s="452"/>
      <c r="V21" s="1274"/>
      <c r="W21" s="452"/>
      <c r="X21" s="979"/>
      <c r="Y21" s="979"/>
      <c r="Z21" s="981"/>
      <c r="AA21" s="981"/>
      <c r="AB21" s="981"/>
      <c r="AC21" s="981"/>
      <c r="AD21" s="651"/>
      <c r="AF21" s="256"/>
    </row>
    <row r="22" spans="1:35" ht="18" customHeight="1" x14ac:dyDescent="0.2">
      <c r="A22" s="15"/>
      <c r="B22" s="2"/>
      <c r="C22" s="1355" t="str">
        <f>+IF($J$7 ="No - unable to provide disaggregated data", CONCATENATE("The remainder of the form will use the figures you enter into the cells in line 1, not our estimations."), "")</f>
        <v/>
      </c>
      <c r="D22" s="1353"/>
      <c r="E22" s="1353"/>
      <c r="F22" s="1353"/>
      <c r="G22" s="1353"/>
      <c r="H22" s="1353"/>
      <c r="I22" s="1353"/>
      <c r="J22" s="1353"/>
      <c r="K22" s="1353"/>
      <c r="L22" s="1354"/>
      <c r="M22" s="1354"/>
      <c r="N22" s="1354"/>
      <c r="O22" s="1353"/>
      <c r="P22" s="1353"/>
      <c r="Q22" s="1353"/>
      <c r="R22" s="1353"/>
      <c r="S22" s="1353"/>
      <c r="T22" s="1353"/>
      <c r="U22" s="1353"/>
      <c r="V22" s="1353"/>
      <c r="W22" s="1353"/>
      <c r="X22" s="979"/>
      <c r="Y22" s="979"/>
      <c r="Z22" s="979"/>
      <c r="AA22" s="979"/>
      <c r="AB22" s="981"/>
      <c r="AC22" s="979"/>
      <c r="AD22" s="651"/>
      <c r="AF22" s="256"/>
    </row>
    <row r="23" spans="1:35" ht="8.25" customHeight="1" thickBot="1" x14ac:dyDescent="0.25">
      <c r="A23" s="15"/>
      <c r="B23" s="2"/>
      <c r="C23" s="19"/>
      <c r="D23" s="19"/>
      <c r="E23" s="19"/>
      <c r="F23" s="76"/>
      <c r="G23" s="77"/>
      <c r="H23" s="77"/>
      <c r="I23" s="452"/>
      <c r="J23" s="645"/>
      <c r="K23" s="452"/>
      <c r="L23" s="979"/>
      <c r="M23" s="979"/>
      <c r="N23" s="981"/>
      <c r="O23" s="76"/>
      <c r="P23" s="19"/>
      <c r="Q23" s="19"/>
      <c r="R23" s="76"/>
      <c r="S23" s="77"/>
      <c r="T23" s="77"/>
      <c r="U23" s="452"/>
      <c r="V23" s="645"/>
      <c r="W23" s="452"/>
      <c r="X23" s="979"/>
      <c r="Y23" s="979"/>
      <c r="Z23" s="981"/>
      <c r="AA23" s="981"/>
      <c r="AB23" s="981"/>
      <c r="AC23" s="981"/>
      <c r="AD23" s="651"/>
      <c r="AF23" s="256"/>
    </row>
    <row r="24" spans="1:35" ht="16.5" customHeight="1" thickBot="1" x14ac:dyDescent="0.3">
      <c r="A24" s="15"/>
      <c r="B24" s="2"/>
      <c r="C24" s="1125" t="s">
        <v>2897</v>
      </c>
      <c r="D24" s="801">
        <f>SBRR_Multiple</f>
        <v>49.9</v>
      </c>
      <c r="E24" s="194"/>
      <c r="F24" s="19"/>
      <c r="G24" s="77"/>
      <c r="H24" s="77"/>
      <c r="I24" s="452"/>
      <c r="J24" s="645"/>
      <c r="K24" s="452"/>
      <c r="L24" s="979"/>
      <c r="M24" s="979"/>
      <c r="N24" s="981"/>
      <c r="O24" s="354"/>
      <c r="P24" s="801">
        <f>SBRR_Multiple+(SBRR_Supplement*100)</f>
        <v>54.6</v>
      </c>
      <c r="Q24" s="194"/>
      <c r="R24" s="19"/>
      <c r="S24" s="77"/>
      <c r="T24" s="77"/>
      <c r="U24" s="452"/>
      <c r="V24" s="645"/>
      <c r="W24" s="452"/>
      <c r="X24" s="979"/>
      <c r="Y24" s="979"/>
      <c r="Z24" s="981"/>
      <c r="AA24" s="981"/>
      <c r="AB24" s="981"/>
      <c r="AC24" s="981"/>
      <c r="AD24" s="71"/>
      <c r="AF24" s="256"/>
      <c r="AG24" s="142"/>
    </row>
    <row r="25" spans="1:35" ht="15.75" thickBot="1" x14ac:dyDescent="0.25">
      <c r="A25" s="15"/>
      <c r="B25" s="2"/>
      <c r="C25" s="10"/>
      <c r="D25" s="10"/>
      <c r="E25" s="19"/>
      <c r="F25" s="19"/>
      <c r="G25" s="77"/>
      <c r="H25" s="77"/>
      <c r="I25" s="77"/>
      <c r="J25" s="77"/>
      <c r="K25" s="77"/>
      <c r="L25" s="181"/>
      <c r="M25" s="181"/>
      <c r="N25" s="186"/>
      <c r="O25" s="354"/>
      <c r="P25" s="491"/>
      <c r="Q25" s="452"/>
      <c r="R25" s="19"/>
      <c r="S25" s="77"/>
      <c r="T25" s="77"/>
      <c r="U25" s="77"/>
      <c r="V25" s="77"/>
      <c r="W25" s="77"/>
      <c r="X25" s="181"/>
      <c r="Y25" s="181"/>
      <c r="Z25" s="186"/>
      <c r="AA25" s="186"/>
      <c r="AB25" s="186"/>
      <c r="AC25" s="186"/>
      <c r="AD25" s="71"/>
      <c r="AF25" s="256"/>
    </row>
    <row r="26" spans="1:35" ht="15.75" thickBot="1" x14ac:dyDescent="0.25">
      <c r="A26" s="15"/>
      <c r="B26" s="2"/>
      <c r="C26" s="10"/>
      <c r="D26" s="10"/>
      <c r="E26" s="19"/>
      <c r="F26" s="210"/>
      <c r="G26" s="211"/>
      <c r="H26" s="212"/>
      <c r="I26" s="211"/>
      <c r="J26" s="211"/>
      <c r="K26" s="212"/>
      <c r="L26" s="213"/>
      <c r="M26" s="213"/>
      <c r="N26" s="214"/>
      <c r="O26" s="491"/>
      <c r="P26" s="491"/>
      <c r="Q26" s="452"/>
      <c r="R26" s="210"/>
      <c r="S26" s="211"/>
      <c r="T26" s="212"/>
      <c r="U26" s="211"/>
      <c r="V26" s="211"/>
      <c r="W26" s="212"/>
      <c r="X26" s="213"/>
      <c r="Y26" s="213"/>
      <c r="Z26" s="214"/>
      <c r="AA26" s="186"/>
      <c r="AB26" s="186"/>
      <c r="AC26" s="186"/>
      <c r="AD26" s="71"/>
      <c r="AF26" s="256"/>
    </row>
    <row r="27" spans="1:35" ht="16.5" thickBot="1" x14ac:dyDescent="0.25">
      <c r="A27" s="15"/>
      <c r="B27" s="2"/>
      <c r="C27" s="1647" t="s">
        <v>2825</v>
      </c>
      <c r="D27" s="1647"/>
      <c r="E27" s="19"/>
      <c r="F27" s="215"/>
      <c r="G27" s="1078">
        <f>ROUND(+G18*($D24/100),0)</f>
        <v>0</v>
      </c>
      <c r="H27" s="79"/>
      <c r="I27" s="19"/>
      <c r="J27" s="1078">
        <f>ROUND(+J18*($D24/100),0)</f>
        <v>0</v>
      </c>
      <c r="K27" s="79"/>
      <c r="L27" s="181"/>
      <c r="M27" s="181"/>
      <c r="N27" s="216"/>
      <c r="O27" s="491"/>
      <c r="P27" s="491"/>
      <c r="Q27" s="452"/>
      <c r="R27" s="215"/>
      <c r="S27" s="1078">
        <f>ROUND(+S18*($P$24/100),0)</f>
        <v>0</v>
      </c>
      <c r="T27" s="79"/>
      <c r="U27" s="19"/>
      <c r="V27" s="1078">
        <f>ROUND(+V18*($P$24/100),0)</f>
        <v>0</v>
      </c>
      <c r="W27" s="79"/>
      <c r="X27" s="181"/>
      <c r="Y27" s="181"/>
      <c r="Z27" s="216"/>
      <c r="AA27" s="186"/>
      <c r="AB27" s="1079">
        <f>G27+J27+S27+V27</f>
        <v>0</v>
      </c>
      <c r="AC27" s="186"/>
      <c r="AD27" s="71"/>
      <c r="AF27" s="255">
        <f>IF(+G27+J27+S27+V27-AB27=0,0,1)</f>
        <v>0</v>
      </c>
      <c r="AI27" s="241"/>
    </row>
    <row r="28" spans="1:35" ht="16.5" thickBot="1" x14ac:dyDescent="0.25">
      <c r="A28" s="15"/>
      <c r="B28" s="2"/>
      <c r="C28" s="10"/>
      <c r="D28" s="10"/>
      <c r="E28" s="19"/>
      <c r="F28" s="217"/>
      <c r="G28" s="218"/>
      <c r="H28" s="219"/>
      <c r="I28" s="1188"/>
      <c r="J28" s="218"/>
      <c r="K28" s="219"/>
      <c r="L28" s="220"/>
      <c r="M28" s="220"/>
      <c r="N28" s="222"/>
      <c r="O28" s="491"/>
      <c r="P28" s="491"/>
      <c r="Q28" s="452"/>
      <c r="R28" s="217"/>
      <c r="S28" s="218"/>
      <c r="T28" s="219"/>
      <c r="U28" s="1188"/>
      <c r="V28" s="218"/>
      <c r="W28" s="219"/>
      <c r="X28" s="220"/>
      <c r="Y28" s="220"/>
      <c r="Z28" s="222"/>
      <c r="AA28" s="186"/>
      <c r="AB28" s="186"/>
      <c r="AC28" s="186"/>
      <c r="AD28" s="71"/>
      <c r="AF28" s="255">
        <f>IF(+G27+G31-G34=0,0,1)</f>
        <v>0</v>
      </c>
    </row>
    <row r="29" spans="1:35" ht="16.5" thickBot="1" x14ac:dyDescent="0.25">
      <c r="A29" s="1097"/>
      <c r="B29" s="2"/>
      <c r="C29" s="10" t="s">
        <v>708</v>
      </c>
      <c r="D29" s="10"/>
      <c r="E29" s="19"/>
      <c r="F29" s="1239"/>
      <c r="G29" s="1238"/>
      <c r="H29" s="1240"/>
      <c r="I29" s="1239"/>
      <c r="J29" s="1238"/>
      <c r="K29" s="1240"/>
      <c r="L29" s="1241"/>
      <c r="M29" s="1241"/>
      <c r="N29" s="1242"/>
      <c r="O29" s="491"/>
      <c r="P29" s="491"/>
      <c r="Q29" s="452"/>
      <c r="R29" s="1239"/>
      <c r="S29" s="1238"/>
      <c r="T29" s="1240"/>
      <c r="U29" s="1239"/>
      <c r="V29" s="1238"/>
      <c r="W29" s="1240"/>
      <c r="X29" s="1241"/>
      <c r="Y29" s="1241"/>
      <c r="Z29" s="1242"/>
      <c r="AA29" s="186"/>
      <c r="AB29" s="186"/>
      <c r="AC29" s="186"/>
      <c r="AD29" s="1140"/>
      <c r="AF29" s="255">
        <f>IF(+J27+J31-J34=0,0,1)</f>
        <v>0</v>
      </c>
    </row>
    <row r="30" spans="1:35" ht="16.5" thickBot="1" x14ac:dyDescent="0.25">
      <c r="A30" s="1097"/>
      <c r="B30" s="2"/>
      <c r="C30" s="10"/>
      <c r="D30" s="10"/>
      <c r="E30" s="19"/>
      <c r="F30" s="215"/>
      <c r="G30" s="78"/>
      <c r="H30" s="1141"/>
      <c r="I30" s="19"/>
      <c r="J30" s="78"/>
      <c r="K30" s="1141"/>
      <c r="L30" s="181"/>
      <c r="M30" s="181"/>
      <c r="N30" s="216"/>
      <c r="O30" s="491"/>
      <c r="P30" s="491"/>
      <c r="Q30" s="452"/>
      <c r="R30" s="215"/>
      <c r="S30" s="78"/>
      <c r="T30" s="1141"/>
      <c r="U30" s="19"/>
      <c r="V30" s="78"/>
      <c r="W30" s="1141"/>
      <c r="X30" s="181"/>
      <c r="Y30" s="181"/>
      <c r="Z30" s="216"/>
      <c r="AA30" s="186"/>
      <c r="AB30" s="186"/>
      <c r="AC30" s="186"/>
      <c r="AD30" s="1140"/>
      <c r="AF30" s="255">
        <f>IF(+S27+S31-S34=0,0,1)</f>
        <v>0</v>
      </c>
    </row>
    <row r="31" spans="1:35" ht="16.5" thickBot="1" x14ac:dyDescent="0.25">
      <c r="A31" s="15"/>
      <c r="B31" s="2"/>
      <c r="C31" s="1644" t="s">
        <v>3355</v>
      </c>
      <c r="D31" s="1644"/>
      <c r="E31" s="19"/>
      <c r="F31" s="215"/>
      <c r="G31" s="1077">
        <v>0</v>
      </c>
      <c r="H31" s="79"/>
      <c r="I31" s="19"/>
      <c r="J31" s="1077">
        <v>0</v>
      </c>
      <c r="K31" s="79"/>
      <c r="L31" s="181"/>
      <c r="M31" s="181"/>
      <c r="N31" s="216"/>
      <c r="O31" s="491"/>
      <c r="P31" s="491"/>
      <c r="Q31" s="452"/>
      <c r="R31" s="215"/>
      <c r="S31" s="1077">
        <v>0</v>
      </c>
      <c r="T31" s="79"/>
      <c r="U31" s="19"/>
      <c r="V31" s="1077">
        <v>0</v>
      </c>
      <c r="W31" s="79"/>
      <c r="X31" s="181"/>
      <c r="Y31" s="181"/>
      <c r="Z31" s="216"/>
      <c r="AA31" s="186"/>
      <c r="AB31" s="1079">
        <f>G31+J31+S31+V31</f>
        <v>0</v>
      </c>
      <c r="AC31" s="186"/>
      <c r="AD31" s="71"/>
      <c r="AF31" s="255">
        <f>IF(+V27+V31-V34=0,0,1)</f>
        <v>0</v>
      </c>
      <c r="AI31" s="241"/>
    </row>
    <row r="32" spans="1:35" ht="15.75" x14ac:dyDescent="0.2">
      <c r="A32" s="15"/>
      <c r="B32" s="2"/>
      <c r="C32" s="1644"/>
      <c r="D32" s="1644"/>
      <c r="E32" s="19"/>
      <c r="F32" s="215"/>
      <c r="G32" s="78"/>
      <c r="H32" s="79"/>
      <c r="I32" s="19"/>
      <c r="J32" s="78"/>
      <c r="K32" s="79"/>
      <c r="L32" s="181"/>
      <c r="M32" s="182"/>
      <c r="N32" s="216"/>
      <c r="O32" s="491"/>
      <c r="P32" s="491"/>
      <c r="Q32" s="452"/>
      <c r="R32" s="215"/>
      <c r="S32" s="78"/>
      <c r="T32" s="79"/>
      <c r="U32" s="19"/>
      <c r="V32" s="78"/>
      <c r="W32" s="79"/>
      <c r="X32" s="181"/>
      <c r="Y32" s="182"/>
      <c r="Z32" s="216"/>
      <c r="AA32" s="186"/>
      <c r="AB32" s="186"/>
      <c r="AC32" s="186"/>
      <c r="AD32" s="71"/>
      <c r="AF32" s="263">
        <f>IF(+G31+J31+S31+V31-AB31=0,0,1)</f>
        <v>0</v>
      </c>
    </row>
    <row r="33" spans="1:42" ht="16.5" thickBot="1" x14ac:dyDescent="0.25">
      <c r="A33" s="15"/>
      <c r="B33" s="2"/>
      <c r="C33" s="10"/>
      <c r="D33" s="10"/>
      <c r="E33" s="19"/>
      <c r="F33" s="215"/>
      <c r="G33" s="78"/>
      <c r="H33" s="79"/>
      <c r="I33" s="19"/>
      <c r="J33" s="78"/>
      <c r="K33" s="79"/>
      <c r="L33" s="181"/>
      <c r="M33" s="182"/>
      <c r="N33" s="216"/>
      <c r="O33" s="491"/>
      <c r="P33" s="491"/>
      <c r="Q33" s="452"/>
      <c r="R33" s="215"/>
      <c r="S33" s="78"/>
      <c r="T33" s="79"/>
      <c r="U33" s="19"/>
      <c r="V33" s="78"/>
      <c r="W33" s="79"/>
      <c r="X33" s="181"/>
      <c r="Y33" s="182"/>
      <c r="Z33" s="216"/>
      <c r="AA33" s="186"/>
      <c r="AB33" s="186"/>
      <c r="AC33" s="186"/>
      <c r="AD33" s="71"/>
      <c r="AF33" s="256"/>
    </row>
    <row r="34" spans="1:42" ht="16.5" thickBot="1" x14ac:dyDescent="0.25">
      <c r="A34" s="15"/>
      <c r="B34" s="2"/>
      <c r="C34" s="1647" t="s">
        <v>2826</v>
      </c>
      <c r="D34" s="1647"/>
      <c r="E34" s="19"/>
      <c r="F34" s="215"/>
      <c r="G34" s="1078">
        <f>+G27+G31</f>
        <v>0</v>
      </c>
      <c r="H34" s="79"/>
      <c r="I34" s="19"/>
      <c r="J34" s="1078">
        <f>+J27+J31</f>
        <v>0</v>
      </c>
      <c r="K34" s="79"/>
      <c r="L34" s="181"/>
      <c r="M34" s="1079">
        <f>+G34+J34</f>
        <v>0</v>
      </c>
      <c r="N34" s="216"/>
      <c r="O34" s="491"/>
      <c r="P34" s="491"/>
      <c r="Q34" s="452"/>
      <c r="R34" s="215"/>
      <c r="S34" s="1078">
        <f>+S27+S31</f>
        <v>0</v>
      </c>
      <c r="T34" s="79"/>
      <c r="U34" s="19"/>
      <c r="V34" s="1078">
        <f>+V27+V31</f>
        <v>0</v>
      </c>
      <c r="W34" s="79"/>
      <c r="X34" s="181"/>
      <c r="Y34" s="1079">
        <f>+S34+V34</f>
        <v>0</v>
      </c>
      <c r="Z34" s="216"/>
      <c r="AA34" s="186"/>
      <c r="AB34" s="1079">
        <f>Y34+M34</f>
        <v>0</v>
      </c>
      <c r="AC34" s="186"/>
      <c r="AD34" s="71"/>
      <c r="AF34" s="255">
        <f>IF(+G34+J34+S34+V34-AB34=0,0,1)</f>
        <v>0</v>
      </c>
      <c r="AH34" s="142"/>
      <c r="AI34" s="241"/>
    </row>
    <row r="35" spans="1:42" ht="16.5" thickBot="1" x14ac:dyDescent="0.25">
      <c r="A35" s="15"/>
      <c r="B35" s="6"/>
      <c r="C35" s="19"/>
      <c r="D35" s="19"/>
      <c r="E35" s="19"/>
      <c r="F35" s="217"/>
      <c r="G35" s="218"/>
      <c r="H35" s="219"/>
      <c r="I35" s="218"/>
      <c r="J35" s="218"/>
      <c r="K35" s="219"/>
      <c r="L35" s="220"/>
      <c r="M35" s="221"/>
      <c r="N35" s="222"/>
      <c r="O35" s="452"/>
      <c r="P35" s="452"/>
      <c r="Q35" s="452"/>
      <c r="R35" s="217"/>
      <c r="S35" s="218"/>
      <c r="T35" s="219"/>
      <c r="U35" s="218"/>
      <c r="V35" s="218"/>
      <c r="W35" s="219"/>
      <c r="X35" s="220"/>
      <c r="Y35" s="221"/>
      <c r="Z35" s="222"/>
      <c r="AA35" s="186"/>
      <c r="AB35" s="186"/>
      <c r="AC35" s="186"/>
      <c r="AD35" s="71"/>
      <c r="AF35" s="256"/>
    </row>
    <row r="36" spans="1:42" ht="15.75" x14ac:dyDescent="0.2">
      <c r="A36" s="15"/>
      <c r="B36" s="6"/>
      <c r="C36" s="19"/>
      <c r="D36" s="19"/>
      <c r="E36" s="19"/>
      <c r="F36" s="19"/>
      <c r="G36" s="78"/>
      <c r="H36" s="77"/>
      <c r="I36" s="78"/>
      <c r="J36" s="78"/>
      <c r="K36" s="77"/>
      <c r="L36" s="181"/>
      <c r="M36" s="182"/>
      <c r="N36" s="186"/>
      <c r="O36" s="452"/>
      <c r="P36" s="452"/>
      <c r="Q36" s="452"/>
      <c r="R36" s="19"/>
      <c r="S36" s="78"/>
      <c r="T36" s="77"/>
      <c r="U36" s="78"/>
      <c r="V36" s="78"/>
      <c r="W36" s="77"/>
      <c r="X36" s="181"/>
      <c r="Y36" s="182"/>
      <c r="Z36" s="186"/>
      <c r="AA36" s="186"/>
      <c r="AB36" s="186"/>
      <c r="AC36" s="186"/>
      <c r="AD36" s="1140"/>
      <c r="AF36" s="256"/>
    </row>
    <row r="37" spans="1:42" ht="15.75" x14ac:dyDescent="0.2">
      <c r="A37" s="15"/>
      <c r="B37" s="6"/>
      <c r="C37" s="19"/>
      <c r="D37" s="19"/>
      <c r="E37" s="19"/>
      <c r="F37" s="19"/>
      <c r="G37" s="78"/>
      <c r="H37" s="77"/>
      <c r="I37" s="78"/>
      <c r="J37" s="78"/>
      <c r="K37" s="77"/>
      <c r="L37" s="181"/>
      <c r="M37" s="182"/>
      <c r="N37" s="186"/>
      <c r="O37" s="452"/>
      <c r="P37" s="452"/>
      <c r="Q37" s="452"/>
      <c r="R37" s="19"/>
      <c r="S37" s="78"/>
      <c r="T37" s="77"/>
      <c r="U37" s="78"/>
      <c r="V37" s="78"/>
      <c r="W37" s="77"/>
      <c r="X37" s="181"/>
      <c r="Y37" s="182"/>
      <c r="Z37" s="186"/>
      <c r="AA37" s="186"/>
      <c r="AB37" s="186"/>
      <c r="AC37" s="186"/>
      <c r="AD37" s="1140"/>
      <c r="AF37" s="256"/>
    </row>
    <row r="38" spans="1:42" ht="15.75" x14ac:dyDescent="0.2">
      <c r="A38" s="1097"/>
      <c r="B38" s="2"/>
      <c r="C38" s="1172" t="e">
        <f>+IF(AND('Part 1'!O253="Yes",$J$7="Yes - able to provide disaggregated data"),"You should complete columns 1, 2, 4 &amp; 5",IF(AND('Part 1'!O253="No",$J$7="Yes - able to provide disaggregated data"),"You should complete columns 1 &amp; 4 only",IF(AND('Part 1'!O253="No",$J$7="No - unable to provide disaggregated data"),"You should complete columns 1 only",IF(AND('Part 1'!O253="Yes",$J$7="No - unable to provide disaggregated data"),"You should complete columns 1 &amp;2"))))</f>
        <v>#N/A</v>
      </c>
      <c r="D38" s="10"/>
      <c r="E38" s="19"/>
      <c r="F38" s="19"/>
      <c r="G38" s="1243" t="s">
        <v>695</v>
      </c>
      <c r="H38" s="1243"/>
      <c r="I38" s="1243"/>
      <c r="J38" s="1243" t="s">
        <v>696</v>
      </c>
      <c r="K38" s="1243"/>
      <c r="L38" s="330"/>
      <c r="M38" s="330" t="s">
        <v>697</v>
      </c>
      <c r="N38" s="186"/>
      <c r="O38" s="452"/>
      <c r="P38" s="452"/>
      <c r="Q38" s="452"/>
      <c r="R38" s="19"/>
      <c r="S38" s="1244" t="s">
        <v>698</v>
      </c>
      <c r="T38" s="1243"/>
      <c r="U38" s="1243"/>
      <c r="V38" s="1244" t="s">
        <v>715</v>
      </c>
      <c r="W38" s="1243"/>
      <c r="X38" s="1245"/>
      <c r="Y38" s="1246" t="s">
        <v>2896</v>
      </c>
      <c r="Z38" s="186"/>
      <c r="AA38" s="186"/>
      <c r="AB38" s="1190" t="s">
        <v>2894</v>
      </c>
      <c r="AC38" s="186"/>
      <c r="AD38" s="1140"/>
      <c r="AF38" s="256"/>
    </row>
    <row r="39" spans="1:42" ht="30.75" customHeight="1" x14ac:dyDescent="0.25">
      <c r="A39" s="1097"/>
      <c r="B39" s="2"/>
      <c r="C39" s="10"/>
      <c r="D39" s="10"/>
      <c r="E39" s="19"/>
      <c r="F39" s="19"/>
      <c r="G39" s="1263" t="str">
        <f>IF($J$7="No - unable to provide disaggregated data","Enter data for all hereditaments in these columns","Hereditaments using the small multiplier")</f>
        <v>Hereditaments using the small multiplier</v>
      </c>
      <c r="H39" s="1201"/>
      <c r="I39" s="1201"/>
      <c r="J39" s="1201"/>
      <c r="K39" s="1201"/>
      <c r="L39" s="1202"/>
      <c r="M39" s="1202"/>
      <c r="N39" s="186"/>
      <c r="O39" s="452"/>
      <c r="P39" s="452"/>
      <c r="Q39" s="452"/>
      <c r="R39" s="19"/>
      <c r="S39" s="1247" t="str">
        <f>IF($J$7="No - unable to provide disaggregated data","Do not enter any data into these columns","Hereditaments using the standard multiplier")</f>
        <v>Hereditaments using the standard multiplier</v>
      </c>
      <c r="T39" s="1189"/>
      <c r="U39" s="1189"/>
      <c r="V39" s="1189"/>
      <c r="W39" s="1189"/>
      <c r="X39" s="1192"/>
      <c r="Y39" s="1192"/>
      <c r="Z39" s="186"/>
      <c r="AA39" s="186"/>
      <c r="AB39" s="1191"/>
      <c r="AC39" s="186"/>
      <c r="AD39" s="1140"/>
      <c r="AF39" s="256"/>
    </row>
    <row r="40" spans="1:42" ht="47.25" x14ac:dyDescent="0.25">
      <c r="A40" s="1097"/>
      <c r="B40" s="2"/>
      <c r="C40" s="10"/>
      <c r="D40" s="10"/>
      <c r="E40" s="19"/>
      <c r="F40" s="19"/>
      <c r="G40" s="1137" t="s">
        <v>2892</v>
      </c>
      <c r="H40" s="321"/>
      <c r="I40" s="76"/>
      <c r="J40" s="413" t="s">
        <v>839</v>
      </c>
      <c r="K40" s="76"/>
      <c r="L40" s="181"/>
      <c r="M40" s="1194" t="s">
        <v>26</v>
      </c>
      <c r="N40" s="186"/>
      <c r="O40" s="452"/>
      <c r="P40" s="452"/>
      <c r="Q40" s="452"/>
      <c r="R40" s="19"/>
      <c r="S40" s="413" t="s">
        <v>837</v>
      </c>
      <c r="T40" s="321"/>
      <c r="U40" s="76"/>
      <c r="V40" s="413" t="s">
        <v>839</v>
      </c>
      <c r="W40" s="76"/>
      <c r="X40" s="1193"/>
      <c r="Y40" s="1194" t="s">
        <v>26</v>
      </c>
      <c r="Z40" s="186"/>
      <c r="AA40" s="186"/>
      <c r="AB40" s="1194" t="s">
        <v>2895</v>
      </c>
      <c r="AC40" s="186"/>
      <c r="AD40" s="1140"/>
      <c r="AF40" s="256"/>
    </row>
    <row r="41" spans="1:42" ht="45.75" thickBot="1" x14ac:dyDescent="0.3">
      <c r="A41" s="1097"/>
      <c r="B41" s="2"/>
      <c r="C41" s="482" t="s">
        <v>3396</v>
      </c>
      <c r="D41" s="10"/>
      <c r="E41" s="19"/>
      <c r="F41" s="19"/>
      <c r="G41" s="1138" t="s">
        <v>843</v>
      </c>
      <c r="H41" s="1195"/>
      <c r="I41" s="1196"/>
      <c r="J41" s="1138" t="e">
        <f>+IF('Part 1'!$O$253="Yes", "Complete this column","Do not complete this column")</f>
        <v>#N/A</v>
      </c>
      <c r="K41" s="1196"/>
      <c r="L41" s="1197"/>
      <c r="M41" s="1198" t="s">
        <v>844</v>
      </c>
      <c r="N41" s="186"/>
      <c r="O41" s="452"/>
      <c r="P41" s="452"/>
      <c r="Q41" s="452"/>
      <c r="R41" s="19"/>
      <c r="S41" s="1138" t="str">
        <f>IF($J$7="No - unable to provide disaggregated data","Do not complete this column","Complete this column")</f>
        <v>Complete this column</v>
      </c>
      <c r="T41" s="1195"/>
      <c r="U41" s="1196"/>
      <c r="V41" s="1138" t="e">
        <f>IF($J$7="No - unable to provide disaggregated data","Do not complete this column",IF('Part 1'!$O$253="Yes", "Complete this column","Do not complete this column"))</f>
        <v>#N/A</v>
      </c>
      <c r="W41" s="1196"/>
      <c r="X41" s="1199"/>
      <c r="Y41" s="1198" t="s">
        <v>844</v>
      </c>
      <c r="Z41" s="186"/>
      <c r="AA41" s="186"/>
      <c r="AB41" s="1198" t="s">
        <v>844</v>
      </c>
      <c r="AC41" s="186"/>
      <c r="AD41" s="1140"/>
      <c r="AF41" s="256"/>
    </row>
    <row r="42" spans="1:42" ht="16.5" customHeight="1" thickBot="1" x14ac:dyDescent="0.25">
      <c r="A42" s="644"/>
      <c r="B42" s="354"/>
      <c r="C42" s="1706" t="s">
        <v>889</v>
      </c>
      <c r="D42" s="1706"/>
      <c r="E42" s="452"/>
      <c r="F42" s="452"/>
      <c r="G42" s="1082">
        <v>0</v>
      </c>
      <c r="H42" s="645"/>
      <c r="I42" s="452"/>
      <c r="J42" s="1082">
        <v>0</v>
      </c>
      <c r="K42" s="452"/>
      <c r="L42" s="979"/>
      <c r="M42" s="1080">
        <f>+G42+J42</f>
        <v>0</v>
      </c>
      <c r="N42" s="981"/>
      <c r="O42" s="354"/>
      <c r="P42" s="354"/>
      <c r="Q42" s="452"/>
      <c r="R42" s="452"/>
      <c r="S42" s="1082">
        <v>0</v>
      </c>
      <c r="T42" s="645"/>
      <c r="U42" s="452"/>
      <c r="V42" s="1082">
        <v>0</v>
      </c>
      <c r="W42" s="452"/>
      <c r="X42" s="979"/>
      <c r="Y42" s="1080">
        <f>+S42+V42</f>
        <v>0</v>
      </c>
      <c r="Z42" s="981"/>
      <c r="AA42" s="981"/>
      <c r="AB42" s="1079">
        <f>Y42+M42</f>
        <v>0</v>
      </c>
      <c r="AC42" s="981"/>
      <c r="AD42" s="71"/>
      <c r="AF42" s="255">
        <f>IF(+G42+J42+S42+V42-AB42=0,0,1)</f>
        <v>0</v>
      </c>
      <c r="AH42" s="142"/>
      <c r="AI42" s="241"/>
    </row>
    <row r="43" spans="1:42" ht="15.75" customHeight="1" x14ac:dyDescent="0.2">
      <c r="A43" s="644"/>
      <c r="B43" s="354"/>
      <c r="C43" s="1706"/>
      <c r="D43" s="1706"/>
      <c r="E43" s="452"/>
      <c r="F43" s="452"/>
      <c r="G43" s="452"/>
      <c r="H43" s="452"/>
      <c r="I43" s="452"/>
      <c r="J43" s="452"/>
      <c r="K43" s="452"/>
      <c r="L43" s="979"/>
      <c r="M43" s="980"/>
      <c r="N43" s="981"/>
      <c r="O43" s="354"/>
      <c r="P43" s="354"/>
      <c r="Q43" s="452"/>
      <c r="R43" s="452"/>
      <c r="S43" s="452"/>
      <c r="T43" s="452"/>
      <c r="U43" s="452"/>
      <c r="V43" s="452"/>
      <c r="W43" s="452"/>
      <c r="X43" s="979"/>
      <c r="Y43" s="980"/>
      <c r="Z43" s="981"/>
      <c r="AA43" s="981"/>
      <c r="AB43" s="981"/>
      <c r="AC43" s="981"/>
      <c r="AD43" s="71"/>
      <c r="AF43" s="256"/>
      <c r="AI43" s="241"/>
    </row>
    <row r="44" spans="1:42" ht="15.75" customHeight="1" x14ac:dyDescent="0.2">
      <c r="A44" s="644"/>
      <c r="B44" s="354"/>
      <c r="C44" s="974"/>
      <c r="D44" s="974"/>
      <c r="E44" s="452"/>
      <c r="F44" s="452"/>
      <c r="G44" s="645"/>
      <c r="H44" s="645"/>
      <c r="I44" s="645"/>
      <c r="J44" s="645"/>
      <c r="K44" s="645"/>
      <c r="L44" s="979"/>
      <c r="M44" s="979"/>
      <c r="N44" s="981"/>
      <c r="O44" s="974"/>
      <c r="P44" s="974"/>
      <c r="Q44" s="452"/>
      <c r="R44" s="452"/>
      <c r="S44" s="645"/>
      <c r="T44" s="645"/>
      <c r="U44" s="645"/>
      <c r="V44" s="645"/>
      <c r="W44" s="645"/>
      <c r="X44" s="979"/>
      <c r="Y44" s="979"/>
      <c r="Z44" s="981"/>
      <c r="AA44" s="981"/>
      <c r="AB44" s="981"/>
      <c r="AC44" s="981"/>
      <c r="AD44" s="71"/>
      <c r="AF44" s="256"/>
      <c r="AJ44" s="1722"/>
      <c r="AK44" s="1722"/>
      <c r="AL44" s="1722"/>
      <c r="AM44" s="1722"/>
      <c r="AN44" s="1722"/>
      <c r="AO44" s="1722"/>
      <c r="AP44" s="1722"/>
    </row>
    <row r="45" spans="1:42" ht="15.75" customHeight="1" thickBot="1" x14ac:dyDescent="0.25">
      <c r="A45" s="644"/>
      <c r="B45" s="354"/>
      <c r="C45" s="973"/>
      <c r="D45" s="973"/>
      <c r="E45" s="452"/>
      <c r="F45" s="452"/>
      <c r="G45" s="645"/>
      <c r="H45" s="645"/>
      <c r="I45" s="645"/>
      <c r="J45" s="645"/>
      <c r="K45" s="645"/>
      <c r="L45" s="979"/>
      <c r="M45" s="979"/>
      <c r="N45" s="981"/>
      <c r="O45" s="973"/>
      <c r="P45" s="973"/>
      <c r="Q45" s="452"/>
      <c r="R45" s="452"/>
      <c r="S45" s="645"/>
      <c r="T45" s="645"/>
      <c r="U45" s="645"/>
      <c r="V45" s="645"/>
      <c r="W45" s="645"/>
      <c r="X45" s="979"/>
      <c r="Y45" s="979"/>
      <c r="Z45" s="981"/>
      <c r="AA45" s="981"/>
      <c r="AB45" s="981"/>
      <c r="AC45" s="981"/>
      <c r="AD45" s="71"/>
      <c r="AF45" s="256"/>
      <c r="AJ45" s="1722"/>
      <c r="AK45" s="1722"/>
      <c r="AL45" s="1722"/>
      <c r="AM45" s="1722"/>
      <c r="AN45" s="1722"/>
      <c r="AO45" s="1722"/>
      <c r="AP45" s="1722"/>
    </row>
    <row r="46" spans="1:42" ht="16.5" customHeight="1" thickBot="1" x14ac:dyDescent="0.25">
      <c r="A46" s="644"/>
      <c r="B46" s="354"/>
      <c r="C46" s="1701" t="s">
        <v>2782</v>
      </c>
      <c r="D46" s="1701"/>
      <c r="E46" s="452"/>
      <c r="F46" s="452"/>
      <c r="G46" s="1082">
        <v>0</v>
      </c>
      <c r="H46" s="645"/>
      <c r="I46" s="452"/>
      <c r="J46" s="1082">
        <v>0</v>
      </c>
      <c r="K46" s="645"/>
      <c r="L46" s="979"/>
      <c r="M46" s="979"/>
      <c r="N46" s="981"/>
      <c r="O46" s="354"/>
      <c r="P46" s="354"/>
      <c r="Q46" s="452"/>
      <c r="R46" s="452"/>
      <c r="S46" s="1082">
        <v>0</v>
      </c>
      <c r="T46" s="645"/>
      <c r="U46" s="452"/>
      <c r="V46" s="1082">
        <v>0</v>
      </c>
      <c r="W46" s="645"/>
      <c r="X46" s="979"/>
      <c r="Y46" s="979"/>
      <c r="Z46" s="981"/>
      <c r="AA46" s="981"/>
      <c r="AB46" s="981"/>
      <c r="AC46" s="981"/>
      <c r="AD46" s="71"/>
      <c r="AF46" s="255"/>
      <c r="AI46" s="241"/>
    </row>
    <row r="47" spans="1:42" ht="15.75" customHeight="1" x14ac:dyDescent="0.2">
      <c r="A47" s="644"/>
      <c r="B47" s="354"/>
      <c r="C47" s="1701"/>
      <c r="D47" s="1701"/>
      <c r="E47" s="452"/>
      <c r="F47" s="452"/>
      <c r="G47" s="483"/>
      <c r="H47" s="645"/>
      <c r="I47" s="452"/>
      <c r="J47" s="483"/>
      <c r="K47" s="645"/>
      <c r="L47" s="979"/>
      <c r="M47" s="980"/>
      <c r="N47" s="981"/>
      <c r="O47" s="354"/>
      <c r="P47" s="354"/>
      <c r="Q47" s="452"/>
      <c r="R47" s="452"/>
      <c r="S47" s="483"/>
      <c r="T47" s="645"/>
      <c r="U47" s="452"/>
      <c r="V47" s="483"/>
      <c r="W47" s="645"/>
      <c r="X47" s="979"/>
      <c r="Y47" s="980"/>
      <c r="Z47" s="981"/>
      <c r="AA47" s="981"/>
      <c r="AB47" s="981"/>
      <c r="AC47" s="981"/>
      <c r="AD47" s="71"/>
      <c r="AF47" s="256"/>
    </row>
    <row r="48" spans="1:42" ht="16.5" thickBot="1" x14ac:dyDescent="0.25">
      <c r="A48" s="644"/>
      <c r="B48" s="354"/>
      <c r="C48" s="452"/>
      <c r="D48" s="452"/>
      <c r="E48" s="452"/>
      <c r="F48" s="452"/>
      <c r="G48" s="483"/>
      <c r="H48" s="645"/>
      <c r="I48" s="645"/>
      <c r="J48" s="645"/>
      <c r="K48" s="645"/>
      <c r="L48" s="979"/>
      <c r="M48" s="980"/>
      <c r="N48" s="981"/>
      <c r="O48" s="452"/>
      <c r="P48" s="452"/>
      <c r="Q48" s="452"/>
      <c r="R48" s="452"/>
      <c r="S48" s="483"/>
      <c r="T48" s="645"/>
      <c r="U48" s="645"/>
      <c r="V48" s="645"/>
      <c r="W48" s="645"/>
      <c r="X48" s="986"/>
      <c r="Y48" s="980"/>
      <c r="Z48" s="981"/>
      <c r="AA48" s="981"/>
      <c r="AB48" s="981"/>
      <c r="AC48" s="981"/>
      <c r="AD48" s="71"/>
      <c r="AF48" s="256"/>
    </row>
    <row r="49" spans="1:35" ht="15.75" x14ac:dyDescent="0.2">
      <c r="A49" s="644"/>
      <c r="B49" s="895"/>
      <c r="C49" s="892"/>
      <c r="D49" s="892"/>
      <c r="E49" s="892"/>
      <c r="F49" s="892"/>
      <c r="G49" s="975"/>
      <c r="H49" s="891"/>
      <c r="I49" s="891"/>
      <c r="J49" s="891"/>
      <c r="K49" s="891"/>
      <c r="L49" s="982"/>
      <c r="M49" s="983"/>
      <c r="N49" s="984"/>
      <c r="O49" s="892"/>
      <c r="P49" s="892"/>
      <c r="Q49" s="892"/>
      <c r="R49" s="892"/>
      <c r="S49" s="975"/>
      <c r="T49" s="891"/>
      <c r="U49" s="891"/>
      <c r="V49" s="891"/>
      <c r="W49" s="891"/>
      <c r="X49" s="982"/>
      <c r="Y49" s="983"/>
      <c r="Z49" s="984"/>
      <c r="AA49" s="981"/>
      <c r="AB49" s="981"/>
      <c r="AC49" s="981"/>
      <c r="AD49" s="71"/>
      <c r="AF49" s="256"/>
    </row>
    <row r="50" spans="1:35" ht="16.5" thickBot="1" x14ac:dyDescent="0.3">
      <c r="A50" s="644"/>
      <c r="B50" s="896"/>
      <c r="C50" s="482" t="s">
        <v>3398</v>
      </c>
      <c r="D50" s="976"/>
      <c r="E50" s="452"/>
      <c r="F50" s="452"/>
      <c r="G50" s="483"/>
      <c r="H50" s="645"/>
      <c r="I50" s="645"/>
      <c r="J50" s="645"/>
      <c r="K50" s="645"/>
      <c r="L50" s="979"/>
      <c r="M50" s="980"/>
      <c r="N50" s="985"/>
      <c r="O50" s="976"/>
      <c r="P50" s="976"/>
      <c r="Q50" s="452"/>
      <c r="R50" s="452"/>
      <c r="S50" s="483"/>
      <c r="T50" s="645"/>
      <c r="U50" s="645"/>
      <c r="V50" s="645"/>
      <c r="W50" s="645"/>
      <c r="X50" s="979"/>
      <c r="Y50" s="980"/>
      <c r="Z50" s="985"/>
      <c r="AA50" s="981"/>
      <c r="AB50" s="981"/>
      <c r="AC50" s="981"/>
      <c r="AD50" s="71"/>
      <c r="AF50" s="256"/>
    </row>
    <row r="51" spans="1:35" ht="16.5" thickBot="1" x14ac:dyDescent="0.25">
      <c r="A51" s="644"/>
      <c r="B51" s="896"/>
      <c r="C51" s="491" t="s">
        <v>3243</v>
      </c>
      <c r="D51" s="976"/>
      <c r="E51" s="452"/>
      <c r="F51" s="452"/>
      <c r="G51" s="1081">
        <f>(G42+G46)*-1</f>
        <v>0</v>
      </c>
      <c r="H51" s="645"/>
      <c r="I51" s="645"/>
      <c r="J51" s="1081">
        <f>(J42+J46)*-1</f>
        <v>0</v>
      </c>
      <c r="K51" s="645"/>
      <c r="L51" s="979"/>
      <c r="M51" s="1080">
        <f>+G51+J51</f>
        <v>0</v>
      </c>
      <c r="N51" s="985"/>
      <c r="O51" s="976"/>
      <c r="P51" s="976"/>
      <c r="Q51" s="452"/>
      <c r="R51" s="452"/>
      <c r="S51" s="1081">
        <f>(S42+S46)*-1</f>
        <v>0</v>
      </c>
      <c r="T51" s="645"/>
      <c r="U51" s="645"/>
      <c r="V51" s="1081">
        <f>(V42+V46)*-1</f>
        <v>0</v>
      </c>
      <c r="W51" s="645"/>
      <c r="X51" s="979"/>
      <c r="Y51" s="1080">
        <f>+S51+V51</f>
        <v>0</v>
      </c>
      <c r="Z51" s="985"/>
      <c r="AA51" s="981"/>
      <c r="AB51" s="1079">
        <f>Y51+M51</f>
        <v>0</v>
      </c>
      <c r="AC51" s="981"/>
      <c r="AD51" s="71"/>
      <c r="AF51" s="255">
        <f>IF(+G51+J51+S51+V51-AB51=0,0,1)</f>
        <v>0</v>
      </c>
      <c r="AH51" s="142"/>
      <c r="AI51" s="241"/>
    </row>
    <row r="52" spans="1:35" ht="16.5" thickBot="1" x14ac:dyDescent="0.3">
      <c r="A52" s="644"/>
      <c r="B52" s="897"/>
      <c r="C52" s="1279"/>
      <c r="D52" s="536"/>
      <c r="E52" s="536"/>
      <c r="F52" s="536"/>
      <c r="G52" s="1279" t="str">
        <f>IF(J51+V51='Part 3 DA summary'!Q6,"","Not equal to Part 3 DA Summary column 7")</f>
        <v/>
      </c>
      <c r="H52" s="978"/>
      <c r="I52" s="978"/>
      <c r="J52" s="978"/>
      <c r="K52" s="978"/>
      <c r="L52" s="986"/>
      <c r="M52" s="987"/>
      <c r="N52" s="988"/>
      <c r="O52" s="536"/>
      <c r="P52" s="536"/>
      <c r="Q52" s="536"/>
      <c r="R52" s="536"/>
      <c r="S52" s="977"/>
      <c r="T52" s="978"/>
      <c r="U52" s="978"/>
      <c r="V52" s="978"/>
      <c r="W52" s="978"/>
      <c r="X52" s="986"/>
      <c r="Y52" s="987"/>
      <c r="Z52" s="988"/>
      <c r="AA52" s="981"/>
      <c r="AB52" s="981"/>
      <c r="AC52" s="981"/>
      <c r="AD52" s="71"/>
      <c r="AF52" s="256"/>
    </row>
    <row r="53" spans="1:35" x14ac:dyDescent="0.2">
      <c r="A53" s="15"/>
      <c r="B53" s="2"/>
      <c r="C53" s="2"/>
      <c r="D53" s="2"/>
      <c r="E53" s="2"/>
      <c r="F53" s="2"/>
      <c r="G53" s="2"/>
      <c r="H53" s="2"/>
      <c r="I53" s="19"/>
      <c r="J53" s="2"/>
      <c r="K53" s="2"/>
      <c r="L53" s="186"/>
      <c r="M53" s="186"/>
      <c r="N53" s="186"/>
      <c r="O53" s="354"/>
      <c r="P53" s="354"/>
      <c r="Q53" s="354"/>
      <c r="R53" s="2"/>
      <c r="S53" s="2"/>
      <c r="T53" s="2"/>
      <c r="U53" s="19"/>
      <c r="V53" s="2"/>
      <c r="W53" s="2"/>
      <c r="X53" s="186"/>
      <c r="Y53" s="186"/>
      <c r="Z53" s="186"/>
      <c r="AA53" s="186"/>
      <c r="AB53" s="186"/>
      <c r="AC53" s="186"/>
      <c r="AD53" s="71"/>
      <c r="AF53" s="256"/>
    </row>
    <row r="54" spans="1:35" ht="15.75" customHeight="1" x14ac:dyDescent="0.25">
      <c r="A54" s="88"/>
      <c r="B54" s="77"/>
      <c r="C54" s="12" t="s">
        <v>3397</v>
      </c>
      <c r="D54" s="12"/>
      <c r="E54" s="12"/>
      <c r="F54" s="77"/>
      <c r="G54" s="77"/>
      <c r="H54" s="77"/>
      <c r="I54" s="19"/>
      <c r="J54" s="77"/>
      <c r="K54" s="77"/>
      <c r="L54" s="181"/>
      <c r="M54" s="181"/>
      <c r="N54" s="186"/>
      <c r="O54" s="482"/>
      <c r="P54" s="482"/>
      <c r="Q54" s="482"/>
      <c r="R54" s="77"/>
      <c r="S54" s="77"/>
      <c r="T54" s="77"/>
      <c r="U54" s="19"/>
      <c r="V54" s="77"/>
      <c r="W54" s="77"/>
      <c r="X54" s="181"/>
      <c r="Y54" s="181"/>
      <c r="Z54" s="186"/>
      <c r="AA54" s="186"/>
      <c r="AB54" s="186"/>
      <c r="AC54" s="186"/>
      <c r="AD54" s="71"/>
      <c r="AF54" s="256"/>
    </row>
    <row r="55" spans="1:35" x14ac:dyDescent="0.2">
      <c r="A55" s="15"/>
      <c r="B55" s="2"/>
      <c r="C55" s="10"/>
      <c r="D55" s="19"/>
      <c r="E55" s="19"/>
      <c r="F55" s="19"/>
      <c r="G55" s="77"/>
      <c r="H55" s="77"/>
      <c r="I55" s="19"/>
      <c r="J55" s="77"/>
      <c r="K55" s="77"/>
      <c r="L55" s="181"/>
      <c r="M55" s="181"/>
      <c r="N55" s="186"/>
      <c r="O55" s="452"/>
      <c r="P55" s="452"/>
      <c r="Q55" s="452"/>
      <c r="R55" s="19"/>
      <c r="S55" s="77"/>
      <c r="T55" s="77"/>
      <c r="U55" s="19"/>
      <c r="V55" s="77"/>
      <c r="W55" s="77"/>
      <c r="X55" s="181"/>
      <c r="Y55" s="181"/>
      <c r="Z55" s="186"/>
      <c r="AA55" s="186"/>
      <c r="AB55" s="186"/>
      <c r="AC55" s="186"/>
      <c r="AD55" s="71"/>
      <c r="AF55" s="256"/>
    </row>
    <row r="56" spans="1:35" ht="16.5" thickBot="1" x14ac:dyDescent="0.3">
      <c r="A56" s="15"/>
      <c r="B56" s="2"/>
      <c r="C56" s="12" t="s">
        <v>699</v>
      </c>
      <c r="D56" s="10"/>
      <c r="E56" s="19"/>
      <c r="F56" s="19"/>
      <c r="G56" s="77"/>
      <c r="H56" s="77"/>
      <c r="I56" s="19"/>
      <c r="J56" s="77"/>
      <c r="K56" s="77"/>
      <c r="L56" s="181"/>
      <c r="M56" s="181"/>
      <c r="N56" s="186"/>
      <c r="O56" s="491"/>
      <c r="P56" s="491"/>
      <c r="Q56" s="452"/>
      <c r="R56" s="19"/>
      <c r="S56" s="77"/>
      <c r="T56" s="77"/>
      <c r="U56" s="19"/>
      <c r="V56" s="77"/>
      <c r="W56" s="77"/>
      <c r="X56" s="181"/>
      <c r="Y56" s="181"/>
      <c r="Z56" s="186"/>
      <c r="AA56" s="186"/>
      <c r="AB56" s="186"/>
      <c r="AC56" s="186"/>
      <c r="AD56" s="71"/>
      <c r="AF56" s="256"/>
    </row>
    <row r="57" spans="1:35" ht="16.5" thickBot="1" x14ac:dyDescent="0.25">
      <c r="A57" s="15"/>
      <c r="B57" s="2"/>
      <c r="C57" s="1647" t="s">
        <v>3244</v>
      </c>
      <c r="D57" s="1647"/>
      <c r="E57" s="19"/>
      <c r="F57" s="19"/>
      <c r="G57" s="1077">
        <v>0</v>
      </c>
      <c r="H57" s="77"/>
      <c r="I57" s="19"/>
      <c r="J57" s="1077">
        <v>0</v>
      </c>
      <c r="K57" s="77"/>
      <c r="L57" s="181"/>
      <c r="M57" s="1079">
        <f>+G57+J57</f>
        <v>0</v>
      </c>
      <c r="N57" s="186"/>
      <c r="O57" s="491"/>
      <c r="P57" s="491"/>
      <c r="Q57" s="452"/>
      <c r="R57" s="19"/>
      <c r="S57" s="1098">
        <v>0</v>
      </c>
      <c r="T57" s="77"/>
      <c r="U57" s="19"/>
      <c r="V57" s="1098">
        <v>0</v>
      </c>
      <c r="W57" s="77"/>
      <c r="X57" s="181"/>
      <c r="Y57" s="1099">
        <f>+S57+V57</f>
        <v>0</v>
      </c>
      <c r="Z57" s="186"/>
      <c r="AA57" s="186"/>
      <c r="AB57" s="1079">
        <f>Y57+M57</f>
        <v>0</v>
      </c>
      <c r="AC57" s="186"/>
      <c r="AD57" s="71"/>
      <c r="AF57" s="255">
        <f>IF(+G57+J57-M57=0,0,1)</f>
        <v>0</v>
      </c>
      <c r="AH57" s="142"/>
      <c r="AI57" s="241"/>
    </row>
    <row r="58" spans="1:35" ht="16.5" thickBot="1" x14ac:dyDescent="0.3">
      <c r="A58" s="15"/>
      <c r="B58" s="2"/>
      <c r="C58" s="10"/>
      <c r="D58" s="10"/>
      <c r="E58" s="19"/>
      <c r="F58" s="19"/>
      <c r="G58" s="392">
        <f>+IF(OR(G59&lt;G57,J59&lt;J57),1,0)</f>
        <v>0</v>
      </c>
      <c r="H58" s="361"/>
      <c r="I58" s="194"/>
      <c r="J58" s="392">
        <f>+IF(OR(J59&lt;J57,M59&lt;M57),1,0)</f>
        <v>0</v>
      </c>
      <c r="K58" s="361" t="s">
        <v>928</v>
      </c>
      <c r="L58" s="362"/>
      <c r="M58" s="362"/>
      <c r="N58" s="186"/>
      <c r="O58" s="491"/>
      <c r="P58" s="491"/>
      <c r="Q58" s="452"/>
      <c r="R58" s="19"/>
      <c r="S58" s="392">
        <f>+IF(OR(S59&lt;S57,V59&lt;V57),1,0)</f>
        <v>0</v>
      </c>
      <c r="T58" s="361"/>
      <c r="U58" s="194"/>
      <c r="V58" s="392">
        <f>+IF(OR(V59&lt;V57,Y59&lt;Y57),1,0)</f>
        <v>0</v>
      </c>
      <c r="W58" s="361" t="s">
        <v>928</v>
      </c>
      <c r="X58" s="362"/>
      <c r="Y58" s="362"/>
      <c r="Z58" s="186"/>
      <c r="AA58" s="186"/>
      <c r="AB58" s="186"/>
      <c r="AC58" s="186"/>
      <c r="AD58" s="71"/>
      <c r="AF58" s="256"/>
    </row>
    <row r="59" spans="1:35" ht="16.5" customHeight="1" thickBot="1" x14ac:dyDescent="0.25">
      <c r="A59" s="15"/>
      <c r="B59" s="2"/>
      <c r="C59" s="1709" t="s">
        <v>3245</v>
      </c>
      <c r="D59" s="1709"/>
      <c r="E59" s="950"/>
      <c r="F59" s="950"/>
      <c r="G59" s="1077">
        <v>0</v>
      </c>
      <c r="H59" s="952"/>
      <c r="I59" s="950"/>
      <c r="J59" s="1077">
        <v>0</v>
      </c>
      <c r="K59" s="952"/>
      <c r="L59" s="952"/>
      <c r="M59" s="1079">
        <f>+G59+J59</f>
        <v>0</v>
      </c>
      <c r="N59" s="954"/>
      <c r="O59" s="354"/>
      <c r="P59" s="354"/>
      <c r="Q59" s="452"/>
      <c r="R59" s="950"/>
      <c r="S59" s="1098">
        <v>0</v>
      </c>
      <c r="T59" s="952"/>
      <c r="U59" s="950"/>
      <c r="V59" s="1098">
        <v>0</v>
      </c>
      <c r="W59" s="952"/>
      <c r="X59" s="952"/>
      <c r="Y59" s="1099">
        <f>+S59+V59</f>
        <v>0</v>
      </c>
      <c r="Z59" s="954"/>
      <c r="AA59" s="954"/>
      <c r="AB59" s="1079">
        <f>Y59+M59</f>
        <v>0</v>
      </c>
      <c r="AC59" s="981"/>
      <c r="AD59" s="647"/>
      <c r="AF59" s="255">
        <f>IF(+G59+J59-M59=0,0,1)</f>
        <v>0</v>
      </c>
      <c r="AH59" s="142"/>
      <c r="AI59" s="241"/>
    </row>
    <row r="60" spans="1:35" ht="15.75" x14ac:dyDescent="0.2">
      <c r="A60" s="15"/>
      <c r="B60" s="2"/>
      <c r="C60" s="1709"/>
      <c r="D60" s="1709"/>
      <c r="E60" s="950"/>
      <c r="F60" s="950"/>
      <c r="G60" s="948" t="str">
        <f>+IF(G58+J58&gt;0,"Line 10 must be less than Line 9. Please check your data","")</f>
        <v/>
      </c>
      <c r="H60" s="951"/>
      <c r="I60" s="951"/>
      <c r="J60" s="948"/>
      <c r="K60" s="952"/>
      <c r="L60" s="952"/>
      <c r="M60" s="953"/>
      <c r="N60" s="954"/>
      <c r="O60" s="354"/>
      <c r="P60" s="354"/>
      <c r="Q60" s="452"/>
      <c r="R60" s="950"/>
      <c r="S60" s="948" t="str">
        <f>+IF(S58+V58&gt;0,"Line 13 must be less than Line 12. Please check your data","")</f>
        <v/>
      </c>
      <c r="T60" s="951"/>
      <c r="U60" s="951"/>
      <c r="V60" s="948"/>
      <c r="W60" s="952"/>
      <c r="X60" s="952"/>
      <c r="Y60" s="953"/>
      <c r="Z60" s="954"/>
      <c r="AA60" s="954"/>
      <c r="AB60" s="954"/>
      <c r="AC60" s="981"/>
      <c r="AD60" s="647"/>
      <c r="AF60" s="256"/>
    </row>
    <row r="61" spans="1:35" ht="15.75" x14ac:dyDescent="0.2">
      <c r="A61" s="15"/>
      <c r="B61" s="2"/>
      <c r="C61" s="10"/>
      <c r="D61" s="10"/>
      <c r="E61" s="19"/>
      <c r="F61" s="19"/>
      <c r="G61" s="78"/>
      <c r="H61" s="77"/>
      <c r="I61" s="19"/>
      <c r="J61" s="78"/>
      <c r="K61" s="77"/>
      <c r="L61" s="181"/>
      <c r="M61" s="182"/>
      <c r="N61" s="186"/>
      <c r="O61" s="491"/>
      <c r="P61" s="491"/>
      <c r="Q61" s="452"/>
      <c r="R61" s="19"/>
      <c r="S61" s="78"/>
      <c r="T61" s="77"/>
      <c r="U61" s="19"/>
      <c r="V61" s="78"/>
      <c r="W61" s="77"/>
      <c r="X61" s="181"/>
      <c r="Y61" s="182"/>
      <c r="Z61" s="186"/>
      <c r="AA61" s="186"/>
      <c r="AB61" s="186"/>
      <c r="AC61" s="186"/>
      <c r="AD61" s="71"/>
      <c r="AF61" s="256"/>
    </row>
    <row r="62" spans="1:35" ht="16.5" thickBot="1" x14ac:dyDescent="0.3">
      <c r="A62" s="15"/>
      <c r="B62" s="2"/>
      <c r="C62" s="12" t="s">
        <v>716</v>
      </c>
      <c r="D62" s="10"/>
      <c r="E62" s="19"/>
      <c r="F62" s="19"/>
      <c r="G62" s="77"/>
      <c r="H62" s="77"/>
      <c r="I62" s="19"/>
      <c r="J62" s="77"/>
      <c r="K62" s="77"/>
      <c r="L62" s="181"/>
      <c r="M62" s="181"/>
      <c r="N62" s="186"/>
      <c r="O62" s="491"/>
      <c r="P62" s="491"/>
      <c r="Q62" s="452"/>
      <c r="R62" s="19"/>
      <c r="S62" s="77"/>
      <c r="T62" s="77"/>
      <c r="U62" s="19"/>
      <c r="V62" s="77"/>
      <c r="W62" s="77"/>
      <c r="X62" s="181"/>
      <c r="Y62" s="181"/>
      <c r="Z62" s="186"/>
      <c r="AA62" s="186"/>
      <c r="AB62" s="186"/>
      <c r="AC62" s="186"/>
      <c r="AD62" s="71"/>
      <c r="AF62" s="256"/>
    </row>
    <row r="63" spans="1:35" ht="16.5" thickBot="1" x14ac:dyDescent="0.25">
      <c r="A63" s="15"/>
      <c r="B63" s="2"/>
      <c r="C63" s="1647" t="s">
        <v>3246</v>
      </c>
      <c r="D63" s="1647"/>
      <c r="E63" s="19"/>
      <c r="F63" s="19"/>
      <c r="G63" s="1077">
        <v>0</v>
      </c>
      <c r="H63" s="77"/>
      <c r="I63" s="19"/>
      <c r="J63" s="1077">
        <v>0</v>
      </c>
      <c r="K63" s="77"/>
      <c r="L63" s="181"/>
      <c r="M63" s="1079">
        <f>+G63+J63</f>
        <v>0</v>
      </c>
      <c r="N63" s="186"/>
      <c r="O63" s="491"/>
      <c r="P63" s="491"/>
      <c r="Q63" s="452"/>
      <c r="R63" s="19"/>
      <c r="S63" s="1077">
        <v>0</v>
      </c>
      <c r="T63" s="77"/>
      <c r="U63" s="19"/>
      <c r="V63" s="1077">
        <v>0</v>
      </c>
      <c r="W63" s="77"/>
      <c r="X63" s="181"/>
      <c r="Y63" s="1079">
        <f>+S63+V63</f>
        <v>0</v>
      </c>
      <c r="Z63" s="186"/>
      <c r="AA63" s="186"/>
      <c r="AB63" s="1079">
        <f>Y63+M63</f>
        <v>0</v>
      </c>
      <c r="AC63" s="186"/>
      <c r="AD63" s="71"/>
      <c r="AF63" s="255">
        <f>IF(+G63+J63+S63+V63-AB63=0,0,1)</f>
        <v>0</v>
      </c>
      <c r="AH63" s="142"/>
      <c r="AI63" s="241"/>
    </row>
    <row r="64" spans="1:35" x14ac:dyDescent="0.2">
      <c r="A64" s="15"/>
      <c r="B64" s="2"/>
      <c r="C64" s="10"/>
      <c r="D64" s="10"/>
      <c r="E64" s="19"/>
      <c r="F64" s="19"/>
      <c r="G64" s="77"/>
      <c r="H64" s="77"/>
      <c r="I64" s="19"/>
      <c r="J64" s="77"/>
      <c r="K64" s="77"/>
      <c r="L64" s="181"/>
      <c r="M64" s="181"/>
      <c r="N64" s="186"/>
      <c r="O64" s="491"/>
      <c r="P64" s="491"/>
      <c r="Q64" s="452"/>
      <c r="R64" s="19"/>
      <c r="S64" s="77"/>
      <c r="T64" s="77"/>
      <c r="U64" s="19"/>
      <c r="V64" s="77"/>
      <c r="W64" s="77"/>
      <c r="X64" s="181"/>
      <c r="Y64" s="181"/>
      <c r="Z64" s="186"/>
      <c r="AA64" s="186"/>
      <c r="AB64" s="186"/>
      <c r="AC64" s="186"/>
      <c r="AD64" s="71"/>
      <c r="AF64" s="256"/>
    </row>
    <row r="65" spans="1:35" ht="16.5" thickBot="1" x14ac:dyDescent="0.3">
      <c r="A65" s="15"/>
      <c r="B65" s="2"/>
      <c r="C65" s="12" t="s">
        <v>700</v>
      </c>
      <c r="D65" s="10"/>
      <c r="E65" s="19"/>
      <c r="F65" s="19"/>
      <c r="G65" s="77"/>
      <c r="H65" s="77"/>
      <c r="I65" s="19"/>
      <c r="J65" s="77"/>
      <c r="K65" s="77"/>
      <c r="L65" s="181"/>
      <c r="M65" s="181"/>
      <c r="N65" s="186"/>
      <c r="O65" s="491"/>
      <c r="P65" s="491"/>
      <c r="Q65" s="452"/>
      <c r="R65" s="19"/>
      <c r="S65" s="77"/>
      <c r="T65" s="77"/>
      <c r="U65" s="19"/>
      <c r="V65" s="77"/>
      <c r="W65" s="77"/>
      <c r="X65" s="181"/>
      <c r="Y65" s="181"/>
      <c r="Z65" s="186"/>
      <c r="AA65" s="186"/>
      <c r="AB65" s="186"/>
      <c r="AC65" s="186"/>
      <c r="AD65" s="71"/>
      <c r="AF65" s="256"/>
    </row>
    <row r="66" spans="1:35" ht="16.5" thickBot="1" x14ac:dyDescent="0.25">
      <c r="A66" s="15"/>
      <c r="B66" s="2"/>
      <c r="C66" s="10" t="s">
        <v>3247</v>
      </c>
      <c r="D66" s="10"/>
      <c r="E66" s="19"/>
      <c r="F66" s="19"/>
      <c r="G66" s="1077">
        <v>0</v>
      </c>
      <c r="H66" s="77"/>
      <c r="I66" s="19"/>
      <c r="J66" s="1077">
        <v>0</v>
      </c>
      <c r="K66" s="77"/>
      <c r="L66" s="181"/>
      <c r="M66" s="1079">
        <f>+G66+J66</f>
        <v>0</v>
      </c>
      <c r="N66" s="186"/>
      <c r="O66" s="491"/>
      <c r="P66" s="491"/>
      <c r="Q66" s="452"/>
      <c r="R66" s="19"/>
      <c r="S66" s="1077">
        <v>0</v>
      </c>
      <c r="T66" s="77"/>
      <c r="U66" s="19"/>
      <c r="V66" s="1077">
        <v>0</v>
      </c>
      <c r="W66" s="77"/>
      <c r="X66" s="181"/>
      <c r="Y66" s="1079">
        <f>+S66+V66</f>
        <v>0</v>
      </c>
      <c r="Z66" s="186"/>
      <c r="AA66" s="186"/>
      <c r="AB66" s="1079">
        <f>Y66+M66</f>
        <v>0</v>
      </c>
      <c r="AC66" s="186"/>
      <c r="AD66" s="71"/>
      <c r="AF66" s="255">
        <f>IF(+G66+J66+S66+V66-AB66=0,0,1)</f>
        <v>0</v>
      </c>
      <c r="AH66" s="142"/>
      <c r="AI66" s="241"/>
    </row>
    <row r="67" spans="1:35" ht="15.75" x14ac:dyDescent="0.2">
      <c r="A67" s="15"/>
      <c r="B67" s="2"/>
      <c r="C67" s="19"/>
      <c r="D67" s="19"/>
      <c r="E67" s="19"/>
      <c r="F67" s="19"/>
      <c r="G67" s="78"/>
      <c r="H67" s="77"/>
      <c r="I67" s="19"/>
      <c r="J67" s="78"/>
      <c r="K67" s="77"/>
      <c r="L67" s="181"/>
      <c r="M67" s="182"/>
      <c r="N67" s="186"/>
      <c r="O67" s="452"/>
      <c r="P67" s="452"/>
      <c r="Q67" s="452"/>
      <c r="R67" s="19"/>
      <c r="S67" s="78"/>
      <c r="T67" s="77"/>
      <c r="U67" s="19"/>
      <c r="V67" s="78"/>
      <c r="W67" s="77"/>
      <c r="X67" s="181"/>
      <c r="Y67" s="182"/>
      <c r="Z67" s="186"/>
      <c r="AA67" s="186"/>
      <c r="AB67" s="186"/>
      <c r="AC67" s="186"/>
      <c r="AD67" s="71"/>
      <c r="AF67" s="256"/>
    </row>
    <row r="68" spans="1:35" ht="16.5" thickBot="1" x14ac:dyDescent="0.3">
      <c r="A68" s="15"/>
      <c r="B68" s="2"/>
      <c r="C68" s="18" t="s">
        <v>717</v>
      </c>
      <c r="D68" s="19"/>
      <c r="E68" s="19"/>
      <c r="F68" s="19"/>
      <c r="G68" s="77"/>
      <c r="H68" s="77"/>
      <c r="I68" s="19"/>
      <c r="J68" s="77"/>
      <c r="K68" s="77"/>
      <c r="L68" s="181"/>
      <c r="M68" s="181"/>
      <c r="N68" s="186"/>
      <c r="O68" s="452"/>
      <c r="P68" s="452"/>
      <c r="Q68" s="452"/>
      <c r="R68" s="19"/>
      <c r="S68" s="77"/>
      <c r="T68" s="77"/>
      <c r="U68" s="19"/>
      <c r="V68" s="77"/>
      <c r="W68" s="77"/>
      <c r="X68" s="181"/>
      <c r="Y68" s="181"/>
      <c r="Z68" s="186"/>
      <c r="AA68" s="186"/>
      <c r="AB68" s="186"/>
      <c r="AC68" s="186"/>
      <c r="AD68" s="71"/>
      <c r="AF68" s="256"/>
    </row>
    <row r="69" spans="1:35" ht="16.5" thickBot="1" x14ac:dyDescent="0.25">
      <c r="A69" s="15"/>
      <c r="B69" s="2"/>
      <c r="C69" s="10" t="s">
        <v>3248</v>
      </c>
      <c r="D69" s="19"/>
      <c r="E69" s="19"/>
      <c r="F69" s="19"/>
      <c r="G69" s="1077">
        <v>0</v>
      </c>
      <c r="H69" s="77"/>
      <c r="I69" s="19"/>
      <c r="J69" s="1077">
        <v>0</v>
      </c>
      <c r="K69" s="77"/>
      <c r="L69" s="181"/>
      <c r="M69" s="1079">
        <f>+G69+J69</f>
        <v>0</v>
      </c>
      <c r="N69" s="186"/>
      <c r="O69" s="452"/>
      <c r="P69" s="452"/>
      <c r="Q69" s="452"/>
      <c r="R69" s="19"/>
      <c r="S69" s="1098">
        <v>0</v>
      </c>
      <c r="T69" s="77"/>
      <c r="U69" s="19"/>
      <c r="V69" s="1098">
        <v>0</v>
      </c>
      <c r="W69" s="77"/>
      <c r="X69" s="181"/>
      <c r="Y69" s="1099">
        <f>+S69+V69</f>
        <v>0</v>
      </c>
      <c r="Z69" s="186"/>
      <c r="AA69" s="186"/>
      <c r="AB69" s="1079">
        <f>Y69+M69</f>
        <v>0</v>
      </c>
      <c r="AC69" s="186"/>
      <c r="AD69" s="71"/>
      <c r="AF69" s="255">
        <f>IF(+G69+J69-M69=0,0,1)</f>
        <v>0</v>
      </c>
      <c r="AH69" s="142"/>
      <c r="AI69" s="241"/>
    </row>
    <row r="70" spans="1:35" ht="16.5" thickBot="1" x14ac:dyDescent="0.25">
      <c r="A70" s="15"/>
      <c r="B70" s="2"/>
      <c r="C70" s="10"/>
      <c r="D70" s="19"/>
      <c r="E70" s="19"/>
      <c r="F70" s="19"/>
      <c r="G70" s="816"/>
      <c r="H70" s="77"/>
      <c r="I70" s="19"/>
      <c r="J70" s="816"/>
      <c r="K70" s="77"/>
      <c r="L70" s="181"/>
      <c r="M70" s="182"/>
      <c r="N70" s="186"/>
      <c r="O70" s="452"/>
      <c r="P70" s="452"/>
      <c r="Q70" s="452"/>
      <c r="R70" s="19"/>
      <c r="S70" s="816"/>
      <c r="T70" s="77"/>
      <c r="U70" s="19"/>
      <c r="V70" s="816"/>
      <c r="W70" s="77"/>
      <c r="X70" s="181"/>
      <c r="Y70" s="182"/>
      <c r="Z70" s="186"/>
      <c r="AA70" s="186"/>
      <c r="AB70" s="186"/>
      <c r="AC70" s="186"/>
      <c r="AD70" s="71"/>
      <c r="AF70" s="255"/>
      <c r="AH70" s="142"/>
      <c r="AI70" s="241"/>
    </row>
    <row r="71" spans="1:35" s="273" customFormat="1" ht="16.5" customHeight="1" thickBot="1" x14ac:dyDescent="0.3">
      <c r="A71" s="644"/>
      <c r="B71" s="354"/>
      <c r="C71" s="482" t="s">
        <v>3400</v>
      </c>
      <c r="D71" s="837"/>
      <c r="E71" s="646"/>
      <c r="F71" s="452"/>
      <c r="G71" s="491"/>
      <c r="H71" s="645"/>
      <c r="I71" s="452"/>
      <c r="J71" s="452"/>
      <c r="K71" s="491"/>
      <c r="L71" s="181"/>
      <c r="M71" s="182"/>
      <c r="N71" s="186"/>
      <c r="O71" s="837"/>
      <c r="P71" s="837"/>
      <c r="Q71" s="646"/>
      <c r="R71" s="452"/>
      <c r="S71" s="491"/>
      <c r="T71" s="645"/>
      <c r="U71" s="452"/>
      <c r="V71" s="452"/>
      <c r="W71" s="491"/>
      <c r="X71" s="181"/>
      <c r="Y71" s="182"/>
      <c r="Z71" s="186"/>
      <c r="AA71" s="186"/>
      <c r="AB71" s="186"/>
      <c r="AC71" s="186"/>
      <c r="AD71" s="652"/>
      <c r="AE71"/>
      <c r="AF71" s="675"/>
      <c r="AH71" s="544"/>
      <c r="AI71" s="528"/>
    </row>
    <row r="72" spans="1:35" s="273" customFormat="1" ht="16.5" customHeight="1" thickBot="1" x14ac:dyDescent="0.25">
      <c r="A72" s="644"/>
      <c r="B72" s="354"/>
      <c r="C72" s="972" t="s">
        <v>2827</v>
      </c>
      <c r="D72" s="1127"/>
      <c r="E72" s="646"/>
      <c r="F72" s="452"/>
      <c r="G72" s="1083">
        <v>0</v>
      </c>
      <c r="H72" s="645"/>
      <c r="I72" s="452"/>
      <c r="J72" s="1084">
        <v>0</v>
      </c>
      <c r="K72" s="491"/>
      <c r="L72" s="181"/>
      <c r="M72" s="1079">
        <f>+G72+J72</f>
        <v>0</v>
      </c>
      <c r="N72" s="186"/>
      <c r="O72" s="354"/>
      <c r="P72" s="354"/>
      <c r="Q72" s="646"/>
      <c r="R72" s="452"/>
      <c r="S72" s="1083">
        <v>0</v>
      </c>
      <c r="T72" s="645"/>
      <c r="U72" s="452"/>
      <c r="V72" s="1084">
        <v>0</v>
      </c>
      <c r="W72" s="491"/>
      <c r="X72" s="181"/>
      <c r="Y72" s="1079">
        <f>+S72+V72</f>
        <v>0</v>
      </c>
      <c r="Z72" s="186"/>
      <c r="AA72" s="186"/>
      <c r="AB72" s="1079">
        <f>Y72+M72</f>
        <v>0</v>
      </c>
      <c r="AC72" s="186"/>
      <c r="AD72" s="652"/>
      <c r="AE72"/>
      <c r="AF72" s="675">
        <f>IF(+G72+J72+S72+V72-AB72=0,0,1)</f>
        <v>0</v>
      </c>
      <c r="AH72" s="544"/>
      <c r="AI72" s="528"/>
    </row>
    <row r="73" spans="1:35" ht="15.75" x14ac:dyDescent="0.2">
      <c r="A73" s="15"/>
      <c r="B73" s="2"/>
      <c r="C73" s="19"/>
      <c r="D73" s="19"/>
      <c r="E73" s="19"/>
      <c r="F73" s="19"/>
      <c r="G73" s="78"/>
      <c r="H73" s="77"/>
      <c r="I73" s="77"/>
      <c r="J73" s="78"/>
      <c r="K73" s="77"/>
      <c r="L73" s="181"/>
      <c r="M73" s="182"/>
      <c r="N73" s="186"/>
      <c r="O73" s="452"/>
      <c r="P73" s="452"/>
      <c r="Q73" s="452"/>
      <c r="R73" s="19"/>
      <c r="S73" s="78"/>
      <c r="T73" s="77"/>
      <c r="U73" s="77"/>
      <c r="V73" s="78"/>
      <c r="W73" s="77"/>
      <c r="X73" s="181"/>
      <c r="Y73" s="182"/>
      <c r="Z73" s="186"/>
      <c r="AA73" s="186"/>
      <c r="AB73" s="186"/>
      <c r="AC73" s="186"/>
      <c r="AD73" s="71"/>
      <c r="AF73" s="256"/>
    </row>
    <row r="74" spans="1:35" ht="16.5" thickBot="1" x14ac:dyDescent="0.3">
      <c r="A74" s="1097"/>
      <c r="B74" s="2"/>
      <c r="C74" s="482" t="s">
        <v>2401</v>
      </c>
      <c r="D74" s="837"/>
      <c r="E74" s="646"/>
      <c r="F74" s="452"/>
      <c r="G74" s="491"/>
      <c r="H74" s="645"/>
      <c r="I74" s="452"/>
      <c r="J74" s="452"/>
      <c r="K74" s="491"/>
      <c r="L74" s="181"/>
      <c r="M74" s="182"/>
      <c r="N74" s="186"/>
      <c r="O74" s="837"/>
      <c r="P74" s="837"/>
      <c r="Q74" s="646"/>
      <c r="R74" s="452"/>
      <c r="S74" s="491"/>
      <c r="T74" s="645"/>
      <c r="U74" s="452"/>
      <c r="V74" s="452"/>
      <c r="W74" s="491"/>
      <c r="X74" s="181"/>
      <c r="Y74" s="182"/>
      <c r="Z74" s="186"/>
      <c r="AA74" s="186"/>
      <c r="AB74" s="186"/>
      <c r="AC74" s="186"/>
      <c r="AD74" s="1140"/>
      <c r="AF74" s="256"/>
    </row>
    <row r="75" spans="1:35" ht="16.5" thickBot="1" x14ac:dyDescent="0.25">
      <c r="A75" s="1097"/>
      <c r="B75" s="2"/>
      <c r="C75" s="972" t="s">
        <v>3281</v>
      </c>
      <c r="D75" s="1127"/>
      <c r="E75" s="646"/>
      <c r="F75" s="452"/>
      <c r="G75" s="1083">
        <v>0</v>
      </c>
      <c r="H75" s="645"/>
      <c r="I75" s="452"/>
      <c r="J75" s="1084">
        <v>0</v>
      </c>
      <c r="K75" s="491"/>
      <c r="L75" s="181"/>
      <c r="M75" s="1079">
        <f>+G75+J75</f>
        <v>0</v>
      </c>
      <c r="N75" s="186"/>
      <c r="O75" s="354"/>
      <c r="P75" s="354"/>
      <c r="Q75" s="646"/>
      <c r="R75" s="452"/>
      <c r="S75" s="1083">
        <v>0</v>
      </c>
      <c r="T75" s="645"/>
      <c r="U75" s="452"/>
      <c r="V75" s="1084">
        <v>0</v>
      </c>
      <c r="W75" s="491"/>
      <c r="X75" s="181"/>
      <c r="Y75" s="1079">
        <f>+S75+V75</f>
        <v>0</v>
      </c>
      <c r="Z75" s="186"/>
      <c r="AA75" s="186"/>
      <c r="AB75" s="1079">
        <f>Y75+M75</f>
        <v>0</v>
      </c>
      <c r="AC75" s="186"/>
      <c r="AD75" s="1140"/>
      <c r="AF75" s="1357">
        <f>IF(+G75+J75+S75+V75-AB75=0,0,1)</f>
        <v>0</v>
      </c>
    </row>
    <row r="76" spans="1:35" ht="16.5" thickBot="1" x14ac:dyDescent="0.25">
      <c r="A76" s="1097"/>
      <c r="B76" s="2"/>
      <c r="C76" s="19"/>
      <c r="D76" s="19"/>
      <c r="E76" s="19"/>
      <c r="F76" s="19"/>
      <c r="G76" s="78"/>
      <c r="H76" s="77"/>
      <c r="I76" s="77"/>
      <c r="J76" s="78"/>
      <c r="K76" s="77"/>
      <c r="L76" s="181"/>
      <c r="M76" s="182"/>
      <c r="N76" s="186"/>
      <c r="O76" s="452"/>
      <c r="P76" s="452"/>
      <c r="Q76" s="452"/>
      <c r="R76" s="19"/>
      <c r="S76" s="78"/>
      <c r="T76" s="77"/>
      <c r="U76" s="77"/>
      <c r="V76" s="78"/>
      <c r="W76" s="77"/>
      <c r="X76" s="181"/>
      <c r="Y76" s="182"/>
      <c r="Z76" s="186"/>
      <c r="AA76" s="186"/>
      <c r="AB76" s="186"/>
      <c r="AC76" s="186"/>
      <c r="AD76" s="1140"/>
      <c r="AF76" s="256"/>
    </row>
    <row r="77" spans="1:35" ht="16.5" thickBot="1" x14ac:dyDescent="0.25">
      <c r="A77" s="15"/>
      <c r="B77" s="4"/>
      <c r="C77" s="73"/>
      <c r="D77" s="73"/>
      <c r="E77" s="73"/>
      <c r="F77" s="73"/>
      <c r="G77" s="80"/>
      <c r="H77" s="81"/>
      <c r="I77" s="81"/>
      <c r="J77" s="80"/>
      <c r="K77" s="81"/>
      <c r="L77" s="188"/>
      <c r="M77" s="187"/>
      <c r="N77" s="203"/>
      <c r="O77" s="1092"/>
      <c r="P77" s="1092"/>
      <c r="Q77" s="1092"/>
      <c r="R77" s="73"/>
      <c r="S77" s="80"/>
      <c r="T77" s="81"/>
      <c r="U77" s="81"/>
      <c r="V77" s="80"/>
      <c r="W77" s="81"/>
      <c r="X77" s="188"/>
      <c r="Y77" s="187"/>
      <c r="Z77" s="1101"/>
      <c r="AA77" s="1107"/>
      <c r="AB77" s="1101"/>
      <c r="AC77" s="203"/>
      <c r="AD77" s="71"/>
      <c r="AF77" s="256"/>
    </row>
    <row r="78" spans="1:35" ht="16.5" thickBot="1" x14ac:dyDescent="0.25">
      <c r="A78" s="15"/>
      <c r="B78" s="5"/>
      <c r="C78" s="19"/>
      <c r="D78" s="19"/>
      <c r="E78" s="19"/>
      <c r="F78" s="223"/>
      <c r="G78" s="236"/>
      <c r="H78" s="225"/>
      <c r="I78" s="224"/>
      <c r="J78" s="236"/>
      <c r="K78" s="225"/>
      <c r="L78" s="226"/>
      <c r="M78" s="237"/>
      <c r="N78" s="227"/>
      <c r="O78" s="452"/>
      <c r="P78" s="452"/>
      <c r="Q78" s="452"/>
      <c r="R78" s="223"/>
      <c r="S78" s="236"/>
      <c r="T78" s="225"/>
      <c r="U78" s="224"/>
      <c r="V78" s="236"/>
      <c r="W78" s="225"/>
      <c r="X78" s="226"/>
      <c r="Y78" s="237"/>
      <c r="Z78" s="227"/>
      <c r="AA78" s="1115"/>
      <c r="AB78" s="1113"/>
      <c r="AC78" s="227"/>
      <c r="AD78" s="71"/>
      <c r="AF78" s="256"/>
    </row>
    <row r="79" spans="1:35" ht="16.5" customHeight="1" thickBot="1" x14ac:dyDescent="0.25">
      <c r="A79" s="15"/>
      <c r="B79" s="5"/>
      <c r="C79" s="1651" t="s">
        <v>3335</v>
      </c>
      <c r="D79" s="1651"/>
      <c r="E79" s="19"/>
      <c r="F79" s="228"/>
      <c r="G79" s="1078">
        <f>+G57+G63+G66+G69+G72+G75</f>
        <v>0</v>
      </c>
      <c r="H79" s="79"/>
      <c r="I79" s="19"/>
      <c r="J79" s="1078">
        <f>+J57+J63+J66+J69+J72+J75</f>
        <v>0</v>
      </c>
      <c r="K79" s="79"/>
      <c r="L79" s="181"/>
      <c r="M79" s="181"/>
      <c r="N79" s="229"/>
      <c r="O79" s="354"/>
      <c r="P79" s="354"/>
      <c r="Q79" s="452"/>
      <c r="R79" s="228"/>
      <c r="S79" s="1078">
        <f>+S63+S66+S69+S72+S75</f>
        <v>0</v>
      </c>
      <c r="T79" s="79"/>
      <c r="U79" s="19"/>
      <c r="V79" s="1078">
        <f>+V63+V66+V69+V72+V75</f>
        <v>0</v>
      </c>
      <c r="W79" s="79"/>
      <c r="X79" s="181"/>
      <c r="Y79" s="181"/>
      <c r="Z79" s="229"/>
      <c r="AA79" s="1116"/>
      <c r="AB79" s="186"/>
      <c r="AC79" s="229"/>
      <c r="AD79" s="71"/>
      <c r="AF79" s="255">
        <f>IF(+G79+G82-G85=0,0,1)</f>
        <v>0</v>
      </c>
      <c r="AI79" s="241"/>
    </row>
    <row r="80" spans="1:35" ht="15.75" x14ac:dyDescent="0.2">
      <c r="A80" s="15"/>
      <c r="B80" s="5"/>
      <c r="C80" s="1651"/>
      <c r="D80" s="1651"/>
      <c r="E80" s="19"/>
      <c r="F80" s="228"/>
      <c r="G80" s="78"/>
      <c r="H80" s="79"/>
      <c r="I80" s="19"/>
      <c r="J80" s="78"/>
      <c r="K80" s="79"/>
      <c r="L80" s="181"/>
      <c r="M80" s="181"/>
      <c r="N80" s="229"/>
      <c r="O80" s="354"/>
      <c r="P80" s="354"/>
      <c r="Q80" s="452"/>
      <c r="R80" s="228"/>
      <c r="S80" s="78"/>
      <c r="T80" s="79"/>
      <c r="U80" s="19"/>
      <c r="V80" s="78"/>
      <c r="W80" s="79"/>
      <c r="X80" s="181"/>
      <c r="Y80" s="181"/>
      <c r="Z80" s="229"/>
      <c r="AA80" s="1116"/>
      <c r="AB80" s="186"/>
      <c r="AC80" s="229"/>
      <c r="AD80" s="71"/>
      <c r="AF80" s="255">
        <f>IF(+J79+J82-J85=0,0,1)</f>
        <v>0</v>
      </c>
    </row>
    <row r="81" spans="1:35" ht="16.5" thickBot="1" x14ac:dyDescent="0.25">
      <c r="A81" s="15"/>
      <c r="B81" s="5"/>
      <c r="C81" s="19"/>
      <c r="D81" s="19"/>
      <c r="E81" s="19"/>
      <c r="F81" s="228"/>
      <c r="G81" s="78"/>
      <c r="H81" s="79"/>
      <c r="I81" s="19"/>
      <c r="J81" s="78"/>
      <c r="K81" s="79"/>
      <c r="L81" s="181"/>
      <c r="M81" s="181"/>
      <c r="N81" s="229"/>
      <c r="O81" s="452"/>
      <c r="P81" s="452"/>
      <c r="Q81" s="452"/>
      <c r="R81" s="228"/>
      <c r="S81" s="78"/>
      <c r="T81" s="79"/>
      <c r="U81" s="19"/>
      <c r="V81" s="78"/>
      <c r="W81" s="79"/>
      <c r="X81" s="181"/>
      <c r="Y81" s="181"/>
      <c r="Z81" s="229"/>
      <c r="AA81" s="1116"/>
      <c r="AB81" s="186"/>
      <c r="AC81" s="229"/>
      <c r="AD81" s="71"/>
      <c r="AF81" s="255">
        <f>IF(+S79+S82-S85=0,0,1)</f>
        <v>0</v>
      </c>
    </row>
    <row r="82" spans="1:35" ht="16.5" customHeight="1" thickBot="1" x14ac:dyDescent="0.25">
      <c r="A82" s="15"/>
      <c r="B82" s="5"/>
      <c r="C82" s="1651" t="s">
        <v>3336</v>
      </c>
      <c r="D82" s="1651"/>
      <c r="E82" s="19"/>
      <c r="F82" s="228"/>
      <c r="G82" s="1077">
        <v>0</v>
      </c>
      <c r="H82" s="79"/>
      <c r="I82" s="19"/>
      <c r="J82" s="1077">
        <v>0</v>
      </c>
      <c r="K82" s="79"/>
      <c r="L82" s="181"/>
      <c r="M82" s="181"/>
      <c r="N82" s="229"/>
      <c r="O82" s="354"/>
      <c r="P82" s="354"/>
      <c r="Q82" s="452"/>
      <c r="R82" s="228"/>
      <c r="S82" s="1077">
        <v>0</v>
      </c>
      <c r="T82" s="79"/>
      <c r="U82" s="19"/>
      <c r="V82" s="1077">
        <v>0</v>
      </c>
      <c r="W82" s="79"/>
      <c r="X82" s="181"/>
      <c r="Y82" s="181"/>
      <c r="Z82" s="229"/>
      <c r="AA82" s="1116"/>
      <c r="AB82" s="186"/>
      <c r="AC82" s="229"/>
      <c r="AD82" s="71"/>
      <c r="AF82" s="255">
        <f>IF(+V79+V82-V85=0,0,1)</f>
        <v>0</v>
      </c>
      <c r="AI82" s="241"/>
    </row>
    <row r="83" spans="1:35" ht="15.75" customHeight="1" x14ac:dyDescent="0.2">
      <c r="A83" s="15"/>
      <c r="B83" s="5"/>
      <c r="C83" s="1651"/>
      <c r="D83" s="1651"/>
      <c r="E83" s="19"/>
      <c r="F83" s="228"/>
      <c r="G83" s="78"/>
      <c r="H83" s="79"/>
      <c r="I83" s="19"/>
      <c r="J83" s="78"/>
      <c r="K83" s="79"/>
      <c r="L83" s="181"/>
      <c r="M83" s="182"/>
      <c r="N83" s="229"/>
      <c r="O83" s="354"/>
      <c r="P83" s="354"/>
      <c r="Q83" s="452"/>
      <c r="R83" s="228"/>
      <c r="S83" s="78"/>
      <c r="T83" s="79"/>
      <c r="U83" s="19"/>
      <c r="V83" s="78"/>
      <c r="W83" s="79"/>
      <c r="X83" s="181"/>
      <c r="Y83" s="182"/>
      <c r="Z83" s="229"/>
      <c r="AA83" s="1116"/>
      <c r="AB83" s="186"/>
      <c r="AC83" s="229"/>
      <c r="AD83" s="71"/>
      <c r="AF83" s="256"/>
    </row>
    <row r="84" spans="1:35" ht="16.5" thickBot="1" x14ac:dyDescent="0.25">
      <c r="A84" s="15"/>
      <c r="B84" s="5"/>
      <c r="C84" s="75"/>
      <c r="D84" s="75"/>
      <c r="E84" s="19"/>
      <c r="F84" s="228"/>
      <c r="G84" s="78"/>
      <c r="H84" s="79"/>
      <c r="I84" s="19"/>
      <c r="J84" s="78"/>
      <c r="K84" s="79"/>
      <c r="L84" s="181"/>
      <c r="M84" s="182"/>
      <c r="N84" s="229"/>
      <c r="O84" s="974"/>
      <c r="P84" s="974"/>
      <c r="Q84" s="452"/>
      <c r="R84" s="228"/>
      <c r="S84" s="78"/>
      <c r="T84" s="79"/>
      <c r="U84" s="19"/>
      <c r="V84" s="78"/>
      <c r="W84" s="79"/>
      <c r="X84" s="181"/>
      <c r="Y84" s="182"/>
      <c r="Z84" s="229"/>
      <c r="AA84" s="1116"/>
      <c r="AB84" s="186"/>
      <c r="AC84" s="229"/>
      <c r="AD84" s="71"/>
      <c r="AF84" s="256"/>
    </row>
    <row r="85" spans="1:35" ht="16.5" customHeight="1" thickBot="1" x14ac:dyDescent="0.25">
      <c r="A85" s="15"/>
      <c r="B85" s="5"/>
      <c r="C85" s="1704" t="s">
        <v>3337</v>
      </c>
      <c r="D85" s="1704"/>
      <c r="E85" s="19"/>
      <c r="F85" s="228"/>
      <c r="G85" s="1078">
        <f>+G79+G82</f>
        <v>0</v>
      </c>
      <c r="H85" s="79"/>
      <c r="I85" s="19"/>
      <c r="J85" s="1078">
        <f>+J79+J82</f>
        <v>0</v>
      </c>
      <c r="K85" s="79"/>
      <c r="L85" s="181"/>
      <c r="M85" s="1079">
        <f>+G85+J85</f>
        <v>0</v>
      </c>
      <c r="N85" s="229"/>
      <c r="O85" s="354"/>
      <c r="P85" s="354"/>
      <c r="Q85" s="452"/>
      <c r="R85" s="228"/>
      <c r="S85" s="1078">
        <f>+S79+S82</f>
        <v>0</v>
      </c>
      <c r="T85" s="79"/>
      <c r="U85" s="19"/>
      <c r="V85" s="1078">
        <f>+V79+V82</f>
        <v>0</v>
      </c>
      <c r="W85" s="79"/>
      <c r="X85" s="181"/>
      <c r="Y85" s="1079">
        <f>+S85+V85</f>
        <v>0</v>
      </c>
      <c r="Z85" s="229"/>
      <c r="AA85" s="1116"/>
      <c r="AB85" s="1079">
        <f>Y85+M85</f>
        <v>0</v>
      </c>
      <c r="AC85" s="229"/>
      <c r="AD85" s="71"/>
      <c r="AF85" s="255">
        <f>IF(+G85+J85+S85+V85-AB85=0,0,1)</f>
        <v>0</v>
      </c>
      <c r="AH85" s="142"/>
      <c r="AI85" s="241"/>
    </row>
    <row r="86" spans="1:35" ht="16.5" thickBot="1" x14ac:dyDescent="0.25">
      <c r="A86" s="15"/>
      <c r="B86" s="5"/>
      <c r="C86" s="1704"/>
      <c r="D86" s="1704"/>
      <c r="E86" s="19"/>
      <c r="F86" s="230"/>
      <c r="G86" s="231"/>
      <c r="H86" s="232"/>
      <c r="I86" s="231"/>
      <c r="J86" s="231"/>
      <c r="K86" s="232"/>
      <c r="L86" s="233"/>
      <c r="M86" s="234"/>
      <c r="N86" s="235"/>
      <c r="O86" s="354"/>
      <c r="P86" s="354"/>
      <c r="Q86" s="452"/>
      <c r="R86" s="230"/>
      <c r="S86" s="231"/>
      <c r="T86" s="232"/>
      <c r="U86" s="231"/>
      <c r="V86" s="231"/>
      <c r="W86" s="232"/>
      <c r="X86" s="233"/>
      <c r="Y86" s="234"/>
      <c r="Z86" s="235"/>
      <c r="AA86" s="1117"/>
      <c r="AB86" s="1114"/>
      <c r="AC86" s="235"/>
      <c r="AD86" s="71"/>
      <c r="AF86" s="256"/>
    </row>
    <row r="87" spans="1:35" ht="16.5" thickBot="1" x14ac:dyDescent="0.25">
      <c r="A87" s="15"/>
      <c r="B87" s="7"/>
      <c r="C87" s="74"/>
      <c r="D87" s="74"/>
      <c r="E87" s="74"/>
      <c r="F87" s="74"/>
      <c r="G87" s="82"/>
      <c r="H87" s="83"/>
      <c r="I87" s="83"/>
      <c r="J87" s="82"/>
      <c r="K87" s="83"/>
      <c r="L87" s="190"/>
      <c r="M87" s="189"/>
      <c r="N87" s="205"/>
      <c r="O87" s="1093"/>
      <c r="P87" s="1093"/>
      <c r="Q87" s="1093"/>
      <c r="R87" s="74"/>
      <c r="S87" s="82"/>
      <c r="T87" s="83"/>
      <c r="U87" s="83"/>
      <c r="V87" s="82"/>
      <c r="W87" s="83"/>
      <c r="X87" s="190"/>
      <c r="Y87" s="189"/>
      <c r="Z87" s="1102"/>
      <c r="AA87" s="1109"/>
      <c r="AB87" s="1102"/>
      <c r="AC87" s="205"/>
      <c r="AD87" s="71"/>
      <c r="AF87" s="256"/>
    </row>
    <row r="88" spans="1:35" ht="16.5" thickBot="1" x14ac:dyDescent="0.25">
      <c r="A88" s="16"/>
      <c r="B88" s="17"/>
      <c r="C88" s="90"/>
      <c r="D88" s="90"/>
      <c r="E88" s="90"/>
      <c r="F88" s="90"/>
      <c r="G88" s="91"/>
      <c r="H88" s="92"/>
      <c r="I88" s="92"/>
      <c r="J88" s="91"/>
      <c r="K88" s="92"/>
      <c r="L88" s="192"/>
      <c r="M88" s="191"/>
      <c r="N88" s="206"/>
      <c r="O88" s="1094"/>
      <c r="P88" s="1094"/>
      <c r="Q88" s="1094"/>
      <c r="R88" s="90"/>
      <c r="S88" s="91"/>
      <c r="T88" s="92"/>
      <c r="U88" s="92"/>
      <c r="V88" s="91"/>
      <c r="W88" s="92"/>
      <c r="X88" s="192"/>
      <c r="Y88" s="191"/>
      <c r="Z88" s="206"/>
      <c r="AA88" s="206"/>
      <c r="AB88" s="206"/>
      <c r="AC88" s="206"/>
      <c r="AD88" s="72"/>
      <c r="AF88" s="256"/>
    </row>
    <row r="89" spans="1:35" ht="15" customHeight="1" x14ac:dyDescent="0.2">
      <c r="A89" s="15"/>
      <c r="B89" s="2"/>
      <c r="C89" s="19"/>
      <c r="D89" s="19"/>
      <c r="E89" s="19"/>
      <c r="F89" s="19"/>
      <c r="G89" s="78"/>
      <c r="H89" s="77"/>
      <c r="I89" s="19"/>
      <c r="J89" s="78"/>
      <c r="K89" s="77"/>
      <c r="L89" s="181"/>
      <c r="M89" s="182"/>
      <c r="N89" s="186"/>
      <c r="O89" s="452"/>
      <c r="P89" s="452"/>
      <c r="Q89" s="452"/>
      <c r="R89" s="19"/>
      <c r="S89" s="78"/>
      <c r="T89" s="77"/>
      <c r="U89" s="19"/>
      <c r="V89" s="78"/>
      <c r="W89" s="77"/>
      <c r="X89" s="181"/>
      <c r="Y89" s="182"/>
      <c r="Z89" s="186"/>
      <c r="AA89" s="186"/>
      <c r="AB89" s="186"/>
      <c r="AC89" s="186"/>
      <c r="AD89" s="71"/>
      <c r="AF89" s="256"/>
    </row>
    <row r="90" spans="1:35" ht="15.75" x14ac:dyDescent="0.25">
      <c r="A90" s="15"/>
      <c r="B90" s="2"/>
      <c r="C90" s="12" t="s">
        <v>3399</v>
      </c>
      <c r="D90" s="19"/>
      <c r="E90" s="19"/>
      <c r="F90" s="19"/>
      <c r="G90" s="77"/>
      <c r="H90" s="77"/>
      <c r="I90" s="19"/>
      <c r="J90" s="77"/>
      <c r="K90" s="77"/>
      <c r="L90" s="181"/>
      <c r="M90" s="181"/>
      <c r="N90" s="186"/>
      <c r="O90" s="452"/>
      <c r="P90" s="452"/>
      <c r="Q90" s="452"/>
      <c r="R90" s="19"/>
      <c r="S90" s="77"/>
      <c r="T90" s="77"/>
      <c r="U90" s="19"/>
      <c r="V90" s="77"/>
      <c r="W90" s="77"/>
      <c r="X90" s="181"/>
      <c r="Y90" s="181"/>
      <c r="Z90" s="186"/>
      <c r="AA90" s="186"/>
      <c r="AB90" s="186"/>
      <c r="AC90" s="186"/>
      <c r="AD90" s="71"/>
      <c r="AF90" s="256"/>
    </row>
    <row r="91" spans="1:35" x14ac:dyDescent="0.2">
      <c r="A91" s="15"/>
      <c r="B91" s="2"/>
      <c r="C91" s="19"/>
      <c r="D91" s="19"/>
      <c r="E91" s="19"/>
      <c r="F91" s="19"/>
      <c r="G91" s="77"/>
      <c r="H91" s="77"/>
      <c r="I91" s="19"/>
      <c r="J91" s="77"/>
      <c r="K91" s="77"/>
      <c r="L91" s="181"/>
      <c r="M91" s="181"/>
      <c r="N91" s="186"/>
      <c r="O91" s="452"/>
      <c r="P91" s="452"/>
      <c r="Q91" s="452"/>
      <c r="R91" s="19"/>
      <c r="S91" s="77"/>
      <c r="T91" s="77"/>
      <c r="U91" s="19"/>
      <c r="V91" s="77"/>
      <c r="W91" s="77"/>
      <c r="X91" s="181"/>
      <c r="Y91" s="181"/>
      <c r="Z91" s="186"/>
      <c r="AA91" s="186"/>
      <c r="AB91" s="186"/>
      <c r="AC91" s="186"/>
      <c r="AD91" s="71"/>
      <c r="AF91" s="256"/>
    </row>
    <row r="92" spans="1:35" ht="16.5" thickBot="1" x14ac:dyDescent="0.3">
      <c r="A92" s="15"/>
      <c r="B92" s="2"/>
      <c r="C92" s="12" t="s">
        <v>507</v>
      </c>
      <c r="D92" s="10"/>
      <c r="E92" s="19"/>
      <c r="F92" s="19"/>
      <c r="G92" s="77"/>
      <c r="H92" s="77"/>
      <c r="I92" s="19"/>
      <c r="J92" s="77"/>
      <c r="K92" s="77"/>
      <c r="L92" s="181"/>
      <c r="M92" s="181"/>
      <c r="N92" s="186"/>
      <c r="O92" s="491"/>
      <c r="P92" s="491"/>
      <c r="Q92" s="452"/>
      <c r="R92" s="19"/>
      <c r="S92" s="77"/>
      <c r="T92" s="77"/>
      <c r="U92" s="19"/>
      <c r="V92" s="77"/>
      <c r="W92" s="77"/>
      <c r="X92" s="181"/>
      <c r="Y92" s="181"/>
      <c r="Z92" s="186"/>
      <c r="AA92" s="186"/>
      <c r="AB92" s="186"/>
      <c r="AC92" s="186"/>
      <c r="AD92" s="71"/>
      <c r="AF92" s="256"/>
    </row>
    <row r="93" spans="1:35" ht="16.5" thickBot="1" x14ac:dyDescent="0.25">
      <c r="A93" s="15"/>
      <c r="B93" s="2"/>
      <c r="C93" s="10" t="s">
        <v>3338</v>
      </c>
      <c r="D93" s="10"/>
      <c r="E93" s="19"/>
      <c r="F93" s="19"/>
      <c r="G93" s="1077">
        <v>0</v>
      </c>
      <c r="H93" s="77"/>
      <c r="I93" s="19"/>
      <c r="J93" s="1077">
        <v>0</v>
      </c>
      <c r="K93" s="77"/>
      <c r="L93" s="181"/>
      <c r="M93" s="1079">
        <f>+G93+J93</f>
        <v>0</v>
      </c>
      <c r="N93" s="186"/>
      <c r="O93" s="491"/>
      <c r="P93" s="491"/>
      <c r="Q93" s="452"/>
      <c r="R93" s="19"/>
      <c r="S93" s="1077">
        <v>0</v>
      </c>
      <c r="T93" s="77"/>
      <c r="U93" s="19"/>
      <c r="V93" s="1077">
        <v>0</v>
      </c>
      <c r="W93" s="77"/>
      <c r="X93" s="181"/>
      <c r="Y93" s="1079">
        <f>+S93+V93</f>
        <v>0</v>
      </c>
      <c r="Z93" s="186"/>
      <c r="AA93" s="186"/>
      <c r="AB93" s="1079">
        <f>Y93+M93</f>
        <v>0</v>
      </c>
      <c r="AC93" s="186"/>
      <c r="AD93" s="71"/>
      <c r="AF93" s="255">
        <f>IF(+G93+J93+S93+V93-AB93=0,0,1)</f>
        <v>0</v>
      </c>
      <c r="AH93" s="142"/>
      <c r="AI93" s="241"/>
    </row>
    <row r="94" spans="1:35" ht="15" customHeight="1" x14ac:dyDescent="0.2">
      <c r="A94" s="15"/>
      <c r="B94" s="2"/>
      <c r="C94" s="10"/>
      <c r="D94" s="10"/>
      <c r="E94" s="19"/>
      <c r="F94" s="19"/>
      <c r="G94" s="77"/>
      <c r="H94" s="77"/>
      <c r="I94" s="77"/>
      <c r="J94" s="77"/>
      <c r="K94" s="77"/>
      <c r="L94" s="181"/>
      <c r="M94" s="181"/>
      <c r="N94" s="186"/>
      <c r="O94" s="491"/>
      <c r="P94" s="491"/>
      <c r="Q94" s="452"/>
      <c r="R94" s="19"/>
      <c r="S94" s="77"/>
      <c r="T94" s="77"/>
      <c r="U94" s="77"/>
      <c r="V94" s="77"/>
      <c r="W94" s="77"/>
      <c r="X94" s="181"/>
      <c r="Y94" s="181"/>
      <c r="Z94" s="186"/>
      <c r="AA94" s="186"/>
      <c r="AB94" s="186"/>
      <c r="AC94" s="186"/>
      <c r="AD94" s="71"/>
      <c r="AF94" s="256"/>
    </row>
    <row r="95" spans="1:35" ht="16.5" thickBot="1" x14ac:dyDescent="0.3">
      <c r="A95" s="15"/>
      <c r="B95" s="2"/>
      <c r="C95" s="12" t="s">
        <v>508</v>
      </c>
      <c r="D95" s="10"/>
      <c r="E95" s="19"/>
      <c r="F95" s="19"/>
      <c r="G95" s="77"/>
      <c r="H95" s="77"/>
      <c r="I95" s="77"/>
      <c r="J95" s="77"/>
      <c r="K95" s="77"/>
      <c r="L95" s="181"/>
      <c r="M95" s="181"/>
      <c r="N95" s="186"/>
      <c r="O95" s="491"/>
      <c r="P95" s="491"/>
      <c r="Q95" s="452"/>
      <c r="R95" s="19"/>
      <c r="S95" s="77"/>
      <c r="T95" s="77"/>
      <c r="U95" s="77"/>
      <c r="V95" s="77"/>
      <c r="W95" s="77"/>
      <c r="X95" s="181"/>
      <c r="Y95" s="181"/>
      <c r="Z95" s="186"/>
      <c r="AA95" s="186"/>
      <c r="AB95" s="186"/>
      <c r="AC95" s="186"/>
      <c r="AD95" s="71"/>
      <c r="AF95" s="256"/>
    </row>
    <row r="96" spans="1:35" ht="16.5" customHeight="1" thickBot="1" x14ac:dyDescent="0.25">
      <c r="A96" s="15"/>
      <c r="B96" s="2"/>
      <c r="C96" s="10" t="s">
        <v>3282</v>
      </c>
      <c r="D96" s="10"/>
      <c r="E96" s="19"/>
      <c r="F96" s="19"/>
      <c r="G96" s="1077">
        <v>0</v>
      </c>
      <c r="H96" s="77"/>
      <c r="I96" s="19"/>
      <c r="J96" s="1077">
        <v>0</v>
      </c>
      <c r="K96" s="77"/>
      <c r="L96" s="181"/>
      <c r="M96" s="1079">
        <f>+G96+J96</f>
        <v>0</v>
      </c>
      <c r="N96" s="186"/>
      <c r="O96" s="491"/>
      <c r="P96" s="491"/>
      <c r="Q96" s="452"/>
      <c r="R96" s="19"/>
      <c r="S96" s="1077">
        <v>0</v>
      </c>
      <c r="T96" s="77"/>
      <c r="U96" s="19"/>
      <c r="V96" s="1077">
        <v>0</v>
      </c>
      <c r="W96" s="77"/>
      <c r="X96" s="181"/>
      <c r="Y96" s="1079">
        <f>+S96+V96</f>
        <v>0</v>
      </c>
      <c r="Z96" s="186"/>
      <c r="AA96" s="186"/>
      <c r="AB96" s="1079">
        <f>Y96+M96</f>
        <v>0</v>
      </c>
      <c r="AC96" s="186"/>
      <c r="AD96" s="71"/>
      <c r="AF96" s="255">
        <f>IF(+G96+J96+S96+V96-AB96=0,0,1)</f>
        <v>0</v>
      </c>
      <c r="AH96" s="142"/>
      <c r="AI96" s="241"/>
    </row>
    <row r="97" spans="1:35" ht="16.5" thickBot="1" x14ac:dyDescent="0.25">
      <c r="A97" s="15"/>
      <c r="B97" s="2"/>
      <c r="C97" s="10"/>
      <c r="D97" s="10"/>
      <c r="E97" s="19"/>
      <c r="F97" s="19"/>
      <c r="G97" s="78"/>
      <c r="H97" s="78"/>
      <c r="I97" s="78"/>
      <c r="J97" s="78"/>
      <c r="K97" s="78"/>
      <c r="L97" s="181"/>
      <c r="M97" s="182"/>
      <c r="N97" s="186"/>
      <c r="O97" s="491"/>
      <c r="P97" s="491"/>
      <c r="Q97" s="452"/>
      <c r="R97" s="19"/>
      <c r="S97" s="78"/>
      <c r="T97" s="78"/>
      <c r="U97" s="78"/>
      <c r="V97" s="78"/>
      <c r="W97" s="78"/>
      <c r="X97" s="181"/>
      <c r="Y97" s="182"/>
      <c r="Z97" s="186"/>
      <c r="AA97" s="186"/>
      <c r="AB97" s="186"/>
      <c r="AC97" s="186"/>
      <c r="AD97" s="71"/>
      <c r="AF97" s="256"/>
    </row>
    <row r="98" spans="1:35" ht="16.5" thickBot="1" x14ac:dyDescent="0.25">
      <c r="A98" s="15"/>
      <c r="B98" s="4"/>
      <c r="C98" s="358"/>
      <c r="D98" s="358"/>
      <c r="E98" s="73"/>
      <c r="F98" s="73"/>
      <c r="G98" s="80"/>
      <c r="H98" s="80"/>
      <c r="I98" s="700"/>
      <c r="J98" s="80"/>
      <c r="K98" s="80"/>
      <c r="L98" s="188"/>
      <c r="M98" s="187"/>
      <c r="N98" s="203"/>
      <c r="O98" s="1095"/>
      <c r="P98" s="1095"/>
      <c r="Q98" s="1092"/>
      <c r="R98" s="73"/>
      <c r="S98" s="80"/>
      <c r="T98" s="80"/>
      <c r="U98" s="700"/>
      <c r="V98" s="80"/>
      <c r="W98" s="80"/>
      <c r="X98" s="188"/>
      <c r="Y98" s="187"/>
      <c r="Z98" s="1101"/>
      <c r="AA98" s="1107"/>
      <c r="AB98" s="1101"/>
      <c r="AC98" s="203"/>
      <c r="AD98" s="71"/>
      <c r="AF98" s="256"/>
    </row>
    <row r="99" spans="1:35" ht="16.5" customHeight="1" thickBot="1" x14ac:dyDescent="0.25">
      <c r="A99" s="15"/>
      <c r="B99" s="5"/>
      <c r="C99" s="1644" t="s">
        <v>3339</v>
      </c>
      <c r="D99" s="1644"/>
      <c r="E99" s="19"/>
      <c r="F99" s="19"/>
      <c r="G99" s="1078">
        <f>+G93+G96</f>
        <v>0</v>
      </c>
      <c r="H99" s="77"/>
      <c r="I99" s="701"/>
      <c r="J99" s="1078">
        <f>+J93+J96</f>
        <v>0</v>
      </c>
      <c r="K99" s="77"/>
      <c r="L99" s="181"/>
      <c r="M99" s="181"/>
      <c r="N99" s="204"/>
      <c r="O99" s="354"/>
      <c r="P99" s="354"/>
      <c r="Q99" s="452"/>
      <c r="R99" s="19"/>
      <c r="S99" s="1078">
        <f>+S93+S96</f>
        <v>0</v>
      </c>
      <c r="T99" s="77"/>
      <c r="U99" s="701"/>
      <c r="V99" s="1078">
        <f>+V93+V96</f>
        <v>0</v>
      </c>
      <c r="W99" s="77"/>
      <c r="X99" s="181"/>
      <c r="Y99" s="181"/>
      <c r="Z99" s="186"/>
      <c r="AA99" s="1108"/>
      <c r="AB99" s="186"/>
      <c r="AC99" s="1103"/>
      <c r="AD99" s="71"/>
      <c r="AF99" s="255">
        <f>IF(+G99+G102-G106=0,0,1)</f>
        <v>0</v>
      </c>
    </row>
    <row r="100" spans="1:35" ht="15.75" x14ac:dyDescent="0.2">
      <c r="A100" s="15"/>
      <c r="B100" s="5"/>
      <c r="C100" s="1644"/>
      <c r="D100" s="1644"/>
      <c r="E100" s="19"/>
      <c r="F100" s="19"/>
      <c r="G100" s="78"/>
      <c r="H100" s="77"/>
      <c r="I100" s="702"/>
      <c r="J100" s="78"/>
      <c r="K100" s="77"/>
      <c r="L100" s="181"/>
      <c r="M100" s="181"/>
      <c r="N100" s="204"/>
      <c r="O100" s="354"/>
      <c r="P100" s="354"/>
      <c r="Q100" s="452"/>
      <c r="R100" s="19"/>
      <c r="S100" s="78"/>
      <c r="T100" s="77"/>
      <c r="U100" s="702"/>
      <c r="V100" s="78"/>
      <c r="W100" s="77"/>
      <c r="X100" s="181"/>
      <c r="Y100" s="181"/>
      <c r="Z100" s="186"/>
      <c r="AA100" s="1108"/>
      <c r="AB100" s="186"/>
      <c r="AC100" s="1103"/>
      <c r="AD100" s="71"/>
      <c r="AF100" s="255">
        <f>IF(+S99+S102-S106=0,0,1)</f>
        <v>0</v>
      </c>
    </row>
    <row r="101" spans="1:35" ht="16.5" thickBot="1" x14ac:dyDescent="0.25">
      <c r="A101" s="15"/>
      <c r="B101" s="5"/>
      <c r="C101" s="356"/>
      <c r="D101" s="356"/>
      <c r="E101" s="19"/>
      <c r="F101" s="19"/>
      <c r="G101" s="78"/>
      <c r="H101" s="77"/>
      <c r="I101" s="702"/>
      <c r="J101" s="78"/>
      <c r="K101" s="77"/>
      <c r="L101" s="181"/>
      <c r="M101" s="181"/>
      <c r="N101" s="204"/>
      <c r="O101" s="1091"/>
      <c r="P101" s="1091"/>
      <c r="Q101" s="452"/>
      <c r="R101" s="19"/>
      <c r="S101" s="78"/>
      <c r="T101" s="77"/>
      <c r="U101" s="702"/>
      <c r="V101" s="78"/>
      <c r="W101" s="77"/>
      <c r="X101" s="181"/>
      <c r="Y101" s="181"/>
      <c r="Z101" s="186"/>
      <c r="AA101" s="1108"/>
      <c r="AB101" s="186"/>
      <c r="AC101" s="1103"/>
      <c r="AD101" s="71"/>
      <c r="AF101" s="255">
        <f>IF(+V99+V102-V106=0,0,1)</f>
        <v>0</v>
      </c>
      <c r="AI101" s="241"/>
    </row>
    <row r="102" spans="1:35" ht="15.75" customHeight="1" thickBot="1" x14ac:dyDescent="0.25">
      <c r="A102" s="15"/>
      <c r="B102" s="5"/>
      <c r="C102" s="1651" t="s">
        <v>3340</v>
      </c>
      <c r="D102" s="1651"/>
      <c r="E102" s="19"/>
      <c r="F102" s="19"/>
      <c r="G102" s="1077">
        <v>0</v>
      </c>
      <c r="H102" s="77"/>
      <c r="I102" s="701"/>
      <c r="J102" s="1077">
        <v>0</v>
      </c>
      <c r="K102" s="77"/>
      <c r="L102" s="181"/>
      <c r="M102" s="181"/>
      <c r="N102" s="204"/>
      <c r="O102" s="354"/>
      <c r="P102" s="354"/>
      <c r="Q102" s="452"/>
      <c r="R102" s="19"/>
      <c r="S102" s="1077">
        <v>0</v>
      </c>
      <c r="T102" s="77"/>
      <c r="U102" s="701"/>
      <c r="V102" s="1077">
        <v>0</v>
      </c>
      <c r="W102" s="77"/>
      <c r="X102" s="181"/>
      <c r="Y102" s="181"/>
      <c r="Z102" s="186"/>
      <c r="AA102" s="1108"/>
      <c r="AB102" s="186"/>
      <c r="AC102" s="1103"/>
      <c r="AD102" s="71"/>
      <c r="AF102" s="255">
        <f>IF(+J99+J102-J106=0,0,1)</f>
        <v>0</v>
      </c>
      <c r="AI102" s="241"/>
    </row>
    <row r="103" spans="1:35" ht="15.75" customHeight="1" x14ac:dyDescent="0.2">
      <c r="A103" s="15"/>
      <c r="B103" s="5"/>
      <c r="C103" s="1651"/>
      <c r="D103" s="1651"/>
      <c r="E103" s="19"/>
      <c r="F103" s="19"/>
      <c r="G103" s="78"/>
      <c r="H103" s="77"/>
      <c r="I103" s="701"/>
      <c r="J103" s="78"/>
      <c r="K103" s="77"/>
      <c r="L103" s="181"/>
      <c r="M103" s="182"/>
      <c r="N103" s="204"/>
      <c r="O103" s="354"/>
      <c r="P103" s="354"/>
      <c r="Q103" s="452"/>
      <c r="R103" s="19"/>
      <c r="S103" s="78"/>
      <c r="T103" s="77"/>
      <c r="U103" s="701"/>
      <c r="V103" s="78"/>
      <c r="W103" s="77"/>
      <c r="X103" s="181"/>
      <c r="Y103" s="182"/>
      <c r="Z103" s="186"/>
      <c r="AA103" s="1108"/>
      <c r="AB103" s="186"/>
      <c r="AC103" s="1103"/>
      <c r="AD103" s="71"/>
      <c r="AF103" s="256"/>
    </row>
    <row r="104" spans="1:35" ht="15.75" customHeight="1" x14ac:dyDescent="0.2">
      <c r="A104" s="1097"/>
      <c r="B104" s="5"/>
      <c r="C104" s="1651"/>
      <c r="D104" s="1651"/>
      <c r="E104" s="19"/>
      <c r="F104" s="19"/>
      <c r="G104" s="78"/>
      <c r="H104" s="77"/>
      <c r="I104" s="701"/>
      <c r="J104" s="78"/>
      <c r="K104" s="77"/>
      <c r="L104" s="181"/>
      <c r="M104" s="182"/>
      <c r="N104" s="1103"/>
      <c r="O104" s="354"/>
      <c r="P104" s="354"/>
      <c r="Q104" s="452"/>
      <c r="R104" s="19"/>
      <c r="S104" s="78"/>
      <c r="T104" s="77"/>
      <c r="U104" s="701"/>
      <c r="V104" s="78"/>
      <c r="W104" s="77"/>
      <c r="X104" s="181"/>
      <c r="Y104" s="182"/>
      <c r="Z104" s="186"/>
      <c r="AA104" s="1108"/>
      <c r="AB104" s="186"/>
      <c r="AC104" s="1103"/>
      <c r="AD104" s="1140"/>
      <c r="AF104" s="256"/>
    </row>
    <row r="105" spans="1:35" ht="16.5" thickBot="1" x14ac:dyDescent="0.25">
      <c r="A105" s="15"/>
      <c r="B105" s="5"/>
      <c r="C105" s="356"/>
      <c r="D105" s="356"/>
      <c r="E105" s="19"/>
      <c r="F105" s="19"/>
      <c r="G105" s="78"/>
      <c r="H105" s="77"/>
      <c r="I105" s="701"/>
      <c r="J105" s="78"/>
      <c r="K105" s="77"/>
      <c r="L105" s="181"/>
      <c r="M105" s="182"/>
      <c r="N105" s="204"/>
      <c r="O105" s="1091"/>
      <c r="P105" s="1091"/>
      <c r="Q105" s="452"/>
      <c r="R105" s="19"/>
      <c r="S105" s="78"/>
      <c r="T105" s="77"/>
      <c r="U105" s="701"/>
      <c r="V105" s="78"/>
      <c r="W105" s="77"/>
      <c r="X105" s="181"/>
      <c r="Y105" s="182"/>
      <c r="Z105" s="186"/>
      <c r="AA105" s="1108"/>
      <c r="AB105" s="186"/>
      <c r="AC105" s="1103"/>
      <c r="AD105" s="71"/>
      <c r="AF105" s="256"/>
    </row>
    <row r="106" spans="1:35" ht="16.5" customHeight="1" thickBot="1" x14ac:dyDescent="0.25">
      <c r="A106" s="15"/>
      <c r="B106" s="5"/>
      <c r="C106" s="1704" t="s">
        <v>3341</v>
      </c>
      <c r="D106" s="1704"/>
      <c r="E106" s="19"/>
      <c r="F106" s="19"/>
      <c r="G106" s="1078">
        <f>+G99+G102</f>
        <v>0</v>
      </c>
      <c r="H106" s="77"/>
      <c r="I106" s="701"/>
      <c r="J106" s="1078">
        <f>+J99+J102</f>
        <v>0</v>
      </c>
      <c r="K106" s="77"/>
      <c r="L106" s="181"/>
      <c r="M106" s="1079">
        <f>+G106+J106</f>
        <v>0</v>
      </c>
      <c r="N106" s="204"/>
      <c r="O106" s="354"/>
      <c r="P106" s="354"/>
      <c r="Q106" s="452"/>
      <c r="R106" s="19"/>
      <c r="S106" s="1078">
        <f>+S99+S102</f>
        <v>0</v>
      </c>
      <c r="T106" s="77"/>
      <c r="U106" s="701"/>
      <c r="V106" s="1078">
        <f>+V99+V102</f>
        <v>0</v>
      </c>
      <c r="W106" s="77"/>
      <c r="X106" s="181"/>
      <c r="Y106" s="1079">
        <f>+S106+V106</f>
        <v>0</v>
      </c>
      <c r="Z106" s="186"/>
      <c r="AA106" s="1108"/>
      <c r="AB106" s="1079">
        <f>Y106+M106</f>
        <v>0</v>
      </c>
      <c r="AC106" s="1103"/>
      <c r="AD106" s="71"/>
      <c r="AF106" s="255">
        <f>IF(+G106+J106+S106+V106-AB106=0,0,1)</f>
        <v>0</v>
      </c>
      <c r="AH106" s="142"/>
      <c r="AI106" s="241"/>
    </row>
    <row r="107" spans="1:35" x14ac:dyDescent="0.2">
      <c r="A107" s="15"/>
      <c r="B107" s="5"/>
      <c r="C107" s="1704"/>
      <c r="D107" s="1704"/>
      <c r="E107" s="19"/>
      <c r="F107" s="19"/>
      <c r="G107" s="19"/>
      <c r="H107" s="19"/>
      <c r="I107" s="701"/>
      <c r="J107" s="19"/>
      <c r="K107" s="77"/>
      <c r="L107" s="193"/>
      <c r="M107" s="193"/>
      <c r="N107" s="204"/>
      <c r="O107" s="354"/>
      <c r="P107" s="354"/>
      <c r="Q107" s="452"/>
      <c r="R107" s="19"/>
      <c r="S107" s="19"/>
      <c r="T107" s="19"/>
      <c r="U107" s="701"/>
      <c r="V107" s="19"/>
      <c r="W107" s="77"/>
      <c r="X107" s="193"/>
      <c r="Y107" s="193"/>
      <c r="Z107" s="186"/>
      <c r="AA107" s="1108"/>
      <c r="AB107" s="186"/>
      <c r="AC107" s="1103"/>
      <c r="AD107" s="71"/>
      <c r="AF107" s="257"/>
    </row>
    <row r="108" spans="1:35" ht="16.5" thickBot="1" x14ac:dyDescent="0.25">
      <c r="A108" s="15"/>
      <c r="B108" s="7"/>
      <c r="C108" s="74"/>
      <c r="D108" s="74"/>
      <c r="E108" s="74"/>
      <c r="F108" s="74"/>
      <c r="G108" s="82"/>
      <c r="H108" s="83"/>
      <c r="I108" s="703"/>
      <c r="J108" s="83"/>
      <c r="K108" s="83"/>
      <c r="L108" s="190"/>
      <c r="M108" s="189"/>
      <c r="N108" s="205"/>
      <c r="O108" s="1093"/>
      <c r="P108" s="1093"/>
      <c r="Q108" s="1093"/>
      <c r="R108" s="74"/>
      <c r="S108" s="82"/>
      <c r="T108" s="83"/>
      <c r="U108" s="703"/>
      <c r="V108" s="83"/>
      <c r="W108" s="83"/>
      <c r="X108" s="190"/>
      <c r="Y108" s="189"/>
      <c r="Z108" s="1102"/>
      <c r="AA108" s="1109"/>
      <c r="AB108" s="1102"/>
      <c r="AC108" s="205"/>
      <c r="AD108" s="71"/>
      <c r="AF108" s="256"/>
    </row>
    <row r="109" spans="1:35" x14ac:dyDescent="0.2">
      <c r="A109" s="15"/>
      <c r="B109" s="2"/>
      <c r="C109" s="19"/>
      <c r="D109" s="19"/>
      <c r="E109" s="19"/>
      <c r="F109" s="19"/>
      <c r="G109" s="77"/>
      <c r="H109" s="77"/>
      <c r="I109" s="77"/>
      <c r="J109" s="77"/>
      <c r="K109" s="77"/>
      <c r="L109" s="181"/>
      <c r="M109" s="181"/>
      <c r="N109" s="186"/>
      <c r="O109" s="452"/>
      <c r="P109" s="452"/>
      <c r="Q109" s="452"/>
      <c r="R109" s="19"/>
      <c r="S109" s="77"/>
      <c r="T109" s="77"/>
      <c r="U109" s="77"/>
      <c r="V109" s="77"/>
      <c r="W109" s="77"/>
      <c r="X109" s="181"/>
      <c r="Y109" s="181"/>
      <c r="Z109" s="186"/>
      <c r="AA109" s="186"/>
      <c r="AB109" s="186"/>
      <c r="AC109" s="186"/>
      <c r="AD109" s="71"/>
      <c r="AF109" s="256"/>
    </row>
    <row r="110" spans="1:35" ht="15.75" x14ac:dyDescent="0.25">
      <c r="A110" s="15"/>
      <c r="B110" s="2"/>
      <c r="C110" s="12" t="s">
        <v>3401</v>
      </c>
      <c r="D110" s="19"/>
      <c r="E110" s="19"/>
      <c r="F110" s="19"/>
      <c r="G110" s="77"/>
      <c r="H110" s="77"/>
      <c r="I110" s="19"/>
      <c r="J110" s="77"/>
      <c r="K110" s="77"/>
      <c r="L110" s="181"/>
      <c r="M110" s="181"/>
      <c r="N110" s="186"/>
      <c r="O110" s="452"/>
      <c r="P110" s="452"/>
      <c r="Q110" s="452"/>
      <c r="R110" s="19"/>
      <c r="S110" s="77"/>
      <c r="T110" s="77"/>
      <c r="U110" s="19"/>
      <c r="V110" s="77"/>
      <c r="W110" s="77"/>
      <c r="X110" s="181"/>
      <c r="Y110" s="181"/>
      <c r="Z110" s="186"/>
      <c r="AA110" s="186"/>
      <c r="AB110" s="186"/>
      <c r="AC110" s="186"/>
      <c r="AD110" s="71"/>
      <c r="AF110" s="256"/>
    </row>
    <row r="111" spans="1:35" ht="16.5" thickBot="1" x14ac:dyDescent="0.3">
      <c r="A111" s="15"/>
      <c r="B111" s="2"/>
      <c r="C111" s="12" t="s">
        <v>716</v>
      </c>
      <c r="D111" s="19"/>
      <c r="E111" s="19"/>
      <c r="F111" s="19"/>
      <c r="G111" s="77"/>
      <c r="H111" s="77"/>
      <c r="I111" s="19"/>
      <c r="J111" s="77"/>
      <c r="K111" s="77"/>
      <c r="L111" s="181"/>
      <c r="M111" s="181"/>
      <c r="N111" s="186"/>
      <c r="O111" s="452"/>
      <c r="P111" s="452"/>
      <c r="Q111" s="452"/>
      <c r="R111" s="19"/>
      <c r="S111" s="77"/>
      <c r="T111" s="77"/>
      <c r="U111" s="19"/>
      <c r="V111" s="77"/>
      <c r="W111" s="77"/>
      <c r="X111" s="181"/>
      <c r="Y111" s="181"/>
      <c r="Z111" s="186"/>
      <c r="AA111" s="186"/>
      <c r="AB111" s="186"/>
      <c r="AC111" s="186"/>
      <c r="AD111" s="71"/>
      <c r="AF111" s="256"/>
    </row>
    <row r="112" spans="1:35" ht="16.5" thickBot="1" x14ac:dyDescent="0.25">
      <c r="A112" s="15"/>
      <c r="B112" s="2"/>
      <c r="C112" s="10" t="s">
        <v>3342</v>
      </c>
      <c r="D112" s="19"/>
      <c r="E112" s="19"/>
      <c r="F112" s="19"/>
      <c r="G112" s="1077">
        <v>0</v>
      </c>
      <c r="H112" s="77"/>
      <c r="I112" s="19"/>
      <c r="J112" s="1077">
        <v>0</v>
      </c>
      <c r="K112" s="77"/>
      <c r="L112" s="181"/>
      <c r="M112" s="1079">
        <f>+G112+J112</f>
        <v>0</v>
      </c>
      <c r="N112" s="186"/>
      <c r="O112" s="452"/>
      <c r="P112" s="452"/>
      <c r="Q112" s="452"/>
      <c r="R112" s="19"/>
      <c r="S112" s="1077">
        <v>0</v>
      </c>
      <c r="T112" s="77"/>
      <c r="U112" s="19"/>
      <c r="V112" s="1077">
        <v>0</v>
      </c>
      <c r="W112" s="77"/>
      <c r="X112" s="181"/>
      <c r="Y112" s="1079">
        <f>+S112+V112</f>
        <v>0</v>
      </c>
      <c r="Z112" s="186"/>
      <c r="AA112" s="186"/>
      <c r="AB112" s="1079">
        <f>Y112+M112</f>
        <v>0</v>
      </c>
      <c r="AC112" s="186"/>
      <c r="AD112" s="71"/>
      <c r="AF112" s="255">
        <f>IF(+G112+J112+S112+V112-AB112=0,0,1)</f>
        <v>0</v>
      </c>
      <c r="AH112" s="142"/>
      <c r="AI112" s="241"/>
    </row>
    <row r="113" spans="1:35" ht="15.75" x14ac:dyDescent="0.25">
      <c r="A113" s="15"/>
      <c r="B113" s="2"/>
      <c r="C113" s="12"/>
      <c r="D113" s="19"/>
      <c r="E113" s="19"/>
      <c r="F113" s="19"/>
      <c r="G113" s="77"/>
      <c r="H113" s="77"/>
      <c r="I113" s="77"/>
      <c r="J113" s="77"/>
      <c r="K113" s="77"/>
      <c r="L113" s="181"/>
      <c r="M113" s="181"/>
      <c r="N113" s="186"/>
      <c r="O113" s="452"/>
      <c r="P113" s="452"/>
      <c r="Q113" s="452"/>
      <c r="R113" s="19"/>
      <c r="S113" s="77"/>
      <c r="T113" s="77"/>
      <c r="U113" s="77"/>
      <c r="V113" s="77"/>
      <c r="W113" s="77"/>
      <c r="X113" s="181"/>
      <c r="Y113" s="181"/>
      <c r="Z113" s="186"/>
      <c r="AA113" s="186"/>
      <c r="AB113" s="186"/>
      <c r="AC113" s="186"/>
      <c r="AD113" s="71"/>
      <c r="AF113" s="256"/>
    </row>
    <row r="114" spans="1:35" ht="16.5" thickBot="1" x14ac:dyDescent="0.3">
      <c r="A114" s="15"/>
      <c r="B114" s="2"/>
      <c r="C114" s="12" t="s">
        <v>701</v>
      </c>
      <c r="D114" s="19"/>
      <c r="E114" s="19"/>
      <c r="F114" s="19"/>
      <c r="G114" s="77"/>
      <c r="H114" s="77"/>
      <c r="I114" s="77"/>
      <c r="J114" s="77"/>
      <c r="K114" s="77"/>
      <c r="L114" s="181"/>
      <c r="M114" s="181"/>
      <c r="N114" s="186"/>
      <c r="O114" s="452"/>
      <c r="P114" s="452"/>
      <c r="Q114" s="452"/>
      <c r="R114" s="19"/>
      <c r="S114" s="77"/>
      <c r="T114" s="77"/>
      <c r="U114" s="77"/>
      <c r="V114" s="77"/>
      <c r="W114" s="77"/>
      <c r="X114" s="181"/>
      <c r="Y114" s="181"/>
      <c r="Z114" s="186"/>
      <c r="AA114" s="186"/>
      <c r="AB114" s="186"/>
      <c r="AC114" s="186"/>
      <c r="AD114" s="71"/>
      <c r="AF114" s="256"/>
    </row>
    <row r="115" spans="1:35" ht="16.5" thickBot="1" x14ac:dyDescent="0.25">
      <c r="A115" s="15"/>
      <c r="B115" s="2"/>
      <c r="C115" s="10" t="s">
        <v>3249</v>
      </c>
      <c r="D115" s="19"/>
      <c r="E115" s="19"/>
      <c r="F115" s="19"/>
      <c r="G115" s="1077">
        <v>0</v>
      </c>
      <c r="H115" s="77"/>
      <c r="I115" s="19"/>
      <c r="J115" s="1077">
        <v>0</v>
      </c>
      <c r="K115" s="77"/>
      <c r="L115" s="181"/>
      <c r="M115" s="1079">
        <f>+G115+J115</f>
        <v>0</v>
      </c>
      <c r="N115" s="186"/>
      <c r="O115" s="452"/>
      <c r="P115" s="452"/>
      <c r="Q115" s="452"/>
      <c r="R115" s="19"/>
      <c r="S115" s="1077">
        <v>0</v>
      </c>
      <c r="T115" s="77"/>
      <c r="U115" s="19"/>
      <c r="V115" s="1077">
        <v>0</v>
      </c>
      <c r="W115" s="77"/>
      <c r="X115" s="181"/>
      <c r="Y115" s="1079">
        <f>+S115+V115</f>
        <v>0</v>
      </c>
      <c r="Z115" s="186"/>
      <c r="AA115" s="186"/>
      <c r="AB115" s="1079">
        <f>Y115+M115</f>
        <v>0</v>
      </c>
      <c r="AC115" s="186"/>
      <c r="AD115" s="71"/>
      <c r="AF115" s="255">
        <f>IF(+G115+J115+S115+V115-AB115=0,0,1)</f>
        <v>0</v>
      </c>
      <c r="AH115" s="142"/>
      <c r="AI115" s="241"/>
    </row>
    <row r="116" spans="1:35" x14ac:dyDescent="0.2">
      <c r="A116" s="15"/>
      <c r="B116" s="2"/>
      <c r="C116" s="10"/>
      <c r="D116" s="19"/>
      <c r="E116" s="19"/>
      <c r="F116" s="19"/>
      <c r="G116" s="77"/>
      <c r="H116" s="77"/>
      <c r="I116" s="19"/>
      <c r="J116" s="77"/>
      <c r="K116" s="77"/>
      <c r="L116" s="181"/>
      <c r="M116" s="181"/>
      <c r="N116" s="186"/>
      <c r="O116" s="452"/>
      <c r="P116" s="452"/>
      <c r="Q116" s="452"/>
      <c r="R116" s="19"/>
      <c r="S116" s="77"/>
      <c r="T116" s="77"/>
      <c r="U116" s="19"/>
      <c r="V116" s="77"/>
      <c r="W116" s="77"/>
      <c r="X116" s="181"/>
      <c r="Y116" s="181"/>
      <c r="Z116" s="186"/>
      <c r="AA116" s="186"/>
      <c r="AB116" s="186"/>
      <c r="AC116" s="186"/>
      <c r="AD116" s="71"/>
      <c r="AF116" s="256"/>
    </row>
    <row r="117" spans="1:35" ht="16.5" thickBot="1" x14ac:dyDescent="0.3">
      <c r="A117" s="15"/>
      <c r="B117" s="2"/>
      <c r="C117" s="12" t="s">
        <v>700</v>
      </c>
      <c r="D117" s="19"/>
      <c r="E117" s="19"/>
      <c r="F117" s="19"/>
      <c r="G117" s="77"/>
      <c r="H117" s="77"/>
      <c r="I117" s="19"/>
      <c r="J117" s="77"/>
      <c r="K117" s="77"/>
      <c r="L117" s="181"/>
      <c r="M117" s="181"/>
      <c r="N117" s="186"/>
      <c r="O117" s="452"/>
      <c r="P117" s="452"/>
      <c r="Q117" s="452"/>
      <c r="R117" s="19"/>
      <c r="S117" s="77"/>
      <c r="T117" s="77"/>
      <c r="U117" s="19"/>
      <c r="V117" s="77"/>
      <c r="W117" s="77"/>
      <c r="X117" s="181"/>
      <c r="Y117" s="181"/>
      <c r="Z117" s="186"/>
      <c r="AA117" s="186"/>
      <c r="AB117" s="186"/>
      <c r="AC117" s="186"/>
      <c r="AD117" s="71"/>
      <c r="AF117" s="256"/>
    </row>
    <row r="118" spans="1:35" ht="16.5" thickBot="1" x14ac:dyDescent="0.25">
      <c r="A118" s="15"/>
      <c r="B118" s="2"/>
      <c r="C118" s="10" t="s">
        <v>2828</v>
      </c>
      <c r="D118" s="19"/>
      <c r="E118" s="19"/>
      <c r="F118" s="19"/>
      <c r="G118" s="1077">
        <v>0</v>
      </c>
      <c r="H118" s="77"/>
      <c r="I118" s="19"/>
      <c r="J118" s="1077">
        <v>0</v>
      </c>
      <c r="K118" s="77"/>
      <c r="L118" s="181"/>
      <c r="M118" s="1079">
        <f>+G118+J118</f>
        <v>0</v>
      </c>
      <c r="N118" s="186"/>
      <c r="O118" s="452"/>
      <c r="P118" s="452"/>
      <c r="Q118" s="452"/>
      <c r="R118" s="19"/>
      <c r="S118" s="1077">
        <v>0</v>
      </c>
      <c r="T118" s="77"/>
      <c r="U118" s="19"/>
      <c r="V118" s="1077">
        <v>0</v>
      </c>
      <c r="W118" s="77"/>
      <c r="X118" s="181"/>
      <c r="Y118" s="1079">
        <f>+S118+V118</f>
        <v>0</v>
      </c>
      <c r="Z118" s="186"/>
      <c r="AA118" s="186"/>
      <c r="AB118" s="1079">
        <f>Y118+M118</f>
        <v>0</v>
      </c>
      <c r="AC118" s="186"/>
      <c r="AD118" s="71"/>
      <c r="AF118" s="255">
        <f>IF(+G118+J118+S118+V118-AB118=0,0,1)</f>
        <v>0</v>
      </c>
      <c r="AH118" s="142"/>
      <c r="AI118" s="241"/>
    </row>
    <row r="119" spans="1:35" x14ac:dyDescent="0.2">
      <c r="A119" s="15"/>
      <c r="B119" s="2"/>
      <c r="C119" s="10"/>
      <c r="D119" s="19"/>
      <c r="E119" s="19"/>
      <c r="F119" s="19"/>
      <c r="G119" s="77"/>
      <c r="H119" s="77"/>
      <c r="I119" s="77"/>
      <c r="J119" s="77"/>
      <c r="K119" s="77"/>
      <c r="L119" s="181"/>
      <c r="M119" s="181"/>
      <c r="N119" s="186"/>
      <c r="O119" s="452"/>
      <c r="P119" s="452"/>
      <c r="Q119" s="452"/>
      <c r="R119" s="19"/>
      <c r="S119" s="77"/>
      <c r="T119" s="77"/>
      <c r="U119" s="77"/>
      <c r="V119" s="77"/>
      <c r="W119" s="77"/>
      <c r="X119" s="181"/>
      <c r="Y119" s="181"/>
      <c r="Z119" s="186"/>
      <c r="AA119" s="186"/>
      <c r="AB119" s="186"/>
      <c r="AC119" s="186"/>
      <c r="AD119" s="71"/>
      <c r="AF119" s="256"/>
    </row>
    <row r="120" spans="1:35" ht="16.5" thickBot="1" x14ac:dyDescent="0.3">
      <c r="A120" s="15"/>
      <c r="B120" s="2"/>
      <c r="C120" s="12" t="s">
        <v>702</v>
      </c>
      <c r="D120" s="19"/>
      <c r="E120" s="19"/>
      <c r="F120" s="19"/>
      <c r="G120" s="77"/>
      <c r="H120" s="77"/>
      <c r="I120" s="19"/>
      <c r="J120" s="77"/>
      <c r="K120" s="77"/>
      <c r="L120" s="181"/>
      <c r="M120" s="181"/>
      <c r="N120" s="186"/>
      <c r="O120" s="452"/>
      <c r="P120" s="452"/>
      <c r="Q120" s="452"/>
      <c r="R120" s="19"/>
      <c r="S120" s="77"/>
      <c r="T120" s="77"/>
      <c r="U120" s="19"/>
      <c r="V120" s="77"/>
      <c r="W120" s="77"/>
      <c r="X120" s="181"/>
      <c r="Y120" s="181"/>
      <c r="Z120" s="186"/>
      <c r="AA120" s="186"/>
      <c r="AB120" s="186"/>
      <c r="AC120" s="186"/>
      <c r="AD120" s="71"/>
      <c r="AF120" s="256"/>
    </row>
    <row r="121" spans="1:35" ht="16.5" thickBot="1" x14ac:dyDescent="0.25">
      <c r="A121" s="15"/>
      <c r="B121" s="2"/>
      <c r="C121" s="10" t="s">
        <v>2829</v>
      </c>
      <c r="D121" s="19"/>
      <c r="E121" s="19"/>
      <c r="F121" s="19"/>
      <c r="G121" s="1077">
        <v>0</v>
      </c>
      <c r="H121" s="77"/>
      <c r="I121" s="19"/>
      <c r="J121" s="1077">
        <v>0</v>
      </c>
      <c r="K121" s="77"/>
      <c r="L121" s="181"/>
      <c r="M121" s="1079">
        <f>+G121+J121</f>
        <v>0</v>
      </c>
      <c r="N121" s="186"/>
      <c r="O121" s="452"/>
      <c r="P121" s="452"/>
      <c r="Q121" s="452"/>
      <c r="R121" s="19"/>
      <c r="S121" s="1098">
        <v>0</v>
      </c>
      <c r="T121" s="77"/>
      <c r="U121" s="19"/>
      <c r="V121" s="1098">
        <v>0</v>
      </c>
      <c r="W121" s="77"/>
      <c r="X121" s="181"/>
      <c r="Y121" s="1099">
        <f>+S121+V121</f>
        <v>0</v>
      </c>
      <c r="Z121" s="186"/>
      <c r="AA121" s="186"/>
      <c r="AB121" s="1079">
        <f>Y121+M121</f>
        <v>0</v>
      </c>
      <c r="AC121" s="186"/>
      <c r="AD121" s="71"/>
      <c r="AF121" s="255">
        <f>IF(+G121+J121-M121=0,0,1)</f>
        <v>0</v>
      </c>
      <c r="AH121" s="142"/>
      <c r="AI121" s="241"/>
    </row>
    <row r="122" spans="1:35" x14ac:dyDescent="0.2">
      <c r="A122" s="15"/>
      <c r="B122" s="2"/>
      <c r="C122" s="10"/>
      <c r="D122" s="19"/>
      <c r="E122" s="19"/>
      <c r="F122" s="19"/>
      <c r="G122" s="77"/>
      <c r="H122" s="77"/>
      <c r="I122" s="77"/>
      <c r="J122" s="77"/>
      <c r="K122" s="77"/>
      <c r="L122" s="181"/>
      <c r="M122" s="181"/>
      <c r="N122" s="186"/>
      <c r="O122" s="452"/>
      <c r="P122" s="452"/>
      <c r="Q122" s="452"/>
      <c r="R122" s="19"/>
      <c r="S122" s="77"/>
      <c r="T122" s="77"/>
      <c r="U122" s="77"/>
      <c r="V122" s="77"/>
      <c r="W122" s="77"/>
      <c r="X122" s="181"/>
      <c r="Y122" s="181"/>
      <c r="Z122" s="186"/>
      <c r="AA122" s="186"/>
      <c r="AB122" s="186"/>
      <c r="AC122" s="186"/>
      <c r="AD122" s="71"/>
      <c r="AF122" s="256"/>
    </row>
    <row r="123" spans="1:35" ht="16.5" thickBot="1" x14ac:dyDescent="0.3">
      <c r="A123" s="15"/>
      <c r="B123" s="2"/>
      <c r="C123" s="12" t="s">
        <v>1331</v>
      </c>
      <c r="D123" s="19"/>
      <c r="E123" s="19"/>
      <c r="F123" s="19"/>
      <c r="G123" s="77"/>
      <c r="H123" s="77"/>
      <c r="I123" s="77"/>
      <c r="J123" s="77"/>
      <c r="K123" s="77"/>
      <c r="L123" s="181"/>
      <c r="M123" s="181"/>
      <c r="N123" s="186"/>
      <c r="O123" s="452"/>
      <c r="P123" s="452"/>
      <c r="Q123" s="452"/>
      <c r="R123" s="19"/>
      <c r="S123" s="77"/>
      <c r="T123" s="77"/>
      <c r="U123" s="77"/>
      <c r="V123" s="77"/>
      <c r="W123" s="77"/>
      <c r="X123" s="181"/>
      <c r="Y123" s="181"/>
      <c r="Z123" s="186"/>
      <c r="AA123" s="186"/>
      <c r="AB123" s="186"/>
      <c r="AC123" s="186"/>
      <c r="AD123" s="71"/>
      <c r="AF123" s="256"/>
    </row>
    <row r="124" spans="1:35" ht="16.5" thickBot="1" x14ac:dyDescent="0.25">
      <c r="A124" s="15"/>
      <c r="B124" s="2"/>
      <c r="C124" s="10" t="s">
        <v>2830</v>
      </c>
      <c r="D124" s="19"/>
      <c r="E124" s="19"/>
      <c r="F124" s="19"/>
      <c r="G124" s="1077">
        <v>0</v>
      </c>
      <c r="H124" s="77"/>
      <c r="I124" s="19"/>
      <c r="J124" s="1077">
        <v>0</v>
      </c>
      <c r="K124" s="77"/>
      <c r="L124" s="181"/>
      <c r="M124" s="1079">
        <f>+G124+J124</f>
        <v>0</v>
      </c>
      <c r="N124" s="186"/>
      <c r="O124" s="452"/>
      <c r="P124" s="452"/>
      <c r="Q124" s="452"/>
      <c r="R124" s="19"/>
      <c r="S124" s="1077">
        <v>0</v>
      </c>
      <c r="T124" s="77"/>
      <c r="U124" s="19"/>
      <c r="V124" s="1077">
        <v>0</v>
      </c>
      <c r="W124" s="77"/>
      <c r="X124" s="181"/>
      <c r="Y124" s="1079">
        <f>+S124+V124</f>
        <v>0</v>
      </c>
      <c r="Z124" s="186"/>
      <c r="AA124" s="186"/>
      <c r="AB124" s="1079">
        <f>Y124+M124</f>
        <v>0</v>
      </c>
      <c r="AC124" s="186"/>
      <c r="AD124" s="71"/>
      <c r="AF124" s="255">
        <f>IF(+G124+J124+S124+V124-AB124=0,0,1)</f>
        <v>0</v>
      </c>
      <c r="AH124" s="142"/>
      <c r="AI124" s="241"/>
    </row>
    <row r="125" spans="1:35" ht="15.75" customHeight="1" x14ac:dyDescent="0.25">
      <c r="A125" s="15"/>
      <c r="B125" s="2"/>
      <c r="C125" s="194"/>
      <c r="D125" s="19"/>
      <c r="E125" s="19"/>
      <c r="F125" s="19"/>
      <c r="G125" s="19"/>
      <c r="H125" s="19"/>
      <c r="I125" s="19"/>
      <c r="J125" s="19"/>
      <c r="K125" s="77"/>
      <c r="L125" s="181"/>
      <c r="M125" s="182"/>
      <c r="N125" s="186"/>
      <c r="O125" s="452"/>
      <c r="P125" s="452"/>
      <c r="Q125" s="452"/>
      <c r="R125" s="19"/>
      <c r="S125" s="19"/>
      <c r="T125" s="19"/>
      <c r="U125" s="19"/>
      <c r="V125" s="19"/>
      <c r="W125" s="77"/>
      <c r="X125" s="181"/>
      <c r="Y125" s="1237"/>
      <c r="Z125" s="1169"/>
      <c r="AA125" s="1169"/>
      <c r="AB125" s="1169"/>
      <c r="AC125" s="186"/>
      <c r="AD125" s="71"/>
      <c r="AF125" s="255"/>
      <c r="AI125" s="241"/>
    </row>
    <row r="126" spans="1:35" ht="16.5" customHeight="1" thickBot="1" x14ac:dyDescent="0.25">
      <c r="A126" s="15"/>
      <c r="B126" s="2"/>
      <c r="C126" s="970" t="s">
        <v>719</v>
      </c>
      <c r="D126" s="950"/>
      <c r="E126" s="950"/>
      <c r="F126" s="950"/>
      <c r="G126" s="961" t="s">
        <v>719</v>
      </c>
      <c r="H126" s="952"/>
      <c r="I126" s="950"/>
      <c r="J126" s="961" t="s">
        <v>719</v>
      </c>
      <c r="K126" s="952"/>
      <c r="L126" s="181"/>
      <c r="M126" s="182"/>
      <c r="N126" s="186"/>
      <c r="O126" s="452"/>
      <c r="P126" s="452"/>
      <c r="Q126" s="452"/>
      <c r="R126" s="950"/>
      <c r="S126" s="961" t="s">
        <v>719</v>
      </c>
      <c r="T126" s="952"/>
      <c r="U126" s="950"/>
      <c r="V126" s="961" t="s">
        <v>719</v>
      </c>
      <c r="W126" s="952"/>
      <c r="X126" s="1698" t="str">
        <f>IF('Part 3 DA summary'!W6=('Part 2'!J127+'Part 2'!V127)*-1,"","Case A amounts should total the amount in the Case A column in the DA Summary")</f>
        <v/>
      </c>
      <c r="Y126" s="1698"/>
      <c r="Z126" s="1698"/>
      <c r="AA126" s="1698"/>
      <c r="AB126" s="1698"/>
      <c r="AC126" s="1698"/>
      <c r="AD126" s="71"/>
      <c r="AF126" s="256"/>
    </row>
    <row r="127" spans="1:35" ht="16.5" customHeight="1" thickBot="1" x14ac:dyDescent="0.25">
      <c r="A127" s="15"/>
      <c r="B127" s="2"/>
      <c r="C127" s="959" t="s">
        <v>3343</v>
      </c>
      <c r="D127" s="950"/>
      <c r="E127" s="950"/>
      <c r="F127" s="950"/>
      <c r="G127" s="952"/>
      <c r="H127" s="952"/>
      <c r="I127" s="950"/>
      <c r="J127" s="1082">
        <v>0</v>
      </c>
      <c r="K127" s="952"/>
      <c r="L127" s="181"/>
      <c r="M127" s="181"/>
      <c r="N127" s="186"/>
      <c r="O127" s="452"/>
      <c r="P127" s="452"/>
      <c r="Q127" s="452"/>
      <c r="R127" s="950"/>
      <c r="S127" s="952"/>
      <c r="T127" s="952"/>
      <c r="U127" s="950"/>
      <c r="V127" s="1082">
        <v>0</v>
      </c>
      <c r="W127" s="952"/>
      <c r="X127" s="1698"/>
      <c r="Y127" s="1698"/>
      <c r="Z127" s="1698"/>
      <c r="AA127" s="1698"/>
      <c r="AB127" s="1698"/>
      <c r="AC127" s="1698"/>
      <c r="AD127" s="71"/>
      <c r="AF127" s="255">
        <f>IF((ABS(J127)+ABS(V127))&gt;ABS(AB124),1,0)</f>
        <v>0</v>
      </c>
      <c r="AG127" s="1266"/>
      <c r="AI127" s="241"/>
    </row>
    <row r="128" spans="1:35" ht="15.75" customHeight="1" thickBot="1" x14ac:dyDescent="0.3">
      <c r="A128" s="15"/>
      <c r="B128" s="2"/>
      <c r="C128" s="1358" t="str">
        <f>IF($AF$127&lt;&gt;0,"Relief given to Case A Hereditaments is greater than total relief. Please check the figures.","")</f>
        <v/>
      </c>
      <c r="D128" s="950"/>
      <c r="E128" s="950"/>
      <c r="F128" s="950"/>
      <c r="G128" s="962"/>
      <c r="H128" s="1277"/>
      <c r="I128" s="952"/>
      <c r="J128" s="968"/>
      <c r="K128" s="968"/>
      <c r="L128" s="181"/>
      <c r="M128" s="979"/>
      <c r="N128" s="186"/>
      <c r="O128" s="452"/>
      <c r="P128" s="452"/>
      <c r="Q128" s="452"/>
      <c r="R128" s="950"/>
      <c r="S128" s="952"/>
      <c r="T128" s="952"/>
      <c r="U128" s="952"/>
      <c r="V128" s="952"/>
      <c r="W128" s="968"/>
      <c r="X128" s="1698"/>
      <c r="Y128" s="1698"/>
      <c r="Z128" s="1698"/>
      <c r="AA128" s="1698"/>
      <c r="AB128" s="1698"/>
      <c r="AC128" s="1698"/>
      <c r="AD128" s="651"/>
      <c r="AF128" s="255"/>
      <c r="AG128" s="1268"/>
      <c r="AI128" s="241"/>
    </row>
    <row r="129" spans="1:35" ht="16.5" thickBot="1" x14ac:dyDescent="0.25">
      <c r="A129" s="15"/>
      <c r="B129" s="2"/>
      <c r="C129" s="959" t="s">
        <v>3344</v>
      </c>
      <c r="D129" s="950"/>
      <c r="E129" s="950"/>
      <c r="F129" s="950"/>
      <c r="G129" s="1077">
        <v>0</v>
      </c>
      <c r="H129" s="952"/>
      <c r="I129" s="950"/>
      <c r="J129" s="962"/>
      <c r="K129" s="952"/>
      <c r="L129" s="181"/>
      <c r="M129" s="979"/>
      <c r="N129" s="186"/>
      <c r="O129" s="452"/>
      <c r="P129" s="452"/>
      <c r="Q129" s="452"/>
      <c r="R129" s="950"/>
      <c r="S129" s="1077">
        <v>0</v>
      </c>
      <c r="T129" s="952"/>
      <c r="U129" s="950"/>
      <c r="V129" s="962"/>
      <c r="W129" s="952"/>
      <c r="X129" s="181"/>
      <c r="Y129" s="1700"/>
      <c r="Z129" s="1700"/>
      <c r="AA129" s="1700"/>
      <c r="AB129" s="1700"/>
      <c r="AC129" s="1700"/>
      <c r="AD129" s="71"/>
      <c r="AF129" s="255">
        <f>IF((ABS(G129)+ABS(S129))&gt;ABS(AB124),1,0)</f>
        <v>0</v>
      </c>
      <c r="AG129" s="1269" t="s">
        <v>1374</v>
      </c>
      <c r="AI129" s="241"/>
    </row>
    <row r="130" spans="1:35" ht="16.5" customHeight="1" thickBot="1" x14ac:dyDescent="0.3">
      <c r="A130" s="15"/>
      <c r="B130" s="2"/>
      <c r="C130" s="1358" t="str">
        <f>IF($AF$129&lt;&gt;0,"Relief given to Case B Hereditaments is greater than total relief. Please check the figures.","")</f>
        <v/>
      </c>
      <c r="D130" s="950"/>
      <c r="E130" s="950"/>
      <c r="F130" s="950"/>
      <c r="G130" s="952"/>
      <c r="H130" s="960"/>
      <c r="I130" s="952"/>
      <c r="J130" s="952"/>
      <c r="K130" s="952"/>
      <c r="L130" s="181"/>
      <c r="M130" s="181"/>
      <c r="N130" s="186"/>
      <c r="O130" s="452"/>
      <c r="P130" s="452"/>
      <c r="Q130" s="452"/>
      <c r="R130" s="950"/>
      <c r="S130" s="952"/>
      <c r="T130" s="960"/>
      <c r="U130" s="952"/>
      <c r="V130" s="952"/>
      <c r="W130" s="952"/>
      <c r="X130" s="1699" t="str">
        <f>IF($AF$134&lt;&gt;0,"Line 29 should be greater than (line 30 + line 31 + line 32+ line 33) please check the figures","")</f>
        <v/>
      </c>
      <c r="Y130" s="1699"/>
      <c r="Z130" s="1699"/>
      <c r="AA130" s="1699"/>
      <c r="AB130" s="1699"/>
      <c r="AC130" s="1699"/>
      <c r="AD130" s="71"/>
      <c r="AF130" s="255"/>
      <c r="AG130" s="1265" t="e">
        <f>IF(OR('Part 1'!$K16="E2234",'Part 1'!$K16="E4603",'Part 1'!$K16="E2001",'Part 1'!$K16="E0601",'Part 1'!$K16="E0704"),1,0)</f>
        <v>#N/A</v>
      </c>
    </row>
    <row r="131" spans="1:35" ht="16.5" thickBot="1" x14ac:dyDescent="0.25">
      <c r="A131" s="15"/>
      <c r="B131" s="2"/>
      <c r="C131" s="949" t="s">
        <v>3402</v>
      </c>
      <c r="D131" s="950"/>
      <c r="E131" s="950"/>
      <c r="F131" s="950"/>
      <c r="G131" s="952"/>
      <c r="H131" s="952"/>
      <c r="I131" s="952"/>
      <c r="J131" s="1077">
        <v>0</v>
      </c>
      <c r="K131" s="952"/>
      <c r="L131" s="181"/>
      <c r="M131" s="181"/>
      <c r="N131" s="186"/>
      <c r="O131" s="452"/>
      <c r="P131" s="452"/>
      <c r="Q131" s="452"/>
      <c r="R131" s="950"/>
      <c r="S131" s="952"/>
      <c r="T131" s="952"/>
      <c r="U131" s="952"/>
      <c r="V131" s="1077">
        <v>0</v>
      </c>
      <c r="W131" s="952"/>
      <c r="X131" s="1699"/>
      <c r="Y131" s="1699"/>
      <c r="Z131" s="1699"/>
      <c r="AA131" s="1699"/>
      <c r="AB131" s="1699"/>
      <c r="AC131" s="1699"/>
      <c r="AD131" s="71"/>
      <c r="AF131" s="255">
        <f>IF((ABS(J131)+ABS(V131))&gt;ABS(AB124),1,0)</f>
        <v>0</v>
      </c>
      <c r="AG131" s="1270" t="s">
        <v>2328</v>
      </c>
    </row>
    <row r="132" spans="1:35" ht="16.5" thickBot="1" x14ac:dyDescent="0.25">
      <c r="A132" s="15"/>
      <c r="B132" s="2"/>
      <c r="C132" s="1359" t="str">
        <f>IF($AF$131&lt;&gt;0,"Relief given to Freeports is greater than total relief. Please check the figures.","")</f>
        <v/>
      </c>
      <c r="D132" s="950"/>
      <c r="E132" s="950"/>
      <c r="F132" s="950"/>
      <c r="G132" s="952"/>
      <c r="H132" s="952"/>
      <c r="I132" s="952"/>
      <c r="J132" s="952"/>
      <c r="K132" s="952"/>
      <c r="L132" s="181"/>
      <c r="M132" s="181"/>
      <c r="N132" s="186"/>
      <c r="O132" s="452"/>
      <c r="P132" s="452"/>
      <c r="Q132" s="452"/>
      <c r="R132" s="950"/>
      <c r="S132" s="952"/>
      <c r="T132" s="952"/>
      <c r="U132" s="952"/>
      <c r="V132" s="968" t="str">
        <f>IF(AND($AF$130&lt;&gt;0,$AF$127=0,$AF$131=0),"Relief given to Case A Hereditaments and Freeports greater than total relief. Please check the figures.","")</f>
        <v/>
      </c>
      <c r="W132" s="952"/>
      <c r="X132" s="1699"/>
      <c r="Y132" s="1699"/>
      <c r="Z132" s="1699"/>
      <c r="AA132" s="1699"/>
      <c r="AB132" s="1699"/>
      <c r="AC132" s="1699"/>
      <c r="AD132" s="1140"/>
      <c r="AF132" s="255"/>
      <c r="AG132" s="1267" t="e">
        <f>IF(INDEX(TierSplit!BY:BY,MATCH(Import_LA_Code,Ref_LA_Codes2,0))="Yes",1,0)</f>
        <v>#N/A</v>
      </c>
    </row>
    <row r="133" spans="1:35" ht="16.5" thickBot="1" x14ac:dyDescent="0.25">
      <c r="A133" s="15"/>
      <c r="B133" s="2"/>
      <c r="C133" s="949" t="s">
        <v>3403</v>
      </c>
      <c r="D133" s="950"/>
      <c r="E133" s="950"/>
      <c r="F133" s="950"/>
      <c r="G133" s="1082">
        <v>0</v>
      </c>
      <c r="H133" s="952"/>
      <c r="I133" s="952"/>
      <c r="J133" s="1082">
        <v>0</v>
      </c>
      <c r="K133" s="952"/>
      <c r="L133" s="181"/>
      <c r="M133" s="1225">
        <f>+G133+J133</f>
        <v>0</v>
      </c>
      <c r="N133" s="186"/>
      <c r="O133" s="452"/>
      <c r="P133" s="452"/>
      <c r="Q133" s="452"/>
      <c r="R133" s="950"/>
      <c r="S133" s="1082">
        <v>0</v>
      </c>
      <c r="T133" s="952"/>
      <c r="U133" s="952"/>
      <c r="V133" s="1082">
        <v>0</v>
      </c>
      <c r="W133" s="952"/>
      <c r="X133" s="181"/>
      <c r="Y133" s="1226">
        <f>+S133+V133</f>
        <v>0</v>
      </c>
      <c r="Z133" s="186"/>
      <c r="AA133" s="1226">
        <f>Y133+M133</f>
        <v>0</v>
      </c>
      <c r="AB133" s="1226"/>
      <c r="AC133" s="186"/>
      <c r="AD133" s="1140"/>
      <c r="AF133" s="255">
        <f>IF((ABS(G133)+ABS(J133)+ABS(S133)+ABS(V133))&gt;ABS(AB124),1,0)</f>
        <v>0</v>
      </c>
      <c r="AG133" s="1270" t="s">
        <v>3329</v>
      </c>
    </row>
    <row r="134" spans="1:35" ht="16.5" thickBot="1" x14ac:dyDescent="0.3">
      <c r="A134" s="15"/>
      <c r="B134" s="2"/>
      <c r="C134" s="1358" t="str">
        <f>IF($AF$133&lt;&gt;0,"Relief given to Investment Zones is greater than total relief. Please check the figures.","")</f>
        <v/>
      </c>
      <c r="D134" s="950"/>
      <c r="E134" s="950"/>
      <c r="F134" s="950"/>
      <c r="G134" s="968"/>
      <c r="H134" s="968"/>
      <c r="I134" s="968"/>
      <c r="J134" s="968"/>
      <c r="K134" s="960"/>
      <c r="L134" s="181"/>
      <c r="M134" s="181"/>
      <c r="N134" s="186"/>
      <c r="O134" s="452"/>
      <c r="P134" s="452"/>
      <c r="Q134" s="452"/>
      <c r="R134" s="950"/>
      <c r="S134" s="968"/>
      <c r="T134" s="952"/>
      <c r="U134" s="952"/>
      <c r="V134" s="960"/>
      <c r="W134" s="960"/>
      <c r="X134" s="181"/>
      <c r="Y134" s="181"/>
      <c r="Z134" s="186"/>
      <c r="AA134" s="186"/>
      <c r="AB134" s="186"/>
      <c r="AC134" s="186"/>
      <c r="AD134" s="71"/>
      <c r="AF134" s="263">
        <f>IF((ABS(J127)+ABS(V127)+ABS(G129)+ABS(S129)+ABS(J131)+ABS(V131)+ABS(G133)+ABS(J133)+ABS(S133)+ABS(V133))&gt;(ABS(G124)+ABS(J124)+ABS(S124)+ABS(V124)),1,0)</f>
        <v>0</v>
      </c>
      <c r="AG134" s="1271" t="e">
        <f>IF(INDEX(TierSplit!BZ:BZ,MATCH(Import_LA_Code,Ref_LA_Codes2,0))="Yes",1,0)</f>
        <v>#N/A</v>
      </c>
    </row>
    <row r="135" spans="1:35" ht="15.75" thickBot="1" x14ac:dyDescent="0.25">
      <c r="A135" s="15"/>
      <c r="B135" s="4"/>
      <c r="C135" s="73"/>
      <c r="D135" s="73"/>
      <c r="E135" s="73"/>
      <c r="F135" s="73"/>
      <c r="G135" s="81"/>
      <c r="H135" s="81"/>
      <c r="I135" s="81"/>
      <c r="J135" s="81"/>
      <c r="K135" s="81"/>
      <c r="L135" s="188"/>
      <c r="M135" s="188"/>
      <c r="N135" s="203"/>
      <c r="O135" s="1092"/>
      <c r="P135" s="1092"/>
      <c r="Q135" s="1092"/>
      <c r="R135" s="73"/>
      <c r="S135" s="81"/>
      <c r="T135" s="81"/>
      <c r="U135" s="81"/>
      <c r="V135" s="81"/>
      <c r="W135" s="81"/>
      <c r="X135" s="188"/>
      <c r="Y135" s="188"/>
      <c r="Z135" s="1101"/>
      <c r="AA135" s="1107"/>
      <c r="AB135" s="1101"/>
      <c r="AC135" s="203"/>
      <c r="AD135" s="71"/>
      <c r="AF135" s="256"/>
    </row>
    <row r="136" spans="1:35" ht="15.75" thickBot="1" x14ac:dyDescent="0.25">
      <c r="A136" s="15"/>
      <c r="B136" s="5"/>
      <c r="C136" s="19"/>
      <c r="D136" s="19"/>
      <c r="E136" s="19"/>
      <c r="F136" s="223"/>
      <c r="G136" s="224"/>
      <c r="H136" s="225"/>
      <c r="I136" s="224"/>
      <c r="J136" s="224"/>
      <c r="K136" s="225"/>
      <c r="L136" s="226"/>
      <c r="M136" s="226"/>
      <c r="N136" s="227"/>
      <c r="O136" s="452"/>
      <c r="P136" s="452"/>
      <c r="Q136" s="452"/>
      <c r="R136" s="223"/>
      <c r="S136" s="224"/>
      <c r="T136" s="225"/>
      <c r="U136" s="224"/>
      <c r="V136" s="224"/>
      <c r="W136" s="225"/>
      <c r="X136" s="226"/>
      <c r="Y136" s="226"/>
      <c r="Z136" s="1113"/>
      <c r="AA136" s="1115"/>
      <c r="AB136" s="1113"/>
      <c r="AC136" s="227"/>
      <c r="AD136" s="71"/>
      <c r="AF136" s="256"/>
    </row>
    <row r="137" spans="1:35" ht="16.5" customHeight="1" thickBot="1" x14ac:dyDescent="0.25">
      <c r="A137" s="15"/>
      <c r="B137" s="5"/>
      <c r="C137" s="1644" t="s">
        <v>3345</v>
      </c>
      <c r="D137" s="1644"/>
      <c r="E137" s="19"/>
      <c r="F137" s="228"/>
      <c r="G137" s="1078">
        <f>+G112+G115+G118+G121+G124</f>
        <v>0</v>
      </c>
      <c r="H137" s="79"/>
      <c r="I137" s="19"/>
      <c r="J137" s="1078">
        <f>+J112+J115+J118+J121+J124</f>
        <v>0</v>
      </c>
      <c r="K137" s="79"/>
      <c r="L137" s="181"/>
      <c r="M137" s="181"/>
      <c r="N137" s="229"/>
      <c r="O137" s="354"/>
      <c r="P137" s="354"/>
      <c r="Q137" s="452"/>
      <c r="R137" s="228"/>
      <c r="S137" s="1078">
        <f>+S112+S115+S118+S121+S124</f>
        <v>0</v>
      </c>
      <c r="T137" s="79"/>
      <c r="U137" s="19"/>
      <c r="V137" s="1078">
        <f>+V112+V115+V118+V121+V124</f>
        <v>0</v>
      </c>
      <c r="W137" s="79"/>
      <c r="X137" s="181"/>
      <c r="Y137" s="181"/>
      <c r="Z137" s="186"/>
      <c r="AA137" s="1116"/>
      <c r="AB137" s="186"/>
      <c r="AC137" s="229"/>
      <c r="AD137" s="71"/>
      <c r="AF137" s="255">
        <f>IF(+G137+G140-G144=0,0,1)</f>
        <v>0</v>
      </c>
    </row>
    <row r="138" spans="1:35" ht="15.75" x14ac:dyDescent="0.2">
      <c r="A138" s="15"/>
      <c r="B138" s="5"/>
      <c r="C138" s="1644"/>
      <c r="D138" s="1644"/>
      <c r="E138" s="19"/>
      <c r="F138" s="228"/>
      <c r="G138" s="78"/>
      <c r="H138" s="79"/>
      <c r="I138" s="19"/>
      <c r="J138" s="78"/>
      <c r="K138" s="79"/>
      <c r="L138" s="181"/>
      <c r="M138" s="181"/>
      <c r="N138" s="229"/>
      <c r="O138" s="354"/>
      <c r="P138" s="354"/>
      <c r="Q138" s="452"/>
      <c r="R138" s="228"/>
      <c r="S138" s="78"/>
      <c r="T138" s="79"/>
      <c r="U138" s="19"/>
      <c r="V138" s="78"/>
      <c r="W138" s="79"/>
      <c r="X138" s="181"/>
      <c r="Y138" s="181"/>
      <c r="Z138" s="186"/>
      <c r="AA138" s="1116"/>
      <c r="AB138" s="186"/>
      <c r="AC138" s="229"/>
      <c r="AD138" s="71"/>
      <c r="AF138" s="255">
        <f>IF(+S137+S140-S144=0,0,1)</f>
        <v>0</v>
      </c>
    </row>
    <row r="139" spans="1:35" ht="16.5" customHeight="1" thickBot="1" x14ac:dyDescent="0.25">
      <c r="A139" s="15"/>
      <c r="B139" s="5"/>
      <c r="C139" s="356"/>
      <c r="D139" s="356"/>
      <c r="E139" s="19"/>
      <c r="F139" s="228"/>
      <c r="G139" s="78"/>
      <c r="H139" s="79"/>
      <c r="I139" s="19"/>
      <c r="J139" s="78"/>
      <c r="K139" s="79"/>
      <c r="L139" s="181"/>
      <c r="M139" s="181"/>
      <c r="N139" s="229"/>
      <c r="O139" s="1091"/>
      <c r="P139" s="1091"/>
      <c r="Q139" s="452"/>
      <c r="R139" s="228"/>
      <c r="S139" s="78"/>
      <c r="T139" s="79"/>
      <c r="U139" s="19"/>
      <c r="V139" s="78"/>
      <c r="W139" s="79"/>
      <c r="X139" s="181"/>
      <c r="Y139" s="181"/>
      <c r="Z139" s="186"/>
      <c r="AA139" s="1116"/>
      <c r="AB139" s="186"/>
      <c r="AC139" s="229"/>
      <c r="AD139" s="71"/>
      <c r="AF139" s="255">
        <f>IF(+V137+V140-V144=0,0,1)</f>
        <v>0</v>
      </c>
    </row>
    <row r="140" spans="1:35" ht="16.5" customHeight="1" thickBot="1" x14ac:dyDescent="0.25">
      <c r="A140" s="15"/>
      <c r="B140" s="5"/>
      <c r="C140" s="1651" t="s">
        <v>3346</v>
      </c>
      <c r="D140" s="1651"/>
      <c r="E140" s="19"/>
      <c r="F140" s="228"/>
      <c r="G140" s="1077">
        <v>0</v>
      </c>
      <c r="H140" s="77"/>
      <c r="I140" s="699"/>
      <c r="J140" s="1077">
        <v>0</v>
      </c>
      <c r="K140" s="79"/>
      <c r="L140" s="181"/>
      <c r="M140" s="181"/>
      <c r="N140" s="229"/>
      <c r="O140" s="354"/>
      <c r="P140" s="354"/>
      <c r="Q140" s="452"/>
      <c r="R140" s="228"/>
      <c r="S140" s="1077">
        <v>0</v>
      </c>
      <c r="T140" s="77"/>
      <c r="U140" s="699"/>
      <c r="V140" s="1077">
        <v>0</v>
      </c>
      <c r="W140" s="79"/>
      <c r="X140" s="181"/>
      <c r="Y140" s="181"/>
      <c r="Z140" s="186"/>
      <c r="AA140" s="1116"/>
      <c r="AB140" s="186"/>
      <c r="AC140" s="229"/>
      <c r="AD140" s="71"/>
      <c r="AF140" s="255">
        <f>IF(+J137+J140-J144=0,0,1)</f>
        <v>0</v>
      </c>
      <c r="AI140" s="241"/>
    </row>
    <row r="141" spans="1:35" ht="15.75" customHeight="1" x14ac:dyDescent="0.2">
      <c r="A141" s="15"/>
      <c r="B141" s="5"/>
      <c r="C141" s="1651"/>
      <c r="D141" s="1651"/>
      <c r="E141" s="19"/>
      <c r="F141" s="228"/>
      <c r="G141" s="78"/>
      <c r="H141" s="79"/>
      <c r="I141" s="19"/>
      <c r="J141" s="78"/>
      <c r="K141" s="79"/>
      <c r="L141" s="181"/>
      <c r="M141" s="182"/>
      <c r="N141" s="229"/>
      <c r="O141" s="354"/>
      <c r="P141" s="354"/>
      <c r="Q141" s="452"/>
      <c r="R141" s="228"/>
      <c r="S141" s="78"/>
      <c r="T141" s="79"/>
      <c r="U141" s="19"/>
      <c r="V141" s="78"/>
      <c r="W141" s="79"/>
      <c r="X141" s="181"/>
      <c r="Y141" s="182"/>
      <c r="Z141" s="186"/>
      <c r="AA141" s="1116"/>
      <c r="AB141" s="186"/>
      <c r="AC141" s="229"/>
      <c r="AD141" s="71"/>
      <c r="AF141" s="256"/>
    </row>
    <row r="142" spans="1:35" ht="15.75" customHeight="1" x14ac:dyDescent="0.2">
      <c r="A142" s="15"/>
      <c r="B142" s="5"/>
      <c r="C142" s="1651"/>
      <c r="D142" s="1651"/>
      <c r="E142" s="19"/>
      <c r="F142" s="228"/>
      <c r="G142" s="78"/>
      <c r="H142" s="1141"/>
      <c r="I142" s="19"/>
      <c r="J142" s="78"/>
      <c r="K142" s="1141"/>
      <c r="L142" s="181"/>
      <c r="M142" s="182"/>
      <c r="N142" s="229"/>
      <c r="O142" s="354"/>
      <c r="P142" s="354"/>
      <c r="Q142" s="452"/>
      <c r="R142" s="228"/>
      <c r="S142" s="78"/>
      <c r="T142" s="1141"/>
      <c r="U142" s="19"/>
      <c r="V142" s="78"/>
      <c r="W142" s="1141"/>
      <c r="X142" s="181"/>
      <c r="Y142" s="182"/>
      <c r="Z142" s="186"/>
      <c r="AA142" s="1116"/>
      <c r="AB142" s="186"/>
      <c r="AC142" s="229"/>
      <c r="AD142" s="1140"/>
      <c r="AF142" s="256"/>
    </row>
    <row r="143" spans="1:35" ht="16.5" thickBot="1" x14ac:dyDescent="0.25">
      <c r="A143" s="15"/>
      <c r="B143" s="5"/>
      <c r="C143" s="356"/>
      <c r="D143" s="356"/>
      <c r="E143" s="19"/>
      <c r="F143" s="228"/>
      <c r="G143" s="78"/>
      <c r="H143" s="79"/>
      <c r="I143" s="19"/>
      <c r="J143" s="78"/>
      <c r="K143" s="79"/>
      <c r="L143" s="181"/>
      <c r="M143" s="182"/>
      <c r="N143" s="229"/>
      <c r="O143" s="1091"/>
      <c r="P143" s="1091"/>
      <c r="Q143" s="452"/>
      <c r="R143" s="228"/>
      <c r="S143" s="78"/>
      <c r="T143" s="79"/>
      <c r="U143" s="19"/>
      <c r="V143" s="78"/>
      <c r="W143" s="79"/>
      <c r="X143" s="181"/>
      <c r="Y143" s="182"/>
      <c r="Z143" s="186"/>
      <c r="AA143" s="1116"/>
      <c r="AB143" s="186"/>
      <c r="AC143" s="229"/>
      <c r="AD143" s="71"/>
      <c r="AF143" s="256"/>
    </row>
    <row r="144" spans="1:35" ht="16.5" customHeight="1" thickBot="1" x14ac:dyDescent="0.25">
      <c r="A144" s="15"/>
      <c r="B144" s="5"/>
      <c r="C144" s="1704" t="s">
        <v>3347</v>
      </c>
      <c r="D144" s="1704"/>
      <c r="E144" s="19"/>
      <c r="F144" s="228"/>
      <c r="G144" s="1078">
        <f>+G137+G140</f>
        <v>0</v>
      </c>
      <c r="H144" s="79"/>
      <c r="I144" s="19"/>
      <c r="J144" s="1078">
        <f>+J137+J140</f>
        <v>0</v>
      </c>
      <c r="K144" s="79"/>
      <c r="L144" s="181"/>
      <c r="M144" s="1079">
        <f>+G144+J144</f>
        <v>0</v>
      </c>
      <c r="N144" s="229"/>
      <c r="O144" s="354"/>
      <c r="P144" s="354"/>
      <c r="Q144" s="452"/>
      <c r="R144" s="228"/>
      <c r="S144" s="1078">
        <f>+S137+S140</f>
        <v>0</v>
      </c>
      <c r="T144" s="79"/>
      <c r="U144" s="19"/>
      <c r="V144" s="1078">
        <f>+V137+V140</f>
        <v>0</v>
      </c>
      <c r="W144" s="79"/>
      <c r="X144" s="181"/>
      <c r="Y144" s="1079">
        <f>+S144+V144</f>
        <v>0</v>
      </c>
      <c r="Z144" s="186"/>
      <c r="AA144" s="1116"/>
      <c r="AB144" s="1079">
        <f>Y144+M144</f>
        <v>0</v>
      </c>
      <c r="AC144" s="229"/>
      <c r="AD144" s="71"/>
      <c r="AF144" s="255">
        <f>IF(+G144+J144+S144+V144-AB144=0,0,1)</f>
        <v>0</v>
      </c>
      <c r="AH144" s="142"/>
    </row>
    <row r="145" spans="1:70" ht="16.5" thickBot="1" x14ac:dyDescent="0.25">
      <c r="A145" s="15"/>
      <c r="B145" s="5"/>
      <c r="C145" s="1704"/>
      <c r="D145" s="1704"/>
      <c r="E145" s="19"/>
      <c r="F145" s="230"/>
      <c r="G145" s="231"/>
      <c r="H145" s="232"/>
      <c r="I145" s="231"/>
      <c r="J145" s="231"/>
      <c r="K145" s="232"/>
      <c r="L145" s="233"/>
      <c r="M145" s="234"/>
      <c r="N145" s="235"/>
      <c r="O145" s="452"/>
      <c r="P145" s="452"/>
      <c r="Q145" s="452"/>
      <c r="R145" s="230"/>
      <c r="S145" s="231"/>
      <c r="T145" s="232"/>
      <c r="U145" s="231"/>
      <c r="V145" s="231"/>
      <c r="W145" s="232"/>
      <c r="X145" s="233"/>
      <c r="Y145" s="234"/>
      <c r="Z145" s="1114"/>
      <c r="AA145" s="1117"/>
      <c r="AB145" s="1114"/>
      <c r="AC145" s="235"/>
      <c r="AD145" s="71"/>
      <c r="AF145" s="256"/>
    </row>
    <row r="146" spans="1:70" ht="15.75" thickBot="1" x14ac:dyDescent="0.25">
      <c r="A146" s="15"/>
      <c r="B146" s="7"/>
      <c r="C146" s="74"/>
      <c r="D146" s="74"/>
      <c r="E146" s="74"/>
      <c r="F146" s="74"/>
      <c r="G146" s="83"/>
      <c r="H146" s="83"/>
      <c r="I146" s="83"/>
      <c r="J146" s="83"/>
      <c r="K146" s="83"/>
      <c r="L146" s="190"/>
      <c r="M146" s="190"/>
      <c r="N146" s="205"/>
      <c r="O146" s="1093"/>
      <c r="P146" s="1093"/>
      <c r="Q146" s="1093"/>
      <c r="R146" s="74"/>
      <c r="S146" s="83"/>
      <c r="T146" s="83"/>
      <c r="U146" s="83"/>
      <c r="V146" s="83"/>
      <c r="W146" s="83"/>
      <c r="X146" s="190"/>
      <c r="Y146" s="190"/>
      <c r="Z146" s="1102"/>
      <c r="AA146" s="1109"/>
      <c r="AB146" s="1102"/>
      <c r="AC146" s="205"/>
      <c r="AD146" s="71"/>
      <c r="AF146" s="256"/>
    </row>
    <row r="147" spans="1:70" ht="15.75" thickBot="1" x14ac:dyDescent="0.25">
      <c r="A147" s="16"/>
      <c r="B147" s="17"/>
      <c r="C147" s="90"/>
      <c r="D147" s="90"/>
      <c r="E147" s="90"/>
      <c r="F147" s="90"/>
      <c r="G147" s="92"/>
      <c r="H147" s="92"/>
      <c r="I147" s="92"/>
      <c r="J147" s="92"/>
      <c r="K147" s="92"/>
      <c r="L147" s="192"/>
      <c r="M147" s="192"/>
      <c r="N147" s="206"/>
      <c r="O147" s="1094"/>
      <c r="P147" s="1094"/>
      <c r="Q147" s="1094"/>
      <c r="R147" s="90"/>
      <c r="S147" s="92"/>
      <c r="T147" s="92"/>
      <c r="U147" s="92"/>
      <c r="V147" s="92"/>
      <c r="W147" s="92"/>
      <c r="X147" s="192"/>
      <c r="Y147" s="192"/>
      <c r="Z147" s="206"/>
      <c r="AA147" s="206"/>
      <c r="AB147" s="206"/>
      <c r="AC147" s="206"/>
      <c r="AD147" s="72"/>
      <c r="AF147" s="256"/>
    </row>
    <row r="148" spans="1:70" ht="18.75" customHeight="1" x14ac:dyDescent="0.25">
      <c r="A148" s="68"/>
      <c r="B148" s="69"/>
      <c r="C148" s="1264" t="s">
        <v>3404</v>
      </c>
      <c r="D148" s="1264"/>
      <c r="E148" s="344"/>
      <c r="F148" s="344"/>
      <c r="G148" s="344"/>
      <c r="H148" s="344"/>
      <c r="I148" s="344"/>
      <c r="J148" s="344"/>
      <c r="K148" s="344"/>
      <c r="L148" s="345"/>
      <c r="M148" s="345"/>
      <c r="N148" s="207"/>
      <c r="O148" s="1096"/>
      <c r="P148" s="1096"/>
      <c r="Q148" s="1096"/>
      <c r="R148" s="1096"/>
      <c r="S148" s="1096"/>
      <c r="T148" s="1096"/>
      <c r="U148" s="344"/>
      <c r="V148" s="344"/>
      <c r="W148" s="344"/>
      <c r="X148" s="345"/>
      <c r="Y148" s="345"/>
      <c r="Z148" s="207"/>
      <c r="AA148" s="207"/>
      <c r="AB148" s="207"/>
      <c r="AC148" s="207"/>
      <c r="AD148" s="70"/>
      <c r="AF148" s="256"/>
    </row>
    <row r="149" spans="1:70" ht="15.75" customHeight="1" x14ac:dyDescent="0.25">
      <c r="A149" s="15"/>
      <c r="B149" s="2"/>
      <c r="C149" s="343"/>
      <c r="D149" s="343"/>
      <c r="E149" s="343"/>
      <c r="F149" s="343"/>
      <c r="G149" s="343"/>
      <c r="H149" s="343"/>
      <c r="I149" s="343"/>
      <c r="J149" s="343"/>
      <c r="K149" s="343"/>
      <c r="L149" s="346"/>
      <c r="M149" s="346"/>
      <c r="N149" s="186"/>
      <c r="O149" s="354"/>
      <c r="P149" s="354"/>
      <c r="Q149" s="354"/>
      <c r="R149" s="354"/>
      <c r="S149" s="354"/>
      <c r="T149" s="354"/>
      <c r="U149" s="343"/>
      <c r="V149" s="343"/>
      <c r="W149" s="343"/>
      <c r="X149" s="346"/>
      <c r="Y149" s="346"/>
      <c r="Z149" s="186"/>
      <c r="AA149" s="186"/>
      <c r="AB149" s="186"/>
      <c r="AC149" s="186"/>
      <c r="AD149" s="71"/>
      <c r="AF149" s="256"/>
    </row>
    <row r="150" spans="1:70" s="273" customFormat="1" ht="16.5" thickBot="1" x14ac:dyDescent="0.3">
      <c r="A150" s="644"/>
      <c r="B150" s="354"/>
      <c r="C150" s="12" t="s">
        <v>2381</v>
      </c>
      <c r="D150" s="491"/>
      <c r="E150" s="452"/>
      <c r="F150" s="452"/>
      <c r="G150" s="491"/>
      <c r="H150" s="452"/>
      <c r="I150" s="452"/>
      <c r="J150" s="452"/>
      <c r="K150" s="452"/>
      <c r="L150" s="181"/>
      <c r="M150" s="181"/>
      <c r="N150" s="186"/>
      <c r="O150" s="491"/>
      <c r="P150" s="491"/>
      <c r="Q150" s="452"/>
      <c r="R150" s="452"/>
      <c r="S150" s="491"/>
      <c r="T150" s="452"/>
      <c r="U150" s="452"/>
      <c r="V150" s="452"/>
      <c r="W150" s="452"/>
      <c r="X150" s="181"/>
      <c r="Y150" s="181"/>
      <c r="Z150" s="186"/>
      <c r="AA150" s="186"/>
      <c r="AB150" s="186"/>
      <c r="AC150" s="186"/>
      <c r="AD150" s="647"/>
      <c r="AE150"/>
      <c r="AF150" s="674"/>
    </row>
    <row r="151" spans="1:70" s="273" customFormat="1" ht="16.5" customHeight="1" thickBot="1" x14ac:dyDescent="0.25">
      <c r="A151" s="644"/>
      <c r="B151" s="354"/>
      <c r="C151" s="972" t="s">
        <v>3348</v>
      </c>
      <c r="D151" s="1127"/>
      <c r="E151" s="646"/>
      <c r="F151" s="452"/>
      <c r="G151" s="1083">
        <v>0</v>
      </c>
      <c r="H151" s="645"/>
      <c r="I151" s="452"/>
      <c r="J151" s="1084">
        <v>0</v>
      </c>
      <c r="K151" s="491"/>
      <c r="L151" s="181"/>
      <c r="M151" s="1079">
        <f>+G151+J151</f>
        <v>0</v>
      </c>
      <c r="N151" s="186"/>
      <c r="O151" s="354"/>
      <c r="P151" s="354"/>
      <c r="Q151" s="646"/>
      <c r="R151" s="452"/>
      <c r="S151" s="1100">
        <v>0</v>
      </c>
      <c r="T151" s="645"/>
      <c r="U151" s="452"/>
      <c r="V151" s="1098">
        <v>0</v>
      </c>
      <c r="W151" s="491"/>
      <c r="X151" s="181"/>
      <c r="Y151" s="1099">
        <f>+S151+V151</f>
        <v>0</v>
      </c>
      <c r="Z151" s="186"/>
      <c r="AA151" s="186"/>
      <c r="AB151" s="1079">
        <f>Y151+M151</f>
        <v>0</v>
      </c>
      <c r="AC151" s="186"/>
      <c r="AD151" s="647"/>
      <c r="AE151"/>
      <c r="AF151" s="675">
        <f>IF(+G151+J151-M151=0,0,1)</f>
        <v>0</v>
      </c>
      <c r="AH151" s="544"/>
      <c r="AI151" s="528"/>
    </row>
    <row r="152" spans="1:70" s="273" customFormat="1" ht="16.5" customHeight="1" x14ac:dyDescent="0.2">
      <c r="A152" s="644"/>
      <c r="B152" s="354"/>
      <c r="C152" s="646"/>
      <c r="D152" s="646"/>
      <c r="E152" s="646"/>
      <c r="F152" s="646"/>
      <c r="G152" s="646"/>
      <c r="H152" s="645"/>
      <c r="I152" s="452"/>
      <c r="J152" s="483"/>
      <c r="K152" s="491"/>
      <c r="L152" s="181"/>
      <c r="M152" s="182"/>
      <c r="N152" s="186"/>
      <c r="O152" s="646"/>
      <c r="P152" s="646"/>
      <c r="Q152" s="646"/>
      <c r="R152" s="646"/>
      <c r="S152" s="646"/>
      <c r="T152" s="645"/>
      <c r="U152" s="452"/>
      <c r="V152" s="483"/>
      <c r="W152" s="491"/>
      <c r="X152" s="181"/>
      <c r="Y152" s="182"/>
      <c r="Z152" s="186"/>
      <c r="AA152" s="186"/>
      <c r="AB152" s="186"/>
      <c r="AC152" s="186"/>
      <c r="AD152" s="647"/>
      <c r="AE152" s="759"/>
      <c r="AF152" s="675"/>
      <c r="AH152" s="544"/>
      <c r="AI152" s="528"/>
    </row>
    <row r="153" spans="1:70" s="273" customFormat="1" ht="16.5" customHeight="1" thickBot="1" x14ac:dyDescent="0.3">
      <c r="A153" s="644"/>
      <c r="B153" s="354"/>
      <c r="C153" s="12" t="s">
        <v>1335</v>
      </c>
      <c r="D153" s="837"/>
      <c r="E153" s="646"/>
      <c r="F153" s="452"/>
      <c r="G153" s="837"/>
      <c r="H153" s="645"/>
      <c r="I153" s="452"/>
      <c r="J153" s="483"/>
      <c r="K153" s="491"/>
      <c r="L153" s="181"/>
      <c r="M153" s="182"/>
      <c r="N153" s="186"/>
      <c r="O153" s="837"/>
      <c r="P153" s="837"/>
      <c r="Q153" s="646"/>
      <c r="R153" s="452"/>
      <c r="S153" s="837"/>
      <c r="T153" s="645"/>
      <c r="U153" s="452"/>
      <c r="V153" s="483"/>
      <c r="W153" s="491"/>
      <c r="X153" s="181"/>
      <c r="Y153" s="182"/>
      <c r="Z153" s="186"/>
      <c r="AA153" s="186"/>
      <c r="AB153" s="186"/>
      <c r="AC153" s="186"/>
      <c r="AD153" s="652"/>
      <c r="AE153"/>
      <c r="AF153" s="675"/>
      <c r="AH153" s="544"/>
      <c r="AI153" s="528"/>
      <c r="BR153" s="544" t="s">
        <v>708</v>
      </c>
    </row>
    <row r="154" spans="1:70" s="273" customFormat="1" ht="16.5" customHeight="1" thickBot="1" x14ac:dyDescent="0.25">
      <c r="A154" s="644"/>
      <c r="B154" s="354"/>
      <c r="C154" s="972" t="s">
        <v>3250</v>
      </c>
      <c r="D154" s="1127"/>
      <c r="E154" s="646"/>
      <c r="F154" s="452"/>
      <c r="G154" s="1083">
        <v>0</v>
      </c>
      <c r="H154" s="645"/>
      <c r="I154" s="452"/>
      <c r="J154" s="1084">
        <v>0</v>
      </c>
      <c r="K154" s="491"/>
      <c r="L154" s="181"/>
      <c r="M154" s="1079">
        <f>+G154+J154</f>
        <v>0</v>
      </c>
      <c r="N154" s="186"/>
      <c r="O154" s="354"/>
      <c r="P154" s="354"/>
      <c r="Q154" s="646"/>
      <c r="R154" s="452"/>
      <c r="S154" s="1083">
        <v>0</v>
      </c>
      <c r="T154" s="645"/>
      <c r="U154" s="452"/>
      <c r="V154" s="1084">
        <v>0</v>
      </c>
      <c r="W154" s="491"/>
      <c r="X154" s="181"/>
      <c r="Y154" s="1079">
        <f>+S154+V154</f>
        <v>0</v>
      </c>
      <c r="Z154" s="186"/>
      <c r="AA154" s="186"/>
      <c r="AB154" s="1079">
        <f>Y154+M154</f>
        <v>0</v>
      </c>
      <c r="AC154" s="186"/>
      <c r="AD154" s="652"/>
      <c r="AE154"/>
      <c r="AF154" s="675">
        <f>IF(+G154+J154+S154+V154-AB154=0,0,1)</f>
        <v>0</v>
      </c>
      <c r="AH154" s="544"/>
      <c r="AI154" s="528"/>
    </row>
    <row r="155" spans="1:70" s="273" customFormat="1" ht="16.5" customHeight="1" x14ac:dyDescent="0.2">
      <c r="A155" s="644"/>
      <c r="B155" s="354"/>
      <c r="C155" s="646"/>
      <c r="D155" s="837"/>
      <c r="E155" s="646"/>
      <c r="F155" s="452"/>
      <c r="G155" s="452"/>
      <c r="H155" s="645"/>
      <c r="I155" s="452"/>
      <c r="J155" s="483"/>
      <c r="K155" s="491"/>
      <c r="L155" s="181"/>
      <c r="M155" s="182"/>
      <c r="N155" s="186"/>
      <c r="O155" s="837"/>
      <c r="P155" s="837"/>
      <c r="Q155" s="646"/>
      <c r="R155" s="452"/>
      <c r="S155" s="452"/>
      <c r="T155" s="645"/>
      <c r="U155" s="452"/>
      <c r="V155" s="483"/>
      <c r="W155" s="491"/>
      <c r="X155" s="181"/>
      <c r="Y155" s="182"/>
      <c r="Z155" s="186"/>
      <c r="AA155" s="186"/>
      <c r="AB155" s="186"/>
      <c r="AC155" s="186"/>
      <c r="AD155" s="652"/>
      <c r="AE155"/>
      <c r="AF155" s="675"/>
      <c r="AH155" s="544"/>
      <c r="AI155" s="528"/>
    </row>
    <row r="156" spans="1:70" s="273" customFormat="1" ht="16.5" customHeight="1" thickBot="1" x14ac:dyDescent="0.3">
      <c r="A156" s="644"/>
      <c r="B156" s="354"/>
      <c r="C156" s="482" t="s">
        <v>2312</v>
      </c>
      <c r="D156" s="837"/>
      <c r="E156" s="646"/>
      <c r="F156" s="452"/>
      <c r="G156" s="837"/>
      <c r="H156" s="645"/>
      <c r="I156" s="452"/>
      <c r="J156" s="483"/>
      <c r="K156" s="491"/>
      <c r="L156" s="181"/>
      <c r="M156" s="182"/>
      <c r="N156" s="186"/>
      <c r="O156" s="837"/>
      <c r="P156" s="837"/>
      <c r="Q156" s="646"/>
      <c r="R156" s="452"/>
      <c r="S156" s="837"/>
      <c r="T156" s="645"/>
      <c r="U156" s="452"/>
      <c r="V156" s="483"/>
      <c r="W156" s="491"/>
      <c r="X156" s="181"/>
      <c r="Y156" s="182"/>
      <c r="Z156" s="186"/>
      <c r="AA156" s="186"/>
      <c r="AB156" s="186"/>
      <c r="AC156" s="186"/>
      <c r="AD156" s="652"/>
      <c r="AE156"/>
      <c r="AF156" s="675"/>
      <c r="AH156" s="544"/>
      <c r="AI156" s="528"/>
    </row>
    <row r="157" spans="1:70" s="273" customFormat="1" ht="16.5" customHeight="1" thickBot="1" x14ac:dyDescent="0.25">
      <c r="A157" s="644"/>
      <c r="B157" s="354"/>
      <c r="C157" s="972" t="s">
        <v>2831</v>
      </c>
      <c r="D157" s="1127"/>
      <c r="E157" s="646"/>
      <c r="F157" s="452"/>
      <c r="G157" s="1077">
        <v>0</v>
      </c>
      <c r="H157" s="645"/>
      <c r="I157" s="452"/>
      <c r="J157" s="1077">
        <v>0</v>
      </c>
      <c r="K157" s="491"/>
      <c r="L157" s="181"/>
      <c r="M157" s="1079">
        <f>+G157+J157</f>
        <v>0</v>
      </c>
      <c r="N157" s="186"/>
      <c r="O157" s="354"/>
      <c r="P157" s="354"/>
      <c r="Q157" s="646"/>
      <c r="R157" s="452"/>
      <c r="S157" s="1261">
        <v>0</v>
      </c>
      <c r="T157" s="645"/>
      <c r="U157" s="452"/>
      <c r="V157" s="1077">
        <v>0</v>
      </c>
      <c r="W157" s="491"/>
      <c r="X157" s="181"/>
      <c r="Y157" s="1079">
        <f>+S157+V157</f>
        <v>0</v>
      </c>
      <c r="Z157" s="186"/>
      <c r="AA157" s="186"/>
      <c r="AB157" s="1079">
        <f>Y157+M157</f>
        <v>0</v>
      </c>
      <c r="AC157" s="186"/>
      <c r="AD157" s="652"/>
      <c r="AE157"/>
      <c r="AF157" s="675">
        <f>IF(+G157+J157+S157+V157-AB157=0,0,1)</f>
        <v>0</v>
      </c>
      <c r="AH157" s="544"/>
      <c r="AI157" s="528"/>
    </row>
    <row r="158" spans="1:70" s="273" customFormat="1" ht="16.5" thickBot="1" x14ac:dyDescent="0.25">
      <c r="A158" s="644"/>
      <c r="B158" s="354"/>
      <c r="C158" s="646"/>
      <c r="D158" s="837"/>
      <c r="E158" s="646"/>
      <c r="F158" s="452"/>
      <c r="G158" s="452"/>
      <c r="H158" s="645"/>
      <c r="I158" s="452"/>
      <c r="J158" s="483"/>
      <c r="K158" s="491"/>
      <c r="L158" s="181"/>
      <c r="M158" s="182"/>
      <c r="N158" s="186"/>
      <c r="O158" s="837"/>
      <c r="P158" s="837"/>
      <c r="Q158" s="646"/>
      <c r="R158" s="452"/>
      <c r="S158" s="452"/>
      <c r="T158" s="645"/>
      <c r="U158" s="452"/>
      <c r="V158" s="483"/>
      <c r="W158" s="491"/>
      <c r="X158" s="181"/>
      <c r="Y158" s="182"/>
      <c r="Z158" s="186"/>
      <c r="AA158" s="186"/>
      <c r="AB158" s="186"/>
      <c r="AC158" s="186"/>
      <c r="AD158" s="652"/>
      <c r="AE158"/>
      <c r="AF158" s="675"/>
      <c r="AH158" s="544"/>
      <c r="AI158" s="528"/>
    </row>
    <row r="159" spans="1:70" ht="16.5" thickBot="1" x14ac:dyDescent="0.25">
      <c r="A159" s="15"/>
      <c r="B159" s="4"/>
      <c r="C159" s="73"/>
      <c r="D159" s="73"/>
      <c r="E159" s="73"/>
      <c r="F159" s="73"/>
      <c r="G159" s="80"/>
      <c r="H159" s="81"/>
      <c r="I159" s="81"/>
      <c r="J159" s="81"/>
      <c r="K159" s="81"/>
      <c r="L159" s="188"/>
      <c r="M159" s="187"/>
      <c r="N159" s="203"/>
      <c r="O159" s="1092"/>
      <c r="P159" s="1092"/>
      <c r="Q159" s="1092"/>
      <c r="R159" s="73"/>
      <c r="S159" s="80"/>
      <c r="T159" s="81"/>
      <c r="U159" s="81"/>
      <c r="V159" s="81"/>
      <c r="W159" s="81"/>
      <c r="X159" s="188"/>
      <c r="Y159" s="187"/>
      <c r="Z159" s="1101"/>
      <c r="AA159" s="1107"/>
      <c r="AB159" s="1101"/>
      <c r="AC159" s="203"/>
      <c r="AD159" s="71"/>
      <c r="AF159" s="256"/>
    </row>
    <row r="160" spans="1:70" ht="16.5" customHeight="1" thickBot="1" x14ac:dyDescent="0.25">
      <c r="A160" s="15"/>
      <c r="B160" s="5"/>
      <c r="C160" s="1651" t="s">
        <v>3349</v>
      </c>
      <c r="D160" s="1651"/>
      <c r="E160" s="19"/>
      <c r="F160" s="19"/>
      <c r="G160" s="1078">
        <f>+G151+G154+G157</f>
        <v>0</v>
      </c>
      <c r="H160" s="77"/>
      <c r="I160" s="19"/>
      <c r="J160" s="1078">
        <f>+J151+J154+J157</f>
        <v>0</v>
      </c>
      <c r="K160" s="77"/>
      <c r="L160" s="181"/>
      <c r="M160" s="181"/>
      <c r="N160" s="204"/>
      <c r="O160" s="354"/>
      <c r="P160" s="354"/>
      <c r="Q160" s="452"/>
      <c r="R160" s="19"/>
      <c r="S160" s="1078">
        <f>+S151+S154+S157</f>
        <v>0</v>
      </c>
      <c r="T160" s="77"/>
      <c r="U160" s="19"/>
      <c r="V160" s="1078">
        <f>+V151+V154+V157</f>
        <v>0</v>
      </c>
      <c r="W160" s="77"/>
      <c r="X160" s="181"/>
      <c r="Y160" s="181"/>
      <c r="Z160" s="186"/>
      <c r="AA160" s="1108"/>
      <c r="AB160" s="186"/>
      <c r="AC160" s="1103"/>
      <c r="AD160" s="71"/>
      <c r="AF160" s="255">
        <f>IF(+G160+G164-G168=0,0,1)</f>
        <v>0</v>
      </c>
    </row>
    <row r="161" spans="1:35" ht="15.75" x14ac:dyDescent="0.2">
      <c r="A161" s="15"/>
      <c r="B161" s="5"/>
      <c r="C161" s="1651"/>
      <c r="D161" s="1651"/>
      <c r="E161" s="19"/>
      <c r="F161" s="19"/>
      <c r="G161" s="78"/>
      <c r="H161" s="77"/>
      <c r="I161" s="19"/>
      <c r="J161" s="78"/>
      <c r="K161" s="77"/>
      <c r="L161" s="181"/>
      <c r="M161" s="181"/>
      <c r="N161" s="204"/>
      <c r="O161" s="354"/>
      <c r="P161" s="354"/>
      <c r="Q161" s="452"/>
      <c r="R161" s="19"/>
      <c r="S161" s="78"/>
      <c r="T161" s="77"/>
      <c r="U161" s="19"/>
      <c r="V161" s="78"/>
      <c r="W161" s="77"/>
      <c r="X161" s="181"/>
      <c r="Y161" s="181"/>
      <c r="Z161" s="186"/>
      <c r="AA161" s="1108"/>
      <c r="AB161" s="186"/>
      <c r="AC161" s="1103"/>
      <c r="AD161" s="71"/>
      <c r="AF161" s="255">
        <f>IF(+S160+S164-S168=0,0,1)</f>
        <v>0</v>
      </c>
    </row>
    <row r="162" spans="1:35" ht="15.75" x14ac:dyDescent="0.2">
      <c r="A162" s="1097"/>
      <c r="B162" s="5"/>
      <c r="C162" s="1651"/>
      <c r="D162" s="1651"/>
      <c r="E162" s="19"/>
      <c r="F162" s="19"/>
      <c r="G162" s="78"/>
      <c r="H162" s="77"/>
      <c r="I162" s="19"/>
      <c r="J162" s="78"/>
      <c r="K162" s="77"/>
      <c r="L162" s="181"/>
      <c r="M162" s="181"/>
      <c r="N162" s="1103"/>
      <c r="O162" s="354"/>
      <c r="P162" s="354"/>
      <c r="Q162" s="452"/>
      <c r="R162" s="19"/>
      <c r="S162" s="78"/>
      <c r="T162" s="77"/>
      <c r="U162" s="19"/>
      <c r="V162" s="78"/>
      <c r="W162" s="77"/>
      <c r="X162" s="181"/>
      <c r="Y162" s="181"/>
      <c r="Z162" s="186"/>
      <c r="AA162" s="1108"/>
      <c r="AB162" s="186"/>
      <c r="AC162" s="1103"/>
      <c r="AD162" s="1140"/>
      <c r="AF162" s="255">
        <f>IF(+V160+V164-V168=0,0,1)</f>
        <v>0</v>
      </c>
    </row>
    <row r="163" spans="1:35" ht="16.5" thickBot="1" x14ac:dyDescent="0.25">
      <c r="A163" s="15"/>
      <c r="B163" s="5"/>
      <c r="C163" s="356"/>
      <c r="D163" s="356"/>
      <c r="E163" s="19"/>
      <c r="F163" s="19"/>
      <c r="G163" s="78"/>
      <c r="H163" s="77"/>
      <c r="I163" s="19"/>
      <c r="J163" s="78"/>
      <c r="K163" s="77"/>
      <c r="L163" s="181"/>
      <c r="M163" s="181"/>
      <c r="N163" s="204"/>
      <c r="O163" s="1091"/>
      <c r="P163" s="1091"/>
      <c r="Q163" s="452"/>
      <c r="R163" s="19"/>
      <c r="S163" s="78"/>
      <c r="T163" s="77"/>
      <c r="U163" s="19"/>
      <c r="V163" s="78"/>
      <c r="W163" s="77"/>
      <c r="X163" s="181"/>
      <c r="Y163" s="181"/>
      <c r="Z163" s="186"/>
      <c r="AA163" s="1108"/>
      <c r="AB163" s="186"/>
      <c r="AC163" s="1103"/>
      <c r="AD163" s="71"/>
      <c r="AF163" s="255"/>
    </row>
    <row r="164" spans="1:35" ht="16.5" customHeight="1" thickBot="1" x14ac:dyDescent="0.25">
      <c r="A164" s="15"/>
      <c r="B164" s="5"/>
      <c r="C164" s="1651" t="s">
        <v>3350</v>
      </c>
      <c r="D164" s="1651"/>
      <c r="E164" s="19"/>
      <c r="F164" s="19"/>
      <c r="G164" s="1077">
        <v>0</v>
      </c>
      <c r="H164" s="77"/>
      <c r="I164" s="19"/>
      <c r="J164" s="1077">
        <v>0</v>
      </c>
      <c r="K164" s="77"/>
      <c r="L164" s="181"/>
      <c r="M164" s="181"/>
      <c r="N164" s="204"/>
      <c r="O164" s="354"/>
      <c r="P164" s="354"/>
      <c r="Q164" s="452"/>
      <c r="R164" s="19"/>
      <c r="S164" s="1077">
        <v>0</v>
      </c>
      <c r="T164" s="77"/>
      <c r="U164" s="19"/>
      <c r="V164" s="1077">
        <v>0</v>
      </c>
      <c r="W164" s="77"/>
      <c r="X164" s="181"/>
      <c r="Y164" s="181"/>
      <c r="Z164" s="186"/>
      <c r="AA164" s="1108"/>
      <c r="AB164" s="186"/>
      <c r="AC164" s="1103"/>
      <c r="AD164" s="71"/>
      <c r="AF164" s="255">
        <f>IF(+J160+J164-J168=0,0,1)</f>
        <v>0</v>
      </c>
      <c r="AI164" s="241"/>
    </row>
    <row r="165" spans="1:35" ht="15.75" x14ac:dyDescent="0.2">
      <c r="A165" s="15"/>
      <c r="B165" s="5"/>
      <c r="C165" s="1651"/>
      <c r="D165" s="1651"/>
      <c r="E165" s="19"/>
      <c r="F165" s="19"/>
      <c r="G165" s="78"/>
      <c r="H165" s="77"/>
      <c r="I165" s="19"/>
      <c r="J165" s="78"/>
      <c r="K165" s="77"/>
      <c r="L165" s="181"/>
      <c r="M165" s="182"/>
      <c r="N165" s="204"/>
      <c r="O165" s="354"/>
      <c r="P165" s="354"/>
      <c r="Q165" s="452"/>
      <c r="R165" s="19"/>
      <c r="S165" s="78"/>
      <c r="T165" s="77"/>
      <c r="U165" s="19"/>
      <c r="V165" s="78"/>
      <c r="W165" s="77"/>
      <c r="X165" s="181"/>
      <c r="Y165" s="182"/>
      <c r="Z165" s="186"/>
      <c r="AA165" s="1108"/>
      <c r="AB165" s="186"/>
      <c r="AC165" s="1103"/>
      <c r="AD165" s="71"/>
      <c r="AF165" s="256"/>
    </row>
    <row r="166" spans="1:35" ht="15.75" x14ac:dyDescent="0.2">
      <c r="A166" s="15"/>
      <c r="B166" s="5"/>
      <c r="C166" s="1651"/>
      <c r="D166" s="1651"/>
      <c r="E166" s="19"/>
      <c r="F166" s="19"/>
      <c r="G166" s="78"/>
      <c r="H166" s="77"/>
      <c r="I166" s="19"/>
      <c r="J166" s="78"/>
      <c r="K166" s="77"/>
      <c r="L166" s="181"/>
      <c r="M166" s="182"/>
      <c r="N166" s="1103"/>
      <c r="O166" s="354"/>
      <c r="P166" s="354"/>
      <c r="Q166" s="452"/>
      <c r="R166" s="19"/>
      <c r="S166" s="78"/>
      <c r="T166" s="77"/>
      <c r="U166" s="19"/>
      <c r="V166" s="78"/>
      <c r="W166" s="77"/>
      <c r="X166" s="181"/>
      <c r="Y166" s="182"/>
      <c r="Z166" s="186"/>
      <c r="AA166" s="1108"/>
      <c r="AB166" s="186"/>
      <c r="AC166" s="1103"/>
      <c r="AD166" s="1140"/>
      <c r="AF166" s="256"/>
    </row>
    <row r="167" spans="1:35" ht="16.5" thickBot="1" x14ac:dyDescent="0.25">
      <c r="A167" s="15"/>
      <c r="B167" s="5"/>
      <c r="C167" s="356"/>
      <c r="D167" s="356"/>
      <c r="E167" s="19"/>
      <c r="F167" s="19"/>
      <c r="G167" s="78"/>
      <c r="H167" s="77"/>
      <c r="I167" s="19"/>
      <c r="J167" s="78"/>
      <c r="K167" s="77"/>
      <c r="L167" s="181"/>
      <c r="M167" s="182"/>
      <c r="N167" s="204"/>
      <c r="O167" s="1091"/>
      <c r="P167" s="1091"/>
      <c r="Q167" s="452"/>
      <c r="R167" s="19"/>
      <c r="S167" s="78"/>
      <c r="T167" s="77"/>
      <c r="U167" s="19"/>
      <c r="V167" s="78"/>
      <c r="W167" s="77"/>
      <c r="X167" s="181"/>
      <c r="Y167" s="182"/>
      <c r="Z167" s="186"/>
      <c r="AA167" s="1108"/>
      <c r="AB167" s="186"/>
      <c r="AC167" s="1103"/>
      <c r="AD167" s="71"/>
      <c r="AF167" s="256"/>
    </row>
    <row r="168" spans="1:35" ht="16.5" customHeight="1" thickBot="1" x14ac:dyDescent="0.25">
      <c r="A168" s="15"/>
      <c r="B168" s="5"/>
      <c r="C168" s="1704" t="s">
        <v>3351</v>
      </c>
      <c r="D168" s="1704"/>
      <c r="E168" s="19"/>
      <c r="F168" s="19"/>
      <c r="G168" s="1078">
        <f>+G160+G164</f>
        <v>0</v>
      </c>
      <c r="H168" s="77"/>
      <c r="I168" s="19"/>
      <c r="J168" s="1078">
        <f>+J160+J164</f>
        <v>0</v>
      </c>
      <c r="K168" s="77"/>
      <c r="L168" s="181"/>
      <c r="M168" s="1079">
        <f>+G168+J168</f>
        <v>0</v>
      </c>
      <c r="N168" s="204"/>
      <c r="O168" s="354"/>
      <c r="P168" s="354"/>
      <c r="Q168" s="452"/>
      <c r="R168" s="19"/>
      <c r="S168" s="1078">
        <f>+S160+S164</f>
        <v>0</v>
      </c>
      <c r="T168" s="77"/>
      <c r="U168" s="19"/>
      <c r="V168" s="1078">
        <f>+V160+V164</f>
        <v>0</v>
      </c>
      <c r="W168" s="77"/>
      <c r="X168" s="181"/>
      <c r="Y168" s="1079">
        <f>+S168+V168</f>
        <v>0</v>
      </c>
      <c r="Z168" s="186"/>
      <c r="AA168" s="1108"/>
      <c r="AB168" s="1079">
        <f>Y168+M168</f>
        <v>0</v>
      </c>
      <c r="AC168" s="1103"/>
      <c r="AD168" s="71"/>
      <c r="AF168" s="255">
        <f>IF(+G168+J168+S168+V168-AB168=0,0,1)</f>
        <v>0</v>
      </c>
      <c r="AH168" s="142"/>
    </row>
    <row r="169" spans="1:35" ht="15" customHeight="1" x14ac:dyDescent="0.2">
      <c r="A169" s="15"/>
      <c r="B169" s="5"/>
      <c r="C169" s="1704"/>
      <c r="D169" s="1704"/>
      <c r="E169" s="19"/>
      <c r="F169" s="19"/>
      <c r="G169" s="19"/>
      <c r="H169" s="19"/>
      <c r="I169" s="19"/>
      <c r="J169" s="19"/>
      <c r="K169" s="77"/>
      <c r="L169" s="193"/>
      <c r="M169" s="193"/>
      <c r="N169" s="204"/>
      <c r="O169" s="354"/>
      <c r="P169" s="354"/>
      <c r="Q169" s="452"/>
      <c r="R169" s="19"/>
      <c r="S169" s="19"/>
      <c r="T169" s="19"/>
      <c r="U169" s="19"/>
      <c r="V169" s="19"/>
      <c r="W169" s="77"/>
      <c r="X169" s="193"/>
      <c r="Y169" s="193"/>
      <c r="Z169" s="186"/>
      <c r="AA169" s="1108"/>
      <c r="AB169" s="186"/>
      <c r="AC169" s="1103"/>
      <c r="AD169" s="71"/>
      <c r="AF169" s="257"/>
    </row>
    <row r="170" spans="1:35" ht="15.75" customHeight="1" x14ac:dyDescent="0.25">
      <c r="A170" s="1097"/>
      <c r="B170" s="5"/>
      <c r="C170" s="1704"/>
      <c r="D170" s="1704"/>
      <c r="E170" s="19"/>
      <c r="F170" s="19"/>
      <c r="G170" s="194"/>
      <c r="H170" s="19"/>
      <c r="I170" s="19"/>
      <c r="J170" s="19"/>
      <c r="K170" s="77"/>
      <c r="L170" s="193"/>
      <c r="M170" s="193"/>
      <c r="N170" s="1103"/>
      <c r="O170" s="354"/>
      <c r="P170" s="354"/>
      <c r="Q170" s="452"/>
      <c r="R170" s="19"/>
      <c r="S170" s="19"/>
      <c r="T170" s="19"/>
      <c r="U170" s="19"/>
      <c r="V170" s="19"/>
      <c r="W170" s="77"/>
      <c r="X170" s="193"/>
      <c r="Y170" s="193"/>
      <c r="Z170" s="186"/>
      <c r="AA170" s="1108"/>
      <c r="AB170" s="186"/>
      <c r="AC170" s="1103"/>
      <c r="AD170" s="1140"/>
      <c r="AF170" s="257"/>
    </row>
    <row r="171" spans="1:35" ht="16.5" thickBot="1" x14ac:dyDescent="0.25">
      <c r="A171" s="15"/>
      <c r="B171" s="7"/>
      <c r="C171" s="74"/>
      <c r="D171" s="74"/>
      <c r="E171" s="74"/>
      <c r="F171" s="74"/>
      <c r="G171" s="82"/>
      <c r="H171" s="83"/>
      <c r="I171" s="83"/>
      <c r="J171" s="82"/>
      <c r="K171" s="82"/>
      <c r="L171" s="190"/>
      <c r="M171" s="189"/>
      <c r="N171" s="205"/>
      <c r="O171" s="1093"/>
      <c r="P171" s="1093"/>
      <c r="Q171" s="1093"/>
      <c r="R171" s="74"/>
      <c r="S171" s="82"/>
      <c r="T171" s="83"/>
      <c r="U171" s="83"/>
      <c r="V171" s="82"/>
      <c r="W171" s="82"/>
      <c r="X171" s="190"/>
      <c r="Y171" s="189"/>
      <c r="Z171" s="1102"/>
      <c r="AA171" s="1109"/>
      <c r="AB171" s="1102"/>
      <c r="AC171" s="205"/>
      <c r="AD171" s="71"/>
      <c r="AF171" s="256"/>
    </row>
    <row r="172" spans="1:35" ht="15.75" thickBot="1" x14ac:dyDescent="0.25">
      <c r="A172" s="15"/>
      <c r="B172" s="2"/>
      <c r="C172" s="19"/>
      <c r="D172" s="19"/>
      <c r="E172" s="19"/>
      <c r="F172" s="19"/>
      <c r="G172" s="77"/>
      <c r="H172" s="77"/>
      <c r="I172" s="77"/>
      <c r="J172" s="77"/>
      <c r="K172" s="77"/>
      <c r="L172" s="181"/>
      <c r="M172" s="181"/>
      <c r="N172" s="186"/>
      <c r="O172" s="452"/>
      <c r="P172" s="452"/>
      <c r="Q172" s="452"/>
      <c r="R172" s="19"/>
      <c r="S172" s="77"/>
      <c r="T172" s="77"/>
      <c r="U172" s="77"/>
      <c r="V172" s="77"/>
      <c r="W172" s="77"/>
      <c r="X172" s="181"/>
      <c r="Y172" s="181"/>
      <c r="Z172" s="186"/>
      <c r="AA172" s="186"/>
      <c r="AB172" s="186"/>
      <c r="AC172" s="186"/>
      <c r="AD172" s="71"/>
      <c r="AF172" s="256"/>
    </row>
    <row r="173" spans="1:35" x14ac:dyDescent="0.2">
      <c r="A173" s="15"/>
      <c r="B173" s="895"/>
      <c r="C173" s="892"/>
      <c r="D173" s="892"/>
      <c r="E173" s="892"/>
      <c r="F173" s="892"/>
      <c r="G173" s="891"/>
      <c r="H173" s="891"/>
      <c r="I173" s="891"/>
      <c r="J173" s="891"/>
      <c r="K173" s="891"/>
      <c r="L173" s="184"/>
      <c r="M173" s="184"/>
      <c r="N173" s="200"/>
      <c r="O173" s="892"/>
      <c r="P173" s="892"/>
      <c r="Q173" s="892"/>
      <c r="R173" s="892"/>
      <c r="S173" s="891"/>
      <c r="T173" s="891"/>
      <c r="U173" s="891"/>
      <c r="V173" s="891"/>
      <c r="W173" s="891"/>
      <c r="X173" s="184"/>
      <c r="Y173" s="184"/>
      <c r="Z173" s="1104"/>
      <c r="AA173" s="1110"/>
      <c r="AB173" s="1104"/>
      <c r="AC173" s="200"/>
      <c r="AD173" s="71"/>
      <c r="AF173" s="256"/>
    </row>
    <row r="174" spans="1:35" ht="15.75" x14ac:dyDescent="0.25">
      <c r="A174" s="15"/>
      <c r="B174" s="896"/>
      <c r="C174" s="893" t="s">
        <v>710</v>
      </c>
      <c r="D174" s="452"/>
      <c r="E174" s="452"/>
      <c r="F174" s="452"/>
      <c r="G174" s="802"/>
      <c r="H174" s="645"/>
      <c r="I174" s="645"/>
      <c r="J174" s="645"/>
      <c r="K174" s="645"/>
      <c r="L174" s="181"/>
      <c r="M174" s="181"/>
      <c r="N174" s="201"/>
      <c r="O174" s="452"/>
      <c r="P174" s="452"/>
      <c r="Q174" s="452"/>
      <c r="R174" s="452"/>
      <c r="S174" s="645"/>
      <c r="T174" s="645"/>
      <c r="U174" s="645"/>
      <c r="V174" s="645"/>
      <c r="W174" s="645"/>
      <c r="X174" s="181"/>
      <c r="Y174" s="181"/>
      <c r="Z174" s="186"/>
      <c r="AA174" s="1111"/>
      <c r="AB174" s="186"/>
      <c r="AC174" s="1106"/>
      <c r="AD174" s="71"/>
      <c r="AF174" s="256"/>
    </row>
    <row r="175" spans="1:35" ht="16.5" thickBot="1" x14ac:dyDescent="0.25">
      <c r="A175" s="15"/>
      <c r="B175" s="896"/>
      <c r="C175" s="452"/>
      <c r="D175" s="452"/>
      <c r="E175" s="452"/>
      <c r="F175" s="452"/>
      <c r="G175" s="483" t="s">
        <v>687</v>
      </c>
      <c r="H175" s="645"/>
      <c r="I175" s="645"/>
      <c r="J175" s="483" t="s">
        <v>687</v>
      </c>
      <c r="K175" s="645"/>
      <c r="L175" s="181"/>
      <c r="M175" s="182" t="s">
        <v>687</v>
      </c>
      <c r="N175" s="201"/>
      <c r="O175" s="452"/>
      <c r="P175" s="452"/>
      <c r="Q175" s="452"/>
      <c r="R175" s="452"/>
      <c r="S175" s="483" t="s">
        <v>687</v>
      </c>
      <c r="T175" s="645"/>
      <c r="U175" s="645"/>
      <c r="V175" s="483" t="s">
        <v>687</v>
      </c>
      <c r="W175" s="645"/>
      <c r="X175" s="181"/>
      <c r="Y175" s="182" t="s">
        <v>687</v>
      </c>
      <c r="Z175" s="186"/>
      <c r="AA175" s="1111"/>
      <c r="AB175" s="182" t="s">
        <v>687</v>
      </c>
      <c r="AC175" s="1106"/>
      <c r="AD175" s="71"/>
      <c r="AF175" s="256"/>
    </row>
    <row r="176" spans="1:35" ht="16.5" customHeight="1" thickBot="1" x14ac:dyDescent="0.25">
      <c r="A176" s="15"/>
      <c r="B176" s="896"/>
      <c r="C176" s="1701" t="s">
        <v>3352</v>
      </c>
      <c r="D176" s="1701"/>
      <c r="E176" s="1126"/>
      <c r="F176" s="452"/>
      <c r="G176" s="1078">
        <f>+G34-G51+G85+G106+G144+G168</f>
        <v>0</v>
      </c>
      <c r="H176" s="645"/>
      <c r="I176" s="645"/>
      <c r="J176" s="1078">
        <f>+J34-J51+J85+J106+J144+J168</f>
        <v>0</v>
      </c>
      <c r="K176" s="645"/>
      <c r="L176" s="181"/>
      <c r="M176" s="1079">
        <f>+M34-M51+M85+M106+M144+M168</f>
        <v>0</v>
      </c>
      <c r="N176" s="201"/>
      <c r="O176" s="354"/>
      <c r="P176" s="354"/>
      <c r="Q176" s="354"/>
      <c r="R176" s="452"/>
      <c r="S176" s="1078">
        <f>+S34-S51+S85+S106+S144+S168</f>
        <v>0</v>
      </c>
      <c r="T176" s="645"/>
      <c r="U176" s="645"/>
      <c r="V176" s="1078">
        <f>+V34-V51+V85+V106+V144+V168</f>
        <v>0</v>
      </c>
      <c r="W176" s="645"/>
      <c r="X176" s="181"/>
      <c r="Y176" s="1079">
        <f>+Y34-Y51+Y85+Y106+Y144+Y168</f>
        <v>0</v>
      </c>
      <c r="Z176" s="186"/>
      <c r="AA176" s="1111"/>
      <c r="AB176" s="1079">
        <f>Y176+M176</f>
        <v>0</v>
      </c>
      <c r="AC176" s="1106"/>
      <c r="AD176" s="71"/>
      <c r="AF176" s="255">
        <f>IF(+G176+J176+S176+V176-AB176=0,0,1)</f>
        <v>0</v>
      </c>
      <c r="AH176" s="142"/>
    </row>
    <row r="177" spans="1:32" ht="15.75" customHeight="1" thickBot="1" x14ac:dyDescent="0.25">
      <c r="A177" s="15"/>
      <c r="B177" s="896"/>
      <c r="C177" s="1701"/>
      <c r="D177" s="1701"/>
      <c r="E177" s="1126"/>
      <c r="F177" s="452"/>
      <c r="G177" s="802" t="s">
        <v>707</v>
      </c>
      <c r="H177" s="645"/>
      <c r="I177" s="645"/>
      <c r="J177" s="645"/>
      <c r="K177" s="645"/>
      <c r="L177" s="181"/>
      <c r="M177" s="182"/>
      <c r="N177" s="201"/>
      <c r="O177" s="354"/>
      <c r="P177" s="354"/>
      <c r="Q177" s="354"/>
      <c r="R177" s="452"/>
      <c r="S177" s="483"/>
      <c r="T177" s="645"/>
      <c r="U177" s="645"/>
      <c r="V177" s="645"/>
      <c r="W177" s="645"/>
      <c r="X177" s="181"/>
      <c r="Y177" s="182"/>
      <c r="Z177" s="186"/>
      <c r="AA177" s="1111"/>
      <c r="AB177" s="1183"/>
      <c r="AC177" s="1106"/>
      <c r="AD177" s="71"/>
      <c r="AF177" s="256"/>
    </row>
    <row r="178" spans="1:32" ht="16.5" thickBot="1" x14ac:dyDescent="0.3">
      <c r="A178" s="15"/>
      <c r="B178" s="896"/>
      <c r="C178" s="1701"/>
      <c r="D178" s="1701"/>
      <c r="E178" s="1126"/>
      <c r="F178" s="452"/>
      <c r="G178" s="1078">
        <f>G176+S176</f>
        <v>0</v>
      </c>
      <c r="H178" s="645"/>
      <c r="I178" s="645"/>
      <c r="J178" s="1078">
        <f>J176+V176</f>
        <v>0</v>
      </c>
      <c r="K178" s="645"/>
      <c r="L178" s="181"/>
      <c r="M178" s="1079">
        <f>M176+Y176</f>
        <v>0</v>
      </c>
      <c r="N178" s="201"/>
      <c r="O178" s="354"/>
      <c r="P178" s="354"/>
      <c r="Q178" s="354"/>
      <c r="R178" s="452"/>
      <c r="S178" s="1065"/>
      <c r="T178" s="890"/>
      <c r="U178" s="890"/>
      <c r="V178" s="898"/>
      <c r="W178" s="890"/>
      <c r="X178" s="193"/>
      <c r="Y178" s="341"/>
      <c r="Z178" s="186"/>
      <c r="AA178" s="1111"/>
      <c r="AB178" s="1079">
        <f>AB176</f>
        <v>0</v>
      </c>
      <c r="AC178" s="1106"/>
      <c r="AD178" s="71"/>
      <c r="AF178" s="258"/>
    </row>
    <row r="179" spans="1:32" ht="15.75" x14ac:dyDescent="0.25">
      <c r="A179" s="15"/>
      <c r="B179" s="896"/>
      <c r="C179" s="1701"/>
      <c r="D179" s="1701"/>
      <c r="E179" s="1126"/>
      <c r="F179" s="452"/>
      <c r="G179" s="1280" t="str">
        <f>IF(J176+V176='Part 3 DA summary'!E6,"","Not equal to Part 3 DA Summary column 1")</f>
        <v/>
      </c>
      <c r="H179" s="890"/>
      <c r="I179" s="890"/>
      <c r="J179" s="898"/>
      <c r="K179" s="890"/>
      <c r="L179" s="193"/>
      <c r="M179" s="341"/>
      <c r="N179" s="1106"/>
      <c r="O179" s="354"/>
      <c r="P179" s="354"/>
      <c r="Q179" s="354"/>
      <c r="R179" s="452"/>
      <c r="S179" s="1065"/>
      <c r="T179" s="890"/>
      <c r="U179" s="890"/>
      <c r="V179" s="898"/>
      <c r="W179" s="890"/>
      <c r="X179" s="193"/>
      <c r="Y179" s="341"/>
      <c r="Z179" s="186"/>
      <c r="AA179" s="1111"/>
      <c r="AB179" s="186"/>
      <c r="AC179" s="1106"/>
      <c r="AD179" s="1140"/>
      <c r="AF179" s="1142"/>
    </row>
    <row r="180" spans="1:32" ht="16.5" thickBot="1" x14ac:dyDescent="0.3">
      <c r="A180" s="15"/>
      <c r="B180" s="897"/>
      <c r="C180" s="1184"/>
      <c r="D180" s="894"/>
      <c r="E180" s="894"/>
      <c r="F180" s="536"/>
      <c r="G180" s="536"/>
      <c r="H180" s="536"/>
      <c r="I180" s="536"/>
      <c r="J180" s="536"/>
      <c r="K180" s="536"/>
      <c r="L180" s="208"/>
      <c r="M180" s="208"/>
      <c r="N180" s="202"/>
      <c r="O180" s="894"/>
      <c r="P180" s="894"/>
      <c r="Q180" s="894"/>
      <c r="R180" s="536"/>
      <c r="S180" s="536"/>
      <c r="T180" s="536"/>
      <c r="U180" s="536"/>
      <c r="V180" s="536"/>
      <c r="W180" s="536"/>
      <c r="X180" s="208"/>
      <c r="Y180" s="208"/>
      <c r="Z180" s="1105"/>
      <c r="AA180" s="1112"/>
      <c r="AB180" s="1105"/>
      <c r="AC180" s="202"/>
      <c r="AD180" s="71"/>
    </row>
    <row r="181" spans="1:32" ht="33.75" customHeight="1" thickBot="1" x14ac:dyDescent="0.25">
      <c r="A181" s="15"/>
      <c r="B181" s="2"/>
      <c r="C181" s="2"/>
      <c r="D181" s="2"/>
      <c r="E181" s="2"/>
      <c r="F181" s="2"/>
      <c r="G181" s="2"/>
      <c r="H181" s="2"/>
      <c r="I181" s="2"/>
      <c r="J181" s="354"/>
      <c r="K181" s="354"/>
      <c r="L181" s="2"/>
      <c r="M181" s="2"/>
      <c r="N181" s="2"/>
      <c r="O181" s="2"/>
      <c r="P181" s="2"/>
      <c r="Q181" s="2"/>
      <c r="R181" s="2"/>
      <c r="S181" s="2"/>
      <c r="T181" s="2"/>
      <c r="U181" s="2"/>
      <c r="V181" s="1249" t="str">
        <f>IF(AND($J$7="No - unable to provide disaggregated data",S42+V42+S46+V46+S57+V57+S59+V59+S63+V63+S66+V66+S69+V69+S72+V72+S75+V75+S82+V82+S93+V93+S96+V96+S102+V102+S112+V112+S115+V115+S118+V118+S121+V121+S124+V124+V127+S129+V131+S133+V133+S140+V140+S151+V151+S154+V154+S157+V157+S164+V164&lt;&gt;0),"You have entered data into a greyed out column, Please amend this.","")</f>
        <v/>
      </c>
      <c r="W181" s="354"/>
      <c r="X181" s="2"/>
      <c r="Y181" s="2"/>
      <c r="Z181" s="2"/>
      <c r="AA181" s="2"/>
      <c r="AB181" s="2"/>
      <c r="AC181" s="2"/>
      <c r="AD181" s="71"/>
      <c r="AF181" s="253" t="s">
        <v>25</v>
      </c>
    </row>
    <row r="182" spans="1:32" x14ac:dyDescent="0.2">
      <c r="A182" s="68"/>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70"/>
      <c r="AF182" s="253"/>
    </row>
    <row r="183" spans="1:32" ht="18" x14ac:dyDescent="0.25">
      <c r="A183" s="15">
        <v>1</v>
      </c>
      <c r="B183" s="2"/>
      <c r="C183" s="1278" t="str">
        <f>+IF(AF183&gt;0,"There are errors in the calculations in this form.  Have you over written some of the pre-filled calculations? Please check.","")</f>
        <v/>
      </c>
      <c r="D183" s="1278"/>
      <c r="E183" s="1278"/>
      <c r="F183" s="1278"/>
      <c r="G183" s="1278"/>
      <c r="H183" s="1278"/>
      <c r="I183" s="1278"/>
      <c r="J183" s="1278"/>
      <c r="K183" s="1278"/>
      <c r="L183" s="1278"/>
      <c r="M183" s="1278"/>
      <c r="N183" s="2"/>
      <c r="O183" s="2"/>
      <c r="P183" s="2"/>
      <c r="Q183" s="2"/>
      <c r="R183" s="2"/>
      <c r="S183" s="2"/>
      <c r="T183" s="2"/>
      <c r="U183" s="2"/>
      <c r="V183" s="1248"/>
      <c r="W183" s="2"/>
      <c r="X183" s="2"/>
      <c r="Y183" s="2"/>
      <c r="Z183" s="2"/>
      <c r="AA183" s="2"/>
      <c r="AB183" s="2"/>
      <c r="AC183" s="2"/>
      <c r="AD183" s="71"/>
      <c r="AF183" s="259">
        <f>SUM(AF15:AF178)</f>
        <v>0</v>
      </c>
    </row>
    <row r="184" spans="1:32" ht="16.5" hidden="1" thickBot="1" x14ac:dyDescent="0.3">
      <c r="A184" s="15"/>
      <c r="B184" s="2"/>
      <c r="C184" s="95"/>
      <c r="D184" s="86"/>
      <c r="E184" s="86"/>
      <c r="F184" s="86"/>
      <c r="G184" s="86"/>
      <c r="H184" s="86"/>
      <c r="I184" s="86"/>
      <c r="J184" s="86"/>
      <c r="K184" s="86"/>
      <c r="L184" s="86"/>
      <c r="M184" s="86"/>
      <c r="N184" s="2"/>
      <c r="O184" s="86"/>
      <c r="P184" s="86"/>
      <c r="Q184" s="86"/>
      <c r="R184" s="86"/>
      <c r="S184" s="86"/>
      <c r="T184" s="86"/>
      <c r="U184" s="86"/>
      <c r="V184" s="86"/>
      <c r="W184" s="86"/>
      <c r="X184" s="86"/>
      <c r="Y184" s="86"/>
      <c r="Z184" s="2"/>
      <c r="AA184" s="2"/>
      <c r="AB184" s="2"/>
      <c r="AC184" s="2"/>
      <c r="AD184" s="71"/>
    </row>
    <row r="185" spans="1:32" ht="16.5" hidden="1" thickBot="1" x14ac:dyDescent="0.3">
      <c r="A185" s="15"/>
      <c r="B185" s="2"/>
      <c r="C185" s="95"/>
      <c r="D185" s="86"/>
      <c r="E185" s="86"/>
      <c r="F185" s="86"/>
      <c r="G185" s="86"/>
      <c r="H185" s="1702"/>
      <c r="I185" s="1703"/>
      <c r="J185" s="1703"/>
      <c r="K185" s="1703"/>
      <c r="L185" s="1703"/>
      <c r="M185" s="1703"/>
      <c r="N185" s="2"/>
      <c r="O185" s="86"/>
      <c r="P185" s="86"/>
      <c r="Q185" s="86"/>
      <c r="R185" s="86"/>
      <c r="S185" s="86"/>
      <c r="T185" s="1702"/>
      <c r="U185" s="1703"/>
      <c r="V185" s="1703"/>
      <c r="W185" s="1703"/>
      <c r="X185" s="1703"/>
      <c r="Y185" s="1703"/>
      <c r="Z185" s="2"/>
      <c r="AA185" s="2"/>
      <c r="AB185" s="2"/>
      <c r="AC185" s="2"/>
      <c r="AD185" s="71"/>
    </row>
    <row r="186" spans="1:32" ht="15.75" thickBot="1" x14ac:dyDescent="0.25">
      <c r="A186" s="16"/>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72"/>
    </row>
    <row r="188" spans="1:32" x14ac:dyDescent="0.2">
      <c r="A188" s="278"/>
      <c r="B188" s="278"/>
      <c r="C188" s="278" t="s">
        <v>926</v>
      </c>
      <c r="D188" s="397"/>
      <c r="E188" s="397"/>
      <c r="F188" s="397"/>
      <c r="G188" s="397"/>
      <c r="H188" s="397"/>
      <c r="I188" s="397"/>
      <c r="J188" s="397"/>
      <c r="K188" s="397"/>
      <c r="L188" s="397"/>
      <c r="M188" s="397"/>
      <c r="N188" s="397"/>
      <c r="O188" s="397"/>
      <c r="P188" s="397"/>
      <c r="Q188" s="397"/>
      <c r="R188" s="397"/>
      <c r="S188" s="397"/>
      <c r="T188" s="397"/>
      <c r="U188" s="397"/>
      <c r="V188" s="397"/>
      <c r="W188" s="397"/>
      <c r="X188" s="397"/>
      <c r="Y188" s="397"/>
      <c r="Z188" s="397"/>
      <c r="AA188" s="397"/>
      <c r="AB188" s="397"/>
      <c r="AC188" s="397"/>
      <c r="AD188" s="397"/>
    </row>
    <row r="189" spans="1:32" hidden="1" x14ac:dyDescent="0.2">
      <c r="A189" s="278"/>
      <c r="B189" s="278"/>
      <c r="C189" s="278" t="e">
        <f>+'Part 1'!O253</f>
        <v>#N/A</v>
      </c>
      <c r="D189" s="397"/>
      <c r="E189" s="397"/>
      <c r="F189" s="397"/>
      <c r="G189" s="397"/>
      <c r="H189" s="397"/>
      <c r="I189" s="397"/>
      <c r="J189" s="397"/>
      <c r="K189" s="397"/>
      <c r="L189" s="397"/>
      <c r="M189" s="397"/>
      <c r="N189" s="397"/>
      <c r="O189" s="397"/>
      <c r="P189" s="397"/>
      <c r="Q189" s="397"/>
      <c r="R189" s="397"/>
      <c r="S189" s="397"/>
      <c r="T189" s="397"/>
      <c r="U189" s="397"/>
      <c r="V189" s="397"/>
      <c r="W189" s="397"/>
      <c r="X189" s="397"/>
      <c r="Y189" s="397"/>
      <c r="Z189" s="397"/>
      <c r="AA189" s="397"/>
      <c r="AB189" s="397"/>
      <c r="AC189" s="397"/>
      <c r="AD189" s="397"/>
    </row>
    <row r="190" spans="1:32" x14ac:dyDescent="0.2">
      <c r="A190" s="278"/>
      <c r="B190" s="278"/>
      <c r="C190" s="278"/>
      <c r="D190" s="397"/>
      <c r="E190" s="397"/>
      <c r="F190" s="397"/>
      <c r="G190" s="397"/>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row>
    <row r="191" spans="1:32" x14ac:dyDescent="0.2">
      <c r="B191" s="397"/>
      <c r="C191" s="397"/>
      <c r="D191" s="397"/>
      <c r="E191" s="397"/>
      <c r="F191" s="397"/>
      <c r="G191" s="397"/>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row>
    <row r="192" spans="1:32" x14ac:dyDescent="0.2">
      <c r="B192" s="397"/>
      <c r="C192" s="397"/>
      <c r="D192" s="397"/>
      <c r="E192" s="397"/>
      <c r="F192" s="397"/>
      <c r="G192" s="397"/>
      <c r="H192" s="397"/>
      <c r="I192" s="397"/>
      <c r="J192" s="397"/>
      <c r="K192" s="397"/>
      <c r="L192" s="397"/>
      <c r="M192" s="397"/>
      <c r="N192" s="397"/>
      <c r="O192" s="397"/>
      <c r="P192" s="397"/>
      <c r="Q192" s="397"/>
      <c r="R192" s="397"/>
      <c r="S192" s="397"/>
      <c r="T192" s="397"/>
      <c r="U192" s="397"/>
      <c r="V192" s="397"/>
      <c r="W192" s="397"/>
      <c r="X192" s="397"/>
      <c r="Y192" s="397"/>
      <c r="Z192" s="397"/>
      <c r="AA192" s="397"/>
      <c r="AB192" s="397"/>
      <c r="AC192" s="397"/>
      <c r="AD192" s="397"/>
    </row>
    <row r="193" spans="2:30" x14ac:dyDescent="0.2">
      <c r="B193" s="397"/>
      <c r="C193" s="397"/>
      <c r="D193" s="397"/>
      <c r="E193" s="397"/>
      <c r="F193" s="397"/>
      <c r="G193" s="397"/>
      <c r="H193" s="397"/>
      <c r="I193" s="397"/>
      <c r="J193" s="397"/>
      <c r="K193" s="397"/>
      <c r="L193" s="397"/>
      <c r="M193" s="397"/>
      <c r="N193" s="397"/>
      <c r="O193" s="397"/>
      <c r="P193" s="397"/>
      <c r="Q193" s="397"/>
      <c r="R193" s="397"/>
      <c r="S193" s="397"/>
      <c r="T193" s="397"/>
      <c r="U193" s="397"/>
      <c r="V193" s="397"/>
      <c r="W193" s="397"/>
      <c r="X193" s="397"/>
      <c r="Y193" s="397"/>
      <c r="Z193" s="397"/>
      <c r="AA193" s="397"/>
      <c r="AB193" s="397"/>
      <c r="AC193" s="397"/>
      <c r="AD193" s="397"/>
    </row>
  </sheetData>
  <sheetProtection sheet="1" objects="1" scenarios="1"/>
  <dataConsolidate/>
  <mergeCells count="41">
    <mergeCell ref="AI15:AK15"/>
    <mergeCell ref="AF16:AF17"/>
    <mergeCell ref="AJ44:AP45"/>
    <mergeCell ref="C79:D80"/>
    <mergeCell ref="C82:D83"/>
    <mergeCell ref="C19:D20"/>
    <mergeCell ref="C31:D32"/>
    <mergeCell ref="C27:D27"/>
    <mergeCell ref="C34:D34"/>
    <mergeCell ref="C57:D57"/>
    <mergeCell ref="C63:D63"/>
    <mergeCell ref="C1:E1"/>
    <mergeCell ref="C46:D47"/>
    <mergeCell ref="C59:D60"/>
    <mergeCell ref="C5:S5"/>
    <mergeCell ref="C7:G10"/>
    <mergeCell ref="J7:P7"/>
    <mergeCell ref="S10:V10"/>
    <mergeCell ref="S13:Y13"/>
    <mergeCell ref="S9:V9"/>
    <mergeCell ref="J6:P6"/>
    <mergeCell ref="C85:D86"/>
    <mergeCell ref="AF3:AF4"/>
    <mergeCell ref="C16:E17"/>
    <mergeCell ref="C42:D43"/>
    <mergeCell ref="J9:P10"/>
    <mergeCell ref="C99:D100"/>
    <mergeCell ref="C106:D107"/>
    <mergeCell ref="C137:D138"/>
    <mergeCell ref="C102:D104"/>
    <mergeCell ref="C140:D142"/>
    <mergeCell ref="X126:AC128"/>
    <mergeCell ref="X130:AC132"/>
    <mergeCell ref="Y129:AC129"/>
    <mergeCell ref="C176:D179"/>
    <mergeCell ref="T185:Y185"/>
    <mergeCell ref="H185:M185"/>
    <mergeCell ref="C144:D145"/>
    <mergeCell ref="C164:D166"/>
    <mergeCell ref="C160:D162"/>
    <mergeCell ref="C168:D170"/>
  </mergeCells>
  <phoneticPr fontId="7" type="noConversion"/>
  <conditionalFormatting sqref="D18">
    <cfRule type="cellIs" dxfId="151" priority="125" operator="notBetween">
      <formula>45260</formula>
      <formula>45322</formula>
    </cfRule>
  </conditionalFormatting>
  <conditionalFormatting sqref="G42 S157:S158 G158">
    <cfRule type="cellIs" dxfId="150" priority="392" stopIfTrue="1" operator="greaterThan">
      <formula>0</formula>
    </cfRule>
  </conditionalFormatting>
  <conditionalFormatting sqref="G57">
    <cfRule type="cellIs" dxfId="149" priority="383" stopIfTrue="1" operator="greaterThan">
      <formula>0</formula>
    </cfRule>
  </conditionalFormatting>
  <conditionalFormatting sqref="G59">
    <cfRule type="cellIs" dxfId="148" priority="212" stopIfTrue="1" operator="greaterThan">
      <formula>0</formula>
    </cfRule>
  </conditionalFormatting>
  <conditionalFormatting sqref="G63">
    <cfRule type="cellIs" dxfId="147" priority="211" stopIfTrue="1" operator="greaterThan">
      <formula>0</formula>
    </cfRule>
  </conditionalFormatting>
  <conditionalFormatting sqref="G66">
    <cfRule type="cellIs" dxfId="146" priority="210" stopIfTrue="1" operator="greaterThan">
      <formula>0</formula>
    </cfRule>
  </conditionalFormatting>
  <conditionalFormatting sqref="G69:G72">
    <cfRule type="cellIs" dxfId="145" priority="114" stopIfTrue="1" operator="greaterThan">
      <formula>0</formula>
    </cfRule>
  </conditionalFormatting>
  <conditionalFormatting sqref="G74:G75">
    <cfRule type="cellIs" dxfId="144" priority="62" stopIfTrue="1" operator="greaterThan">
      <formula>0</formula>
    </cfRule>
  </conditionalFormatting>
  <conditionalFormatting sqref="G93">
    <cfRule type="cellIs" dxfId="143" priority="202" stopIfTrue="1" operator="greaterThan">
      <formula>0</formula>
    </cfRule>
  </conditionalFormatting>
  <conditionalFormatting sqref="G96">
    <cfRule type="cellIs" dxfId="142" priority="201" stopIfTrue="1" operator="greaterThan">
      <formula>0</formula>
    </cfRule>
  </conditionalFormatting>
  <conditionalFormatting sqref="G112">
    <cfRule type="cellIs" dxfId="141" priority="197" stopIfTrue="1" operator="greaterThan">
      <formula>0</formula>
    </cfRule>
  </conditionalFormatting>
  <conditionalFormatting sqref="G115">
    <cfRule type="cellIs" dxfId="140" priority="194" stopIfTrue="1" operator="greaterThan">
      <formula>0</formula>
    </cfRule>
  </conditionalFormatting>
  <conditionalFormatting sqref="G118">
    <cfRule type="cellIs" dxfId="139" priority="191" stopIfTrue="1" operator="greaterThan">
      <formula>0</formula>
    </cfRule>
  </conditionalFormatting>
  <conditionalFormatting sqref="G121">
    <cfRule type="cellIs" dxfId="138" priority="185" stopIfTrue="1" operator="greaterThan">
      <formula>0</formula>
    </cfRule>
  </conditionalFormatting>
  <conditionalFormatting sqref="G124">
    <cfRule type="cellIs" dxfId="137" priority="182" stopIfTrue="1" operator="greaterThan">
      <formula>0</formula>
    </cfRule>
  </conditionalFormatting>
  <conditionalFormatting sqref="G129 S129">
    <cfRule type="expression" dxfId="136" priority="576">
      <formula>$AG$130=0</formula>
    </cfRule>
    <cfRule type="cellIs" dxfId="135" priority="577" stopIfTrue="1" operator="greaterThan">
      <formula>0</formula>
    </cfRule>
  </conditionalFormatting>
  <conditionalFormatting sqref="G133 J133 S133 V133">
    <cfRule type="expression" dxfId="134" priority="9">
      <formula>$AG$134=0</formula>
    </cfRule>
  </conditionalFormatting>
  <conditionalFormatting sqref="G151">
    <cfRule type="cellIs" dxfId="133" priority="157" stopIfTrue="1" operator="greaterThan">
      <formula>0</formula>
    </cfRule>
  </conditionalFormatting>
  <conditionalFormatting sqref="G154">
    <cfRule type="cellIs" dxfId="132" priority="124" stopIfTrue="1" operator="greaterThan">
      <formula>0</formula>
    </cfRule>
  </conditionalFormatting>
  <conditionalFormatting sqref="G177">
    <cfRule type="expression" dxfId="131" priority="428">
      <formula>$J$7="Yes - able to provide disaggregated data"</formula>
    </cfRule>
  </conditionalFormatting>
  <conditionalFormatting sqref="J131">
    <cfRule type="expression" dxfId="128" priority="93">
      <formula>$AG$132=0</formula>
    </cfRule>
    <cfRule type="cellIs" dxfId="127" priority="94" stopIfTrue="1" operator="greaterThan">
      <formula>0</formula>
    </cfRule>
  </conditionalFormatting>
  <conditionalFormatting sqref="J176 G176">
    <cfRule type="expression" dxfId="125" priority="429">
      <formula>$J$7="No - unable to provide disaggregated data"</formula>
    </cfRule>
  </conditionalFormatting>
  <conditionalFormatting sqref="J178 Z7 Z8:AA10 J9 S11:AB11 G174 G178">
    <cfRule type="expression" dxfId="124" priority="431">
      <formula>$J$7="Yes - able to provide disaggregated data"</formula>
    </cfRule>
  </conditionalFormatting>
  <conditionalFormatting sqref="M176 AB176">
    <cfRule type="expression" dxfId="123" priority="439">
      <formula>$J$7="No - unable to provide disaggregated data"</formula>
    </cfRule>
  </conditionalFormatting>
  <conditionalFormatting sqref="M178 AB178">
    <cfRule type="expression" dxfId="122" priority="441">
      <formula>$J$7="Yes - able to provide disaggregated data"</formula>
    </cfRule>
  </conditionalFormatting>
  <conditionalFormatting sqref="O48 P48:P53 O53 P77:P87 P97:P109 P154:P180">
    <cfRule type="expression" dxfId="121" priority="443">
      <formula>$J$7="No - unable to provide disaggregated data"</formula>
    </cfRule>
  </conditionalFormatting>
  <conditionalFormatting sqref="O77:O87 O97:O109 O159:O180">
    <cfRule type="expression" dxfId="120" priority="447">
      <formula>$J$7="No - unable to provide disaggregated data"</formula>
    </cfRule>
  </conditionalFormatting>
  <conditionalFormatting sqref="O119:P119">
    <cfRule type="expression" dxfId="119" priority="450">
      <formula>$J$7="No - unable to provide disaggregated data"</formula>
    </cfRule>
  </conditionalFormatting>
  <conditionalFormatting sqref="O133:P134">
    <cfRule type="expression" dxfId="118" priority="454">
      <formula>$J$7="No - unable to provide disaggregated data"</formula>
    </cfRule>
  </conditionalFormatting>
  <conditionalFormatting sqref="O146:P146">
    <cfRule type="expression" dxfId="117" priority="455">
      <formula>$J$7="No - unable to provide disaggregated data"</formula>
    </cfRule>
  </conditionalFormatting>
  <conditionalFormatting sqref="Q149:Y180 S42 S63 S66 S93 S96 S112 S115 S118 S124 S57 V57 Y57 S59 V59 Y59 V69 Y69 S121 V121 Y121 S69 S72 V131 S75 V42 Y42 S46 V46 Q48:Z53 V63 Y63 V66 Y66 V72 Y72 V75 Y75 Q77:Y87 V93 Y93 V96 Y96 Q97:Y109 V112 Y112 V115 Y115 V118 Y118 V124 Y124 V127 S129 S133 V133 Q134:Y146">
    <cfRule type="expression" dxfId="116" priority="458">
      <formula>$J$7="No - unable to provide disaggregated data"</formula>
    </cfRule>
  </conditionalFormatting>
  <conditionalFormatting sqref="Q133:Z180 Q42:Z125 Q126:AC132 Q131:W132 Q38:R41 Z38:Z41 Q127:W128">
    <cfRule type="expression" dxfId="115" priority="559">
      <formula>$J$7="No - unable to provide disaggregated data"</formula>
    </cfRule>
  </conditionalFormatting>
  <conditionalFormatting sqref="S42">
    <cfRule type="cellIs" dxfId="114" priority="91" stopIfTrue="1" operator="greaterThan">
      <formula>0</formula>
    </cfRule>
  </conditionalFormatting>
  <conditionalFormatting sqref="S57 V57 Y57 S59 V59 Y59 S69 V69 Y69 S121 V121 Y121 S151 V151 Y151">
    <cfRule type="cellIs" dxfId="113" priority="1" stopIfTrue="1" operator="lessThan">
      <formula>0</formula>
    </cfRule>
  </conditionalFormatting>
  <conditionalFormatting sqref="S63">
    <cfRule type="cellIs" dxfId="112" priority="87" stopIfTrue="1" operator="greaterThan">
      <formula>0</formula>
    </cfRule>
  </conditionalFormatting>
  <conditionalFormatting sqref="S66">
    <cfRule type="cellIs" dxfId="111" priority="86" stopIfTrue="1" operator="greaterThan">
      <formula>0</formula>
    </cfRule>
  </conditionalFormatting>
  <conditionalFormatting sqref="S69:S72">
    <cfRule type="cellIs" dxfId="110" priority="72" stopIfTrue="1" operator="greaterThan">
      <formula>0</formula>
    </cfRule>
  </conditionalFormatting>
  <conditionalFormatting sqref="S74:S75">
    <cfRule type="cellIs" dxfId="109" priority="61" stopIfTrue="1" operator="greaterThan">
      <formula>0</formula>
    </cfRule>
  </conditionalFormatting>
  <conditionalFormatting sqref="S93">
    <cfRule type="cellIs" dxfId="108" priority="85" stopIfTrue="1" operator="greaterThan">
      <formula>0</formula>
    </cfRule>
  </conditionalFormatting>
  <conditionalFormatting sqref="S96">
    <cfRule type="cellIs" dxfId="107" priority="84" stopIfTrue="1" operator="greaterThan">
      <formula>0</formula>
    </cfRule>
  </conditionalFormatting>
  <conditionalFormatting sqref="S112">
    <cfRule type="cellIs" dxfId="106" priority="83" stopIfTrue="1" operator="greaterThan">
      <formula>0</formula>
    </cfRule>
  </conditionalFormatting>
  <conditionalFormatting sqref="S115">
    <cfRule type="cellIs" dxfId="105" priority="82" stopIfTrue="1" operator="greaterThan">
      <formula>0</formula>
    </cfRule>
  </conditionalFormatting>
  <conditionalFormatting sqref="S118">
    <cfRule type="cellIs" dxfId="104" priority="81" stopIfTrue="1" operator="greaterThan">
      <formula>0</formula>
    </cfRule>
  </conditionalFormatting>
  <conditionalFormatting sqref="S124">
    <cfRule type="cellIs" dxfId="103" priority="78" stopIfTrue="1" operator="greaterThan">
      <formula>0</formula>
    </cfRule>
  </conditionalFormatting>
  <conditionalFormatting sqref="S154">
    <cfRule type="cellIs" dxfId="102" priority="74" stopIfTrue="1" operator="greaterThan">
      <formula>0</formula>
    </cfRule>
  </conditionalFormatting>
  <conditionalFormatting sqref="S176 V176 Y176">
    <cfRule type="expression" dxfId="101" priority="565">
      <formula>$J$7="No - unable to provide disaggregated data"</formula>
    </cfRule>
  </conditionalFormatting>
  <conditionalFormatting sqref="S6:Y10">
    <cfRule type="expression" dxfId="100" priority="16">
      <formula>$J$7="Yes - able to provide disaggregated data"</formula>
    </cfRule>
  </conditionalFormatting>
  <conditionalFormatting sqref="S38:Y38">
    <cfRule type="expression" dxfId="99" priority="568">
      <formula>$J$7="No - unable to provide disaggregated data"</formula>
    </cfRule>
  </conditionalFormatting>
  <conditionalFormatting sqref="S39:Y40">
    <cfRule type="expression" dxfId="98" priority="8">
      <formula>$J$7="No - unable to provide disaggregated data"</formula>
    </cfRule>
  </conditionalFormatting>
  <conditionalFormatting sqref="S41:Y41">
    <cfRule type="expression" dxfId="97" priority="570">
      <formula>$J$7="No - unable to provide disaggregated data"</formula>
    </cfRule>
  </conditionalFormatting>
  <conditionalFormatting sqref="V57 V59 V69 V121 V151 S57 Y57 S59 Y59 Y69 S121 Y121 S151 Y151">
    <cfRule type="cellIs" dxfId="91" priority="76" stopIfTrue="1" operator="greaterThan">
      <formula>0</formula>
    </cfRule>
  </conditionalFormatting>
  <conditionalFormatting sqref="V131">
    <cfRule type="cellIs" dxfId="90" priority="67" stopIfTrue="1" operator="greaterThan">
      <formula>0</formula>
    </cfRule>
    <cfRule type="expression" dxfId="89" priority="66">
      <formula>$AG$132=0</formula>
    </cfRule>
  </conditionalFormatting>
  <conditionalFormatting sqref="X126 X130">
    <cfRule type="expression" dxfId="86" priority="2">
      <formula>$J$7="No - unable to provide disaggregated data"</formula>
    </cfRule>
  </conditionalFormatting>
  <conditionalFormatting sqref="Z77:Z87 Z90:Z125 Z133:Z146 Z149:Z180">
    <cfRule type="expression" dxfId="85" priority="572">
      <formula>$J$7="No - unable to provide disaggregated data"</formula>
    </cfRule>
  </conditionalFormatting>
  <conditionalFormatting sqref="AA45:AA125 AA134:AA180">
    <cfRule type="expression" dxfId="84" priority="575">
      <formula>$J$7="No - unable to provide disaggregated data"</formula>
    </cfRule>
  </conditionalFormatting>
  <conditionalFormatting sqref="AD18 AD69:AD72 AD151:AD158">
    <cfRule type="expression" dxfId="83" priority="244">
      <formula>AND($AF18=0)=FALSE</formula>
    </cfRule>
  </conditionalFormatting>
  <conditionalFormatting sqref="AD34">
    <cfRule type="expression" dxfId="82" priority="427">
      <formula>AND($AF27+AF31+AF34=0)=FALSE</formula>
    </cfRule>
  </conditionalFormatting>
  <conditionalFormatting sqref="AD42">
    <cfRule type="expression" dxfId="81" priority="243">
      <formula>AND($AF42=0)=FALSE</formula>
    </cfRule>
  </conditionalFormatting>
  <conditionalFormatting sqref="AD51">
    <cfRule type="expression" dxfId="80" priority="241">
      <formula>AND($AF51=0)=FALSE</formula>
    </cfRule>
  </conditionalFormatting>
  <conditionalFormatting sqref="AD57">
    <cfRule type="expression" dxfId="79" priority="240">
      <formula>AND($AF57=0)=FALSE</formula>
    </cfRule>
  </conditionalFormatting>
  <conditionalFormatting sqref="AD59">
    <cfRule type="expression" dxfId="78" priority="239">
      <formula>AND($AF59=0)=FALSE</formula>
    </cfRule>
  </conditionalFormatting>
  <conditionalFormatting sqref="AD63">
    <cfRule type="expression" dxfId="77" priority="236">
      <formula>AND($AF63=0)=FALSE</formula>
    </cfRule>
  </conditionalFormatting>
  <conditionalFormatting sqref="AD66">
    <cfRule type="expression" dxfId="76" priority="235">
      <formula>AND($AF66=0)=FALSE</formula>
    </cfRule>
  </conditionalFormatting>
  <conditionalFormatting sqref="AD85">
    <cfRule type="expression" dxfId="75" priority="408">
      <formula>AND($AF79+AF82+AF85=0)=FALSE</formula>
    </cfRule>
  </conditionalFormatting>
  <conditionalFormatting sqref="AD93">
    <cfRule type="expression" dxfId="74" priority="233">
      <formula>AND($AF93=0)=FALSE</formula>
    </cfRule>
  </conditionalFormatting>
  <conditionalFormatting sqref="AD96">
    <cfRule type="expression" dxfId="73" priority="232">
      <formula>AND($AF96=0)=FALSE</formula>
    </cfRule>
  </conditionalFormatting>
  <conditionalFormatting sqref="AD106 AD144">
    <cfRule type="expression" dxfId="72" priority="409">
      <formula>AND($AF99+AF102+AF106=0)=FALSE</formula>
    </cfRule>
  </conditionalFormatting>
  <conditionalFormatting sqref="AD112">
    <cfRule type="expression" dxfId="71" priority="231">
      <formula>AND($AF112=0)=FALSE</formula>
    </cfRule>
  </conditionalFormatting>
  <conditionalFormatting sqref="AD115">
    <cfRule type="expression" dxfId="70" priority="230">
      <formula>AND($AF115=0)=FALSE</formula>
    </cfRule>
  </conditionalFormatting>
  <conditionalFormatting sqref="AD118">
    <cfRule type="expression" dxfId="69" priority="229">
      <formula>AND($AF118=0)=FALSE</formula>
    </cfRule>
  </conditionalFormatting>
  <conditionalFormatting sqref="AD121">
    <cfRule type="expression" dxfId="68" priority="227">
      <formula>AND($AF121=0)=FALSE</formula>
    </cfRule>
  </conditionalFormatting>
  <conditionalFormatting sqref="AD124">
    <cfRule type="expression" dxfId="67" priority="226">
      <formula>AND($AF124=0)=FALSE</formula>
    </cfRule>
  </conditionalFormatting>
  <conditionalFormatting sqref="AD168">
    <cfRule type="expression" dxfId="66" priority="410">
      <formula>AND($AF160+AF164+AF168=0)=FALSE</formula>
    </cfRule>
  </conditionalFormatting>
  <conditionalFormatting sqref="AD176">
    <cfRule type="expression" dxfId="65" priority="222">
      <formula>AND($AF176=0)=FALSE</formula>
    </cfRule>
  </conditionalFormatting>
  <dataValidations xWindow="1160" yWindow="426" count="61">
    <dataValidation type="whole" operator="greaterThanOrEqual" allowBlank="1" showInputMessage="1" showErrorMessage="1" errorTitle="Positive whole number required" error="This MUST be a whole positive number" sqref="V18 G18 J18 S18" xr:uid="{00000000-0002-0000-0200-000000000000}">
      <formula1>0</formula1>
    </dataValidation>
    <dataValidation type="whole" operator="lessThanOrEqual" allowBlank="1" showInputMessage="1" showErrorMessage="1" errorTitle="Negative number required here" error="This number MUST be negative" sqref="G129 S129 J131 V131 J133 S133 V133 G133" xr:uid="{00000000-0002-0000-0200-000001000000}">
      <formula1>0</formula1>
    </dataValidation>
    <dataValidation type="whole" operator="lessThanOrEqual" allowBlank="1" showInputMessage="1" showErrorMessage="1" errorTitle="Negative whole number required" error="This  MUST be negative whole number" sqref="G57 G59 G63 J66 J57 J59 J63 G93 G96 J93 J96 G112 J112 G115 J115 G118 J118 G121 J121 G124 J124 G151 G66 V158 J69:J72 G69:G72 S70:S72 V124 S63 V66 V63 S93 S96 V93 V96 S112 V112 S115 V115 S118 V118 V70:V72 S154 S66 S124 J74:J75 G74:G75 S74:S75 V74:V75 S158 V152:V156 G154 G157:G158 J151:J158" xr:uid="{00000000-0002-0000-0200-000004000000}">
      <formula1>0</formula1>
    </dataValidation>
    <dataValidation type="whole" allowBlank="1" showInputMessage="1" showErrorMessage="1" errorTitle="Whole numbers allowed" error="Please enter a whole number - no pence allowed" sqref="G31 J31 J164 G164 G82 J82 G102 J102 G140 J140 V140 V31 V164 S164 S82 V82 S102 V102 S140" xr:uid="{00000000-0002-0000-0200-00000A000000}">
      <formula1>-100000000000000</formula1>
      <formula2>100000000000000</formula2>
    </dataValidation>
    <dataValidation type="custom" allowBlank="1" showInputMessage="1" showErrorMessage="1" error="Data entry not allowed" sqref="AF183" xr:uid="{00000000-0002-0000-0200-00000B000000}">
      <formula1>"if(az1=""n/a"")"</formula1>
    </dataValidation>
    <dataValidation type="date" allowBlank="1" showInputMessage="1" showErrorMessage="1" errorTitle="Invalid date." error="Input a valid date between 01 December 2023 and 31 January 2024" sqref="D18" xr:uid="{00000000-0002-0000-0200-000013000000}">
      <formula1>45261</formula1>
      <formula2>45322</formula2>
    </dataValidation>
    <dataValidation type="custom" allowBlank="1" showInputMessage="1" showErrorMessage="1" error="Data entry is not allowed in this cell" sqref="M178 J27 G27 G34 J34 M34 M42 V137 AB124 M51 AB151 AB154 M57 V79 M63 M66 M69 M72 G51 Y18 J85 M85 M93 M96 G99 J99 G106 J106 M106 M112 M115 M118 M121 M124 AB168 G144 J144 M144 M151 M154 AB157 M168 J168 G168 AB121 M18 AB118 S34 V34 Y34 Y42 S51 Y51 AB144 Y57 Y59 Y63 Y66 Y69 Y72 V51 S85 V85 Y85 Y93 Y96 S99 V99 S106 V106 Y106 Y112 Y115 Y118 Y121 Y124 S144 V144 Y144 Y151 Y154 Y168 V168 S168 J51 G79 AB34 AB42 AB51 AB57 AB59 AB176 AB63 AB66 AB69 AB72 AB85 AB93 AB96 AB106 AB112 AB115 M75 Y75 AB75 G137 J137 S137 M157:M158 J79 S79 M59 G60 Y157:Y158 AB31 M133 Y133 AA133 V27 S27 AB178 G178 J178 G85 AB27 AB18" xr:uid="{E5FC2C03-7BEB-48BB-8240-4E26FBBF3EAB}">
      <formula1>"az1=""NA"""</formula1>
    </dataValidation>
    <dataValidation type="custom" allowBlank="1" showInputMessage="1" showErrorMessage="1" error="Please do not edit this cell" sqref="S60" xr:uid="{B7E46690-16D6-457F-98B3-96F9296433E9}">
      <formula1>"az1=""NA"""</formula1>
    </dataValidation>
    <dataValidation allowBlank="1" showErrorMessage="1" sqref="J46 G46 V46 S46" xr:uid="{7B28D897-6CEB-428A-BB94-5B41002D20E5}"/>
    <dataValidation type="whole" operator="lessThanOrEqual" allowBlank="1" showErrorMessage="1" error="This must be a negative whole number" sqref="G42 J42 S42 V42" xr:uid="{4537AB83-C613-4C2B-A87D-E57D2AEF0525}">
      <formula1>0</formula1>
    </dataValidation>
    <dataValidation type="custom" allowBlank="1" showInputMessage="1" showErrorMessage="1" error="Data entry is not allowed in this cell" sqref="D24 P24" xr:uid="{B7182ED8-F632-466E-B43E-ACD64550381B}">
      <formula1>"AZ1=""n/a"""</formula1>
    </dataValidation>
    <dataValidation allowBlank="1" showInputMessage="1" showErrorMessage="1" prompt="This was line 9 in the 2023-24 form, this data is being used in 'Part 1 - line 1' and 'Part 2 - line 43'" sqref="C51" xr:uid="{0D791DD5-B6A3-4E79-BFA7-2A36F2772A38}"/>
    <dataValidation allowBlank="1" showInputMessage="1" showErrorMessage="1" prompt="This was line 15 in the 2023-24 form, this data is being used in 'Part 2 - line 16'" sqref="C66" xr:uid="{2372E12A-C53E-42B2-A101-72ADB2524B4F}"/>
    <dataValidation allowBlank="1" showInputMessage="1" showErrorMessage="1" prompt="This was line 16 in the 2023-24 form, this data is being used in 'Part 1 - line 30' and 'Part 2 - line 16'" sqref="C69" xr:uid="{5ADFCDEC-32E6-4122-9956-746A34A3BC87}"/>
    <dataValidation allowBlank="1" showInputMessage="1" showErrorMessage="1" prompt="This was line 21 in the 2023-24 form._x000a_This data is being used in 'Part 2 - line 21'." sqref="C93" xr:uid="{3A82C581-930C-4D03-AF10-75DB15267C4A}"/>
    <dataValidation allowBlank="1" showInputMessage="1" showErrorMessage="1" prompt="This was line 22 in the 2023-24 form._x000a_This data is being used in 'Part 2 - line 21'." sqref="C96" xr:uid="{3695E2DF-F4AC-49DA-9451-CB6D6060EC98}"/>
    <dataValidation allowBlank="1" showInputMessage="1" showErrorMessage="1" prompt="This was line 26 in the 2023-24 form._x000a_This data is being used in 'Part 2 - line 33'." sqref="C112" xr:uid="{7EA3D6C5-C234-4D27-ADB8-F094051898AF}"/>
    <dataValidation allowBlank="1" showInputMessage="1" showErrorMessage="1" prompt="This was line 27 in the 2023-24 form._x000a_This data is being used in 'Part 2 - line 33'." sqref="C115" xr:uid="{7F8149F5-5C23-45CE-8A38-367C26356FDD}"/>
    <dataValidation allowBlank="1" showInputMessage="1" showErrorMessage="1" prompt="This was line 28 in the 2023-24 form._x000a_This data is being used in 'Part 2 - line 33'." sqref="C118" xr:uid="{67528627-B8DC-4D51-AC72-BEF69477E177}"/>
    <dataValidation allowBlank="1" showInputMessage="1" showErrorMessage="1" prompt="This was line 30 in the 2023-24 form._x000a_This data is being used in 'Part 2 - line 33'." sqref="C121" xr:uid="{8A5E5AC2-0673-470D-9E4A-EBB36A94DE33}"/>
    <dataValidation allowBlank="1" showInputMessage="1" showErrorMessage="1" prompt="This was line 31 in the 2023-24 form._x000a_This data is being used in 'Part 2 - line 33'." sqref="C124" xr:uid="{A5660E8B-3CB2-4E9F-8165-33578C7059A0}"/>
    <dataValidation allowBlank="1" showInputMessage="1" showErrorMessage="1" prompt="This was line 32 in the 2023-24 form._x000a_This data is being used in 'Part 3 - line 10/11'" sqref="C127" xr:uid="{7702B568-34CB-4E0C-B2E5-C573174F6AB9}"/>
    <dataValidation allowBlank="1" showInputMessage="1" showErrorMessage="1" prompt="This was line 33 in the 2023-24 form._x000a_This data is being used in 'Part 3 - line 10/11'" sqref="C129" xr:uid="{F5D7B93B-257A-478B-AF1E-4F9929DCAA2E}"/>
    <dataValidation allowBlank="1" showInputMessage="1" showErrorMessage="1" prompt="This was line 34 in the 2023-24 form. It is now in column 2 because Freeports are now included in the Designated Area summary._x000a_This data is being used in 'Part 1 - line 36'." sqref="C131" xr:uid="{82FD39E1-39AB-4AC9-955E-DD021708D3F3}"/>
    <dataValidation allowBlank="1" showInputMessage="1" showErrorMessage="1" error="Data entry is not allowed in this cell" sqref="J176 V176 S176 Y176 M176 J127 V127 G176" xr:uid="{E577F895-B943-4ABB-8BDB-4E496D266534}"/>
    <dataValidation allowBlank="1" showInputMessage="1" showErrorMessage="1" prompt="This was line 47 in the 2022-23 form" sqref="E176:E179" xr:uid="{F02CE81D-D58E-495A-9797-0812B376E33E}"/>
    <dataValidation allowBlank="1" showInputMessage="1" showErrorMessage="1" prompt="This was line 19 in the 2022-23 form" sqref="D72 D75" xr:uid="{6A445F69-EF2D-4D78-A6C3-E50CED735E9F}"/>
    <dataValidation allowBlank="1" showInputMessage="1" showErrorMessage="1" prompt="This was line 11 in the 2023-24 form._x000a_This data is being used in 'Part 1 - line 28' and 'Part 1 - line 29'." sqref="C59:D60" xr:uid="{9154E709-93C4-4B79-AC56-57A41A9A8C47}"/>
    <dataValidation allowBlank="1" showInputMessage="1" showErrorMessage="1" prompt="This was line 17 in the 2023-24 form._x000a_This data is being used in ' Part 1 - line 34' and 'Part 2 - line 16'" sqref="C72" xr:uid="{00233F04-F38A-41E2-A038-62E456E72A84}"/>
    <dataValidation allowBlank="1" showInputMessage="1" showErrorMessage="1" prompt="This was line 18 in the 2023-24 form._x000a_This data is being used in 'Part 2 - line 18'." sqref="C79:D80" xr:uid="{C8804163-C754-424A-A90E-95C4B441F60C}"/>
    <dataValidation allowBlank="1" showInputMessage="1" showErrorMessage="1" prompt="This was line 19 in the 2023-24 form._x000a_This data is being used in 'Part 2 - line 18'." sqref="C82:D83" xr:uid="{41837614-C685-468C-B136-F2CA05F315E6}"/>
    <dataValidation allowBlank="1" showInputMessage="1" showErrorMessage="1" prompt="This was line 20 in the 2023-24 form._x000a_This data is being used in 'Part 1 - line 1' and 'Part 2 - line 42'." sqref="C85:D86" xr:uid="{D4DDA22D-6C3B-49B0-9E1D-C657506B5BD8}"/>
    <dataValidation allowBlank="1" showInputMessage="1" showErrorMessage="1" prompt="This was line 23 in the 2023-24 form._x000a_This data is being used in 'Part 2 - line 23'." sqref="C99:D100" xr:uid="{7CC623BB-3B71-42D7-BE57-022FE114E292}"/>
    <dataValidation allowBlank="1" showInputMessage="1" showErrorMessage="1" prompt="This was line 24 in the 2023-24 form._x000a_This data is being used in 'Part 2 - line 23'." sqref="C102:D104" xr:uid="{6A94B369-8DB4-4F68-A888-6296E5B03D3B}"/>
    <dataValidation allowBlank="1" showInputMessage="1" showErrorMessage="1" prompt="This was line 25 in the 2023-24 form._x000a_This data is being used in 'Part 1 - line 1' and 'Part 2 - Line 42'." sqref="C106:D107" xr:uid="{4E008DC0-4AD2-46C3-87BE-4D6DA2C2030F}"/>
    <dataValidation allowBlank="1" showInputMessage="1" showErrorMessage="1" prompt="This was line 35 in the 2023-24 form._x000a_This data is being used in 'Part 2 - line 35'." sqref="C137:D138" xr:uid="{9A91BE6D-7455-4A29-83BC-DCFF6B4C3D51}"/>
    <dataValidation allowBlank="1" showInputMessage="1" showErrorMessage="1" prompt="This was line 36 in the 2023-24 form._x000a_This data is being used in 'Part 2 - line 35'." sqref="C140:D142" xr:uid="{8F6CFA8D-B69E-465D-A4B9-7931F4F83CB6}"/>
    <dataValidation allowBlank="1" showInputMessage="1" showErrorMessage="1" prompt="This was line 37 in the 2023-24 form._x000a_This data is being used in 'Part 1 - line 1' and 'Part 2 - line 42'." sqref="C144:D145" xr:uid="{2DF2FAFB-68DD-4889-847C-A684F2A402F9}"/>
    <dataValidation allowBlank="1" showInputMessage="1" showErrorMessage="1" prompt="This was line 39 in the 2023-24 form._x000a_This data is being used in 'Part 1 - line 31' and 'Part 2 - line 39'." sqref="C151" xr:uid="{78B63AC2-CC09-414E-B942-7B3C950BA174}"/>
    <dataValidation allowBlank="1" showInputMessage="1" showErrorMessage="1" prompt="This was line 40 in the 2023-24 form._x000a_This data is being used in 'Part 1 - line 33' and 'Part 2 - line 39'." sqref="C154" xr:uid="{C0C96A9C-AC8D-4B1C-956A-99EA7DC3F8E9}"/>
    <dataValidation allowBlank="1" showInputMessage="1" showErrorMessage="1" prompt="This was line 41 in the 2023-24 form._x000a_This data is being used in 'Part 1 - line 35' and 'Part 2 - line 39'." sqref="C157" xr:uid="{206D5397-2A3C-4336-A520-594FA47A1530}"/>
    <dataValidation allowBlank="1" showInputMessage="1" showErrorMessage="1" prompt="This was line 42 in the 2023-24 form._x000a_This data is being used in 'Part 1 - line 37' and 'Part 2 - line 16'." sqref="C75" xr:uid="{05A2E195-610C-4E96-917D-0096EB1EB885}"/>
    <dataValidation allowBlank="1" showInputMessage="1" showErrorMessage="1" prompt="This was line 43 in the 2023-24 form._x000a_This data is being used in 'Part 2 - line 41'." sqref="C160:D162" xr:uid="{C70655F8-B506-405A-B964-4D907BFF95CA}"/>
    <dataValidation allowBlank="1" showInputMessage="1" showErrorMessage="1" prompt="This was line 44 in the 2023-24 form._x000a_This data is being used in 'Part 2 - line 41'." sqref="C164:D166" xr:uid="{3AC1C54E-EDFD-4DD8-9FB2-D2099B94163A}"/>
    <dataValidation allowBlank="1" showInputMessage="1" showErrorMessage="1" prompt="This was line 45 in the 2023-24 form._x000a_This data is being used in 'Part 1 - line 1' and 'Part 2 - line 42'." sqref="C168:D170" xr:uid="{1B846F94-B379-4CF6-BE4E-9E6FBD3AD712}"/>
    <dataValidation allowBlank="1" showInputMessage="1" showErrorMessage="1" prompt="This was line 46 in the 2023-24 form. _x000a_This data is used in 'Part 3 - Line 1'." sqref="C176:D179" xr:uid="{15DAE693-7B51-4908-B737-1D5B2B0AB810}"/>
    <dataValidation allowBlank="1" showInputMessage="1" showErrorMessage="1" prompt="This data is being used in 'Part 2 - line 3'" sqref="C18 C24" xr:uid="{38656B5C-2F0E-4919-A197-D432CB793C0E}"/>
    <dataValidation type="list" operator="greaterThanOrEqual" allowBlank="1" showInputMessage="1" showErrorMessage="1" errorTitle="Positive whole number required" error="This MUST be a whole positive number" sqref="J7:P7" xr:uid="{646D42A7-368C-48E9-A7A4-FC28D35A3C60}">
      <formula1>"Yes - able to provide disaggregated data,No - unable to provide disaggregated data"</formula1>
    </dataValidation>
    <dataValidation type="custom" allowBlank="1" showInputMessage="1" showErrorMessage="1" errorTitle="Whole numbers allowed" error="Please enter a whole number - no pence allowed" sqref="S31" xr:uid="{2FDB1636-418F-43FB-B026-350F3FCB3EC3}">
      <formula1>AZ1="No"</formula1>
    </dataValidation>
    <dataValidation type="whole" operator="greaterThanOrEqual" allowBlank="1" showInputMessage="1" showErrorMessage="1" errorTitle="Positive whole number required" error="This MUST be a whole positive number" prompt="This Value is divided by 0.047 (the difference between the small and standard multiplier) to calculate the value in Row 1, Column 4." sqref="Y9:Y10" xr:uid="{AE4C6BA9-C13C-4689-9A9A-D1673B5B3CF2}">
      <formula1>0</formula1>
    </dataValidation>
    <dataValidation type="whole" operator="greaterThanOrEqual" allowBlank="1" showInputMessage="1" showErrorMessage="1" errorTitle="Positive whole number required" error="This MUST be a whole positive number" prompt="This Value minus the value in Row 1 Column 4 calculates Row 1, Column 1. (the total rateable value for BA Areas minus the rateable value for standard BA Areas). This value plus the rateable value for DA Areas should be similar to the Grand Total in Line 1" sqref="Y7" xr:uid="{A2347654-97D1-4C41-90B3-7C6983155D23}">
      <formula1>0</formula1>
    </dataValidation>
    <dataValidation type="whole" operator="greaterThanOrEqual" allowBlank="1" showInputMessage="1" showErrorMessage="1" errorTitle="Positive whole number required" error="This MUST be a whole positive number" prompt="This Value minus the value in Row 1 Column 5 calculates Row 1, Column 2. (the total rateable value for DA Areas minus the rateable value for standard DA Areas). This value plus the rateable value for BA Areas should be similar to the Grand Total in Line 1" sqref="Y8" xr:uid="{FC884C72-3788-4940-B401-010EA4A8AB0E}">
      <formula1>0</formula1>
    </dataValidation>
    <dataValidation type="whole" operator="lessThanOrEqual" allowBlank="1" showInputMessage="1" showErrorMessage="1" errorTitle="Negative whole number required" error="This MUST be negative whole number" sqref="S157 V157" xr:uid="{AEA355AA-EBDE-4719-B653-95674FA600BF}">
      <formula1>0</formula1>
    </dataValidation>
    <dataValidation allowBlank="1" showInputMessage="1" showErrorMessage="1" prompt="This data is being used in 'Part 2 - line 5'" sqref="C27:D27 C31:D32" xr:uid="{C4BC031A-8D04-409D-949C-20C02A2F7FB1}"/>
    <dataValidation allowBlank="1" showInputMessage="1" showErrorMessage="1" prompt="This data is being used in 'Part 1 - Line 1'" sqref="C34:D34" xr:uid="{6B0DB28B-1DB5-4EA7-AC29-85A6D84D0ED5}"/>
    <dataValidation allowBlank="1" showInputMessage="1" showErrorMessage="1" prompt="This data is being used in 'Part 2 - Line 8'" sqref="C42:D43" xr:uid="{A643647F-9D96-4E76-B1A1-A5BC013FCDFF}"/>
    <dataValidation allowBlank="1" showInputMessage="1" showErrorMessage="1" prompt="This data is being used in 'Part 2 - line 8'" sqref="C46:D47" xr:uid="{0DA6F9A1-B840-4EDD-81EF-CBEE25A1C30C}"/>
    <dataValidation allowBlank="1" showInputMessage="1" showErrorMessage="1" prompt="This was line 10 in the 2023-24 form, this data is being used in 'Part 1 - line 28', 'Part 2 - line 16' and  'Supplementary Information - Part 2 - b'" sqref="C57:D57" xr:uid="{D8DDCD00-0127-49EF-A533-EFA3ACED15D2}"/>
    <dataValidation allowBlank="1" showInputMessage="1" showErrorMessage="1" prompt="This was line 14 in the 2023-24 form, this data is being used in 'Part 2 - line 16'" sqref="C63:D63" xr:uid="{0414BFD0-7E9A-4E0B-892C-9C85E5509A7F}"/>
    <dataValidation allowBlank="1" showInputMessage="1" showErrorMessage="1" prompt="This data is being used in 'Part 1 - line 37'." sqref="C133" xr:uid="{A47A0584-28CF-4358-8430-5A01C6CDF7D1}"/>
    <dataValidation type="whole" operator="lessThanOrEqual" allowBlank="1" showInputMessage="1" showErrorMessage="1" errorTitle="Negative whole number required" error="This MUST be negative whole number" prompt="This relief should not apply to businesses on the supplementary multiplier, please double check before entering figures" sqref="S57 V57 S59 V59 S69 V69 S121 V121 S151 V151" xr:uid="{FC56900F-1860-43D8-BA65-8A99332C4642}">
      <formula1>0</formula1>
    </dataValidation>
  </dataValidations>
  <printOptions horizontalCentered="1"/>
  <pageMargins left="0.39370078740157483" right="0.39370078740157483" top="0.39370078740157483" bottom="0.39370078740157483" header="0.31496062992125984" footer="0.31496062992125984"/>
  <pageSetup paperSize="9" scale="66" fitToHeight="0" orientation="portrait" r:id="rId1"/>
  <headerFooter alignWithMargins="0"/>
  <rowBreaks count="3" manualBreakCount="3">
    <brk id="53" max="20" man="1"/>
    <brk id="109" max="16383" man="1"/>
    <brk id="147" max="20" man="1"/>
  </rowBreaks>
  <extLst>
    <ext xmlns:x14="http://schemas.microsoft.com/office/spreadsheetml/2009/9/main" uri="{78C0D931-6437-407d-A8EE-F0AAD7539E65}">
      <x14:conditionalFormattings>
        <x14:conditionalFormatting xmlns:xm="http://schemas.microsoft.com/office/excel/2006/main">
          <x14:cfRule type="expression" priority="5" id="{1C1392D5-9EF2-4D9A-878B-84A6D4F7E7D7}">
            <xm:f>AND('Part 1'!$O$253&lt;&gt;"Yes")=TRUE</xm:f>
            <x14:dxf>
              <fill>
                <patternFill>
                  <bgColor theme="0" tint="-0.14996795556505021"/>
                </patternFill>
              </fill>
            </x14:dxf>
          </x14:cfRule>
          <xm:sqref>I17:K180</xm:sqref>
        </x14:conditionalFormatting>
        <x14:conditionalFormatting xmlns:xm="http://schemas.microsoft.com/office/excel/2006/main">
          <x14:cfRule type="expression" priority="13" id="{3661399D-A226-4541-A5E4-AAD07CB6C4BC}">
            <xm:f>AND('Part 1'!$O$253&lt;&gt;"Yes")=TRUE</xm:f>
            <x14:dxf>
              <fill>
                <patternFill>
                  <bgColor theme="0" tint="-0.14996795556505021"/>
                </patternFill>
              </fill>
            </x14:dxf>
          </x14:cfRule>
          <xm:sqref>J40:J41</xm:sqref>
        </x14:conditionalFormatting>
        <x14:conditionalFormatting xmlns:xm="http://schemas.microsoft.com/office/excel/2006/main">
          <x14:cfRule type="expression" priority="112" id="{ABB6CB1A-7720-4F70-9A20-E28308A386D1}">
            <xm:f>AND('Part 1'!$O$253&lt;&gt;"Yes")=TRUE</xm:f>
            <x14:dxf>
              <font>
                <color theme="0" tint="-0.14996795556505021"/>
              </font>
              <fill>
                <patternFill>
                  <bgColor theme="0" tint="-0.14996795556505021"/>
                </patternFill>
              </fill>
            </x14:dxf>
          </x14:cfRule>
          <xm:sqref>J156</xm:sqref>
        </x14:conditionalFormatting>
        <x14:conditionalFormatting xmlns:xm="http://schemas.microsoft.com/office/excel/2006/main">
          <x14:cfRule type="expression" priority="11" id="{09D751B5-E395-49E4-A676-F049C8540D48}">
            <xm:f>AND('Part 1'!$O$253&lt;&gt;"Yes")=TRUE</xm:f>
            <x14:dxf>
              <fill>
                <patternFill>
                  <bgColor theme="0" tint="-0.14996795556505021"/>
                </patternFill>
              </fill>
            </x14:dxf>
          </x14:cfRule>
          <xm:sqref>U38:W40</xm:sqref>
        </x14:conditionalFormatting>
        <x14:conditionalFormatting xmlns:xm="http://schemas.microsoft.com/office/excel/2006/main">
          <x14:cfRule type="expression" priority="10" id="{BC78687D-E1E8-4C58-9C50-A426F6A733E6}">
            <xm:f>AND('Part 1'!$O$253&lt;&gt;"Yes")=TRUE</xm:f>
            <x14:dxf>
              <font>
                <color rgb="FFFF0000"/>
              </font>
              <fill>
                <patternFill>
                  <bgColor theme="0" tint="-0.14996795556505021"/>
                </patternFill>
              </fill>
            </x14:dxf>
          </x14:cfRule>
          <xm:sqref>U41:W41</xm:sqref>
        </x14:conditionalFormatting>
        <x14:conditionalFormatting xmlns:xm="http://schemas.microsoft.com/office/excel/2006/main">
          <x14:cfRule type="expression" priority="12" id="{63CCEE4C-BA37-4383-980A-11E5DB705028}">
            <xm:f>AND('Part 1'!$O$253&lt;&gt;"Yes")=TRUE</xm:f>
            <x14:dxf>
              <font>
                <color theme="0" tint="-0.14996795556505021"/>
              </font>
              <fill>
                <patternFill>
                  <bgColor theme="0" tint="-0.14996795556505021"/>
                </patternFill>
              </fill>
            </x14:dxf>
          </x14:cfRule>
          <xm:sqref>U42:W180 J17 U17:W37 J19:J20 J58 J126 J175:J176</xm:sqref>
        </x14:conditionalFormatting>
        <x14:conditionalFormatting xmlns:xm="http://schemas.microsoft.com/office/excel/2006/main">
          <x14:cfRule type="expression" priority="14" id="{58A856CA-1713-4E66-A147-350BDE7350AD}">
            <xm:f>AND('Part 1'!$O$253&lt;&gt;"Yes")=TRUE</xm:f>
            <x14:dxf>
              <fill>
                <patternFill>
                  <bgColor theme="0" tint="-0.14996795556505021"/>
                </patternFill>
              </fill>
            </x14:dxf>
          </x14:cfRule>
          <xm:sqref>V40:V41</xm:sqref>
        </x14:conditionalFormatting>
        <x14:conditionalFormatting xmlns:xm="http://schemas.microsoft.com/office/excel/2006/main">
          <x14:cfRule type="expression" priority="15" id="{908F1BDB-BBA9-4DF6-8946-5635B3610518}">
            <xm:f>AND('Part 1'!$O$253&lt;&gt;"Yes")=TRUE</xm:f>
            <x14:dxf>
              <font>
                <color theme="0" tint="-0.14996795556505021"/>
              </font>
              <fill>
                <patternFill>
                  <bgColor theme="0" tint="-0.14996795556505021"/>
                </patternFill>
              </fill>
              <border>
                <left/>
                <right/>
                <top/>
                <bottom/>
              </border>
            </x14:dxf>
          </x14:cfRule>
          <xm:sqref>V57 V59 V69 V121 V151 J18 V18 J27 V27 J31 V31 J34 V34 J42 V42 J46 V46 J51 V51 J57 J59 J63 V63 J66 V66 J69 J72 V72 J75 V75 J79 V79 J82 V82 J85 V85 J93 V93 J96 V96 J99 V99 J102 V102 J106 V106 J112 V112 J115 V115 V117:V118 J118 J121 J124 V124 J127 V127 J131 V131 J133 V133 J137 V137 J140 V140 J144 V144 J151 J154 V154 J157 V157 J160 V160 J164 V164 J168 V168 J176 V176 J178</xm:sqref>
        </x14:conditionalFormatting>
        <x14:conditionalFormatting xmlns:xm="http://schemas.microsoft.com/office/excel/2006/main">
          <x14:cfRule type="expression" priority="46" id="{2BE33CE4-F92E-49B9-960B-01744F3A1E14}">
            <xm:f>AND('Part 1'!$O$253&lt;&gt;"Yes")=TRUE</xm:f>
            <x14:dxf>
              <font>
                <color theme="0" tint="-0.14996795556505021"/>
              </font>
              <fill>
                <patternFill>
                  <bgColor theme="0" tint="-0.14996795556505021"/>
                </patternFill>
              </fill>
            </x14:dxf>
          </x14:cfRule>
          <xm:sqref>V133</xm:sqref>
        </x14:conditionalFormatting>
        <x14:conditionalFormatting xmlns:xm="http://schemas.microsoft.com/office/excel/2006/main">
          <x14:cfRule type="expression" priority="71" id="{B791113D-8787-4B0F-A57F-0D0C4435DE32}">
            <xm:f>AND('Part 1'!$O$253&lt;&gt;"Yes")=TRUE</xm:f>
            <x14:dxf>
              <font>
                <color theme="0" tint="-0.14996795556505021"/>
              </font>
              <fill>
                <patternFill>
                  <bgColor theme="0" tint="-0.14996795556505021"/>
                </patternFill>
              </fill>
            </x14:dxf>
          </x14:cfRule>
          <xm:sqref>V156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BC78"/>
  <sheetViews>
    <sheetView showGridLines="0" zoomScaleNormal="100" workbookViewId="0"/>
  </sheetViews>
  <sheetFormatPr defaultColWidth="9.140625" defaultRowHeight="15" x14ac:dyDescent="0.2"/>
  <cols>
    <col min="1" max="2" width="1.7109375" style="26" customWidth="1"/>
    <col min="3" max="3" width="21.42578125" style="26" customWidth="1"/>
    <col min="4" max="4" width="11" style="26" customWidth="1"/>
    <col min="5" max="5" width="22.85546875" style="26" customWidth="1"/>
    <col min="6" max="6" width="5.7109375" style="26" customWidth="1"/>
    <col min="7" max="7" width="17.140625" style="26" customWidth="1"/>
    <col min="8" max="8" width="2.7109375" style="26" customWidth="1"/>
    <col min="9" max="9" width="3.7109375" style="26" customWidth="1"/>
    <col min="10" max="10" width="17.140625" style="26" customWidth="1"/>
    <col min="11" max="12" width="2.7109375" style="26" customWidth="1"/>
    <col min="13" max="13" width="17.140625" style="26" customWidth="1"/>
    <col min="14" max="14" width="1.7109375" style="26" customWidth="1"/>
    <col min="15" max="15" width="2.85546875" style="26" customWidth="1"/>
    <col min="16" max="16" width="9.140625" style="26" customWidth="1"/>
    <col min="17" max="17" width="10.85546875" style="26" hidden="1" customWidth="1"/>
    <col min="18" max="18" width="15.7109375" style="251" hidden="1" customWidth="1"/>
    <col min="19" max="19" width="17.28515625" style="254" hidden="1" customWidth="1"/>
    <col min="20" max="20" width="11.140625" style="26" hidden="1" customWidth="1"/>
    <col min="21" max="21" width="8.7109375" style="26" hidden="1" customWidth="1"/>
    <col min="22" max="22" width="6.42578125" style="26" hidden="1" customWidth="1"/>
    <col min="23" max="55" width="9.140625" style="26" hidden="1" customWidth="1"/>
    <col min="56" max="73" width="9.140625" style="26" customWidth="1"/>
    <col min="74" max="16384" width="9.140625" style="26"/>
  </cols>
  <sheetData>
    <row r="1" spans="1:24" x14ac:dyDescent="0.2">
      <c r="A1" s="15"/>
      <c r="B1" s="2"/>
      <c r="C1" s="1741"/>
      <c r="D1" s="1741"/>
      <c r="E1" s="1741"/>
      <c r="F1" s="1741"/>
      <c r="G1" s="1741"/>
      <c r="H1" s="2"/>
      <c r="I1" s="2"/>
      <c r="J1" s="2"/>
      <c r="K1" s="2"/>
      <c r="L1" s="2"/>
      <c r="M1" s="2"/>
      <c r="N1" s="2"/>
      <c r="O1" s="71"/>
    </row>
    <row r="2" spans="1:24" ht="18" x14ac:dyDescent="0.25">
      <c r="A2" s="31"/>
      <c r="B2" s="19"/>
      <c r="C2" s="87" t="e">
        <f>+CONCATENATE("Local Authority : ",+'Part 1'!K15)</f>
        <v>#N/A</v>
      </c>
      <c r="D2" s="87"/>
      <c r="E2" s="320"/>
      <c r="F2" s="320"/>
      <c r="G2" s="320"/>
      <c r="H2" s="19"/>
      <c r="I2" s="19"/>
      <c r="J2" s="19"/>
      <c r="K2" s="19"/>
      <c r="L2" s="19"/>
      <c r="M2" s="19"/>
      <c r="N2" s="19"/>
      <c r="O2" s="20"/>
    </row>
    <row r="3" spans="1:24" ht="15.75" x14ac:dyDescent="0.25">
      <c r="A3" s="30"/>
      <c r="B3" s="320"/>
      <c r="C3" s="320"/>
      <c r="D3" s="320"/>
      <c r="E3" s="19"/>
      <c r="F3" s="18"/>
      <c r="G3" s="18"/>
      <c r="H3" s="18"/>
      <c r="I3" s="19"/>
      <c r="J3" s="19"/>
      <c r="K3" s="19"/>
      <c r="L3" s="19"/>
      <c r="M3" s="19"/>
      <c r="N3" s="19"/>
      <c r="O3" s="20"/>
    </row>
    <row r="4" spans="1:24" ht="18" x14ac:dyDescent="0.25">
      <c r="A4" s="30"/>
      <c r="B4" s="320"/>
      <c r="C4" s="87" t="s">
        <v>918</v>
      </c>
      <c r="D4" s="320"/>
      <c r="E4" s="19"/>
      <c r="F4" s="18"/>
      <c r="G4" s="18"/>
      <c r="H4" s="18"/>
      <c r="I4" s="19"/>
      <c r="J4" s="1742"/>
      <c r="K4" s="1742"/>
      <c r="L4" s="19"/>
      <c r="M4" s="19"/>
      <c r="N4" s="19"/>
      <c r="O4" s="20"/>
    </row>
    <row r="5" spans="1:24" ht="15.75" x14ac:dyDescent="0.25">
      <c r="A5" s="30"/>
      <c r="B5" s="320"/>
      <c r="C5" s="1644" t="s">
        <v>3218</v>
      </c>
      <c r="D5" s="1644"/>
      <c r="E5" s="1644"/>
      <c r="F5" s="1644"/>
      <c r="G5" s="1644"/>
      <c r="H5" s="1644"/>
      <c r="I5" s="1644"/>
      <c r="J5" s="1644"/>
      <c r="K5" s="1644"/>
      <c r="L5" s="1644"/>
      <c r="M5" s="1644"/>
      <c r="N5" s="19"/>
      <c r="O5" s="1143"/>
    </row>
    <row r="6" spans="1:24" ht="15.75" customHeight="1" x14ac:dyDescent="0.25">
      <c r="A6" s="30"/>
      <c r="B6" s="320"/>
      <c r="C6" s="1644"/>
      <c r="D6" s="1644"/>
      <c r="E6" s="1644"/>
      <c r="F6" s="1644"/>
      <c r="G6" s="1644"/>
      <c r="H6" s="1644"/>
      <c r="I6" s="1644"/>
      <c r="J6" s="1644"/>
      <c r="K6" s="1644"/>
      <c r="L6" s="1644"/>
      <c r="M6" s="1644"/>
      <c r="N6" s="356"/>
      <c r="O6" s="665"/>
    </row>
    <row r="7" spans="1:24" ht="15.75" x14ac:dyDescent="0.25">
      <c r="A7" s="1171"/>
      <c r="B7" s="320"/>
      <c r="C7" s="1644"/>
      <c r="D7" s="1644"/>
      <c r="E7" s="1644"/>
      <c r="F7" s="1644"/>
      <c r="G7" s="1644"/>
      <c r="H7" s="1644"/>
      <c r="I7" s="1644"/>
      <c r="J7" s="1644"/>
      <c r="K7" s="1644"/>
      <c r="L7" s="1644"/>
      <c r="M7" s="1644"/>
      <c r="N7" s="356"/>
      <c r="O7" s="665"/>
    </row>
    <row r="8" spans="1:24" ht="15.75" customHeight="1" x14ac:dyDescent="0.25">
      <c r="A8" s="31"/>
      <c r="B8" s="19"/>
      <c r="C8" s="1734" t="e">
        <f>+IF('Part 1'!O253="No","You should complete column 1 only","You should complete columns 1 and 2")</f>
        <v>#N/A</v>
      </c>
      <c r="D8" s="1734"/>
      <c r="E8" s="1734"/>
      <c r="F8" s="409"/>
      <c r="G8" s="76" t="s">
        <v>695</v>
      </c>
      <c r="H8" s="18"/>
      <c r="I8" s="76"/>
      <c r="J8" s="76" t="s">
        <v>696</v>
      </c>
      <c r="K8" s="76"/>
      <c r="L8" s="76"/>
      <c r="M8" s="1068" t="s">
        <v>697</v>
      </c>
      <c r="N8" s="76"/>
      <c r="O8" s="20"/>
      <c r="R8" s="1724" t="s">
        <v>929</v>
      </c>
    </row>
    <row r="9" spans="1:24" ht="15.75" customHeight="1" x14ac:dyDescent="0.25">
      <c r="A9" s="31"/>
      <c r="B9" s="19"/>
      <c r="C9" s="409"/>
      <c r="D9" s="409"/>
      <c r="E9" s="409"/>
      <c r="F9" s="97"/>
      <c r="G9" s="1189" t="str">
        <f>IF('Part 2'!$J$7="No - unable to provide disaggregated data","Enter data for all hereditaments in these columns","Enter data for all hereditaments in these columns")</f>
        <v>Enter data for all hereditaments in these columns</v>
      </c>
      <c r="H9" s="1206"/>
      <c r="I9" s="1200"/>
      <c r="J9" s="1200"/>
      <c r="K9" s="1200"/>
      <c r="L9" s="1200"/>
      <c r="M9" s="1207"/>
      <c r="N9" s="76"/>
      <c r="O9" s="1143"/>
      <c r="R9" s="1725"/>
    </row>
    <row r="10" spans="1:24" ht="15.75" customHeight="1" x14ac:dyDescent="0.25">
      <c r="A10" s="31"/>
      <c r="B10" s="19"/>
      <c r="C10" s="19"/>
      <c r="D10" s="19"/>
      <c r="E10" s="19"/>
      <c r="F10" s="19"/>
      <c r="G10" s="1729" t="s">
        <v>837</v>
      </c>
      <c r="H10" s="762"/>
      <c r="I10" s="238"/>
      <c r="J10" s="1731" t="s">
        <v>973</v>
      </c>
      <c r="K10" s="763"/>
      <c r="L10" s="238"/>
      <c r="M10" s="1733" t="s">
        <v>26</v>
      </c>
      <c r="N10" s="321"/>
      <c r="O10" s="20"/>
      <c r="R10" s="1726"/>
    </row>
    <row r="11" spans="1:24" ht="34.5" customHeight="1" x14ac:dyDescent="0.2">
      <c r="A11" s="31"/>
      <c r="B11" s="19"/>
      <c r="C11" s="19"/>
      <c r="D11" s="19"/>
      <c r="E11" s="19"/>
      <c r="F11" s="19"/>
      <c r="G11" s="1730"/>
      <c r="H11" s="762"/>
      <c r="I11" s="238"/>
      <c r="J11" s="1732"/>
      <c r="K11" s="763"/>
      <c r="L11" s="238"/>
      <c r="M11" s="1730"/>
      <c r="N11" s="19"/>
      <c r="O11" s="20"/>
    </row>
    <row r="12" spans="1:24" ht="63" customHeight="1" x14ac:dyDescent="0.2">
      <c r="A12" s="31"/>
      <c r="B12" s="19"/>
      <c r="C12" s="19"/>
      <c r="D12" s="19"/>
      <c r="E12" s="19"/>
      <c r="F12" s="19"/>
      <c r="G12" s="1138" t="s">
        <v>843</v>
      </c>
      <c r="H12" s="1203"/>
      <c r="I12" s="1195"/>
      <c r="J12" s="1204" t="e">
        <f>+IF('Part 1'!O253="Yes", "Complete this column","Do not complete this column")</f>
        <v>#N/A</v>
      </c>
      <c r="K12" s="1205"/>
      <c r="L12" s="1195"/>
      <c r="M12" s="1138" t="s">
        <v>844</v>
      </c>
      <c r="N12" s="1196"/>
      <c r="O12" s="20"/>
      <c r="R12" s="353" t="s">
        <v>838</v>
      </c>
    </row>
    <row r="13" spans="1:24" ht="16.5" thickBot="1" x14ac:dyDescent="0.3">
      <c r="A13" s="31"/>
      <c r="B13" s="320"/>
      <c r="C13" s="320" t="s">
        <v>710</v>
      </c>
      <c r="D13" s="320"/>
      <c r="E13" s="19"/>
      <c r="F13" s="19"/>
      <c r="G13" s="321" t="s">
        <v>687</v>
      </c>
      <c r="H13" s="18"/>
      <c r="I13" s="19"/>
      <c r="J13" s="1070" t="s">
        <v>687</v>
      </c>
      <c r="K13" s="415"/>
      <c r="L13" s="193"/>
      <c r="M13" s="341" t="s">
        <v>687</v>
      </c>
      <c r="N13" s="193"/>
      <c r="O13" s="20"/>
      <c r="R13" s="395"/>
    </row>
    <row r="14" spans="1:24" ht="16.5" thickBot="1" x14ac:dyDescent="0.3">
      <c r="A14" s="31"/>
      <c r="B14" s="19"/>
      <c r="C14" s="1650" t="s">
        <v>2911</v>
      </c>
      <c r="D14" s="1728"/>
      <c r="E14" s="1728"/>
      <c r="F14" s="19"/>
      <c r="G14" s="1085">
        <f>'Part 2'!G176+'Part 2'!S176</f>
        <v>0</v>
      </c>
      <c r="H14" s="18"/>
      <c r="I14" s="77"/>
      <c r="J14" s="1075">
        <f>'Part 2'!J176+'Part 2'!V176</f>
        <v>0</v>
      </c>
      <c r="K14" s="415"/>
      <c r="L14" s="181"/>
      <c r="M14" s="1086">
        <f>'Part 2'!AB176</f>
        <v>0</v>
      </c>
      <c r="N14" s="195"/>
      <c r="O14" s="71"/>
      <c r="R14" s="255">
        <f>IF(+G14+J14-M14=0,0,1)</f>
        <v>0</v>
      </c>
      <c r="T14" s="96"/>
      <c r="X14" s="9"/>
    </row>
    <row r="15" spans="1:24" ht="15.75" x14ac:dyDescent="0.25">
      <c r="A15" s="31"/>
      <c r="B15" s="19"/>
      <c r="C15" s="1728"/>
      <c r="D15" s="1728"/>
      <c r="E15" s="1728"/>
      <c r="F15" s="19"/>
      <c r="G15" s="98"/>
      <c r="H15" s="18"/>
      <c r="I15" s="394"/>
      <c r="J15" s="391"/>
      <c r="K15" s="394"/>
      <c r="L15" s="181"/>
      <c r="M15" s="181"/>
      <c r="N15" s="193"/>
      <c r="O15" s="20"/>
      <c r="R15" s="255"/>
    </row>
    <row r="16" spans="1:24" ht="15.75" customHeight="1" x14ac:dyDescent="0.25">
      <c r="A16" s="31"/>
      <c r="B16" s="19"/>
      <c r="C16" s="1613"/>
      <c r="D16" s="1613"/>
      <c r="E16" s="1613"/>
      <c r="F16" s="19"/>
      <c r="G16" s="393"/>
      <c r="H16" s="18"/>
      <c r="I16" s="394"/>
      <c r="J16" s="394"/>
      <c r="K16" s="394"/>
      <c r="L16" s="181"/>
      <c r="M16" s="181"/>
      <c r="N16" s="193"/>
      <c r="O16" s="20"/>
      <c r="R16" s="255">
        <f>IF(+G14+J14-'Part 2'!AB176=0,0,1)</f>
        <v>0</v>
      </c>
    </row>
    <row r="17" spans="1:21" ht="15.75" x14ac:dyDescent="0.25">
      <c r="A17" s="31"/>
      <c r="B17" s="19"/>
      <c r="C17" s="194"/>
      <c r="D17" s="19"/>
      <c r="E17" s="19"/>
      <c r="F17" s="19"/>
      <c r="G17" s="393"/>
      <c r="H17" s="18"/>
      <c r="I17" s="394"/>
      <c r="J17" s="394"/>
      <c r="K17" s="394"/>
      <c r="L17" s="181"/>
      <c r="M17" s="181"/>
      <c r="N17" s="193"/>
      <c r="O17" s="20"/>
      <c r="R17" s="255"/>
    </row>
    <row r="18" spans="1:21" ht="16.5" thickBot="1" x14ac:dyDescent="0.3">
      <c r="A18" s="31"/>
      <c r="B18" s="18"/>
      <c r="C18" s="12" t="s">
        <v>2777</v>
      </c>
      <c r="D18" s="19"/>
      <c r="E18" s="19"/>
      <c r="F18" s="19"/>
      <c r="G18" s="77"/>
      <c r="H18" s="18"/>
      <c r="I18" s="77"/>
      <c r="J18" s="77"/>
      <c r="K18" s="415"/>
      <c r="L18" s="181"/>
      <c r="M18" s="181"/>
      <c r="N18" s="193"/>
      <c r="O18" s="20"/>
      <c r="R18" s="255"/>
    </row>
    <row r="19" spans="1:21" ht="16.5" thickBot="1" x14ac:dyDescent="0.3">
      <c r="A19" s="31"/>
      <c r="B19" s="19"/>
      <c r="C19" s="1727" t="s">
        <v>2822</v>
      </c>
      <c r="D19" s="1727"/>
      <c r="E19" s="1727"/>
      <c r="F19" s="19"/>
      <c r="G19" s="1077">
        <v>0</v>
      </c>
      <c r="H19" s="18"/>
      <c r="I19" s="77"/>
      <c r="J19" s="1078">
        <f>'Part 3 DA summary'!G6</f>
        <v>0</v>
      </c>
      <c r="K19" s="415"/>
      <c r="L19" s="181"/>
      <c r="M19" s="1086">
        <f>+G19+J19</f>
        <v>0</v>
      </c>
      <c r="N19" s="195"/>
      <c r="O19" s="71"/>
      <c r="R19" s="255">
        <f>IF(+G19+J19-M19=0,0,1)</f>
        <v>0</v>
      </c>
      <c r="T19" s="9"/>
      <c r="U19" s="241"/>
    </row>
    <row r="20" spans="1:21" ht="15.75" x14ac:dyDescent="0.25">
      <c r="A20" s="31"/>
      <c r="B20" s="19"/>
      <c r="C20" s="1727"/>
      <c r="D20" s="1727"/>
      <c r="E20" s="1727"/>
      <c r="F20" s="19"/>
      <c r="G20" s="77"/>
      <c r="H20" s="18"/>
      <c r="I20" s="77"/>
      <c r="J20" s="77"/>
      <c r="K20" s="415"/>
      <c r="L20" s="181"/>
      <c r="M20" s="181"/>
      <c r="N20" s="193"/>
      <c r="O20" s="20"/>
      <c r="R20" s="255"/>
    </row>
    <row r="21" spans="1:21" ht="16.5" thickBot="1" x14ac:dyDescent="0.3">
      <c r="A21" s="31"/>
      <c r="B21" s="19"/>
      <c r="C21" s="1145"/>
      <c r="D21" s="356"/>
      <c r="E21" s="356"/>
      <c r="F21" s="19"/>
      <c r="G21" s="77"/>
      <c r="H21" s="18"/>
      <c r="I21" s="77"/>
      <c r="J21" s="77"/>
      <c r="K21" s="415"/>
      <c r="L21" s="181"/>
      <c r="M21" s="181"/>
      <c r="N21" s="193"/>
      <c r="O21" s="20"/>
      <c r="R21" s="255"/>
    </row>
    <row r="22" spans="1:21" ht="16.5" customHeight="1" thickBot="1" x14ac:dyDescent="0.3">
      <c r="A22" s="31"/>
      <c r="B22" s="19"/>
      <c r="C22" s="1727" t="s">
        <v>2823</v>
      </c>
      <c r="D22" s="1727"/>
      <c r="E22" s="1727"/>
      <c r="F22" s="19"/>
      <c r="G22" s="1077">
        <v>0</v>
      </c>
      <c r="H22" s="18"/>
      <c r="I22" s="77"/>
      <c r="J22" s="1078">
        <f>'Part 3 DA summary'!I6</f>
        <v>0</v>
      </c>
      <c r="K22" s="415"/>
      <c r="L22" s="181"/>
      <c r="M22" s="1086">
        <f>G22+J22</f>
        <v>0</v>
      </c>
      <c r="N22" s="195"/>
      <c r="O22" s="71"/>
      <c r="R22" s="255">
        <f>IF(+G22+J22-M22=0,0,1)</f>
        <v>0</v>
      </c>
      <c r="S22" s="1180" t="s">
        <v>3253</v>
      </c>
      <c r="T22" s="9"/>
      <c r="U22" s="241"/>
    </row>
    <row r="23" spans="1:21" ht="15.75" x14ac:dyDescent="0.25">
      <c r="A23" s="31"/>
      <c r="B23" s="19"/>
      <c r="C23" s="1727"/>
      <c r="D23" s="1727"/>
      <c r="E23" s="1727"/>
      <c r="F23" s="19"/>
      <c r="G23" s="78"/>
      <c r="H23" s="18"/>
      <c r="I23" s="77"/>
      <c r="J23" s="78"/>
      <c r="K23" s="415"/>
      <c r="L23" s="181"/>
      <c r="M23" s="182"/>
      <c r="N23" s="195"/>
      <c r="O23" s="20"/>
      <c r="R23" s="255"/>
      <c r="S23" s="527"/>
      <c r="T23" s="400" t="s">
        <v>3254</v>
      </c>
      <c r="U23" s="400" t="s">
        <v>3256</v>
      </c>
    </row>
    <row r="24" spans="1:21" ht="16.5" thickBot="1" x14ac:dyDescent="0.25">
      <c r="A24" s="31"/>
      <c r="B24" s="19"/>
      <c r="C24" s="408"/>
      <c r="D24" s="408"/>
      <c r="E24" s="408"/>
      <c r="F24" s="19"/>
      <c r="G24" s="78"/>
      <c r="H24" s="531"/>
      <c r="I24" s="531"/>
      <c r="J24" s="78"/>
      <c r="K24" s="78"/>
      <c r="L24" s="181"/>
      <c r="M24" s="182"/>
      <c r="N24" s="195"/>
      <c r="O24" s="20"/>
      <c r="R24" s="255"/>
      <c r="S24" s="400" t="s">
        <v>3255</v>
      </c>
      <c r="T24" s="1182">
        <f>IFERROR('Part 2'!G176/('Part 2'!G176+'Part 2'!S176),0)</f>
        <v>0</v>
      </c>
      <c r="U24" s="1182">
        <f>IFERROR('Part 2'!S176/('Part 2'!G176+'Part 2'!S176),0)</f>
        <v>0</v>
      </c>
    </row>
    <row r="25" spans="1:21" ht="15.75" x14ac:dyDescent="0.2">
      <c r="A25" s="31"/>
      <c r="B25" s="174"/>
      <c r="C25" s="175"/>
      <c r="D25" s="175"/>
      <c r="E25" s="175"/>
      <c r="F25" s="175"/>
      <c r="G25" s="1211"/>
      <c r="H25" s="532"/>
      <c r="I25" s="340"/>
      <c r="J25" s="176"/>
      <c r="K25" s="176"/>
      <c r="L25" s="336"/>
      <c r="M25" s="183"/>
      <c r="N25" s="196"/>
      <c r="O25" s="20"/>
      <c r="R25" s="255"/>
      <c r="S25" s="400" t="s">
        <v>1212</v>
      </c>
      <c r="T25" s="1182">
        <f>IFERROR('Part 2'!J176/('Part 2'!J176+'Part 2'!V176),0)</f>
        <v>0</v>
      </c>
      <c r="U25" s="1182">
        <f>IFERROR('Part 2'!V176/('Part 2'!J176+'Part 2'!V176),0)</f>
        <v>0</v>
      </c>
    </row>
    <row r="26" spans="1:21" ht="16.5" thickBot="1" x14ac:dyDescent="0.3">
      <c r="A26" s="31"/>
      <c r="B26" s="177"/>
      <c r="C26" s="18" t="s">
        <v>558</v>
      </c>
      <c r="D26" s="19"/>
      <c r="E26" s="19"/>
      <c r="F26" s="19"/>
      <c r="G26" s="77"/>
      <c r="H26" s="18"/>
      <c r="I26" s="538"/>
      <c r="J26" s="77"/>
      <c r="K26" s="415"/>
      <c r="L26" s="337"/>
      <c r="M26" s="181"/>
      <c r="N26" s="197"/>
      <c r="O26" s="20"/>
      <c r="R26" s="255"/>
      <c r="S26" s="400" t="s">
        <v>707</v>
      </c>
      <c r="T26" s="1182">
        <f>IFERROR('Part 2'!M176/'Part 2'!AB176,0)</f>
        <v>0</v>
      </c>
      <c r="U26" s="1182">
        <f>IFERROR('Part 2'!Y176/'Part 2'!AB176,0)</f>
        <v>0</v>
      </c>
    </row>
    <row r="27" spans="1:21" ht="16.5" thickBot="1" x14ac:dyDescent="0.3">
      <c r="A27" s="31"/>
      <c r="B27" s="178"/>
      <c r="C27" s="1639" t="s">
        <v>2910</v>
      </c>
      <c r="D27" s="1639"/>
      <c r="E27" s="1639"/>
      <c r="F27" s="19"/>
      <c r="G27" s="1078">
        <f>+G14+G19+G22</f>
        <v>0</v>
      </c>
      <c r="H27" s="18"/>
      <c r="I27" s="538"/>
      <c r="J27" s="1078">
        <f>+J14+J19+J22</f>
        <v>0</v>
      </c>
      <c r="K27" s="415"/>
      <c r="L27" s="337"/>
      <c r="M27" s="1086">
        <f>+G27+J27</f>
        <v>0</v>
      </c>
      <c r="N27" s="197"/>
      <c r="O27" s="71"/>
      <c r="R27" s="255">
        <f>IF(+G27+J27-M27=0,0,1)</f>
        <v>0</v>
      </c>
      <c r="S27" s="9"/>
      <c r="T27" s="9"/>
    </row>
    <row r="28" spans="1:21" ht="16.5" thickBot="1" x14ac:dyDescent="0.3">
      <c r="A28" s="31"/>
      <c r="B28" s="1210"/>
      <c r="C28" s="179"/>
      <c r="D28" s="179"/>
      <c r="E28" s="179"/>
      <c r="F28" s="179"/>
      <c r="G28" s="1209"/>
      <c r="H28" s="531"/>
      <c r="I28" s="339"/>
      <c r="J28" s="180"/>
      <c r="K28" s="180"/>
      <c r="L28" s="338"/>
      <c r="M28" s="185"/>
      <c r="N28" s="198"/>
      <c r="O28" s="20"/>
      <c r="R28" s="255"/>
    </row>
    <row r="29" spans="1:21" ht="15.75" x14ac:dyDescent="0.25">
      <c r="A29" s="31"/>
      <c r="B29" s="19"/>
      <c r="C29" s="19"/>
      <c r="D29" s="19"/>
      <c r="E29" s="19"/>
      <c r="F29" s="19"/>
      <c r="G29" s="77"/>
      <c r="H29" s="532"/>
      <c r="I29" s="532"/>
      <c r="J29" s="77"/>
      <c r="K29" s="415"/>
      <c r="L29" s="19"/>
      <c r="M29" s="19"/>
      <c r="N29" s="19"/>
      <c r="O29" s="20"/>
      <c r="R29" s="255">
        <f>+IF(G$14+G$19+G$22-G$27=0,0,1)</f>
        <v>0</v>
      </c>
    </row>
    <row r="30" spans="1:21" ht="15" customHeight="1" x14ac:dyDescent="0.25">
      <c r="A30" s="31"/>
      <c r="B30" s="19"/>
      <c r="C30" s="18"/>
      <c r="D30" s="19"/>
      <c r="E30" s="971"/>
      <c r="F30" s="19"/>
      <c r="G30" s="76" t="s">
        <v>695</v>
      </c>
      <c r="H30" s="18"/>
      <c r="I30" s="76"/>
      <c r="J30" s="76" t="s">
        <v>696</v>
      </c>
      <c r="K30" s="76"/>
      <c r="L30" s="76"/>
      <c r="M30" s="1068" t="s">
        <v>697</v>
      </c>
      <c r="N30" s="19"/>
      <c r="O30" s="20"/>
      <c r="R30" s="255">
        <f>+IF(J$14+J$19+J$22-J$27=0,0,1)</f>
        <v>0</v>
      </c>
    </row>
    <row r="31" spans="1:21" ht="21.75" customHeight="1" x14ac:dyDescent="0.25">
      <c r="A31" s="31"/>
      <c r="B31" s="19"/>
      <c r="C31" s="18"/>
      <c r="D31" s="19"/>
      <c r="E31" s="971"/>
      <c r="F31" s="19"/>
      <c r="G31" s="1729" t="s">
        <v>837</v>
      </c>
      <c r="H31" s="762"/>
      <c r="I31" s="238"/>
      <c r="J31" s="1731" t="s">
        <v>973</v>
      </c>
      <c r="K31" s="763"/>
      <c r="L31" s="238"/>
      <c r="M31" s="1733" t="s">
        <v>26</v>
      </c>
      <c r="N31" s="19"/>
      <c r="O31" s="1143"/>
      <c r="R31" s="255"/>
    </row>
    <row r="32" spans="1:21" ht="29.25" customHeight="1" x14ac:dyDescent="0.25">
      <c r="A32" s="31"/>
      <c r="B32" s="19"/>
      <c r="C32" s="18"/>
      <c r="D32" s="19"/>
      <c r="E32" s="971"/>
      <c r="F32" s="19"/>
      <c r="G32" s="1730"/>
      <c r="H32" s="762"/>
      <c r="I32" s="238"/>
      <c r="J32" s="1732"/>
      <c r="K32" s="763"/>
      <c r="L32" s="238"/>
      <c r="M32" s="1730"/>
      <c r="N32" s="19"/>
      <c r="O32" s="1143"/>
      <c r="R32" s="255"/>
    </row>
    <row r="33" spans="1:21" ht="62.25" customHeight="1" x14ac:dyDescent="0.25">
      <c r="A33" s="31"/>
      <c r="B33" s="19"/>
      <c r="C33" s="18"/>
      <c r="D33" s="19"/>
      <c r="E33" s="971"/>
      <c r="F33" s="19"/>
      <c r="G33" s="1063" t="s">
        <v>843</v>
      </c>
      <c r="H33" s="18"/>
      <c r="I33" s="238"/>
      <c r="J33" s="1144" t="e">
        <f>+IF('Part 1'!O253="Yes", "Complete 'Part 3 DA summary' to fill this column","Do not complete this column")</f>
        <v>#N/A</v>
      </c>
      <c r="K33" s="415"/>
      <c r="L33" s="238"/>
      <c r="M33" s="1064" t="s">
        <v>844</v>
      </c>
      <c r="N33" s="19"/>
      <c r="O33" s="1143"/>
      <c r="R33" s="255"/>
    </row>
    <row r="34" spans="1:21" ht="15" customHeight="1" thickBot="1" x14ac:dyDescent="0.3">
      <c r="A34" s="31"/>
      <c r="B34" s="19"/>
      <c r="C34" s="11" t="s">
        <v>2778</v>
      </c>
      <c r="D34" s="19"/>
      <c r="E34" s="971"/>
      <c r="F34" s="19"/>
      <c r="G34" s="77"/>
      <c r="H34" s="18"/>
      <c r="I34" s="77"/>
      <c r="J34" s="77"/>
      <c r="K34" s="415"/>
      <c r="L34" s="181"/>
      <c r="M34" s="1069"/>
      <c r="N34" s="193"/>
      <c r="O34" s="20"/>
      <c r="R34" s="255">
        <f>+IF(M$14+M$19+M$22-M$27=0,0,1)</f>
        <v>0</v>
      </c>
    </row>
    <row r="35" spans="1:21" ht="16.5" thickBot="1" x14ac:dyDescent="0.3">
      <c r="A35" s="31"/>
      <c r="B35" s="19"/>
      <c r="C35" s="1639" t="s">
        <v>2909</v>
      </c>
      <c r="D35" s="1639"/>
      <c r="E35" s="1639"/>
      <c r="F35" s="19"/>
      <c r="G35" s="1077">
        <v>0</v>
      </c>
      <c r="H35" s="18"/>
      <c r="I35" s="77"/>
      <c r="J35" s="1075">
        <f>'Part 3 DA summary'!M6</f>
        <v>0</v>
      </c>
      <c r="K35" s="415"/>
      <c r="L35" s="181"/>
      <c r="M35" s="1086">
        <f>+G35+J35</f>
        <v>0</v>
      </c>
      <c r="N35" s="195"/>
      <c r="O35" s="71"/>
      <c r="R35" s="255">
        <f>IF(+G35+J35-M35=0,0,1)</f>
        <v>0</v>
      </c>
      <c r="T35" s="9"/>
      <c r="U35" s="241"/>
    </row>
    <row r="36" spans="1:21" ht="16.5" thickBot="1" x14ac:dyDescent="0.3">
      <c r="A36" s="31"/>
      <c r="B36" s="19"/>
      <c r="C36" s="19"/>
      <c r="D36" s="19"/>
      <c r="E36" s="971"/>
      <c r="F36" s="19"/>
      <c r="G36" s="19"/>
      <c r="H36" s="18"/>
      <c r="I36" s="77"/>
      <c r="J36" s="77"/>
      <c r="K36" s="415"/>
      <c r="L36" s="181"/>
      <c r="M36" s="181"/>
      <c r="N36" s="193"/>
      <c r="O36" s="20"/>
      <c r="R36" s="255"/>
      <c r="S36" s="9" t="s">
        <v>2286</v>
      </c>
    </row>
    <row r="37" spans="1:21" ht="16.5" thickBot="1" x14ac:dyDescent="0.3">
      <c r="A37" s="31"/>
      <c r="B37" s="19"/>
      <c r="C37" s="1639" t="s">
        <v>2908</v>
      </c>
      <c r="D37" s="1639"/>
      <c r="E37" s="1639"/>
      <c r="F37" s="19"/>
      <c r="G37" s="1077">
        <v>0</v>
      </c>
      <c r="H37" s="18"/>
      <c r="I37" s="77"/>
      <c r="J37" s="1075">
        <f>'Part 3 DA summary'!O6</f>
        <v>0</v>
      </c>
      <c r="K37" s="415"/>
      <c r="L37" s="181"/>
      <c r="M37" s="1086">
        <f>+G37+J37</f>
        <v>0</v>
      </c>
      <c r="N37" s="193"/>
      <c r="O37" s="665"/>
      <c r="R37" s="255">
        <f>IF(+G37+J37-M37=0,0,1)</f>
        <v>0</v>
      </c>
      <c r="S37" s="9" t="e">
        <f>INDEX(TierSplit!CC:CC,MATCH(Import_LA_Code,Ref_LA_Codes2,0))</f>
        <v>#N/A</v>
      </c>
    </row>
    <row r="38" spans="1:21" ht="16.5" thickBot="1" x14ac:dyDescent="0.3">
      <c r="A38" s="31"/>
      <c r="B38" s="19"/>
      <c r="C38" s="19"/>
      <c r="D38" s="19"/>
      <c r="E38" s="19"/>
      <c r="F38" s="19"/>
      <c r="G38" s="19"/>
      <c r="H38" s="18"/>
      <c r="I38" s="77"/>
      <c r="J38" s="77"/>
      <c r="K38" s="415"/>
      <c r="L38" s="181"/>
      <c r="M38" s="181"/>
      <c r="N38" s="193"/>
      <c r="O38" s="665"/>
      <c r="R38" s="255"/>
    </row>
    <row r="39" spans="1:21" ht="16.5" thickBot="1" x14ac:dyDescent="0.3">
      <c r="A39" s="31"/>
      <c r="B39" s="19"/>
      <c r="C39" s="1647" t="s">
        <v>2907</v>
      </c>
      <c r="D39" s="1647"/>
      <c r="E39" s="1647"/>
      <c r="F39" s="19"/>
      <c r="G39" s="19"/>
      <c r="H39" s="18"/>
      <c r="I39" s="77"/>
      <c r="J39" s="1087">
        <f>'Part 3 DA summary'!Q6</f>
        <v>0</v>
      </c>
      <c r="K39" s="415"/>
      <c r="L39" s="181"/>
      <c r="M39" s="1069"/>
      <c r="N39" s="193"/>
      <c r="O39" s="20"/>
      <c r="R39" s="255"/>
    </row>
    <row r="40" spans="1:21" ht="15.75" customHeight="1" thickBot="1" x14ac:dyDescent="0.3">
      <c r="A40" s="31"/>
      <c r="B40" s="19"/>
      <c r="C40" s="194"/>
      <c r="D40" s="194"/>
      <c r="E40" s="413"/>
      <c r="F40" s="194"/>
      <c r="G40" s="19"/>
      <c r="H40" s="18"/>
      <c r="I40" s="194"/>
      <c r="J40" s="194" t="str">
        <f>IF(J39='Part 2'!J51+'Part 2'!V51,"","This should be the same as Part 2 Line 8, column 2")</f>
        <v/>
      </c>
      <c r="K40" s="415"/>
      <c r="L40" s="181"/>
      <c r="M40" s="181"/>
      <c r="N40" s="193"/>
      <c r="O40" s="20"/>
      <c r="R40" s="255"/>
      <c r="S40" s="251"/>
    </row>
    <row r="41" spans="1:21" ht="16.5" thickBot="1" x14ac:dyDescent="0.3">
      <c r="A41" s="31"/>
      <c r="B41" s="19"/>
      <c r="C41" s="1647" t="s">
        <v>2906</v>
      </c>
      <c r="D41" s="1647"/>
      <c r="E41" s="1647"/>
      <c r="F41" s="19"/>
      <c r="G41" s="19"/>
      <c r="H41" s="19"/>
      <c r="I41" s="77"/>
      <c r="J41" s="1089">
        <f>'Part 3 DA summary'!S6</f>
        <v>0</v>
      </c>
      <c r="K41" s="415"/>
      <c r="L41" s="181"/>
      <c r="M41" s="181"/>
      <c r="N41" s="193"/>
      <c r="O41" s="20"/>
      <c r="Q41" s="254"/>
      <c r="R41" s="255"/>
      <c r="S41" s="251"/>
      <c r="T41" s="254"/>
      <c r="U41" s="254"/>
    </row>
    <row r="42" spans="1:21" ht="15.75" thickBot="1" x14ac:dyDescent="0.25">
      <c r="A42" s="31"/>
      <c r="B42" s="19"/>
      <c r="C42" s="19"/>
      <c r="D42" s="19"/>
      <c r="E42" s="19"/>
      <c r="F42" s="19"/>
      <c r="G42" s="77"/>
      <c r="H42" s="77"/>
      <c r="I42" s="77"/>
      <c r="J42" s="1053"/>
      <c r="K42" s="77"/>
      <c r="L42" s="181"/>
      <c r="M42" s="181"/>
      <c r="N42" s="193"/>
      <c r="O42" s="20"/>
      <c r="R42" s="255"/>
    </row>
    <row r="43" spans="1:21" x14ac:dyDescent="0.2">
      <c r="A43" s="31"/>
      <c r="B43" s="27"/>
      <c r="C43" s="22"/>
      <c r="D43" s="22"/>
      <c r="E43" s="22"/>
      <c r="F43" s="22"/>
      <c r="G43" s="84"/>
      <c r="H43" s="533"/>
      <c r="I43" s="537"/>
      <c r="J43" s="84"/>
      <c r="K43" s="84"/>
      <c r="L43" s="184"/>
      <c r="M43" s="1738"/>
      <c r="N43" s="199"/>
      <c r="O43" s="20"/>
      <c r="R43" s="255"/>
    </row>
    <row r="44" spans="1:21" ht="16.5" thickBot="1" x14ac:dyDescent="0.3">
      <c r="A44" s="31"/>
      <c r="B44" s="28"/>
      <c r="C44" s="23" t="s">
        <v>723</v>
      </c>
      <c r="D44" s="24"/>
      <c r="E44" s="24"/>
      <c r="F44" s="24"/>
      <c r="G44" s="414"/>
      <c r="H44" s="414"/>
      <c r="I44" s="334"/>
      <c r="J44" s="414"/>
      <c r="K44" s="414"/>
      <c r="L44" s="330"/>
      <c r="M44" s="1739"/>
      <c r="N44" s="197"/>
      <c r="O44" s="20"/>
      <c r="R44" s="255"/>
    </row>
    <row r="45" spans="1:21" ht="16.5" thickBot="1" x14ac:dyDescent="0.25">
      <c r="A45" s="31"/>
      <c r="B45" s="28"/>
      <c r="C45" s="1740" t="s">
        <v>1237</v>
      </c>
      <c r="D45" s="1740"/>
      <c r="E45" s="1740"/>
      <c r="F45" s="1740"/>
      <c r="G45" s="1740"/>
      <c r="I45" s="335"/>
      <c r="J45" s="1078">
        <f>'Part 3 DA summary'!U6</f>
        <v>0</v>
      </c>
      <c r="K45" s="85"/>
      <c r="L45" s="181"/>
      <c r="M45" s="1088">
        <f>+J45</f>
        <v>0</v>
      </c>
      <c r="N45" s="197"/>
      <c r="O45" s="71"/>
      <c r="R45" s="255">
        <f>IF(+J45-M45=0,0,1)</f>
        <v>0</v>
      </c>
      <c r="T45" s="9"/>
    </row>
    <row r="46" spans="1:21" ht="15.75" thickBot="1" x14ac:dyDescent="0.25">
      <c r="A46" s="31"/>
      <c r="B46" s="29"/>
      <c r="C46" s="25"/>
      <c r="D46" s="25"/>
      <c r="E46" s="25"/>
      <c r="F46" s="25"/>
      <c r="G46" s="25"/>
      <c r="H46" s="25"/>
      <c r="I46" s="29"/>
      <c r="J46" s="25"/>
      <c r="K46" s="25"/>
      <c r="L46" s="208"/>
      <c r="M46" s="208"/>
      <c r="N46" s="198"/>
      <c r="O46" s="20"/>
      <c r="R46" s="255"/>
    </row>
    <row r="47" spans="1:21" x14ac:dyDescent="0.2">
      <c r="A47" s="31"/>
      <c r="B47" s="452"/>
      <c r="C47" s="452"/>
      <c r="D47" s="452"/>
      <c r="E47" s="452"/>
      <c r="F47" s="452"/>
      <c r="G47" s="452"/>
      <c r="H47" s="534"/>
      <c r="I47" s="452"/>
      <c r="J47" s="452"/>
      <c r="K47" s="452"/>
      <c r="L47" s="539"/>
      <c r="M47" s="193"/>
      <c r="N47" s="193"/>
      <c r="O47" s="20"/>
      <c r="R47" s="255"/>
    </row>
    <row r="48" spans="1:21" ht="15.75" x14ac:dyDescent="0.25">
      <c r="A48" s="31"/>
      <c r="B48" s="452"/>
      <c r="C48" s="482" t="s">
        <v>1375</v>
      </c>
      <c r="D48" s="452"/>
      <c r="E48" s="452"/>
      <c r="F48" s="452"/>
      <c r="G48" s="452"/>
      <c r="H48" s="452"/>
      <c r="I48" s="452"/>
      <c r="J48" s="452"/>
      <c r="K48" s="452"/>
      <c r="L48" s="193"/>
      <c r="M48" s="193"/>
      <c r="N48" s="193"/>
      <c r="O48" s="20"/>
      <c r="R48" s="255"/>
    </row>
    <row r="49" spans="1:20" ht="15.75" thickBot="1" x14ac:dyDescent="0.25">
      <c r="A49" s="31"/>
      <c r="B49" s="452"/>
      <c r="C49" s="452"/>
      <c r="D49" s="452"/>
      <c r="E49" s="452"/>
      <c r="F49" s="452"/>
      <c r="G49" s="452"/>
      <c r="H49" s="452"/>
      <c r="I49" s="452"/>
      <c r="J49" s="452"/>
      <c r="K49" s="452"/>
      <c r="L49" s="193"/>
      <c r="M49" s="193"/>
      <c r="N49" s="193"/>
      <c r="O49" s="20"/>
      <c r="R49" s="255"/>
    </row>
    <row r="50" spans="1:20" ht="16.5" thickBot="1" x14ac:dyDescent="0.3">
      <c r="A50" s="31"/>
      <c r="B50" s="452"/>
      <c r="C50" s="1647" t="e">
        <f>IF(Local_Share_Total=1,"10. Designated Areas Qualifying Relief","10. Designated Areas Qualifying Relief: Not applicable")</f>
        <v>#N/A</v>
      </c>
      <c r="D50" s="1647"/>
      <c r="E50" s="1647"/>
      <c r="F50" s="452"/>
      <c r="G50" s="1085" t="e">
        <f>IF(Local_Share_Total=1,(+'Part 2'!G129+'Part 2'!S129)*-1,0)</f>
        <v>#N/A</v>
      </c>
      <c r="H50" s="18"/>
      <c r="I50" s="452"/>
      <c r="J50" s="1085" t="e">
        <f>IF(Local_Share_Total=1,('Part 2'!J127+'Part 2'!V127)*-1,0)</f>
        <v>#N/A</v>
      </c>
      <c r="K50" s="452"/>
      <c r="L50" s="181"/>
      <c r="M50" s="1181" t="e">
        <f>+G50+J50</f>
        <v>#N/A</v>
      </c>
      <c r="N50" s="193"/>
      <c r="O50" s="71"/>
      <c r="Q50" s="251"/>
      <c r="R50" s="255" t="e">
        <f>IF(+G50+J50+-M50=0,0,1)</f>
        <v>#N/A</v>
      </c>
    </row>
    <row r="51" spans="1:20" ht="15.75" x14ac:dyDescent="0.25">
      <c r="A51" s="31"/>
      <c r="B51" s="452"/>
      <c r="C51" s="194"/>
      <c r="D51" s="452"/>
      <c r="E51" s="452"/>
      <c r="F51" s="452"/>
      <c r="G51" s="452"/>
      <c r="H51" s="18"/>
      <c r="I51" s="452"/>
      <c r="J51" s="452"/>
      <c r="K51" s="452"/>
      <c r="L51" s="181"/>
      <c r="M51" s="182"/>
      <c r="N51" s="193"/>
      <c r="O51" s="20"/>
      <c r="Q51" s="251"/>
      <c r="R51" s="255"/>
    </row>
    <row r="52" spans="1:20" x14ac:dyDescent="0.2">
      <c r="A52" s="31"/>
      <c r="B52" s="452"/>
      <c r="C52" s="452"/>
      <c r="D52" s="452"/>
      <c r="E52" s="452"/>
      <c r="F52" s="452"/>
      <c r="G52" s="452"/>
      <c r="H52" s="452"/>
      <c r="I52" s="452"/>
      <c r="J52" s="452"/>
      <c r="K52" s="452"/>
      <c r="L52" s="193"/>
      <c r="M52" s="193"/>
      <c r="N52" s="193"/>
      <c r="O52" s="20"/>
      <c r="R52" s="255"/>
    </row>
    <row r="53" spans="1:20" ht="15.75" x14ac:dyDescent="0.25">
      <c r="A53" s="31"/>
      <c r="B53" s="452"/>
      <c r="C53" s="482" t="s">
        <v>956</v>
      </c>
      <c r="D53" s="452"/>
      <c r="E53" s="452"/>
      <c r="F53" s="452"/>
      <c r="G53" s="452"/>
      <c r="H53" s="452"/>
      <c r="I53" s="452"/>
      <c r="J53" s="452"/>
      <c r="K53" s="452"/>
      <c r="L53" s="193"/>
      <c r="M53" s="193"/>
      <c r="N53" s="193"/>
      <c r="O53" s="20"/>
      <c r="R53" s="255"/>
    </row>
    <row r="54" spans="1:20" ht="16.5" thickBot="1" x14ac:dyDescent="0.3">
      <c r="A54" s="31"/>
      <c r="B54" s="452"/>
      <c r="C54" s="482"/>
      <c r="D54" s="452"/>
      <c r="E54" s="452"/>
      <c r="F54" s="452"/>
      <c r="G54" s="452"/>
      <c r="H54" s="452"/>
      <c r="I54" s="452"/>
      <c r="J54" s="452"/>
      <c r="K54" s="452"/>
      <c r="L54" s="193"/>
      <c r="M54" s="193"/>
      <c r="N54" s="193"/>
      <c r="O54" s="20"/>
      <c r="R54" s="255"/>
    </row>
    <row r="55" spans="1:20" ht="16.5" thickBot="1" x14ac:dyDescent="0.3">
      <c r="A55" s="31"/>
      <c r="B55" s="452"/>
      <c r="C55" s="13" t="e">
        <f>IF(Local_Share_Total&lt;1,"11. Designated Areas Qualifying Relief", "11. Designated Areas Qualifying Relief: Not applicable")</f>
        <v>#N/A</v>
      </c>
      <c r="D55" s="13"/>
      <c r="E55" s="13"/>
      <c r="F55" s="1360"/>
      <c r="G55" s="1074" t="e">
        <f>IF(Local_Share_Total&lt;1,ROUND(('Part 2'!G129+'Part 2'!S129)*Local_Share_Total*-1,0),0)</f>
        <v>#N/A</v>
      </c>
      <c r="H55" s="535"/>
      <c r="I55" s="452"/>
      <c r="J55" s="1167" t="e">
        <f>IF(Local_Share_Total&lt;1,ROUND(('Part 2'!J127+'Part 2'!V127)*-1,0),0)</f>
        <v>#N/A</v>
      </c>
      <c r="K55" s="452"/>
      <c r="L55" s="193"/>
      <c r="M55" s="1168" t="e">
        <f>+G55+J55</f>
        <v>#N/A</v>
      </c>
      <c r="N55" s="193"/>
      <c r="O55" s="20"/>
      <c r="Q55" s="9"/>
      <c r="R55" s="255" t="e">
        <f>IF(+G55+J55-M55=0,0,1)</f>
        <v>#N/A</v>
      </c>
    </row>
    <row r="56" spans="1:20" x14ac:dyDescent="0.2">
      <c r="A56" s="31"/>
      <c r="B56" s="452"/>
      <c r="C56" s="452"/>
      <c r="D56" s="452"/>
      <c r="E56" s="452"/>
      <c r="F56" s="452"/>
      <c r="G56" s="452"/>
      <c r="H56" s="452"/>
      <c r="I56" s="452"/>
      <c r="J56" s="452"/>
      <c r="K56" s="452"/>
      <c r="L56" s="193"/>
      <c r="M56" s="193"/>
      <c r="N56" s="193"/>
      <c r="O56" s="20"/>
      <c r="R56" s="255"/>
    </row>
    <row r="57" spans="1:20" ht="16.5" thickBot="1" x14ac:dyDescent="0.3">
      <c r="A57" s="31"/>
      <c r="B57" s="452"/>
      <c r="C57" s="482" t="s">
        <v>966</v>
      </c>
      <c r="D57" s="452"/>
      <c r="E57" s="452"/>
      <c r="F57" s="452"/>
      <c r="G57" s="452"/>
      <c r="H57" s="452"/>
      <c r="I57" s="452"/>
      <c r="J57" s="452"/>
      <c r="K57" s="452"/>
      <c r="L57" s="193"/>
      <c r="M57" s="193"/>
      <c r="N57" s="193"/>
      <c r="O57" s="697"/>
      <c r="P57" s="9"/>
      <c r="R57" s="255"/>
    </row>
    <row r="58" spans="1:20" ht="16.5" thickBot="1" x14ac:dyDescent="0.25">
      <c r="A58" s="31"/>
      <c r="B58" s="452"/>
      <c r="C58" s="1737" t="e">
        <f>IF('Part 1'!K16="E0104","12. In respect of Port of Bristol","12. In respect of Port of Bristol: Not applicable")</f>
        <v>#N/A</v>
      </c>
      <c r="D58" s="1737"/>
      <c r="E58" s="1737"/>
      <c r="F58" s="452"/>
      <c r="G58" s="1084">
        <v>0</v>
      </c>
      <c r="H58" s="452"/>
      <c r="I58" s="452"/>
      <c r="J58" s="452"/>
      <c r="K58" s="452"/>
      <c r="L58" s="193"/>
      <c r="M58" s="1086">
        <f>+ROUND(G58*0.51,0)</f>
        <v>0</v>
      </c>
      <c r="N58" s="193"/>
      <c r="O58" s="697"/>
      <c r="R58" s="675" t="e">
        <f>IF('Part 1'!K16="E0104",IF(M58=G58*0.51,0,1),IF(G58=0,0,1))</f>
        <v>#N/A</v>
      </c>
      <c r="S58" s="254" t="e">
        <f>IF('Part 1'!$K15="North Somerset UA",1,0)</f>
        <v>#N/A</v>
      </c>
    </row>
    <row r="59" spans="1:20" ht="15.75" thickBot="1" x14ac:dyDescent="0.25">
      <c r="A59" s="31"/>
      <c r="B59" s="452"/>
      <c r="C59" s="1146"/>
      <c r="D59" s="452"/>
      <c r="E59" s="452"/>
      <c r="F59" s="452"/>
      <c r="G59" s="452"/>
      <c r="H59" s="452"/>
      <c r="I59" s="536"/>
      <c r="J59" s="452"/>
      <c r="K59" s="452"/>
      <c r="L59" s="193"/>
      <c r="M59" s="193"/>
      <c r="N59" s="193"/>
      <c r="O59" s="697"/>
      <c r="R59" s="675"/>
    </row>
    <row r="60" spans="1:20" x14ac:dyDescent="0.2">
      <c r="A60" s="31"/>
      <c r="B60" s="27"/>
      <c r="C60" s="22"/>
      <c r="D60" s="22"/>
      <c r="E60" s="22"/>
      <c r="F60" s="22"/>
      <c r="G60" s="84"/>
      <c r="H60" s="84"/>
      <c r="I60" s="333"/>
      <c r="J60" s="84"/>
      <c r="K60" s="84"/>
      <c r="L60" s="184"/>
      <c r="M60" s="1738"/>
      <c r="N60" s="199"/>
      <c r="O60" s="20"/>
      <c r="R60" s="255"/>
    </row>
    <row r="61" spans="1:20" ht="16.5" thickBot="1" x14ac:dyDescent="0.3">
      <c r="A61" s="31"/>
      <c r="B61" s="28"/>
      <c r="C61" s="14" t="s">
        <v>956</v>
      </c>
      <c r="D61" s="24"/>
      <c r="E61" s="24"/>
      <c r="F61" s="24"/>
      <c r="G61" s="414"/>
      <c r="H61" s="414"/>
      <c r="I61" s="334"/>
      <c r="J61" s="414"/>
      <c r="K61" s="414"/>
      <c r="L61" s="330"/>
      <c r="M61" s="1739"/>
      <c r="N61" s="197"/>
      <c r="O61" s="20"/>
      <c r="R61" s="255"/>
    </row>
    <row r="62" spans="1:20" ht="16.5" thickBot="1" x14ac:dyDescent="0.25">
      <c r="A62" s="31"/>
      <c r="B62" s="28"/>
      <c r="C62" s="8" t="s">
        <v>2287</v>
      </c>
      <c r="D62" s="24"/>
      <c r="E62" s="24"/>
      <c r="F62" s="24"/>
      <c r="G62" s="1075" t="e">
        <f>G55+ROUND(0.51*G58,0)</f>
        <v>#N/A</v>
      </c>
      <c r="I62" s="335"/>
      <c r="J62" s="1075" t="e">
        <f>J55</f>
        <v>#N/A</v>
      </c>
      <c r="K62" s="85"/>
      <c r="L62" s="181"/>
      <c r="M62" s="1088" t="e">
        <f>+G62+J62</f>
        <v>#N/A</v>
      </c>
      <c r="N62" s="197"/>
      <c r="O62" s="71"/>
      <c r="R62" s="255" t="e">
        <f>IF(+G62+J62-M62=0,0,1)</f>
        <v>#N/A</v>
      </c>
      <c r="T62" s="9"/>
    </row>
    <row r="63" spans="1:20" ht="15.75" thickBot="1" x14ac:dyDescent="0.25">
      <c r="A63" s="31"/>
      <c r="B63" s="29"/>
      <c r="C63" s="25"/>
      <c r="D63" s="25"/>
      <c r="E63" s="25"/>
      <c r="F63" s="25"/>
      <c r="G63" s="25"/>
      <c r="H63" s="25"/>
      <c r="I63" s="29"/>
      <c r="J63" s="25"/>
      <c r="K63" s="25"/>
      <c r="L63" s="208"/>
      <c r="M63" s="208"/>
      <c r="N63" s="198"/>
      <c r="O63" s="20"/>
      <c r="R63" s="260"/>
    </row>
    <row r="64" spans="1:20" ht="15.75" thickBot="1" x14ac:dyDescent="0.25">
      <c r="A64" s="154"/>
      <c r="B64" s="90"/>
      <c r="C64" s="90"/>
      <c r="D64" s="90"/>
      <c r="E64" s="90"/>
      <c r="F64" s="90"/>
      <c r="G64" s="90"/>
      <c r="H64" s="90"/>
      <c r="I64" s="90"/>
      <c r="J64" s="90"/>
      <c r="K64" s="90"/>
      <c r="L64" s="90"/>
      <c r="M64" s="90"/>
      <c r="N64" s="90"/>
      <c r="O64" s="155"/>
      <c r="R64" s="253"/>
    </row>
    <row r="65" spans="1:19" x14ac:dyDescent="0.2">
      <c r="A65" s="68"/>
      <c r="B65" s="69"/>
      <c r="C65" s="69"/>
      <c r="D65" s="69"/>
      <c r="E65" s="69"/>
      <c r="F65" s="69"/>
      <c r="G65" s="69"/>
      <c r="H65" s="69"/>
      <c r="I65" s="69"/>
      <c r="J65" s="69"/>
      <c r="K65" s="69"/>
      <c r="L65" s="69"/>
      <c r="M65" s="69"/>
      <c r="N65" s="69"/>
      <c r="O65" s="70"/>
      <c r="R65" s="395" t="s">
        <v>25</v>
      </c>
    </row>
    <row r="66" spans="1:19" ht="15.75" x14ac:dyDescent="0.25">
      <c r="A66" s="1097"/>
      <c r="B66" s="1735" t="e">
        <f>+IF(R66&gt;0,"There are errors in the calculations in this form.  Have you over written some of the pre-filled calculations? Please check.","")</f>
        <v>#N/A</v>
      </c>
      <c r="C66" s="1735"/>
      <c r="D66" s="1735"/>
      <c r="E66" s="1735"/>
      <c r="F66" s="1735"/>
      <c r="G66" s="1735"/>
      <c r="H66" s="1735"/>
      <c r="I66" s="1735"/>
      <c r="J66" s="1735"/>
      <c r="K66" s="1735"/>
      <c r="L66" s="1735"/>
      <c r="M66" s="1735"/>
      <c r="N66" s="86"/>
      <c r="O66" s="1608"/>
      <c r="R66" s="260" t="e">
        <f>SUM(R13:R39,R45:R62)</f>
        <v>#N/A</v>
      </c>
    </row>
    <row r="67" spans="1:19" ht="16.5" thickBot="1" x14ac:dyDescent="0.3">
      <c r="A67" s="16"/>
      <c r="B67" s="1736"/>
      <c r="C67" s="1736"/>
      <c r="D67" s="1736"/>
      <c r="E67" s="1736"/>
      <c r="F67" s="1736"/>
      <c r="G67" s="1736"/>
      <c r="H67" s="1736"/>
      <c r="I67" s="1736"/>
      <c r="J67" s="1736"/>
      <c r="K67" s="1736"/>
      <c r="L67" s="1736"/>
      <c r="M67" s="1736"/>
      <c r="N67" s="1609"/>
      <c r="O67" s="1601"/>
    </row>
    <row r="68" spans="1:19" ht="16.5" hidden="1" thickBot="1" x14ac:dyDescent="0.3">
      <c r="A68" s="1097"/>
      <c r="B68" s="2"/>
      <c r="C68" s="86"/>
      <c r="D68" s="86"/>
      <c r="E68" s="86"/>
      <c r="F68" s="86"/>
      <c r="G68" s="347" t="s">
        <v>920</v>
      </c>
      <c r="H68" s="1602"/>
      <c r="I68" s="1602"/>
      <c r="J68" s="1602"/>
      <c r="K68" s="1602"/>
      <c r="L68" s="1602"/>
      <c r="M68" s="1602"/>
      <c r="N68" s="1607"/>
      <c r="O68" s="651"/>
    </row>
    <row r="69" spans="1:19" ht="15.75" hidden="1" thickBot="1" x14ac:dyDescent="0.25">
      <c r="A69" s="16"/>
      <c r="B69" s="17"/>
      <c r="C69" s="17"/>
      <c r="D69" s="17"/>
      <c r="E69" s="17"/>
      <c r="F69" s="17"/>
      <c r="G69" s="17"/>
      <c r="H69" s="17"/>
      <c r="I69" s="17"/>
      <c r="J69" s="17"/>
      <c r="K69" s="17"/>
      <c r="L69" s="17"/>
      <c r="M69" s="17"/>
      <c r="N69" s="17"/>
      <c r="O69" s="72"/>
      <c r="R69" s="253"/>
    </row>
    <row r="70" spans="1:19" s="1604" customFormat="1" ht="15.75" hidden="1" thickBot="1" x14ac:dyDescent="0.25">
      <c r="A70" s="1603"/>
      <c r="M70" s="1603"/>
      <c r="N70" s="1603"/>
      <c r="R70" s="1605"/>
      <c r="S70" s="1606"/>
    </row>
    <row r="71" spans="1:19" hidden="1" x14ac:dyDescent="0.2">
      <c r="C71" s="251"/>
      <c r="D71" s="251"/>
      <c r="E71" s="251"/>
      <c r="F71" s="251"/>
      <c r="G71" s="251"/>
      <c r="H71" s="251"/>
      <c r="I71" s="251"/>
      <c r="J71" s="251"/>
      <c r="K71" s="251"/>
      <c r="L71" s="251"/>
      <c r="M71" s="251"/>
      <c r="N71" s="251"/>
      <c r="O71" s="251"/>
      <c r="P71" s="251"/>
      <c r="Q71" s="251"/>
    </row>
    <row r="72" spans="1:19" s="251" customFormat="1" x14ac:dyDescent="0.2">
      <c r="S72" s="254"/>
    </row>
    <row r="73" spans="1:19" s="251" customFormat="1" x14ac:dyDescent="0.2">
      <c r="J73" s="453"/>
      <c r="S73" s="254"/>
    </row>
    <row r="74" spans="1:19" s="251" customFormat="1" x14ac:dyDescent="0.2">
      <c r="J74" s="1067"/>
      <c r="S74" s="254"/>
    </row>
    <row r="75" spans="1:19" s="251" customFormat="1" x14ac:dyDescent="0.2">
      <c r="S75" s="254"/>
    </row>
    <row r="76" spans="1:19" s="251" customFormat="1" x14ac:dyDescent="0.2">
      <c r="S76" s="254"/>
    </row>
    <row r="77" spans="1:19" s="251" customFormat="1" x14ac:dyDescent="0.2">
      <c r="S77" s="254"/>
    </row>
    <row r="78" spans="1:19" s="251" customFormat="1" x14ac:dyDescent="0.2">
      <c r="S78" s="254"/>
    </row>
  </sheetData>
  <sheetProtection sheet="1" objects="1" scenarios="1"/>
  <mergeCells count="25">
    <mergeCell ref="C1:G1"/>
    <mergeCell ref="J4:K4"/>
    <mergeCell ref="G31:G32"/>
    <mergeCell ref="J31:J32"/>
    <mergeCell ref="M31:M32"/>
    <mergeCell ref="C5:M7"/>
    <mergeCell ref="C27:E27"/>
    <mergeCell ref="B66:M67"/>
    <mergeCell ref="C50:E50"/>
    <mergeCell ref="C58:E58"/>
    <mergeCell ref="M60:M61"/>
    <mergeCell ref="M43:M44"/>
    <mergeCell ref="C45:G45"/>
    <mergeCell ref="C37:E37"/>
    <mergeCell ref="C35:E35"/>
    <mergeCell ref="C39:E39"/>
    <mergeCell ref="C41:E41"/>
    <mergeCell ref="R8:R10"/>
    <mergeCell ref="C19:E20"/>
    <mergeCell ref="C14:E16"/>
    <mergeCell ref="C22:E23"/>
    <mergeCell ref="G10:G11"/>
    <mergeCell ref="J10:J11"/>
    <mergeCell ref="M10:M11"/>
    <mergeCell ref="C8:E8"/>
  </mergeCells>
  <conditionalFormatting sqref="G37 J37 M37">
    <cfRule type="expression" dxfId="64" priority="19">
      <formula>$S$37="No"</formula>
    </cfRule>
  </conditionalFormatting>
  <conditionalFormatting sqref="G58">
    <cfRule type="expression" dxfId="62" priority="292">
      <formula>AND($S$58=1)=FALSE</formula>
    </cfRule>
  </conditionalFormatting>
  <conditionalFormatting sqref="M58">
    <cfRule type="expression" dxfId="56" priority="37">
      <formula>AND($S$58=1)=FALSE</formula>
    </cfRule>
  </conditionalFormatting>
  <conditionalFormatting sqref="O27">
    <cfRule type="expression" dxfId="55" priority="30">
      <formula>AND($R27=0)=FALSE</formula>
    </cfRule>
  </conditionalFormatting>
  <conditionalFormatting sqref="O50">
    <cfRule type="expression" dxfId="54" priority="28">
      <formula>AND($R50=0)=FALSE</formula>
    </cfRule>
  </conditionalFormatting>
  <dataValidations count="17">
    <dataValidation type="whole" operator="greaterThanOrEqual" allowBlank="1" showInputMessage="1" showErrorMessage="1" errorTitle="Positive whole number required" error="This number MUST be a positive whole number" sqref="G35 G37 G58" xr:uid="{00000000-0002-0000-0300-000000000000}">
      <formula1>0</formula1>
    </dataValidation>
    <dataValidation type="whole" operator="lessThanOrEqual" allowBlank="1" showInputMessage="1" showErrorMessage="1" errorTitle="Negative whole number required" error="This number MUST be a negative whole number" sqref="G19 G22" xr:uid="{00000000-0002-0000-0300-000001000000}">
      <formula1>0</formula1>
    </dataValidation>
    <dataValidation type="custom" allowBlank="1" showInputMessage="1" showErrorMessage="1" error="Do not try to enter data here_x000a_" sqref="J73" xr:uid="{00000000-0002-0000-0300-000004000000}">
      <formula1>"if(z217=""n/a"")"</formula1>
    </dataValidation>
    <dataValidation type="custom" allowBlank="1" showInputMessage="1" showErrorMessage="1" error="Data entry is not allowed in this cell" sqref="J62 M58 G62 G55 M22 M27 J55 M19 M35 M37 J50 G50 M45 M50 M62 M55 J27 G14 J14 M14 G27" xr:uid="{B9FBB173-A2FC-429F-A090-25254BDE12E8}">
      <formula1>"az1=""na"""</formula1>
    </dataValidation>
    <dataValidation allowBlank="1" showInputMessage="1" showErrorMessage="1" prompt="This data is from 'Part 2 - Line 42' and is being used in 'Part 3 - line 4'." sqref="C14:E16" xr:uid="{97ABA3D6-78CE-4FC1-B119-DDE9D254EC08}"/>
    <dataValidation type="custom" allowBlank="1" showInputMessage="1" showErrorMessage="1" error="Data entry is not allowed in this cell" prompt="This data is being taken from the disregarded amount totals in 'Part 3 DA summary'" sqref="J35 J37 J39 J41 J45" xr:uid="{97411C44-0FE0-4400-A2F3-5BBC8237E3AA}">
      <formula1>"az1=""na"""</formula1>
    </dataValidation>
    <dataValidation allowBlank="1" showInputMessage="1" showErrorMessage="1" prompt="This is the total of 'Part 3 - lines 1, 2 &amp; 3'" sqref="C27:E27" xr:uid="{976B408A-79B6-4420-9ACB-90B5E9241A6F}"/>
    <dataValidation allowBlank="1" showInputMessage="1" showErrorMessage="1" prompt="This data is being used in 'Part 1 - Line 1', 'Part 1 - Line 25' and 'Part 3 - line 4'." sqref="C19:E20" xr:uid="{BDEF05A5-8065-4DFF-9F16-232976A29448}"/>
    <dataValidation allowBlank="1" showInputMessage="1" showErrorMessage="1" prompt="This data is being used in 'Part 1 - line 1', 'Part 1 - line 25' and 'Part 3 - line 4'." sqref="C22:E23" xr:uid="{220BB650-7B93-4BD0-9B27-F6214ED116A2}"/>
    <dataValidation allowBlank="1" showInputMessage="1" showErrorMessage="1" prompt="This data is being used in 'Part 1 - line 9' and 'Part 1 - line 25'." sqref="C35:E35" xr:uid="{69214120-D7C0-403D-A542-4DB5C3412D9C}"/>
    <dataValidation allowBlank="1" showInputMessage="1" showErrorMessage="1" prompt="This data is being used in 'Part 1 - line 10' and 'Part 1 - line 25'." sqref="C37:E37" xr:uid="{3A8F18BB-0101-4C28-BCA3-96FC1B233B03}"/>
    <dataValidation allowBlank="1" showInputMessage="1" showErrorMessage="1" prompt="This data is being used in 'Part 1 - line 8' and 'Part 1 - line 25'." sqref="C45:G45" xr:uid="{750FF8E6-21F1-46D9-8492-BE0224AD7C09}"/>
    <dataValidation allowBlank="1" showInputMessage="1" showErrorMessage="1" prompt="This data is pulled from 'Part 3 DA summary - column 7'." sqref="C39:E39" xr:uid="{CD9E00CB-ABCC-4E03-97E0-DD34CE9F2AE9}"/>
    <dataValidation allowBlank="1" showInputMessage="1" showErrorMessage="1" prompt="This data is pulled from 'Part 3 DA summary - column 8'." sqref="C41:E41" xr:uid="{A057AF25-85C1-4C02-9FD1-98687620BC77}"/>
    <dataValidation type="custom" allowBlank="1" showInputMessage="1" showErrorMessage="1" error="Data entry is not allowed in this cell" prompt="This data is being taken from the collectable rate totals in 'Part 3 DA summary'" sqref="J22" xr:uid="{BDA785DF-873F-440C-9268-7FD934374BE1}">
      <formula1>"az1=""na"""</formula1>
    </dataValidation>
    <dataValidation type="custom" allowBlank="1" showInputMessage="1" showErrorMessage="1" error="Data entry is not allowed in this cell" prompt="This data is being taken from the collectable rates totals in 'Part 3 DA summary'" sqref="J19" xr:uid="{1690B260-CEE5-4C83-9146-A3C79B880284}">
      <formula1>"az1=""na"""</formula1>
    </dataValidation>
    <dataValidation allowBlank="1" showInputMessage="1" showErrorMessage="1" prompt="This data is being taken from 'Part 2 - line 29' and 'Part 2 - line 30', this data is then being used in 'Part 1 - line 31'." sqref="C50:E50" xr:uid="{B88714D1-C32B-4E76-9D3E-30D0A781C518}"/>
  </dataValidations>
  <printOptions horizontalCentered="1" verticalCentered="1"/>
  <pageMargins left="0.39370078740157483" right="0.39370078740157483" top="0.59055118110236227" bottom="0.59055118110236227" header="0.51181102362204722" footer="0.51181102362204722"/>
  <pageSetup paperSize="9" scale="6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5" id="{6644699C-99BB-40FB-B1F1-DDC605457CCB}">
            <xm:f>AND(VLOOKUP('Part 1'!$K16,TierSplit!$A$6:$CA$302,10,FALSE)&lt;1)=TRUE</xm:f>
            <x14:dxf>
              <fill>
                <patternFill>
                  <bgColor theme="0" tint="-0.14996795556505021"/>
                </patternFill>
              </fill>
            </x14:dxf>
          </x14:cfRule>
          <xm:sqref>G50 J50 M50</xm:sqref>
        </x14:conditionalFormatting>
        <x14:conditionalFormatting xmlns:xm="http://schemas.microsoft.com/office/excel/2006/main">
          <x14:cfRule type="expression" priority="2" id="{96D1767E-036F-4CA4-8F81-A700ECA5AD5D}">
            <xm:f>AND('Part 1'!$O$253&lt;&gt;"Yes")=TRUE</xm:f>
            <x14:dxf>
              <fill>
                <patternFill>
                  <bgColor theme="0" tint="-0.14996795556505021"/>
                </patternFill>
              </fill>
            </x14:dxf>
          </x14:cfRule>
          <xm:sqref>I13:K63</xm:sqref>
        </x14:conditionalFormatting>
        <x14:conditionalFormatting xmlns:xm="http://schemas.microsoft.com/office/excel/2006/main">
          <x14:cfRule type="expression" priority="11" id="{78ECD3CE-3901-46C3-84AC-CDE1DC9D4AEB}">
            <xm:f>'Part 1'!$O$253=0</xm:f>
            <x14:dxf>
              <font>
                <color theme="0" tint="-0.14996795556505021"/>
              </font>
              <fill>
                <patternFill>
                  <bgColor theme="0" tint="-0.14996795556505021"/>
                </patternFill>
              </fill>
            </x14:dxf>
          </x14:cfRule>
          <xm:sqref>I34:K63</xm:sqref>
        </x14:conditionalFormatting>
        <x14:conditionalFormatting xmlns:xm="http://schemas.microsoft.com/office/excel/2006/main">
          <x14:cfRule type="expression" priority="1" id="{F8E7BB70-ED9B-456C-BFD7-364B1E98A92A}">
            <xm:f>AND('Part 1'!$O$253&lt;&gt;"Yes")=TRUE</xm:f>
            <x14:dxf>
              <font>
                <strike val="0"/>
                <color theme="0" tint="-0.14996795556505021"/>
              </font>
              <fill>
                <patternFill>
                  <bgColor theme="0" tint="-0.14996795556505021"/>
                </patternFill>
              </fill>
              <border>
                <left/>
                <right/>
                <top/>
                <bottom/>
              </border>
            </x14:dxf>
          </x14:cfRule>
          <xm:sqref>J13:J22 J27 J35:J41 J45 J50 J55 J62</xm:sqref>
        </x14:conditionalFormatting>
        <x14:conditionalFormatting xmlns:xm="http://schemas.microsoft.com/office/excel/2006/main">
          <x14:cfRule type="expression" priority="332" id="{8783E2F7-2139-411C-962D-CA323F00108F}">
            <xm:f>AND(VLOOKUP('Part 1'!$K16,TierSplit!$A$6:$CA$302,10,FALSE)&gt;0.75)=TRUE</xm:f>
            <x14:dxf>
              <fill>
                <patternFill>
                  <bgColor theme="0" tint="-0.24994659260841701"/>
                </patternFill>
              </fill>
            </x14:dxf>
          </x14:cfRule>
          <xm:sqref>J55 G55 M55</xm:sqref>
        </x14:conditionalFormatting>
        <x14:conditionalFormatting xmlns:xm="http://schemas.microsoft.com/office/excel/2006/main">
          <x14:cfRule type="expression" priority="338" id="{9AA75E75-0765-47B7-9F03-CB71BEA658C1}">
            <xm:f>AND(VLOOKUP('Part 1'!$K16,TierSplit!$A$6:$CA$302,10,FALSE)&lt;1)=FALSE</xm:f>
            <x14:dxf>
              <fill>
                <patternFill>
                  <bgColor theme="0" tint="-0.24994659260841701"/>
                </patternFill>
              </fill>
            </x14:dxf>
          </x14:cfRule>
          <xm:sqref>J62 G62 M62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AZ61"/>
  <sheetViews>
    <sheetView showGridLines="0" zoomScale="80" zoomScaleNormal="80" workbookViewId="0">
      <selection sqref="A1:AC1"/>
    </sheetView>
  </sheetViews>
  <sheetFormatPr defaultColWidth="9.140625" defaultRowHeight="15" x14ac:dyDescent="0.2"/>
  <cols>
    <col min="1" max="1" width="6.85546875" style="494" customWidth="1"/>
    <col min="2" max="2" width="11" style="494" hidden="1" customWidth="1"/>
    <col min="3" max="3" width="107.140625" style="494" customWidth="1"/>
    <col min="4" max="4" width="3.7109375" style="494" customWidth="1"/>
    <col min="5" max="5" width="32.7109375" style="494" customWidth="1"/>
    <col min="6" max="6" width="3.5703125" style="494" customWidth="1"/>
    <col min="7" max="7" width="20.7109375" style="494" customWidth="1"/>
    <col min="8" max="8" width="3.7109375" style="494" customWidth="1"/>
    <col min="9" max="9" width="20.7109375" style="494" customWidth="1"/>
    <col min="10" max="10" width="3.7109375" style="494" customWidth="1"/>
    <col min="11" max="11" width="25.5703125" style="494" customWidth="1"/>
    <col min="12" max="12" width="3.7109375" style="494" customWidth="1"/>
    <col min="13" max="13" width="26.42578125" style="494" customWidth="1"/>
    <col min="14" max="14" width="3.5703125" style="494" customWidth="1"/>
    <col min="15" max="15" width="26.42578125" style="494" customWidth="1"/>
    <col min="16" max="16" width="3.5703125" style="494" customWidth="1"/>
    <col min="17" max="17" width="29.7109375" style="494" customWidth="1"/>
    <col min="18" max="18" width="3.7109375" style="494" customWidth="1"/>
    <col min="19" max="19" width="24.85546875" style="494" customWidth="1"/>
    <col min="20" max="20" width="3.5703125" style="494" customWidth="1"/>
    <col min="21" max="21" width="20.7109375" style="494" customWidth="1"/>
    <col min="22" max="22" width="3.5703125" style="494" customWidth="1"/>
    <col min="23" max="23" width="25.42578125" style="494" customWidth="1"/>
    <col min="24" max="24" width="3.140625" style="494" customWidth="1"/>
    <col min="25" max="25" width="24.5703125" style="608" hidden="1" customWidth="1"/>
    <col min="26" max="26" width="3.7109375" style="608" hidden="1" customWidth="1"/>
    <col min="27" max="27" width="22.7109375" style="494" customWidth="1"/>
    <col min="28" max="28" width="2.28515625" style="494" customWidth="1"/>
    <col min="29" max="29" width="3" style="494" customWidth="1"/>
    <col min="30" max="30" width="9.5703125" style="498" hidden="1" customWidth="1"/>
    <col min="31" max="31" width="12.28515625" style="497" hidden="1" customWidth="1"/>
    <col min="32" max="32" width="13.28515625" style="496" hidden="1" customWidth="1"/>
    <col min="33" max="33" width="14.42578125" style="495" hidden="1" customWidth="1"/>
    <col min="34" max="52" width="9.140625" style="494" hidden="1" customWidth="1"/>
    <col min="53" max="95" width="9.140625" style="494" customWidth="1"/>
    <col min="96" max="16384" width="9.140625" style="494"/>
  </cols>
  <sheetData>
    <row r="1" spans="1:34" ht="23.25" x14ac:dyDescent="0.35">
      <c r="A1" s="1750" t="s">
        <v>973</v>
      </c>
      <c r="B1" s="1751"/>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2"/>
    </row>
    <row r="2" spans="1:34" ht="21" customHeight="1" x14ac:dyDescent="0.2">
      <c r="A2" s="493"/>
      <c r="B2" s="526"/>
      <c r="C2" s="515"/>
      <c r="D2" s="515"/>
      <c r="E2" s="515"/>
      <c r="F2" s="515"/>
      <c r="G2" s="525"/>
      <c r="H2" s="522"/>
      <c r="I2" s="521"/>
      <c r="J2" s="513"/>
      <c r="K2" s="520"/>
      <c r="L2" s="516"/>
      <c r="M2" s="515"/>
      <c r="N2" s="515"/>
      <c r="O2" s="515"/>
      <c r="P2" s="515"/>
      <c r="Q2" s="525"/>
      <c r="R2" s="522"/>
      <c r="S2" s="521"/>
      <c r="T2" s="520"/>
      <c r="U2" s="520"/>
      <c r="V2" s="520"/>
      <c r="W2" s="515"/>
      <c r="X2" s="515"/>
      <c r="Y2" s="592"/>
      <c r="Z2" s="593"/>
      <c r="AA2" s="521"/>
      <c r="AB2" s="513"/>
      <c r="AC2" s="512"/>
      <c r="AD2" s="524"/>
    </row>
    <row r="3" spans="1:34" ht="23.25" x14ac:dyDescent="0.2">
      <c r="A3" s="493"/>
      <c r="B3" s="526"/>
      <c r="C3" s="541" t="e">
        <f>IF(ISERROR(INDEX('LA List'!C:C,MATCH(E3,'LA List'!B:B,0))),'Part 1'!K$15,INDEX('LA List'!C:C,MATCH(E3,'LA List'!B:B,0)))</f>
        <v>#N/A</v>
      </c>
      <c r="D3" s="523"/>
      <c r="E3" s="1179" t="e">
        <f>'Part 1'!K16</f>
        <v>#N/A</v>
      </c>
      <c r="F3" s="522"/>
      <c r="G3" s="521"/>
      <c r="H3" s="513"/>
      <c r="I3" s="520"/>
      <c r="J3" s="516"/>
      <c r="K3" s="523"/>
      <c r="L3" s="523"/>
      <c r="M3" s="521"/>
      <c r="N3" s="522"/>
      <c r="O3" s="522"/>
      <c r="P3" s="522"/>
      <c r="Q3" s="521"/>
      <c r="R3" s="513"/>
      <c r="S3" s="520"/>
      <c r="T3" s="523"/>
      <c r="U3" s="523"/>
      <c r="V3" s="523"/>
      <c r="W3" s="521"/>
      <c r="X3" s="522"/>
      <c r="Y3" s="594"/>
      <c r="Z3" s="595"/>
      <c r="AA3" s="520"/>
      <c r="AB3" s="516"/>
      <c r="AC3" s="512"/>
      <c r="AD3" s="496"/>
      <c r="AE3" s="501"/>
      <c r="AF3" s="494"/>
      <c r="AG3" s="494"/>
    </row>
    <row r="4" spans="1:34" ht="23.25" x14ac:dyDescent="0.2">
      <c r="A4" s="493"/>
      <c r="B4" s="523"/>
      <c r="C4" s="547"/>
      <c r="D4" s="523"/>
      <c r="E4" s="1763" t="s">
        <v>3333</v>
      </c>
      <c r="F4" s="1764"/>
      <c r="G4" s="1764"/>
      <c r="H4" s="1764"/>
      <c r="I4" s="1764"/>
      <c r="J4" s="1764"/>
      <c r="K4" s="1765"/>
      <c r="L4" s="516"/>
      <c r="M4" s="1763" t="s">
        <v>955</v>
      </c>
      <c r="N4" s="1764"/>
      <c r="O4" s="1764"/>
      <c r="P4" s="1764"/>
      <c r="Q4" s="1764"/>
      <c r="R4" s="1764"/>
      <c r="S4" s="1764"/>
      <c r="T4" s="1764"/>
      <c r="U4" s="1765"/>
      <c r="V4" s="520"/>
      <c r="W4" s="1763" t="s">
        <v>1198</v>
      </c>
      <c r="X4" s="1759"/>
      <c r="Y4" s="1759"/>
      <c r="Z4" s="1759"/>
      <c r="AA4" s="1759"/>
      <c r="AB4" s="578"/>
      <c r="AC4" s="512"/>
      <c r="AG4" s="501"/>
    </row>
    <row r="5" spans="1:34" ht="17.25" thickBot="1" x14ac:dyDescent="0.25">
      <c r="A5" s="493"/>
      <c r="B5" s="499"/>
      <c r="C5" s="499"/>
      <c r="D5" s="519"/>
      <c r="E5" s="569"/>
      <c r="F5" s="517"/>
      <c r="G5" s="517"/>
      <c r="H5" s="517"/>
      <c r="I5" s="517"/>
      <c r="J5" s="517"/>
      <c r="K5" s="570"/>
      <c r="L5" s="516"/>
      <c r="M5" s="569"/>
      <c r="N5" s="517"/>
      <c r="O5" s="517"/>
      <c r="P5" s="517"/>
      <c r="Q5" s="517"/>
      <c r="R5" s="517"/>
      <c r="S5" s="517"/>
      <c r="T5" s="518"/>
      <c r="U5" s="570"/>
      <c r="V5" s="518"/>
      <c r="W5" s="569"/>
      <c r="X5" s="517"/>
      <c r="Y5" s="596"/>
      <c r="Z5" s="596"/>
      <c r="AA5" s="517"/>
      <c r="AB5" s="579"/>
      <c r="AC5" s="512"/>
      <c r="AG5" s="501"/>
    </row>
    <row r="6" spans="1:34" ht="21" thickBot="1" x14ac:dyDescent="0.25">
      <c r="A6" s="493"/>
      <c r="B6" s="499"/>
      <c r="C6" s="540" t="s">
        <v>983</v>
      </c>
      <c r="D6" s="519"/>
      <c r="E6" s="571">
        <f>SUM(E13:E53)</f>
        <v>0</v>
      </c>
      <c r="F6" s="505"/>
      <c r="G6" s="558">
        <f>SUM(G13:G53)</f>
        <v>0</v>
      </c>
      <c r="H6" s="504"/>
      <c r="I6" s="558">
        <f>SUM(I13:I53)</f>
        <v>0</v>
      </c>
      <c r="J6" s="504"/>
      <c r="K6" s="572">
        <f>SUM(K13:K53)</f>
        <v>0</v>
      </c>
      <c r="L6" s="506"/>
      <c r="M6" s="571">
        <f>SUM(M13:M53)</f>
        <v>0</v>
      </c>
      <c r="N6" s="505"/>
      <c r="O6" s="558">
        <f>SUM(O13:O53)</f>
        <v>0</v>
      </c>
      <c r="P6" s="505"/>
      <c r="Q6" s="558">
        <f>SUM(Q13:Q53)</f>
        <v>0</v>
      </c>
      <c r="R6" s="504"/>
      <c r="S6" s="558">
        <f>SUM(S13:S53)</f>
        <v>0</v>
      </c>
      <c r="T6" s="504"/>
      <c r="U6" s="572">
        <f>SUM(U13:U53)</f>
        <v>0</v>
      </c>
      <c r="V6" s="504"/>
      <c r="W6" s="571">
        <f>SUM(W13:W53)</f>
        <v>0</v>
      </c>
      <c r="X6" s="505"/>
      <c r="Y6" s="597">
        <f>SUM(Y13:Y53)</f>
        <v>0</v>
      </c>
      <c r="Z6" s="598"/>
      <c r="AA6" s="558">
        <f>SUM(AA13:AA53)</f>
        <v>0</v>
      </c>
      <c r="AB6" s="580"/>
      <c r="AC6" s="512"/>
      <c r="AG6" s="501"/>
    </row>
    <row r="7" spans="1:34" s="716" customFormat="1" ht="41.25" customHeight="1" x14ac:dyDescent="0.2">
      <c r="A7" s="704"/>
      <c r="B7" s="705"/>
      <c r="C7" s="705"/>
      <c r="D7" s="705"/>
      <c r="E7" s="706" t="str">
        <f>IF(E6='Part 2'!$J$176+'Part 2'!V176,"","Not equal to Part 2 Line 42 column 2+5")</f>
        <v/>
      </c>
      <c r="F7" s="705"/>
      <c r="G7" s="707" t="str">
        <f>IF(G6='Part 3'!J19,"","Not equal to Part 3 Line 2 column 2+5")</f>
        <v/>
      </c>
      <c r="H7" s="708"/>
      <c r="I7" s="707" t="str">
        <f>IF(I6='Part 3'!J22,"","Not equal to Part 3 Line 3 column 2+5")</f>
        <v/>
      </c>
      <c r="J7" s="708"/>
      <c r="K7" s="709" t="str">
        <f>IF(K6=SUM(K13:K53),"","Total does not equal to sum of rows")</f>
        <v/>
      </c>
      <c r="L7" s="710"/>
      <c r="M7" s="711" t="str">
        <f>IF(M6=SUM(M13:M53),"","Total does not equal to sum of rows")</f>
        <v/>
      </c>
      <c r="N7" s="705"/>
      <c r="O7" s="707" t="str">
        <f>IF(O6=SUM(O13:O53),"","Total does not equal to sum of rows")</f>
        <v/>
      </c>
      <c r="P7" s="705"/>
      <c r="Q7" s="708" t="str">
        <f>IF(Q6='Part 2'!J51+'Part 2'!V51,"","Not equal to Part 2 Line 8 columns 2+5")</f>
        <v/>
      </c>
      <c r="R7" s="708"/>
      <c r="S7" s="707" t="str">
        <f>IF(S6=SUM(S13:S53),"","Total does not equal to sum of rows")</f>
        <v/>
      </c>
      <c r="T7" s="712"/>
      <c r="U7" s="709" t="str">
        <f>IF(U6=SUM(U13:U53),"","Total does not equal to sum of rows")</f>
        <v/>
      </c>
      <c r="V7" s="712"/>
      <c r="W7" s="1766" t="str">
        <f>IF(W6=('Part 2'!J127+'Part 2'!V127)*-1,"","Not equal to Part 2 Line 29 multiplied by -1")</f>
        <v/>
      </c>
      <c r="X7" s="705"/>
      <c r="Y7" s="1755" t="str">
        <f>IF(AA6=SUM(AA13:AA56),"","Total does not equal sum of rows")</f>
        <v/>
      </c>
      <c r="Z7" s="1756"/>
      <c r="AA7" s="1756"/>
      <c r="AB7" s="1757"/>
      <c r="AC7" s="713"/>
      <c r="AD7" s="714"/>
      <c r="AE7" s="715"/>
      <c r="AG7" s="717"/>
    </row>
    <row r="8" spans="1:34" s="616" customFormat="1" ht="18.75" customHeight="1" x14ac:dyDescent="0.2">
      <c r="A8" s="612"/>
      <c r="B8" s="499"/>
      <c r="C8" s="499"/>
      <c r="D8" s="515"/>
      <c r="E8" s="587"/>
      <c r="F8" s="515"/>
      <c r="G8" s="609"/>
      <c r="H8" s="609"/>
      <c r="I8" s="609"/>
      <c r="J8" s="609"/>
      <c r="K8" s="610"/>
      <c r="L8" s="609"/>
      <c r="M8" s="573"/>
      <c r="N8" s="515"/>
      <c r="O8" s="515"/>
      <c r="P8" s="515"/>
      <c r="Q8" s="609"/>
      <c r="R8" s="609"/>
      <c r="S8" s="609"/>
      <c r="T8" s="609"/>
      <c r="U8" s="610"/>
      <c r="V8" s="609"/>
      <c r="W8" s="1767"/>
      <c r="X8" s="609"/>
      <c r="Y8" s="611"/>
      <c r="Z8" s="611"/>
      <c r="AA8" s="609"/>
      <c r="AB8" s="610"/>
      <c r="AC8" s="613"/>
      <c r="AD8" s="498"/>
      <c r="AE8" s="614"/>
      <c r="AF8" s="615"/>
      <c r="AG8" s="501"/>
    </row>
    <row r="9" spans="1:34" ht="43.5" customHeight="1" x14ac:dyDescent="0.3">
      <c r="A9" s="493"/>
      <c r="B9" s="499"/>
      <c r="C9" s="563" t="s">
        <v>919</v>
      </c>
      <c r="D9" s="515"/>
      <c r="E9" s="575" t="s">
        <v>975</v>
      </c>
      <c r="F9" s="514"/>
      <c r="G9" s="1758" t="s">
        <v>976</v>
      </c>
      <c r="H9" s="1759"/>
      <c r="I9" s="1760"/>
      <c r="J9" s="549"/>
      <c r="K9" s="565"/>
      <c r="L9" s="549"/>
      <c r="M9" s="1743" t="s">
        <v>955</v>
      </c>
      <c r="N9" s="1744"/>
      <c r="O9" s="1744"/>
      <c r="P9" s="1744"/>
      <c r="Q9" s="1744"/>
      <c r="R9" s="1744"/>
      <c r="S9" s="1744"/>
      <c r="T9" s="1745"/>
      <c r="U9" s="1746"/>
      <c r="V9" s="549"/>
      <c r="W9" s="1747"/>
      <c r="X9" s="1744"/>
      <c r="Y9" s="1744"/>
      <c r="Z9" s="599"/>
      <c r="AA9" s="555"/>
      <c r="AB9" s="574"/>
      <c r="AC9" s="512"/>
      <c r="AG9" s="501"/>
    </row>
    <row r="10" spans="1:34" ht="21" customHeight="1" x14ac:dyDescent="0.3">
      <c r="A10" s="493"/>
      <c r="B10" s="499"/>
      <c r="C10" s="499"/>
      <c r="D10" s="515"/>
      <c r="E10" s="575">
        <v>1</v>
      </c>
      <c r="F10" s="548"/>
      <c r="G10" s="564">
        <v>2</v>
      </c>
      <c r="H10" s="556"/>
      <c r="I10" s="565">
        <v>3</v>
      </c>
      <c r="J10" s="556"/>
      <c r="K10" s="565">
        <v>4</v>
      </c>
      <c r="L10" s="556"/>
      <c r="M10" s="575">
        <v>5</v>
      </c>
      <c r="N10" s="548"/>
      <c r="O10" s="548">
        <v>6</v>
      </c>
      <c r="P10" s="548"/>
      <c r="Q10" s="556">
        <v>7</v>
      </c>
      <c r="R10" s="556"/>
      <c r="S10" s="556">
        <v>8</v>
      </c>
      <c r="T10" s="556"/>
      <c r="U10" s="565">
        <v>9</v>
      </c>
      <c r="V10" s="556"/>
      <c r="W10" s="564" t="s">
        <v>1181</v>
      </c>
      <c r="X10" s="556"/>
      <c r="Y10" s="600">
        <v>10</v>
      </c>
      <c r="Z10" s="600"/>
      <c r="AA10" s="556" t="s">
        <v>1182</v>
      </c>
      <c r="AB10" s="574"/>
      <c r="AC10" s="512"/>
      <c r="AG10" s="501"/>
    </row>
    <row r="11" spans="1:34" ht="151.5" customHeight="1" x14ac:dyDescent="0.2">
      <c r="A11" s="493"/>
      <c r="B11" s="515"/>
      <c r="C11" s="507" t="s">
        <v>982</v>
      </c>
      <c r="D11" s="515"/>
      <c r="E11" s="566" t="s">
        <v>974</v>
      </c>
      <c r="F11" s="567"/>
      <c r="G11" s="566" t="s">
        <v>2820</v>
      </c>
      <c r="H11" s="567"/>
      <c r="I11" s="568" t="s">
        <v>2821</v>
      </c>
      <c r="J11" s="576"/>
      <c r="K11" s="568" t="s">
        <v>977</v>
      </c>
      <c r="L11" s="516"/>
      <c r="M11" s="566" t="s">
        <v>978</v>
      </c>
      <c r="N11" s="577"/>
      <c r="O11" s="577" t="s">
        <v>1327</v>
      </c>
      <c r="P11" s="577"/>
      <c r="Q11" s="577" t="s">
        <v>1180</v>
      </c>
      <c r="R11" s="577"/>
      <c r="S11" s="577" t="s">
        <v>967</v>
      </c>
      <c r="T11" s="576"/>
      <c r="U11" s="568" t="s">
        <v>979</v>
      </c>
      <c r="V11" s="518"/>
      <c r="W11" s="566" t="s">
        <v>1175</v>
      </c>
      <c r="X11" s="567"/>
      <c r="Y11" s="601" t="s">
        <v>1176</v>
      </c>
      <c r="Z11" s="602"/>
      <c r="AA11" s="577" t="s">
        <v>1177</v>
      </c>
      <c r="AB11" s="581"/>
      <c r="AC11" s="512"/>
      <c r="AE11" s="511"/>
      <c r="AF11" s="510"/>
      <c r="AG11" s="501"/>
      <c r="AH11" s="509"/>
    </row>
    <row r="12" spans="1:34" ht="45.75" customHeight="1" thickBot="1" x14ac:dyDescent="0.3">
      <c r="A12" s="493"/>
      <c r="B12" s="1753"/>
      <c r="C12" s="1754"/>
      <c r="D12" s="515"/>
      <c r="E12" s="582" t="s">
        <v>1172</v>
      </c>
      <c r="F12" s="583"/>
      <c r="G12" s="1761" t="s">
        <v>1173</v>
      </c>
      <c r="H12" s="1762"/>
      <c r="I12" s="1762"/>
      <c r="J12" s="584"/>
      <c r="K12" s="582" t="s">
        <v>1174</v>
      </c>
      <c r="L12" s="585"/>
      <c r="M12" s="582" t="s">
        <v>1172</v>
      </c>
      <c r="N12" s="583"/>
      <c r="O12" s="582" t="s">
        <v>1172</v>
      </c>
      <c r="P12" s="583"/>
      <c r="Q12" s="582" t="s">
        <v>2783</v>
      </c>
      <c r="R12" s="586"/>
      <c r="S12" s="582" t="s">
        <v>2929</v>
      </c>
      <c r="T12" s="582"/>
      <c r="U12" s="582" t="s">
        <v>1174</v>
      </c>
      <c r="V12" s="582"/>
      <c r="W12" s="582" t="s">
        <v>1172</v>
      </c>
      <c r="X12" s="583"/>
      <c r="Y12" s="603" t="s">
        <v>1174</v>
      </c>
      <c r="Z12" s="604"/>
      <c r="AA12" s="582" t="s">
        <v>1174</v>
      </c>
      <c r="AB12" s="513"/>
      <c r="AC12" s="512"/>
      <c r="AE12" s="511"/>
      <c r="AF12" s="510" t="s">
        <v>1241</v>
      </c>
      <c r="AG12" s="501" t="s">
        <v>2281</v>
      </c>
      <c r="AH12" s="509"/>
    </row>
    <row r="13" spans="1:34" s="500" customFormat="1" ht="21" customHeight="1" thickBot="1" x14ac:dyDescent="0.25">
      <c r="A13" s="557">
        <v>1</v>
      </c>
      <c r="B13" s="499" t="e">
        <f>CONCATENATE($E$3,"EZ",A13)</f>
        <v>#N/A</v>
      </c>
      <c r="C13" s="679" t="str">
        <f>IFERROR(INDEX('EZ list'!E:E,MATCH(B13,'EZ list'!C:C,0)),"")</f>
        <v/>
      </c>
      <c r="D13" s="507"/>
      <c r="E13" s="806">
        <v>0</v>
      </c>
      <c r="F13" s="807"/>
      <c r="G13" s="806"/>
      <c r="H13" s="808"/>
      <c r="I13" s="806"/>
      <c r="J13" s="808"/>
      <c r="K13" s="809" t="str">
        <f>IF(OR(C13="",C13=0),"",+E13+G13+I13)</f>
        <v/>
      </c>
      <c r="L13" s="810"/>
      <c r="M13" s="806"/>
      <c r="N13" s="807"/>
      <c r="O13" s="806"/>
      <c r="P13" s="807"/>
      <c r="Q13" s="999">
        <v>0</v>
      </c>
      <c r="R13" s="808"/>
      <c r="S13" s="1215" t="str">
        <f>IFERROR(INDEX('EZ list'!N:N,MATCH(B13,'EZ list'!C:C,0)),"")</f>
        <v/>
      </c>
      <c r="T13" s="808"/>
      <c r="U13" s="809" t="str">
        <f t="shared" ref="U13:U53" si="0">IF(OR(C13=0,C13=""),"",IF(K13-M13-O13+Q13-S13&lt;0,0,+K13-M13-O13+Q13-S13))</f>
        <v/>
      </c>
      <c r="V13" s="808"/>
      <c r="W13" s="806">
        <v>0</v>
      </c>
      <c r="X13" s="807"/>
      <c r="Y13" s="811" t="str">
        <f t="shared" ref="Y13:Y53" si="1">IF(C13="","",IF(Local_Share_Total&lt;1,W13,0))</f>
        <v/>
      </c>
      <c r="Z13" s="812"/>
      <c r="AA13" s="809" t="str">
        <f>IF(OR(C13=0,C13=""),"",W13)</f>
        <v/>
      </c>
      <c r="AB13" s="504"/>
      <c r="AC13" s="503"/>
      <c r="AD13" s="502"/>
      <c r="AE13" s="559"/>
      <c r="AF13" s="677">
        <f>IF(IFERROR(INDEX('EZ list'!E:E,MATCH(B13,'EZ list'!C:C,0)),"")=C13,0,1)</f>
        <v>0</v>
      </c>
      <c r="AG13" s="501">
        <f>IF(OR(C13="",C13=0),0,1)</f>
        <v>0</v>
      </c>
      <c r="AH13" s="508"/>
    </row>
    <row r="14" spans="1:34" s="500" customFormat="1" ht="21" customHeight="1" thickBot="1" x14ac:dyDescent="0.25">
      <c r="A14" s="557">
        <v>2</v>
      </c>
      <c r="B14" s="499" t="e">
        <f t="shared" ref="B14:B53" si="2">CONCATENATE($E$3,"EZ",A14)</f>
        <v>#N/A</v>
      </c>
      <c r="C14" s="679" t="str">
        <f>IFERROR(INDEX('EZ list'!E:E,MATCH(B14,'EZ list'!C:C,0)),"")</f>
        <v/>
      </c>
      <c r="D14" s="507"/>
      <c r="E14" s="806"/>
      <c r="F14" s="807"/>
      <c r="G14" s="806"/>
      <c r="H14" s="808"/>
      <c r="I14" s="806"/>
      <c r="J14" s="808"/>
      <c r="K14" s="809" t="str">
        <f t="shared" ref="K14:K53" si="3">IF(C14="","",+E14+G14+I14)</f>
        <v/>
      </c>
      <c r="L14" s="810"/>
      <c r="M14" s="806"/>
      <c r="N14" s="807"/>
      <c r="O14" s="806"/>
      <c r="P14" s="807"/>
      <c r="Q14" s="999"/>
      <c r="R14" s="808"/>
      <c r="S14" s="1215" t="str">
        <f>IFERROR(INDEX('EZ list'!N:N,MATCH(B14,'EZ list'!C:C,0)),"")</f>
        <v/>
      </c>
      <c r="T14" s="808"/>
      <c r="U14" s="809" t="str">
        <f t="shared" si="0"/>
        <v/>
      </c>
      <c r="V14" s="808"/>
      <c r="W14" s="806"/>
      <c r="X14" s="807"/>
      <c r="Y14" s="811" t="str">
        <f t="shared" si="1"/>
        <v/>
      </c>
      <c r="Z14" s="812"/>
      <c r="AA14" s="809" t="str">
        <f t="shared" ref="AA14:AA53" si="4">IF(C14="","",W14)</f>
        <v/>
      </c>
      <c r="AB14" s="504"/>
      <c r="AC14" s="503"/>
      <c r="AD14" s="502"/>
      <c r="AE14" s="559"/>
      <c r="AF14" s="677">
        <f>IF(IFERROR(INDEX('EZ list'!E:E,MATCH(B14,'EZ list'!C:C,0)),"")=C14,0,1)</f>
        <v>0</v>
      </c>
      <c r="AG14" s="501">
        <f t="shared" ref="AG14:AG53" si="5">IF(C14="",0,1)</f>
        <v>0</v>
      </c>
      <c r="AH14" s="508"/>
    </row>
    <row r="15" spans="1:34" s="500" customFormat="1" ht="21" customHeight="1" thickBot="1" x14ac:dyDescent="0.25">
      <c r="A15" s="557">
        <v>3</v>
      </c>
      <c r="B15" s="499" t="e">
        <f t="shared" si="2"/>
        <v>#N/A</v>
      </c>
      <c r="C15" s="679" t="str">
        <f>IFERROR(INDEX('EZ list'!E:E,MATCH(B15,'EZ list'!C:C,0)),"")</f>
        <v/>
      </c>
      <c r="D15" s="507"/>
      <c r="E15" s="806"/>
      <c r="F15" s="807"/>
      <c r="G15" s="806"/>
      <c r="H15" s="808"/>
      <c r="I15" s="806"/>
      <c r="J15" s="808"/>
      <c r="K15" s="809" t="str">
        <f t="shared" si="3"/>
        <v/>
      </c>
      <c r="L15" s="810"/>
      <c r="M15" s="806"/>
      <c r="N15" s="807"/>
      <c r="O15" s="806"/>
      <c r="P15" s="807"/>
      <c r="Q15" s="999"/>
      <c r="R15" s="808"/>
      <c r="S15" s="1215" t="str">
        <f>IFERROR(INDEX('EZ list'!N:N,MATCH(B15,'EZ list'!C:C,0)),"")</f>
        <v/>
      </c>
      <c r="T15" s="808"/>
      <c r="U15" s="809" t="str">
        <f t="shared" si="0"/>
        <v/>
      </c>
      <c r="V15" s="808"/>
      <c r="W15" s="806"/>
      <c r="X15" s="807"/>
      <c r="Y15" s="811" t="str">
        <f t="shared" si="1"/>
        <v/>
      </c>
      <c r="Z15" s="812"/>
      <c r="AA15" s="809" t="str">
        <f t="shared" si="4"/>
        <v/>
      </c>
      <c r="AB15" s="504"/>
      <c r="AC15" s="503"/>
      <c r="AD15" s="502"/>
      <c r="AE15" s="559"/>
      <c r="AF15" s="677">
        <f>IF(IFERROR(INDEX('EZ list'!E:E,MATCH(B15,'EZ list'!C:C,0)),"")=C15,0,1)</f>
        <v>0</v>
      </c>
      <c r="AG15" s="501">
        <f t="shared" si="5"/>
        <v>0</v>
      </c>
      <c r="AH15" s="508"/>
    </row>
    <row r="16" spans="1:34" s="500" customFormat="1" ht="21" customHeight="1" thickBot="1" x14ac:dyDescent="0.25">
      <c r="A16" s="557">
        <v>4</v>
      </c>
      <c r="B16" s="499" t="e">
        <f t="shared" si="2"/>
        <v>#N/A</v>
      </c>
      <c r="C16" s="679" t="str">
        <f>IFERROR(INDEX('EZ list'!E:E,MATCH(B16,'EZ list'!C:C,0)),"")</f>
        <v/>
      </c>
      <c r="D16" s="507"/>
      <c r="E16" s="806"/>
      <c r="F16" s="807"/>
      <c r="G16" s="806"/>
      <c r="H16" s="808"/>
      <c r="I16" s="806"/>
      <c r="J16" s="808"/>
      <c r="K16" s="809" t="str">
        <f t="shared" si="3"/>
        <v/>
      </c>
      <c r="L16" s="810"/>
      <c r="M16" s="806"/>
      <c r="N16" s="807"/>
      <c r="O16" s="806"/>
      <c r="P16" s="807"/>
      <c r="Q16" s="999"/>
      <c r="R16" s="808"/>
      <c r="S16" s="1215" t="str">
        <f>IFERROR(INDEX('EZ list'!N:N,MATCH(B16,'EZ list'!C:C,0)),"")</f>
        <v/>
      </c>
      <c r="T16" s="808"/>
      <c r="U16" s="809" t="str">
        <f t="shared" si="0"/>
        <v/>
      </c>
      <c r="V16" s="808"/>
      <c r="W16" s="806"/>
      <c r="X16" s="807"/>
      <c r="Y16" s="811" t="str">
        <f t="shared" si="1"/>
        <v/>
      </c>
      <c r="Z16" s="812"/>
      <c r="AA16" s="809" t="str">
        <f t="shared" si="4"/>
        <v/>
      </c>
      <c r="AB16" s="504"/>
      <c r="AC16" s="503"/>
      <c r="AD16" s="502"/>
      <c r="AE16" s="559"/>
      <c r="AF16" s="677">
        <f>IF(IFERROR(INDEX('EZ list'!E:E,MATCH(B16,'EZ list'!C:C,0)),"")=C16,0,1)</f>
        <v>0</v>
      </c>
      <c r="AG16" s="501">
        <f t="shared" si="5"/>
        <v>0</v>
      </c>
      <c r="AH16" s="508"/>
    </row>
    <row r="17" spans="1:34" s="500" customFormat="1" ht="21" customHeight="1" thickBot="1" x14ac:dyDescent="0.25">
      <c r="A17" s="557">
        <v>5</v>
      </c>
      <c r="B17" s="499" t="e">
        <f t="shared" si="2"/>
        <v>#N/A</v>
      </c>
      <c r="C17" s="679" t="str">
        <f>IFERROR(INDEX('EZ list'!E:E,MATCH(B17,'EZ list'!C:C,0)),"")</f>
        <v/>
      </c>
      <c r="D17" s="507"/>
      <c r="E17" s="806"/>
      <c r="F17" s="807"/>
      <c r="G17" s="806"/>
      <c r="H17" s="808"/>
      <c r="I17" s="806"/>
      <c r="J17" s="808"/>
      <c r="K17" s="809" t="str">
        <f t="shared" si="3"/>
        <v/>
      </c>
      <c r="L17" s="810"/>
      <c r="M17" s="806"/>
      <c r="N17" s="807"/>
      <c r="O17" s="806"/>
      <c r="P17" s="807"/>
      <c r="Q17" s="999"/>
      <c r="R17" s="808"/>
      <c r="S17" s="1215" t="str">
        <f>IFERROR(INDEX('EZ list'!N:N,MATCH(B17,'EZ list'!C:C,0)),"")</f>
        <v/>
      </c>
      <c r="T17" s="808"/>
      <c r="U17" s="809" t="str">
        <f t="shared" si="0"/>
        <v/>
      </c>
      <c r="V17" s="808"/>
      <c r="W17" s="806"/>
      <c r="X17" s="807"/>
      <c r="Y17" s="811" t="str">
        <f t="shared" si="1"/>
        <v/>
      </c>
      <c r="Z17" s="812"/>
      <c r="AA17" s="809" t="str">
        <f t="shared" si="4"/>
        <v/>
      </c>
      <c r="AB17" s="504"/>
      <c r="AC17" s="503"/>
      <c r="AD17" s="502"/>
      <c r="AE17" s="559"/>
      <c r="AF17" s="677">
        <f>IF(IFERROR(INDEX('EZ list'!E:E,MATCH(B17,'EZ list'!C:C,0)),"")=C17,0,1)</f>
        <v>0</v>
      </c>
      <c r="AG17" s="501">
        <f t="shared" si="5"/>
        <v>0</v>
      </c>
      <c r="AH17" s="508"/>
    </row>
    <row r="18" spans="1:34" s="500" customFormat="1" ht="21" customHeight="1" thickBot="1" x14ac:dyDescent="0.25">
      <c r="A18" s="557">
        <v>6</v>
      </c>
      <c r="B18" s="499" t="e">
        <f t="shared" si="2"/>
        <v>#N/A</v>
      </c>
      <c r="C18" s="679" t="str">
        <f>IFERROR(INDEX('EZ list'!E:E,MATCH(B18,'EZ list'!C:C,0)),"")</f>
        <v/>
      </c>
      <c r="D18" s="507"/>
      <c r="E18" s="806"/>
      <c r="F18" s="807"/>
      <c r="G18" s="806"/>
      <c r="H18" s="808"/>
      <c r="I18" s="806"/>
      <c r="J18" s="808"/>
      <c r="K18" s="809" t="str">
        <f t="shared" si="3"/>
        <v/>
      </c>
      <c r="L18" s="810"/>
      <c r="M18" s="806"/>
      <c r="N18" s="807"/>
      <c r="O18" s="806"/>
      <c r="P18" s="807"/>
      <c r="Q18" s="999"/>
      <c r="R18" s="808"/>
      <c r="S18" s="1215" t="str">
        <f>IFERROR(INDEX('EZ list'!N:N,MATCH(B18,'EZ list'!C:C,0)),"")</f>
        <v/>
      </c>
      <c r="T18" s="808"/>
      <c r="U18" s="809" t="str">
        <f t="shared" si="0"/>
        <v/>
      </c>
      <c r="V18" s="808"/>
      <c r="W18" s="806"/>
      <c r="X18" s="807"/>
      <c r="Y18" s="811" t="str">
        <f t="shared" si="1"/>
        <v/>
      </c>
      <c r="Z18" s="812"/>
      <c r="AA18" s="809" t="str">
        <f t="shared" si="4"/>
        <v/>
      </c>
      <c r="AB18" s="504"/>
      <c r="AC18" s="503"/>
      <c r="AD18" s="502"/>
      <c r="AE18" s="559"/>
      <c r="AF18" s="677">
        <f>IF(IFERROR(INDEX('EZ list'!E:E,MATCH(B18,'EZ list'!C:C,0)),"")=C18,0,1)</f>
        <v>0</v>
      </c>
      <c r="AG18" s="501">
        <f t="shared" si="5"/>
        <v>0</v>
      </c>
      <c r="AH18" s="508"/>
    </row>
    <row r="19" spans="1:34" s="500" customFormat="1" ht="21" customHeight="1" thickBot="1" x14ac:dyDescent="0.25">
      <c r="A19" s="557">
        <v>7</v>
      </c>
      <c r="B19" s="499" t="e">
        <f t="shared" si="2"/>
        <v>#N/A</v>
      </c>
      <c r="C19" s="679" t="str">
        <f>IFERROR(INDEX('EZ list'!E:E,MATCH(B19,'EZ list'!C:C,0)),"")</f>
        <v/>
      </c>
      <c r="D19" s="507"/>
      <c r="E19" s="806"/>
      <c r="F19" s="807"/>
      <c r="G19" s="806"/>
      <c r="H19" s="808"/>
      <c r="I19" s="806"/>
      <c r="J19" s="808"/>
      <c r="K19" s="809" t="str">
        <f t="shared" si="3"/>
        <v/>
      </c>
      <c r="L19" s="810"/>
      <c r="M19" s="806"/>
      <c r="N19" s="807"/>
      <c r="O19" s="806"/>
      <c r="P19" s="807"/>
      <c r="Q19" s="999"/>
      <c r="R19" s="808"/>
      <c r="S19" s="1215" t="str">
        <f>IFERROR(INDEX('EZ list'!N:N,MATCH(B19,'EZ list'!C:C,0)),"")</f>
        <v/>
      </c>
      <c r="T19" s="808"/>
      <c r="U19" s="809" t="str">
        <f t="shared" si="0"/>
        <v/>
      </c>
      <c r="V19" s="808"/>
      <c r="W19" s="806"/>
      <c r="X19" s="807"/>
      <c r="Y19" s="811" t="str">
        <f t="shared" si="1"/>
        <v/>
      </c>
      <c r="Z19" s="812"/>
      <c r="AA19" s="809" t="str">
        <f t="shared" si="4"/>
        <v/>
      </c>
      <c r="AB19" s="504"/>
      <c r="AC19" s="503"/>
      <c r="AD19" s="502"/>
      <c r="AE19" s="559"/>
      <c r="AF19" s="677">
        <f>IF(IFERROR(INDEX('EZ list'!E:E,MATCH(B19,'EZ list'!C:C,0)),"")=C19,0,1)</f>
        <v>0</v>
      </c>
      <c r="AG19" s="501">
        <f t="shared" si="5"/>
        <v>0</v>
      </c>
      <c r="AH19" s="508"/>
    </row>
    <row r="20" spans="1:34" s="500" customFormat="1" ht="21" customHeight="1" thickBot="1" x14ac:dyDescent="0.25">
      <c r="A20" s="557">
        <v>8</v>
      </c>
      <c r="B20" s="499" t="e">
        <f t="shared" si="2"/>
        <v>#N/A</v>
      </c>
      <c r="C20" s="679" t="str">
        <f>IFERROR(INDEX('EZ list'!E:E,MATCH(B20,'EZ list'!C:C,0)),"")</f>
        <v/>
      </c>
      <c r="D20" s="507"/>
      <c r="E20" s="806"/>
      <c r="F20" s="807"/>
      <c r="G20" s="806"/>
      <c r="H20" s="808"/>
      <c r="I20" s="806"/>
      <c r="J20" s="808"/>
      <c r="K20" s="809" t="str">
        <f t="shared" si="3"/>
        <v/>
      </c>
      <c r="L20" s="810"/>
      <c r="M20" s="806"/>
      <c r="N20" s="807"/>
      <c r="O20" s="806"/>
      <c r="P20" s="807"/>
      <c r="Q20" s="999"/>
      <c r="R20" s="808"/>
      <c r="S20" s="1215" t="str">
        <f>IFERROR(INDEX('EZ list'!N:N,MATCH(B20,'EZ list'!C:C,0)),"")</f>
        <v/>
      </c>
      <c r="T20" s="808"/>
      <c r="U20" s="809" t="str">
        <f t="shared" si="0"/>
        <v/>
      </c>
      <c r="V20" s="808"/>
      <c r="W20" s="806"/>
      <c r="X20" s="807"/>
      <c r="Y20" s="811" t="str">
        <f t="shared" si="1"/>
        <v/>
      </c>
      <c r="Z20" s="812"/>
      <c r="AA20" s="809" t="str">
        <f t="shared" si="4"/>
        <v/>
      </c>
      <c r="AB20" s="504"/>
      <c r="AC20" s="503"/>
      <c r="AD20" s="502"/>
      <c r="AE20" s="559"/>
      <c r="AF20" s="677">
        <f>IF(IFERROR(INDEX('EZ list'!E:E,MATCH(B20,'EZ list'!C:C,0)),"")=C20,0,1)</f>
        <v>0</v>
      </c>
      <c r="AG20" s="501">
        <f t="shared" si="5"/>
        <v>0</v>
      </c>
      <c r="AH20" s="508"/>
    </row>
    <row r="21" spans="1:34" s="500" customFormat="1" ht="21" customHeight="1" thickBot="1" x14ac:dyDescent="0.25">
      <c r="A21" s="557">
        <v>9</v>
      </c>
      <c r="B21" s="499" t="e">
        <f t="shared" si="2"/>
        <v>#N/A</v>
      </c>
      <c r="C21" s="679" t="str">
        <f>IFERROR(INDEX('EZ list'!E:E,MATCH(B21,'EZ list'!C:C,0)),"")</f>
        <v/>
      </c>
      <c r="D21" s="507"/>
      <c r="E21" s="806"/>
      <c r="F21" s="807"/>
      <c r="G21" s="806"/>
      <c r="H21" s="808"/>
      <c r="I21" s="806"/>
      <c r="J21" s="808"/>
      <c r="K21" s="809" t="str">
        <f t="shared" si="3"/>
        <v/>
      </c>
      <c r="L21" s="810"/>
      <c r="M21" s="806"/>
      <c r="N21" s="807"/>
      <c r="O21" s="806"/>
      <c r="P21" s="807"/>
      <c r="Q21" s="999"/>
      <c r="R21" s="808"/>
      <c r="S21" s="1215" t="str">
        <f>IFERROR(INDEX('EZ list'!N:N,MATCH(B21,'EZ list'!C:C,0)),"")</f>
        <v/>
      </c>
      <c r="T21" s="808"/>
      <c r="U21" s="809" t="str">
        <f t="shared" si="0"/>
        <v/>
      </c>
      <c r="V21" s="808"/>
      <c r="W21" s="806"/>
      <c r="X21" s="807"/>
      <c r="Y21" s="811" t="str">
        <f t="shared" si="1"/>
        <v/>
      </c>
      <c r="Z21" s="812"/>
      <c r="AA21" s="809" t="str">
        <f t="shared" si="4"/>
        <v/>
      </c>
      <c r="AB21" s="504"/>
      <c r="AC21" s="503"/>
      <c r="AD21" s="502"/>
      <c r="AE21" s="559"/>
      <c r="AF21" s="677">
        <f>IF(IFERROR(INDEX('EZ list'!E:E,MATCH(B21,'EZ list'!C:C,0)),"")=C21,0,1)</f>
        <v>0</v>
      </c>
      <c r="AG21" s="501">
        <f t="shared" si="5"/>
        <v>0</v>
      </c>
      <c r="AH21" s="508"/>
    </row>
    <row r="22" spans="1:34" s="500" customFormat="1" ht="21" customHeight="1" thickBot="1" x14ac:dyDescent="0.25">
      <c r="A22" s="557">
        <v>10</v>
      </c>
      <c r="B22" s="499" t="e">
        <f t="shared" si="2"/>
        <v>#N/A</v>
      </c>
      <c r="C22" s="679" t="str">
        <f>IFERROR(INDEX('EZ list'!E:E,MATCH(B22,'EZ list'!C:C,0)),"")</f>
        <v/>
      </c>
      <c r="D22" s="507"/>
      <c r="E22" s="806"/>
      <c r="F22" s="807"/>
      <c r="G22" s="806"/>
      <c r="H22" s="808"/>
      <c r="I22" s="806"/>
      <c r="J22" s="808"/>
      <c r="K22" s="809" t="str">
        <f t="shared" si="3"/>
        <v/>
      </c>
      <c r="L22" s="810"/>
      <c r="M22" s="806"/>
      <c r="N22" s="807"/>
      <c r="O22" s="806"/>
      <c r="P22" s="807"/>
      <c r="Q22" s="999"/>
      <c r="R22" s="808"/>
      <c r="S22" s="1215" t="str">
        <f>IFERROR(INDEX('EZ list'!N:N,MATCH(B22,'EZ list'!C:C,0)),"")</f>
        <v/>
      </c>
      <c r="T22" s="808"/>
      <c r="U22" s="809" t="str">
        <f t="shared" si="0"/>
        <v/>
      </c>
      <c r="V22" s="808"/>
      <c r="W22" s="806"/>
      <c r="X22" s="807"/>
      <c r="Y22" s="811" t="str">
        <f t="shared" si="1"/>
        <v/>
      </c>
      <c r="Z22" s="812"/>
      <c r="AA22" s="809" t="str">
        <f t="shared" si="4"/>
        <v/>
      </c>
      <c r="AB22" s="504"/>
      <c r="AC22" s="503"/>
      <c r="AD22" s="502"/>
      <c r="AE22" s="559"/>
      <c r="AF22" s="677">
        <f>IF(IFERROR(INDEX('EZ list'!E:E,MATCH(B22,'EZ list'!C:C,0)),"")=C22,0,1)</f>
        <v>0</v>
      </c>
      <c r="AG22" s="501">
        <f t="shared" si="5"/>
        <v>0</v>
      </c>
      <c r="AH22" s="508"/>
    </row>
    <row r="23" spans="1:34" s="500" customFormat="1" ht="21" customHeight="1" thickBot="1" x14ac:dyDescent="0.25">
      <c r="A23" s="557">
        <v>11</v>
      </c>
      <c r="B23" s="499" t="e">
        <f t="shared" si="2"/>
        <v>#N/A</v>
      </c>
      <c r="C23" s="679" t="str">
        <f>IFERROR(INDEX('EZ list'!E:E,MATCH(B23,'EZ list'!C:C,0)),"")</f>
        <v/>
      </c>
      <c r="D23" s="507"/>
      <c r="E23" s="806"/>
      <c r="F23" s="807"/>
      <c r="G23" s="806"/>
      <c r="H23" s="808"/>
      <c r="I23" s="806"/>
      <c r="J23" s="808"/>
      <c r="K23" s="809" t="str">
        <f t="shared" si="3"/>
        <v/>
      </c>
      <c r="L23" s="810"/>
      <c r="M23" s="806"/>
      <c r="N23" s="807"/>
      <c r="O23" s="806"/>
      <c r="P23" s="807"/>
      <c r="Q23" s="999"/>
      <c r="R23" s="808"/>
      <c r="S23" s="1215" t="str">
        <f>IFERROR(INDEX('EZ list'!N:N,MATCH(B23,'EZ list'!C:C,0)),"")</f>
        <v/>
      </c>
      <c r="T23" s="808"/>
      <c r="U23" s="809" t="str">
        <f t="shared" si="0"/>
        <v/>
      </c>
      <c r="V23" s="808"/>
      <c r="W23" s="806"/>
      <c r="X23" s="807"/>
      <c r="Y23" s="811" t="str">
        <f t="shared" si="1"/>
        <v/>
      </c>
      <c r="Z23" s="812"/>
      <c r="AA23" s="809" t="str">
        <f t="shared" si="4"/>
        <v/>
      </c>
      <c r="AB23" s="504"/>
      <c r="AC23" s="503"/>
      <c r="AD23" s="502"/>
      <c r="AE23" s="559"/>
      <c r="AF23" s="677">
        <f>IF(IFERROR(INDEX('EZ list'!E:E,MATCH(B23,'EZ list'!C:C,0)),"")=C23,0,1)</f>
        <v>0</v>
      </c>
      <c r="AG23" s="501">
        <f t="shared" si="5"/>
        <v>0</v>
      </c>
      <c r="AH23" s="508"/>
    </row>
    <row r="24" spans="1:34" s="500" customFormat="1" ht="21" customHeight="1" thickBot="1" x14ac:dyDescent="0.25">
      <c r="A24" s="557">
        <v>12</v>
      </c>
      <c r="B24" s="499" t="e">
        <f t="shared" si="2"/>
        <v>#N/A</v>
      </c>
      <c r="C24" s="679" t="str">
        <f>IFERROR(INDEX('EZ list'!E:E,MATCH(B24,'EZ list'!C:C,0)),"")</f>
        <v/>
      </c>
      <c r="D24" s="507"/>
      <c r="E24" s="806"/>
      <c r="F24" s="807"/>
      <c r="G24" s="806"/>
      <c r="H24" s="808"/>
      <c r="I24" s="806"/>
      <c r="J24" s="808"/>
      <c r="K24" s="809" t="str">
        <f t="shared" si="3"/>
        <v/>
      </c>
      <c r="L24" s="810"/>
      <c r="M24" s="806"/>
      <c r="N24" s="807"/>
      <c r="O24" s="806"/>
      <c r="P24" s="807"/>
      <c r="Q24" s="999"/>
      <c r="R24" s="808"/>
      <c r="S24" s="1215" t="str">
        <f>IFERROR(INDEX('EZ list'!N:N,MATCH(B24,'EZ list'!C:C,0)),"")</f>
        <v/>
      </c>
      <c r="T24" s="808"/>
      <c r="U24" s="809" t="str">
        <f t="shared" si="0"/>
        <v/>
      </c>
      <c r="V24" s="808"/>
      <c r="W24" s="806"/>
      <c r="X24" s="807"/>
      <c r="Y24" s="811" t="str">
        <f t="shared" si="1"/>
        <v/>
      </c>
      <c r="Z24" s="812"/>
      <c r="AA24" s="809" t="str">
        <f t="shared" si="4"/>
        <v/>
      </c>
      <c r="AB24" s="504"/>
      <c r="AC24" s="503"/>
      <c r="AD24" s="502"/>
      <c r="AE24" s="559"/>
      <c r="AF24" s="677">
        <f>IF(IFERROR(INDEX('EZ list'!E:E,MATCH(B24,'EZ list'!C:C,0)),"")=C24,0,1)</f>
        <v>0</v>
      </c>
      <c r="AG24" s="501">
        <f t="shared" si="5"/>
        <v>0</v>
      </c>
      <c r="AH24" s="508"/>
    </row>
    <row r="25" spans="1:34" s="500" customFormat="1" ht="21" customHeight="1" thickBot="1" x14ac:dyDescent="0.25">
      <c r="A25" s="557">
        <v>13</v>
      </c>
      <c r="B25" s="499" t="e">
        <f t="shared" si="2"/>
        <v>#N/A</v>
      </c>
      <c r="C25" s="679" t="str">
        <f>IFERROR(INDEX('EZ list'!E:E,MATCH(B25,'EZ list'!C:C,0)),"")</f>
        <v/>
      </c>
      <c r="D25" s="507"/>
      <c r="E25" s="806"/>
      <c r="F25" s="807"/>
      <c r="G25" s="806"/>
      <c r="H25" s="808"/>
      <c r="I25" s="806"/>
      <c r="J25" s="808"/>
      <c r="K25" s="809" t="str">
        <f t="shared" si="3"/>
        <v/>
      </c>
      <c r="L25" s="810"/>
      <c r="M25" s="806"/>
      <c r="N25" s="807"/>
      <c r="O25" s="806"/>
      <c r="P25" s="807"/>
      <c r="Q25" s="999"/>
      <c r="R25" s="808"/>
      <c r="S25" s="1215" t="str">
        <f>IFERROR(INDEX('EZ list'!N:N,MATCH(B25,'EZ list'!C:C,0)),"")</f>
        <v/>
      </c>
      <c r="T25" s="808"/>
      <c r="U25" s="809" t="str">
        <f t="shared" si="0"/>
        <v/>
      </c>
      <c r="V25" s="808"/>
      <c r="W25" s="806"/>
      <c r="X25" s="807"/>
      <c r="Y25" s="811" t="str">
        <f t="shared" si="1"/>
        <v/>
      </c>
      <c r="Z25" s="812"/>
      <c r="AA25" s="809" t="str">
        <f t="shared" si="4"/>
        <v/>
      </c>
      <c r="AB25" s="504"/>
      <c r="AC25" s="503"/>
      <c r="AD25" s="502"/>
      <c r="AE25" s="559"/>
      <c r="AF25" s="677">
        <f>IF(IFERROR(INDEX('EZ list'!E:E,MATCH(B25,'EZ list'!C:C,0)),"")=C25,0,1)</f>
        <v>0</v>
      </c>
      <c r="AG25" s="501">
        <f t="shared" si="5"/>
        <v>0</v>
      </c>
      <c r="AH25" s="508"/>
    </row>
    <row r="26" spans="1:34" s="500" customFormat="1" ht="21" customHeight="1" thickBot="1" x14ac:dyDescent="0.25">
      <c r="A26" s="557">
        <v>14</v>
      </c>
      <c r="B26" s="499" t="e">
        <f t="shared" si="2"/>
        <v>#N/A</v>
      </c>
      <c r="C26" s="679" t="str">
        <f>IFERROR(INDEX('EZ list'!E:E,MATCH(B26,'EZ list'!C:C,0)),"")</f>
        <v/>
      </c>
      <c r="D26" s="507"/>
      <c r="E26" s="806"/>
      <c r="F26" s="807"/>
      <c r="G26" s="806"/>
      <c r="H26" s="808"/>
      <c r="I26" s="806"/>
      <c r="J26" s="808"/>
      <c r="K26" s="809" t="str">
        <f t="shared" si="3"/>
        <v/>
      </c>
      <c r="L26" s="810"/>
      <c r="M26" s="806"/>
      <c r="N26" s="807"/>
      <c r="O26" s="806"/>
      <c r="P26" s="807"/>
      <c r="Q26" s="999"/>
      <c r="R26" s="808"/>
      <c r="S26" s="1215" t="str">
        <f>IFERROR(INDEX('EZ list'!N:N,MATCH(B26,'EZ list'!C:C,0)),"")</f>
        <v/>
      </c>
      <c r="T26" s="808"/>
      <c r="U26" s="809" t="str">
        <f t="shared" si="0"/>
        <v/>
      </c>
      <c r="V26" s="808"/>
      <c r="W26" s="806"/>
      <c r="X26" s="807"/>
      <c r="Y26" s="811" t="str">
        <f t="shared" si="1"/>
        <v/>
      </c>
      <c r="Z26" s="812"/>
      <c r="AA26" s="809" t="str">
        <f t="shared" si="4"/>
        <v/>
      </c>
      <c r="AB26" s="504"/>
      <c r="AC26" s="503"/>
      <c r="AD26" s="502"/>
      <c r="AE26" s="559"/>
      <c r="AF26" s="677">
        <f>IF(IFERROR(INDEX('EZ list'!E:E,MATCH(B26,'EZ list'!C:C,0)),"")=C26,0,1)</f>
        <v>0</v>
      </c>
      <c r="AG26" s="501">
        <f t="shared" si="5"/>
        <v>0</v>
      </c>
      <c r="AH26" s="508"/>
    </row>
    <row r="27" spans="1:34" s="500" customFormat="1" ht="21" customHeight="1" thickBot="1" x14ac:dyDescent="0.25">
      <c r="A27" s="557">
        <v>15</v>
      </c>
      <c r="B27" s="499" t="e">
        <f t="shared" si="2"/>
        <v>#N/A</v>
      </c>
      <c r="C27" s="679" t="str">
        <f>IFERROR(INDEX('EZ list'!E:E,MATCH(B27,'EZ list'!C:C,0)),"")</f>
        <v/>
      </c>
      <c r="D27" s="507"/>
      <c r="E27" s="806"/>
      <c r="F27" s="807"/>
      <c r="G27" s="806"/>
      <c r="H27" s="808"/>
      <c r="I27" s="806"/>
      <c r="J27" s="808"/>
      <c r="K27" s="809" t="str">
        <f t="shared" si="3"/>
        <v/>
      </c>
      <c r="L27" s="810"/>
      <c r="M27" s="806"/>
      <c r="N27" s="807"/>
      <c r="O27" s="806"/>
      <c r="P27" s="807"/>
      <c r="Q27" s="999"/>
      <c r="R27" s="808"/>
      <c r="S27" s="1215" t="str">
        <f>IFERROR(INDEX('EZ list'!N:N,MATCH(B27,'EZ list'!C:C,0)),"")</f>
        <v/>
      </c>
      <c r="T27" s="808"/>
      <c r="U27" s="809" t="str">
        <f t="shared" si="0"/>
        <v/>
      </c>
      <c r="V27" s="808"/>
      <c r="W27" s="806"/>
      <c r="X27" s="807"/>
      <c r="Y27" s="811" t="str">
        <f t="shared" si="1"/>
        <v/>
      </c>
      <c r="Z27" s="812"/>
      <c r="AA27" s="809" t="str">
        <f t="shared" si="4"/>
        <v/>
      </c>
      <c r="AB27" s="504"/>
      <c r="AC27" s="503"/>
      <c r="AD27" s="502"/>
      <c r="AE27" s="559"/>
      <c r="AF27" s="677">
        <f>IF(IFERROR(INDEX('EZ list'!E:E,MATCH(B27,'EZ list'!C:C,0)),"")=C27,0,1)</f>
        <v>0</v>
      </c>
      <c r="AG27" s="501">
        <f t="shared" si="5"/>
        <v>0</v>
      </c>
      <c r="AH27" s="508"/>
    </row>
    <row r="28" spans="1:34" s="500" customFormat="1" ht="21" customHeight="1" thickBot="1" x14ac:dyDescent="0.25">
      <c r="A28" s="557">
        <v>16</v>
      </c>
      <c r="B28" s="499" t="e">
        <f t="shared" si="2"/>
        <v>#N/A</v>
      </c>
      <c r="C28" s="679" t="str">
        <f>IFERROR(INDEX('EZ list'!E:E,MATCH(B28,'EZ list'!C:C,0)),"")</f>
        <v/>
      </c>
      <c r="D28" s="507"/>
      <c r="E28" s="806"/>
      <c r="F28" s="807"/>
      <c r="G28" s="806"/>
      <c r="H28" s="808"/>
      <c r="I28" s="806"/>
      <c r="J28" s="808"/>
      <c r="K28" s="809" t="str">
        <f t="shared" si="3"/>
        <v/>
      </c>
      <c r="L28" s="810"/>
      <c r="M28" s="806"/>
      <c r="N28" s="807"/>
      <c r="O28" s="806"/>
      <c r="P28" s="807"/>
      <c r="Q28" s="999"/>
      <c r="R28" s="808"/>
      <c r="S28" s="1215" t="str">
        <f>IFERROR(INDEX('EZ list'!N:N,MATCH(B28,'EZ list'!C:C,0)),"")</f>
        <v/>
      </c>
      <c r="T28" s="808"/>
      <c r="U28" s="809" t="str">
        <f t="shared" si="0"/>
        <v/>
      </c>
      <c r="V28" s="808"/>
      <c r="W28" s="806"/>
      <c r="X28" s="807"/>
      <c r="Y28" s="811" t="str">
        <f t="shared" si="1"/>
        <v/>
      </c>
      <c r="Z28" s="812"/>
      <c r="AA28" s="809" t="str">
        <f t="shared" si="4"/>
        <v/>
      </c>
      <c r="AB28" s="504"/>
      <c r="AC28" s="503"/>
      <c r="AD28" s="502"/>
      <c r="AE28" s="559"/>
      <c r="AF28" s="677">
        <f>IF(IFERROR(INDEX('EZ list'!E:E,MATCH(B28,'EZ list'!C:C,0)),"")=C28,0,1)</f>
        <v>0</v>
      </c>
      <c r="AG28" s="501">
        <f t="shared" si="5"/>
        <v>0</v>
      </c>
      <c r="AH28" s="508"/>
    </row>
    <row r="29" spans="1:34" s="500" customFormat="1" ht="21" customHeight="1" thickBot="1" x14ac:dyDescent="0.25">
      <c r="A29" s="557">
        <v>17</v>
      </c>
      <c r="B29" s="499" t="e">
        <f t="shared" si="2"/>
        <v>#N/A</v>
      </c>
      <c r="C29" s="679" t="str">
        <f>IFERROR(INDEX('EZ list'!E:E,MATCH(B29,'EZ list'!C:C,0)),"")</f>
        <v/>
      </c>
      <c r="D29" s="507"/>
      <c r="E29" s="806"/>
      <c r="F29" s="807"/>
      <c r="G29" s="806"/>
      <c r="H29" s="808"/>
      <c r="I29" s="806"/>
      <c r="J29" s="808"/>
      <c r="K29" s="809" t="str">
        <f t="shared" si="3"/>
        <v/>
      </c>
      <c r="L29" s="810"/>
      <c r="M29" s="806"/>
      <c r="N29" s="807"/>
      <c r="O29" s="806"/>
      <c r="P29" s="807"/>
      <c r="Q29" s="999"/>
      <c r="R29" s="808"/>
      <c r="S29" s="1215" t="str">
        <f>IFERROR(INDEX('EZ list'!N:N,MATCH(B29,'EZ list'!C:C,0)),"")</f>
        <v/>
      </c>
      <c r="T29" s="808"/>
      <c r="U29" s="809" t="str">
        <f t="shared" si="0"/>
        <v/>
      </c>
      <c r="V29" s="808"/>
      <c r="W29" s="806"/>
      <c r="X29" s="807"/>
      <c r="Y29" s="811" t="str">
        <f t="shared" si="1"/>
        <v/>
      </c>
      <c r="Z29" s="812"/>
      <c r="AA29" s="809" t="str">
        <f t="shared" si="4"/>
        <v/>
      </c>
      <c r="AB29" s="504"/>
      <c r="AC29" s="503"/>
      <c r="AD29" s="502"/>
      <c r="AE29" s="559"/>
      <c r="AF29" s="677">
        <f>IF(IFERROR(INDEX('EZ list'!E:E,MATCH(B29,'EZ list'!C:C,0)),"")=C29,0,1)</f>
        <v>0</v>
      </c>
      <c r="AG29" s="501">
        <f t="shared" si="5"/>
        <v>0</v>
      </c>
      <c r="AH29" s="508"/>
    </row>
    <row r="30" spans="1:34" s="500" customFormat="1" ht="21" customHeight="1" thickBot="1" x14ac:dyDescent="0.25">
      <c r="A30" s="557">
        <v>18</v>
      </c>
      <c r="B30" s="499" t="e">
        <f t="shared" si="2"/>
        <v>#N/A</v>
      </c>
      <c r="C30" s="679" t="str">
        <f>IFERROR(INDEX('EZ list'!E:E,MATCH(B30,'EZ list'!C:C,0)),"")</f>
        <v/>
      </c>
      <c r="D30" s="507"/>
      <c r="E30" s="806"/>
      <c r="F30" s="807"/>
      <c r="G30" s="806"/>
      <c r="H30" s="808"/>
      <c r="I30" s="806"/>
      <c r="J30" s="808"/>
      <c r="K30" s="809" t="str">
        <f t="shared" si="3"/>
        <v/>
      </c>
      <c r="L30" s="810"/>
      <c r="M30" s="806"/>
      <c r="N30" s="807"/>
      <c r="O30" s="806"/>
      <c r="P30" s="807"/>
      <c r="Q30" s="999"/>
      <c r="R30" s="808"/>
      <c r="S30" s="1215" t="str">
        <f>IFERROR(INDEX('EZ list'!N:N,MATCH(B30,'EZ list'!C:C,0)),"")</f>
        <v/>
      </c>
      <c r="T30" s="808"/>
      <c r="U30" s="809" t="str">
        <f t="shared" si="0"/>
        <v/>
      </c>
      <c r="V30" s="808"/>
      <c r="W30" s="806"/>
      <c r="X30" s="807"/>
      <c r="Y30" s="811" t="str">
        <f t="shared" si="1"/>
        <v/>
      </c>
      <c r="Z30" s="812"/>
      <c r="AA30" s="809" t="str">
        <f t="shared" si="4"/>
        <v/>
      </c>
      <c r="AB30" s="504"/>
      <c r="AC30" s="503"/>
      <c r="AD30" s="502"/>
      <c r="AE30" s="559"/>
      <c r="AF30" s="677">
        <f>IF(IFERROR(INDEX('EZ list'!E:E,MATCH(B30,'EZ list'!C:C,0)),"")=C30,0,1)</f>
        <v>0</v>
      </c>
      <c r="AG30" s="501">
        <f t="shared" si="5"/>
        <v>0</v>
      </c>
      <c r="AH30" s="508"/>
    </row>
    <row r="31" spans="1:34" s="500" customFormat="1" ht="21" customHeight="1" thickBot="1" x14ac:dyDescent="0.25">
      <c r="A31" s="557">
        <v>19</v>
      </c>
      <c r="B31" s="499" t="e">
        <f t="shared" si="2"/>
        <v>#N/A</v>
      </c>
      <c r="C31" s="679" t="str">
        <f>IFERROR(INDEX('EZ list'!E:E,MATCH(B31,'EZ list'!C:C,0)),"")</f>
        <v/>
      </c>
      <c r="D31" s="507"/>
      <c r="E31" s="806"/>
      <c r="F31" s="807"/>
      <c r="G31" s="806"/>
      <c r="H31" s="808"/>
      <c r="I31" s="806"/>
      <c r="J31" s="808"/>
      <c r="K31" s="809" t="str">
        <f t="shared" si="3"/>
        <v/>
      </c>
      <c r="L31" s="810"/>
      <c r="M31" s="806"/>
      <c r="N31" s="807"/>
      <c r="O31" s="806"/>
      <c r="P31" s="807"/>
      <c r="Q31" s="999"/>
      <c r="R31" s="808"/>
      <c r="S31" s="1215" t="str">
        <f>IFERROR(INDEX('EZ list'!N:N,MATCH(B31,'EZ list'!C:C,0)),"")</f>
        <v/>
      </c>
      <c r="T31" s="808"/>
      <c r="U31" s="809" t="str">
        <f t="shared" si="0"/>
        <v/>
      </c>
      <c r="V31" s="808"/>
      <c r="W31" s="806"/>
      <c r="X31" s="807"/>
      <c r="Y31" s="811" t="str">
        <f t="shared" si="1"/>
        <v/>
      </c>
      <c r="Z31" s="812"/>
      <c r="AA31" s="809" t="str">
        <f t="shared" si="4"/>
        <v/>
      </c>
      <c r="AB31" s="504"/>
      <c r="AC31" s="503"/>
      <c r="AD31" s="502"/>
      <c r="AE31" s="559"/>
      <c r="AF31" s="677">
        <f>IF(IFERROR(INDEX('EZ list'!E:E,MATCH(B31,'EZ list'!C:C,0)),"")=C31,0,1)</f>
        <v>0</v>
      </c>
      <c r="AG31" s="501">
        <f t="shared" si="5"/>
        <v>0</v>
      </c>
      <c r="AH31" s="508"/>
    </row>
    <row r="32" spans="1:34" s="500" customFormat="1" ht="21" customHeight="1" thickBot="1" x14ac:dyDescent="0.25">
      <c r="A32" s="557">
        <v>20</v>
      </c>
      <c r="B32" s="499" t="e">
        <f t="shared" si="2"/>
        <v>#N/A</v>
      </c>
      <c r="C32" s="679" t="str">
        <f>IFERROR(INDEX('EZ list'!E:E,MATCH(B32,'EZ list'!C:C,0)),"")</f>
        <v/>
      </c>
      <c r="D32" s="507"/>
      <c r="E32" s="806"/>
      <c r="F32" s="807"/>
      <c r="G32" s="806"/>
      <c r="H32" s="808"/>
      <c r="I32" s="806"/>
      <c r="J32" s="808"/>
      <c r="K32" s="809" t="str">
        <f t="shared" si="3"/>
        <v/>
      </c>
      <c r="L32" s="810"/>
      <c r="M32" s="806"/>
      <c r="N32" s="807"/>
      <c r="O32" s="806"/>
      <c r="P32" s="807"/>
      <c r="Q32" s="999"/>
      <c r="R32" s="808"/>
      <c r="S32" s="1215" t="str">
        <f>IFERROR(INDEX('EZ list'!N:N,MATCH(B32,'EZ list'!C:C,0)),"")</f>
        <v/>
      </c>
      <c r="T32" s="808"/>
      <c r="U32" s="809" t="str">
        <f t="shared" si="0"/>
        <v/>
      </c>
      <c r="V32" s="808"/>
      <c r="W32" s="806"/>
      <c r="X32" s="807"/>
      <c r="Y32" s="811" t="str">
        <f t="shared" si="1"/>
        <v/>
      </c>
      <c r="Z32" s="812"/>
      <c r="AA32" s="809" t="str">
        <f t="shared" si="4"/>
        <v/>
      </c>
      <c r="AB32" s="504"/>
      <c r="AC32" s="503"/>
      <c r="AD32" s="502"/>
      <c r="AE32" s="559"/>
      <c r="AF32" s="677">
        <f>IF(IFERROR(INDEX('EZ list'!E:E,MATCH(B32,'EZ list'!C:C,0)),"")=C32,0,1)</f>
        <v>0</v>
      </c>
      <c r="AG32" s="501">
        <f t="shared" si="5"/>
        <v>0</v>
      </c>
      <c r="AH32" s="508"/>
    </row>
    <row r="33" spans="1:34" s="500" customFormat="1" ht="21" customHeight="1" thickBot="1" x14ac:dyDescent="0.25">
      <c r="A33" s="557">
        <v>21</v>
      </c>
      <c r="B33" s="499" t="e">
        <f t="shared" si="2"/>
        <v>#N/A</v>
      </c>
      <c r="C33" s="679" t="str">
        <f>IFERROR(INDEX('EZ list'!E:E,MATCH(B33,'EZ list'!C:C,0)),"")</f>
        <v/>
      </c>
      <c r="D33" s="507"/>
      <c r="E33" s="806"/>
      <c r="F33" s="807"/>
      <c r="G33" s="806"/>
      <c r="H33" s="808"/>
      <c r="I33" s="806"/>
      <c r="J33" s="808"/>
      <c r="K33" s="809" t="str">
        <f t="shared" si="3"/>
        <v/>
      </c>
      <c r="L33" s="810"/>
      <c r="M33" s="806"/>
      <c r="N33" s="807"/>
      <c r="O33" s="806"/>
      <c r="P33" s="807"/>
      <c r="Q33" s="999"/>
      <c r="R33" s="808"/>
      <c r="S33" s="1215" t="str">
        <f>IFERROR(INDEX('EZ list'!N:N,MATCH(B33,'EZ list'!C:C,0)),"")</f>
        <v/>
      </c>
      <c r="T33" s="808"/>
      <c r="U33" s="809" t="str">
        <f t="shared" si="0"/>
        <v/>
      </c>
      <c r="V33" s="808"/>
      <c r="W33" s="806"/>
      <c r="X33" s="807"/>
      <c r="Y33" s="811" t="str">
        <f t="shared" si="1"/>
        <v/>
      </c>
      <c r="Z33" s="812"/>
      <c r="AA33" s="809" t="str">
        <f t="shared" si="4"/>
        <v/>
      </c>
      <c r="AB33" s="504"/>
      <c r="AC33" s="503"/>
      <c r="AD33" s="502"/>
      <c r="AE33" s="559"/>
      <c r="AF33" s="677">
        <f>IF(IFERROR(INDEX('EZ list'!E:E,MATCH(B33,'EZ list'!C:C,0)),"")=C33,0,1)</f>
        <v>0</v>
      </c>
      <c r="AG33" s="501">
        <f t="shared" si="5"/>
        <v>0</v>
      </c>
      <c r="AH33" s="508"/>
    </row>
    <row r="34" spans="1:34" s="500" customFormat="1" ht="21" customHeight="1" thickBot="1" x14ac:dyDescent="0.25">
      <c r="A34" s="557">
        <v>22</v>
      </c>
      <c r="B34" s="499" t="e">
        <f t="shared" si="2"/>
        <v>#N/A</v>
      </c>
      <c r="C34" s="679" t="str">
        <f>IFERROR(INDEX('EZ list'!E:E,MATCH(B34,'EZ list'!C:C,0)),"")</f>
        <v/>
      </c>
      <c r="D34" s="507"/>
      <c r="E34" s="806"/>
      <c r="F34" s="807"/>
      <c r="G34" s="806"/>
      <c r="H34" s="808"/>
      <c r="I34" s="806"/>
      <c r="J34" s="808"/>
      <c r="K34" s="809" t="str">
        <f t="shared" si="3"/>
        <v/>
      </c>
      <c r="L34" s="810"/>
      <c r="M34" s="806"/>
      <c r="N34" s="807"/>
      <c r="O34" s="806"/>
      <c r="P34" s="807"/>
      <c r="Q34" s="999"/>
      <c r="R34" s="808"/>
      <c r="S34" s="1215" t="str">
        <f>IFERROR(INDEX('EZ list'!N:N,MATCH(B34,'EZ list'!C:C,0)),"")</f>
        <v/>
      </c>
      <c r="T34" s="808"/>
      <c r="U34" s="809" t="str">
        <f t="shared" si="0"/>
        <v/>
      </c>
      <c r="V34" s="808"/>
      <c r="W34" s="806"/>
      <c r="X34" s="807"/>
      <c r="Y34" s="811" t="str">
        <f t="shared" si="1"/>
        <v/>
      </c>
      <c r="Z34" s="812"/>
      <c r="AA34" s="809" t="str">
        <f t="shared" si="4"/>
        <v/>
      </c>
      <c r="AB34" s="504"/>
      <c r="AC34" s="503"/>
      <c r="AD34" s="502"/>
      <c r="AE34" s="559"/>
      <c r="AF34" s="677">
        <f>IF(IFERROR(INDEX('EZ list'!E:E,MATCH(B34,'EZ list'!C:C,0)),"")=C34,0,1)</f>
        <v>0</v>
      </c>
      <c r="AG34" s="501">
        <f t="shared" si="5"/>
        <v>0</v>
      </c>
      <c r="AH34" s="508"/>
    </row>
    <row r="35" spans="1:34" s="500" customFormat="1" ht="21" customHeight="1" thickBot="1" x14ac:dyDescent="0.25">
      <c r="A35" s="557">
        <v>23</v>
      </c>
      <c r="B35" s="499" t="e">
        <f t="shared" si="2"/>
        <v>#N/A</v>
      </c>
      <c r="C35" s="679" t="str">
        <f>IFERROR(INDEX('EZ list'!E:E,MATCH(B35,'EZ list'!C:C,0)),"")</f>
        <v/>
      </c>
      <c r="D35" s="507"/>
      <c r="E35" s="806"/>
      <c r="F35" s="807"/>
      <c r="G35" s="806"/>
      <c r="H35" s="808"/>
      <c r="I35" s="806"/>
      <c r="J35" s="808"/>
      <c r="K35" s="809" t="str">
        <f t="shared" si="3"/>
        <v/>
      </c>
      <c r="L35" s="810"/>
      <c r="M35" s="806"/>
      <c r="N35" s="807"/>
      <c r="O35" s="806"/>
      <c r="P35" s="807"/>
      <c r="Q35" s="999"/>
      <c r="R35" s="808"/>
      <c r="S35" s="1215" t="str">
        <f>IFERROR(INDEX('EZ list'!N:N,MATCH(B35,'EZ list'!C:C,0)),"")</f>
        <v/>
      </c>
      <c r="T35" s="808"/>
      <c r="U35" s="809" t="str">
        <f t="shared" si="0"/>
        <v/>
      </c>
      <c r="V35" s="808"/>
      <c r="W35" s="806"/>
      <c r="X35" s="807"/>
      <c r="Y35" s="811" t="str">
        <f t="shared" si="1"/>
        <v/>
      </c>
      <c r="Z35" s="812"/>
      <c r="AA35" s="809" t="str">
        <f t="shared" si="4"/>
        <v/>
      </c>
      <c r="AB35" s="504"/>
      <c r="AC35" s="503"/>
      <c r="AD35" s="502"/>
      <c r="AE35" s="559"/>
      <c r="AF35" s="677">
        <f>IF(IFERROR(INDEX('EZ list'!E:E,MATCH(B35,'EZ list'!C:C,0)),"")=C35,0,1)</f>
        <v>0</v>
      </c>
      <c r="AG35" s="501">
        <f t="shared" si="5"/>
        <v>0</v>
      </c>
      <c r="AH35" s="508"/>
    </row>
    <row r="36" spans="1:34" s="500" customFormat="1" ht="21" customHeight="1" thickBot="1" x14ac:dyDescent="0.25">
      <c r="A36" s="557">
        <v>24</v>
      </c>
      <c r="B36" s="499" t="e">
        <f t="shared" si="2"/>
        <v>#N/A</v>
      </c>
      <c r="C36" s="679" t="str">
        <f>IFERROR(INDEX('EZ list'!E:E,MATCH(B36,'EZ list'!C:C,0)),"")</f>
        <v/>
      </c>
      <c r="D36" s="507"/>
      <c r="E36" s="806"/>
      <c r="F36" s="807"/>
      <c r="G36" s="806"/>
      <c r="H36" s="808"/>
      <c r="I36" s="806"/>
      <c r="J36" s="808"/>
      <c r="K36" s="809" t="str">
        <f t="shared" si="3"/>
        <v/>
      </c>
      <c r="L36" s="810"/>
      <c r="M36" s="806"/>
      <c r="N36" s="807"/>
      <c r="O36" s="806"/>
      <c r="P36" s="807"/>
      <c r="Q36" s="999"/>
      <c r="R36" s="808"/>
      <c r="S36" s="1215" t="str">
        <f>IFERROR(INDEX('EZ list'!N:N,MATCH(B36,'EZ list'!C:C,0)),"")</f>
        <v/>
      </c>
      <c r="T36" s="808"/>
      <c r="U36" s="809" t="str">
        <f t="shared" si="0"/>
        <v/>
      </c>
      <c r="V36" s="808"/>
      <c r="W36" s="806"/>
      <c r="X36" s="807"/>
      <c r="Y36" s="811" t="str">
        <f t="shared" si="1"/>
        <v/>
      </c>
      <c r="Z36" s="812"/>
      <c r="AA36" s="809" t="str">
        <f t="shared" si="4"/>
        <v/>
      </c>
      <c r="AB36" s="504"/>
      <c r="AC36" s="503"/>
      <c r="AD36" s="502"/>
      <c r="AE36" s="559"/>
      <c r="AF36" s="677">
        <f>IF(IFERROR(INDEX('EZ list'!E:E,MATCH(B36,'EZ list'!C:C,0)),"")=C36,0,1)</f>
        <v>0</v>
      </c>
      <c r="AG36" s="501">
        <f t="shared" si="5"/>
        <v>0</v>
      </c>
      <c r="AH36" s="508"/>
    </row>
    <row r="37" spans="1:34" s="500" customFormat="1" ht="21" customHeight="1" thickBot="1" x14ac:dyDescent="0.25">
      <c r="A37" s="557">
        <v>25</v>
      </c>
      <c r="B37" s="499" t="e">
        <f t="shared" si="2"/>
        <v>#N/A</v>
      </c>
      <c r="C37" s="679" t="str">
        <f>IFERROR(INDEX('EZ list'!E:E,MATCH(B37,'EZ list'!C:C,0)),"")</f>
        <v/>
      </c>
      <c r="D37" s="507"/>
      <c r="E37" s="806"/>
      <c r="F37" s="807"/>
      <c r="G37" s="806"/>
      <c r="H37" s="808"/>
      <c r="I37" s="806"/>
      <c r="J37" s="808"/>
      <c r="K37" s="809" t="str">
        <f t="shared" si="3"/>
        <v/>
      </c>
      <c r="L37" s="810"/>
      <c r="M37" s="806"/>
      <c r="N37" s="807"/>
      <c r="O37" s="806"/>
      <c r="P37" s="807"/>
      <c r="Q37" s="999"/>
      <c r="R37" s="808"/>
      <c r="S37" s="1215" t="str">
        <f>IFERROR(INDEX('EZ list'!N:N,MATCH(B37,'EZ list'!C:C,0)),"")</f>
        <v/>
      </c>
      <c r="T37" s="808"/>
      <c r="U37" s="809" t="str">
        <f t="shared" si="0"/>
        <v/>
      </c>
      <c r="V37" s="808"/>
      <c r="W37" s="806"/>
      <c r="X37" s="807"/>
      <c r="Y37" s="811" t="str">
        <f t="shared" si="1"/>
        <v/>
      </c>
      <c r="Z37" s="812"/>
      <c r="AA37" s="809" t="str">
        <f t="shared" si="4"/>
        <v/>
      </c>
      <c r="AB37" s="504"/>
      <c r="AC37" s="503"/>
      <c r="AD37" s="502"/>
      <c r="AE37" s="559"/>
      <c r="AF37" s="677">
        <f>IF(IFERROR(INDEX('EZ list'!E:E,MATCH(B37,'EZ list'!C:C,0)),"")=C37,0,1)</f>
        <v>0</v>
      </c>
      <c r="AG37" s="501">
        <f t="shared" si="5"/>
        <v>0</v>
      </c>
    </row>
    <row r="38" spans="1:34" s="500" customFormat="1" ht="21" customHeight="1" thickBot="1" x14ac:dyDescent="0.25">
      <c r="A38" s="557">
        <v>26</v>
      </c>
      <c r="B38" s="499" t="e">
        <f t="shared" si="2"/>
        <v>#N/A</v>
      </c>
      <c r="C38" s="679" t="str">
        <f>IFERROR(INDEX('EZ list'!E:E,MATCH(B38,'EZ list'!C:C,0)),"")</f>
        <v/>
      </c>
      <c r="D38" s="507"/>
      <c r="E38" s="806"/>
      <c r="F38" s="807"/>
      <c r="G38" s="806"/>
      <c r="H38" s="808"/>
      <c r="I38" s="806"/>
      <c r="J38" s="808"/>
      <c r="K38" s="809" t="str">
        <f t="shared" si="3"/>
        <v/>
      </c>
      <c r="L38" s="810"/>
      <c r="M38" s="806"/>
      <c r="N38" s="807"/>
      <c r="O38" s="806"/>
      <c r="P38" s="807"/>
      <c r="Q38" s="999"/>
      <c r="R38" s="808"/>
      <c r="S38" s="1215" t="str">
        <f>IFERROR(INDEX('EZ list'!N:N,MATCH(B38,'EZ list'!C:C,0)),"")</f>
        <v/>
      </c>
      <c r="T38" s="808"/>
      <c r="U38" s="809" t="str">
        <f t="shared" si="0"/>
        <v/>
      </c>
      <c r="V38" s="808"/>
      <c r="W38" s="806"/>
      <c r="X38" s="807"/>
      <c r="Y38" s="811" t="str">
        <f t="shared" si="1"/>
        <v/>
      </c>
      <c r="Z38" s="812"/>
      <c r="AA38" s="809" t="str">
        <f t="shared" si="4"/>
        <v/>
      </c>
      <c r="AB38" s="504"/>
      <c r="AC38" s="503"/>
      <c r="AD38" s="502"/>
      <c r="AE38" s="559"/>
      <c r="AF38" s="677">
        <f>IF(IFERROR(INDEX('EZ list'!E:E,MATCH(B38,'EZ list'!C:C,0)),"")=C38,0,1)</f>
        <v>0</v>
      </c>
      <c r="AG38" s="501">
        <f t="shared" si="5"/>
        <v>0</v>
      </c>
    </row>
    <row r="39" spans="1:34" s="500" customFormat="1" ht="21" customHeight="1" thickBot="1" x14ac:dyDescent="0.25">
      <c r="A39" s="557">
        <v>27</v>
      </c>
      <c r="B39" s="499" t="e">
        <f t="shared" si="2"/>
        <v>#N/A</v>
      </c>
      <c r="C39" s="679" t="str">
        <f>IFERROR(INDEX('EZ list'!E:E,MATCH(B39,'EZ list'!C:C,0)),"")</f>
        <v/>
      </c>
      <c r="D39" s="507"/>
      <c r="E39" s="806"/>
      <c r="F39" s="807"/>
      <c r="G39" s="806"/>
      <c r="H39" s="808"/>
      <c r="I39" s="806"/>
      <c r="J39" s="808"/>
      <c r="K39" s="809" t="str">
        <f t="shared" si="3"/>
        <v/>
      </c>
      <c r="L39" s="810"/>
      <c r="M39" s="806"/>
      <c r="N39" s="807"/>
      <c r="O39" s="806"/>
      <c r="P39" s="807"/>
      <c r="Q39" s="999"/>
      <c r="R39" s="808"/>
      <c r="S39" s="1215" t="str">
        <f>IFERROR(INDEX('EZ list'!N:N,MATCH(B39,'EZ list'!C:C,0)),"")</f>
        <v/>
      </c>
      <c r="T39" s="808"/>
      <c r="U39" s="809" t="str">
        <f t="shared" si="0"/>
        <v/>
      </c>
      <c r="V39" s="808"/>
      <c r="W39" s="806"/>
      <c r="X39" s="807"/>
      <c r="Y39" s="811" t="str">
        <f t="shared" si="1"/>
        <v/>
      </c>
      <c r="Z39" s="812"/>
      <c r="AA39" s="809" t="str">
        <f t="shared" si="4"/>
        <v/>
      </c>
      <c r="AB39" s="504"/>
      <c r="AC39" s="503"/>
      <c r="AD39" s="502"/>
      <c r="AE39" s="559"/>
      <c r="AF39" s="677">
        <f>IF(IFERROR(INDEX('EZ list'!E:E,MATCH(B39,'EZ list'!C:C,0)),"")=C39,0,1)</f>
        <v>0</v>
      </c>
      <c r="AG39" s="501">
        <f t="shared" si="5"/>
        <v>0</v>
      </c>
    </row>
    <row r="40" spans="1:34" s="500" customFormat="1" ht="21" customHeight="1" thickBot="1" x14ac:dyDescent="0.25">
      <c r="A40" s="557">
        <v>28</v>
      </c>
      <c r="B40" s="499" t="e">
        <f t="shared" si="2"/>
        <v>#N/A</v>
      </c>
      <c r="C40" s="679" t="str">
        <f>IFERROR(INDEX('EZ list'!E:E,MATCH(B40,'EZ list'!C:C,0)),"")</f>
        <v/>
      </c>
      <c r="D40" s="507"/>
      <c r="E40" s="806"/>
      <c r="F40" s="807"/>
      <c r="G40" s="806"/>
      <c r="H40" s="808"/>
      <c r="I40" s="806"/>
      <c r="J40" s="808"/>
      <c r="K40" s="809" t="str">
        <f t="shared" si="3"/>
        <v/>
      </c>
      <c r="L40" s="810"/>
      <c r="M40" s="806"/>
      <c r="N40" s="807"/>
      <c r="O40" s="806"/>
      <c r="P40" s="807"/>
      <c r="Q40" s="999"/>
      <c r="R40" s="808"/>
      <c r="S40" s="1215" t="str">
        <f>IFERROR(INDEX('EZ list'!N:N,MATCH(B40,'EZ list'!C:C,0)),"")</f>
        <v/>
      </c>
      <c r="T40" s="808"/>
      <c r="U40" s="809" t="str">
        <f t="shared" si="0"/>
        <v/>
      </c>
      <c r="V40" s="808"/>
      <c r="W40" s="806"/>
      <c r="X40" s="807"/>
      <c r="Y40" s="811" t="str">
        <f t="shared" si="1"/>
        <v/>
      </c>
      <c r="Z40" s="812"/>
      <c r="AA40" s="809" t="str">
        <f t="shared" si="4"/>
        <v/>
      </c>
      <c r="AB40" s="504"/>
      <c r="AC40" s="503"/>
      <c r="AD40" s="502"/>
      <c r="AE40" s="559"/>
      <c r="AF40" s="677">
        <f>IF(IFERROR(INDEX('EZ list'!E:E,MATCH(B40,'EZ list'!C:C,0)),"")=C40,0,1)</f>
        <v>0</v>
      </c>
      <c r="AG40" s="501">
        <f t="shared" si="5"/>
        <v>0</v>
      </c>
    </row>
    <row r="41" spans="1:34" s="500" customFormat="1" ht="21" customHeight="1" thickBot="1" x14ac:dyDescent="0.25">
      <c r="A41" s="557">
        <v>29</v>
      </c>
      <c r="B41" s="499" t="e">
        <f t="shared" si="2"/>
        <v>#N/A</v>
      </c>
      <c r="C41" s="679" t="str">
        <f>IFERROR(INDEX('EZ list'!E:E,MATCH(B41,'EZ list'!C:C,0)),"")</f>
        <v/>
      </c>
      <c r="D41" s="507"/>
      <c r="E41" s="806"/>
      <c r="F41" s="807"/>
      <c r="G41" s="806"/>
      <c r="H41" s="808"/>
      <c r="I41" s="806"/>
      <c r="J41" s="808"/>
      <c r="K41" s="809" t="str">
        <f t="shared" si="3"/>
        <v/>
      </c>
      <c r="L41" s="810"/>
      <c r="M41" s="806"/>
      <c r="N41" s="807"/>
      <c r="O41" s="806"/>
      <c r="P41" s="807"/>
      <c r="Q41" s="999"/>
      <c r="R41" s="808"/>
      <c r="S41" s="1215" t="str">
        <f>IFERROR(INDEX('EZ list'!N:N,MATCH(B41,'EZ list'!C:C,0)),"")</f>
        <v/>
      </c>
      <c r="T41" s="808"/>
      <c r="U41" s="809" t="str">
        <f t="shared" si="0"/>
        <v/>
      </c>
      <c r="V41" s="808"/>
      <c r="W41" s="806"/>
      <c r="X41" s="807"/>
      <c r="Y41" s="811" t="str">
        <f t="shared" si="1"/>
        <v/>
      </c>
      <c r="Z41" s="812"/>
      <c r="AA41" s="809" t="str">
        <f t="shared" si="4"/>
        <v/>
      </c>
      <c r="AB41" s="504"/>
      <c r="AC41" s="503"/>
      <c r="AD41" s="502"/>
      <c r="AE41" s="559"/>
      <c r="AF41" s="677">
        <f>IF(IFERROR(INDEX('EZ list'!E:E,MATCH(B41,'EZ list'!C:C,0)),"")=C41,0,1)</f>
        <v>0</v>
      </c>
      <c r="AG41" s="501">
        <f t="shared" si="5"/>
        <v>0</v>
      </c>
    </row>
    <row r="42" spans="1:34" s="500" customFormat="1" ht="21" customHeight="1" thickBot="1" x14ac:dyDescent="0.25">
      <c r="A42" s="557">
        <v>30</v>
      </c>
      <c r="B42" s="499" t="e">
        <f t="shared" si="2"/>
        <v>#N/A</v>
      </c>
      <c r="C42" s="679" t="str">
        <f>IFERROR(INDEX('EZ list'!E:E,MATCH(B42,'EZ list'!C:C,0)),"")</f>
        <v/>
      </c>
      <c r="D42" s="507"/>
      <c r="E42" s="806"/>
      <c r="F42" s="807"/>
      <c r="G42" s="806"/>
      <c r="H42" s="808"/>
      <c r="I42" s="806"/>
      <c r="J42" s="808"/>
      <c r="K42" s="809" t="str">
        <f t="shared" si="3"/>
        <v/>
      </c>
      <c r="L42" s="810"/>
      <c r="M42" s="806"/>
      <c r="N42" s="807"/>
      <c r="O42" s="806"/>
      <c r="P42" s="807"/>
      <c r="Q42" s="999"/>
      <c r="R42" s="808"/>
      <c r="S42" s="1215" t="str">
        <f>IFERROR(INDEX('EZ list'!N:N,MATCH(B42,'EZ list'!C:C,0)),"")</f>
        <v/>
      </c>
      <c r="T42" s="808"/>
      <c r="U42" s="809" t="str">
        <f t="shared" si="0"/>
        <v/>
      </c>
      <c r="V42" s="808"/>
      <c r="W42" s="806"/>
      <c r="X42" s="807"/>
      <c r="Y42" s="811" t="str">
        <f t="shared" si="1"/>
        <v/>
      </c>
      <c r="Z42" s="812"/>
      <c r="AA42" s="809" t="str">
        <f t="shared" si="4"/>
        <v/>
      </c>
      <c r="AB42" s="504"/>
      <c r="AC42" s="503"/>
      <c r="AD42" s="502"/>
      <c r="AE42" s="559"/>
      <c r="AF42" s="677">
        <f>IF(IFERROR(INDEX('EZ list'!E:E,MATCH(B42,'EZ list'!C:C,0)),"")=C42,0,1)</f>
        <v>0</v>
      </c>
      <c r="AG42" s="501">
        <f t="shared" si="5"/>
        <v>0</v>
      </c>
    </row>
    <row r="43" spans="1:34" s="500" customFormat="1" ht="21" customHeight="1" thickBot="1" x14ac:dyDescent="0.25">
      <c r="A43" s="557">
        <v>31</v>
      </c>
      <c r="B43" s="499" t="e">
        <f t="shared" si="2"/>
        <v>#N/A</v>
      </c>
      <c r="C43" s="679" t="str">
        <f>IFERROR(INDEX('EZ list'!E:E,MATCH(B43,'EZ list'!C:C,0)),"")</f>
        <v/>
      </c>
      <c r="D43" s="507"/>
      <c r="E43" s="806"/>
      <c r="F43" s="807"/>
      <c r="G43" s="806"/>
      <c r="H43" s="808"/>
      <c r="I43" s="806"/>
      <c r="J43" s="808"/>
      <c r="K43" s="809" t="str">
        <f t="shared" si="3"/>
        <v/>
      </c>
      <c r="L43" s="810"/>
      <c r="M43" s="806"/>
      <c r="N43" s="807"/>
      <c r="O43" s="806"/>
      <c r="P43" s="807"/>
      <c r="Q43" s="999"/>
      <c r="R43" s="808"/>
      <c r="S43" s="1215" t="str">
        <f>IFERROR(INDEX('EZ list'!N:N,MATCH(B43,'EZ list'!C:C,0)),"")</f>
        <v/>
      </c>
      <c r="T43" s="808"/>
      <c r="U43" s="809" t="str">
        <f t="shared" si="0"/>
        <v/>
      </c>
      <c r="V43" s="808"/>
      <c r="W43" s="806"/>
      <c r="X43" s="807"/>
      <c r="Y43" s="811" t="str">
        <f t="shared" si="1"/>
        <v/>
      </c>
      <c r="Z43" s="812"/>
      <c r="AA43" s="809" t="str">
        <f t="shared" si="4"/>
        <v/>
      </c>
      <c r="AB43" s="504"/>
      <c r="AC43" s="503"/>
      <c r="AD43" s="502"/>
      <c r="AE43" s="559"/>
      <c r="AF43" s="677">
        <f>IF(IFERROR(INDEX('EZ list'!E:E,MATCH(B43,'EZ list'!C:C,0)),"")=C43,0,1)</f>
        <v>0</v>
      </c>
      <c r="AG43" s="501">
        <f t="shared" si="5"/>
        <v>0</v>
      </c>
    </row>
    <row r="44" spans="1:34" s="500" customFormat="1" ht="21" customHeight="1" thickBot="1" x14ac:dyDescent="0.25">
      <c r="A44" s="557">
        <v>32</v>
      </c>
      <c r="B44" s="499" t="e">
        <f t="shared" si="2"/>
        <v>#N/A</v>
      </c>
      <c r="C44" s="679" t="str">
        <f>IFERROR(INDEX('EZ list'!E:E,MATCH(B44,'EZ list'!C:C,0)),"")</f>
        <v/>
      </c>
      <c r="D44" s="507"/>
      <c r="E44" s="806"/>
      <c r="F44" s="807"/>
      <c r="G44" s="806"/>
      <c r="H44" s="808"/>
      <c r="I44" s="806"/>
      <c r="J44" s="808"/>
      <c r="K44" s="809" t="str">
        <f t="shared" si="3"/>
        <v/>
      </c>
      <c r="L44" s="810"/>
      <c r="M44" s="806"/>
      <c r="N44" s="807"/>
      <c r="O44" s="806"/>
      <c r="P44" s="807"/>
      <c r="Q44" s="999"/>
      <c r="R44" s="808"/>
      <c r="S44" s="1215" t="str">
        <f>IFERROR(INDEX('EZ list'!N:N,MATCH(B44,'EZ list'!C:C,0)),"")</f>
        <v/>
      </c>
      <c r="T44" s="808"/>
      <c r="U44" s="809" t="str">
        <f t="shared" si="0"/>
        <v/>
      </c>
      <c r="V44" s="808"/>
      <c r="W44" s="806"/>
      <c r="X44" s="807"/>
      <c r="Y44" s="811" t="str">
        <f t="shared" si="1"/>
        <v/>
      </c>
      <c r="Z44" s="812"/>
      <c r="AA44" s="809" t="str">
        <f t="shared" si="4"/>
        <v/>
      </c>
      <c r="AB44" s="504"/>
      <c r="AC44" s="503"/>
      <c r="AD44" s="502"/>
      <c r="AE44" s="559"/>
      <c r="AF44" s="677">
        <f>IF(IFERROR(INDEX('EZ list'!E:E,MATCH(B44,'EZ list'!C:C,0)),"")=C44,0,1)</f>
        <v>0</v>
      </c>
      <c r="AG44" s="501">
        <f t="shared" si="5"/>
        <v>0</v>
      </c>
    </row>
    <row r="45" spans="1:34" s="500" customFormat="1" ht="21" customHeight="1" thickBot="1" x14ac:dyDescent="0.25">
      <c r="A45" s="557">
        <v>33</v>
      </c>
      <c r="B45" s="499" t="e">
        <f t="shared" si="2"/>
        <v>#N/A</v>
      </c>
      <c r="C45" s="679" t="str">
        <f>IFERROR(INDEX('EZ list'!E:E,MATCH(B45,'EZ list'!C:C,0)),"")</f>
        <v/>
      </c>
      <c r="D45" s="507"/>
      <c r="E45" s="806"/>
      <c r="F45" s="807"/>
      <c r="G45" s="806"/>
      <c r="H45" s="808"/>
      <c r="I45" s="806"/>
      <c r="J45" s="808"/>
      <c r="K45" s="809" t="str">
        <f t="shared" si="3"/>
        <v/>
      </c>
      <c r="L45" s="810"/>
      <c r="M45" s="806"/>
      <c r="N45" s="807"/>
      <c r="O45" s="806"/>
      <c r="P45" s="807"/>
      <c r="Q45" s="999"/>
      <c r="R45" s="808"/>
      <c r="S45" s="1215" t="str">
        <f>IFERROR(INDEX('EZ list'!N:N,MATCH(B45,'EZ list'!C:C,0)),"")</f>
        <v/>
      </c>
      <c r="T45" s="808"/>
      <c r="U45" s="809" t="str">
        <f t="shared" si="0"/>
        <v/>
      </c>
      <c r="V45" s="808"/>
      <c r="W45" s="806"/>
      <c r="X45" s="807"/>
      <c r="Y45" s="811" t="str">
        <f t="shared" si="1"/>
        <v/>
      </c>
      <c r="Z45" s="812"/>
      <c r="AA45" s="809" t="str">
        <f t="shared" si="4"/>
        <v/>
      </c>
      <c r="AB45" s="504"/>
      <c r="AC45" s="503"/>
      <c r="AD45" s="502"/>
      <c r="AE45" s="559"/>
      <c r="AF45" s="677">
        <f>IF(IFERROR(INDEX('EZ list'!E:E,MATCH(B45,'EZ list'!C:C,0)),"")=C45,0,1)</f>
        <v>0</v>
      </c>
      <c r="AG45" s="501">
        <f t="shared" si="5"/>
        <v>0</v>
      </c>
    </row>
    <row r="46" spans="1:34" s="500" customFormat="1" ht="21" customHeight="1" thickBot="1" x14ac:dyDescent="0.25">
      <c r="A46" s="557">
        <v>34</v>
      </c>
      <c r="B46" s="499" t="e">
        <f t="shared" si="2"/>
        <v>#N/A</v>
      </c>
      <c r="C46" s="679" t="str">
        <f>IFERROR(INDEX('EZ list'!E:E,MATCH(B46,'EZ list'!C:C,0)),"")</f>
        <v/>
      </c>
      <c r="D46" s="507"/>
      <c r="E46" s="806"/>
      <c r="F46" s="807"/>
      <c r="G46" s="806"/>
      <c r="H46" s="808"/>
      <c r="I46" s="806"/>
      <c r="J46" s="808"/>
      <c r="K46" s="809" t="str">
        <f t="shared" si="3"/>
        <v/>
      </c>
      <c r="L46" s="810"/>
      <c r="M46" s="806"/>
      <c r="N46" s="807"/>
      <c r="O46" s="806"/>
      <c r="P46" s="807"/>
      <c r="Q46" s="999"/>
      <c r="R46" s="808"/>
      <c r="S46" s="1215" t="str">
        <f>IFERROR(INDEX('EZ list'!N:N,MATCH(B46,'EZ list'!C:C,0)),"")</f>
        <v/>
      </c>
      <c r="T46" s="808"/>
      <c r="U46" s="809" t="str">
        <f t="shared" si="0"/>
        <v/>
      </c>
      <c r="V46" s="808"/>
      <c r="W46" s="806"/>
      <c r="X46" s="807"/>
      <c r="Y46" s="811" t="str">
        <f t="shared" si="1"/>
        <v/>
      </c>
      <c r="Z46" s="812"/>
      <c r="AA46" s="809" t="str">
        <f t="shared" si="4"/>
        <v/>
      </c>
      <c r="AB46" s="504"/>
      <c r="AC46" s="503"/>
      <c r="AD46" s="502"/>
      <c r="AE46" s="559"/>
      <c r="AF46" s="677">
        <f>IF(IFERROR(INDEX('EZ list'!E:E,MATCH(B46,'EZ list'!C:C,0)),"")=C46,0,1)</f>
        <v>0</v>
      </c>
      <c r="AG46" s="501">
        <f t="shared" si="5"/>
        <v>0</v>
      </c>
    </row>
    <row r="47" spans="1:34" s="500" customFormat="1" ht="21" customHeight="1" thickBot="1" x14ac:dyDescent="0.25">
      <c r="A47" s="557">
        <v>35</v>
      </c>
      <c r="B47" s="499" t="e">
        <f t="shared" si="2"/>
        <v>#N/A</v>
      </c>
      <c r="C47" s="679" t="str">
        <f>IFERROR(INDEX('EZ list'!E:E,MATCH(B47,'EZ list'!C:C,0)),"")</f>
        <v/>
      </c>
      <c r="D47" s="507"/>
      <c r="E47" s="806"/>
      <c r="F47" s="807"/>
      <c r="G47" s="806"/>
      <c r="H47" s="808"/>
      <c r="I47" s="806"/>
      <c r="J47" s="808"/>
      <c r="K47" s="809" t="str">
        <f t="shared" si="3"/>
        <v/>
      </c>
      <c r="L47" s="810"/>
      <c r="M47" s="806"/>
      <c r="N47" s="807"/>
      <c r="O47" s="806"/>
      <c r="P47" s="807"/>
      <c r="Q47" s="999"/>
      <c r="R47" s="808"/>
      <c r="S47" s="1215" t="str">
        <f>IFERROR(INDEX('EZ list'!N:N,MATCH(B47,'EZ list'!C:C,0)),"")</f>
        <v/>
      </c>
      <c r="T47" s="808"/>
      <c r="U47" s="809" t="str">
        <f t="shared" si="0"/>
        <v/>
      </c>
      <c r="V47" s="808"/>
      <c r="W47" s="806"/>
      <c r="X47" s="807"/>
      <c r="Y47" s="811" t="str">
        <f t="shared" si="1"/>
        <v/>
      </c>
      <c r="Z47" s="812"/>
      <c r="AA47" s="809" t="str">
        <f t="shared" si="4"/>
        <v/>
      </c>
      <c r="AB47" s="504"/>
      <c r="AC47" s="503"/>
      <c r="AD47" s="502"/>
      <c r="AE47" s="559"/>
      <c r="AF47" s="677">
        <f>IF(IFERROR(INDEX('EZ list'!E:E,MATCH(B47,'EZ list'!C:C,0)),"")=C47,0,1)</f>
        <v>0</v>
      </c>
      <c r="AG47" s="501">
        <f t="shared" si="5"/>
        <v>0</v>
      </c>
    </row>
    <row r="48" spans="1:34" s="500" customFormat="1" ht="21" customHeight="1" thickBot="1" x14ac:dyDescent="0.25">
      <c r="A48" s="557">
        <v>36</v>
      </c>
      <c r="B48" s="499" t="e">
        <f t="shared" si="2"/>
        <v>#N/A</v>
      </c>
      <c r="C48" s="679" t="str">
        <f>IFERROR(INDEX('EZ list'!E:E,MATCH(B48,'EZ list'!C:C,0)),"")</f>
        <v/>
      </c>
      <c r="D48" s="507"/>
      <c r="E48" s="806"/>
      <c r="F48" s="807"/>
      <c r="G48" s="806"/>
      <c r="H48" s="808"/>
      <c r="I48" s="806"/>
      <c r="J48" s="808"/>
      <c r="K48" s="809" t="str">
        <f t="shared" si="3"/>
        <v/>
      </c>
      <c r="L48" s="810"/>
      <c r="M48" s="806"/>
      <c r="N48" s="807"/>
      <c r="O48" s="806"/>
      <c r="P48" s="807"/>
      <c r="Q48" s="999"/>
      <c r="R48" s="808"/>
      <c r="S48" s="1215" t="str">
        <f>IFERROR(INDEX('EZ list'!N:N,MATCH(B48,'EZ list'!C:C,0)),"")</f>
        <v/>
      </c>
      <c r="T48" s="808"/>
      <c r="U48" s="809" t="str">
        <f t="shared" si="0"/>
        <v/>
      </c>
      <c r="V48" s="808"/>
      <c r="W48" s="806"/>
      <c r="X48" s="807"/>
      <c r="Y48" s="811" t="str">
        <f t="shared" si="1"/>
        <v/>
      </c>
      <c r="Z48" s="812"/>
      <c r="AA48" s="809" t="str">
        <f t="shared" si="4"/>
        <v/>
      </c>
      <c r="AB48" s="504"/>
      <c r="AC48" s="503"/>
      <c r="AD48" s="502"/>
      <c r="AE48" s="559"/>
      <c r="AF48" s="677">
        <f>IF(IFERROR(INDEX('EZ list'!E:E,MATCH(B48,'EZ list'!C:C,0)),"")=C48,0,1)</f>
        <v>0</v>
      </c>
      <c r="AG48" s="501">
        <f t="shared" si="5"/>
        <v>0</v>
      </c>
    </row>
    <row r="49" spans="1:33" s="500" customFormat="1" ht="21" customHeight="1" thickBot="1" x14ac:dyDescent="0.25">
      <c r="A49" s="557">
        <v>37</v>
      </c>
      <c r="B49" s="499" t="e">
        <f t="shared" si="2"/>
        <v>#N/A</v>
      </c>
      <c r="C49" s="679" t="str">
        <f>IFERROR(INDEX('EZ list'!E:E,MATCH(B49,'EZ list'!C:C,0)),"")</f>
        <v/>
      </c>
      <c r="D49" s="507"/>
      <c r="E49" s="806"/>
      <c r="F49" s="807"/>
      <c r="G49" s="806"/>
      <c r="H49" s="808"/>
      <c r="I49" s="806"/>
      <c r="J49" s="808"/>
      <c r="K49" s="809" t="str">
        <f t="shared" si="3"/>
        <v/>
      </c>
      <c r="L49" s="810"/>
      <c r="M49" s="806"/>
      <c r="N49" s="807"/>
      <c r="O49" s="806"/>
      <c r="P49" s="807"/>
      <c r="Q49" s="999"/>
      <c r="R49" s="808"/>
      <c r="S49" s="1215" t="str">
        <f>IFERROR(INDEX('EZ list'!N:N,MATCH(B49,'EZ list'!C:C,0)),"")</f>
        <v/>
      </c>
      <c r="T49" s="808"/>
      <c r="U49" s="809" t="str">
        <f t="shared" si="0"/>
        <v/>
      </c>
      <c r="V49" s="808"/>
      <c r="W49" s="806"/>
      <c r="X49" s="807"/>
      <c r="Y49" s="811" t="str">
        <f t="shared" si="1"/>
        <v/>
      </c>
      <c r="Z49" s="812"/>
      <c r="AA49" s="809" t="str">
        <f t="shared" si="4"/>
        <v/>
      </c>
      <c r="AB49" s="504"/>
      <c r="AC49" s="503"/>
      <c r="AD49" s="502"/>
      <c r="AE49" s="559"/>
      <c r="AF49" s="677">
        <f>IF(IFERROR(INDEX('EZ list'!E:E,MATCH(B49,'EZ list'!C:C,0)),"")=C49,0,1)</f>
        <v>0</v>
      </c>
      <c r="AG49" s="501">
        <f t="shared" si="5"/>
        <v>0</v>
      </c>
    </row>
    <row r="50" spans="1:33" s="500" customFormat="1" ht="21" customHeight="1" thickBot="1" x14ac:dyDescent="0.25">
      <c r="A50" s="557">
        <v>38</v>
      </c>
      <c r="B50" s="499" t="e">
        <f t="shared" si="2"/>
        <v>#N/A</v>
      </c>
      <c r="C50" s="679" t="str">
        <f>IFERROR(INDEX('EZ list'!E:E,MATCH(B50,'EZ list'!C:C,0)),"")</f>
        <v/>
      </c>
      <c r="D50" s="507"/>
      <c r="E50" s="806"/>
      <c r="F50" s="807"/>
      <c r="G50" s="806"/>
      <c r="H50" s="808"/>
      <c r="I50" s="806"/>
      <c r="J50" s="808"/>
      <c r="K50" s="809" t="str">
        <f t="shared" si="3"/>
        <v/>
      </c>
      <c r="L50" s="810"/>
      <c r="M50" s="806"/>
      <c r="N50" s="807"/>
      <c r="O50" s="806"/>
      <c r="P50" s="807"/>
      <c r="Q50" s="999"/>
      <c r="R50" s="808"/>
      <c r="S50" s="1215" t="str">
        <f>IFERROR(INDEX('EZ list'!N:N,MATCH(B50,'EZ list'!C:C,0)),"")</f>
        <v/>
      </c>
      <c r="T50" s="808"/>
      <c r="U50" s="809" t="str">
        <f t="shared" si="0"/>
        <v/>
      </c>
      <c r="V50" s="808"/>
      <c r="W50" s="806"/>
      <c r="X50" s="807"/>
      <c r="Y50" s="811" t="str">
        <f t="shared" si="1"/>
        <v/>
      </c>
      <c r="Z50" s="812"/>
      <c r="AA50" s="809" t="str">
        <f t="shared" si="4"/>
        <v/>
      </c>
      <c r="AB50" s="504"/>
      <c r="AC50" s="503"/>
      <c r="AD50" s="502"/>
      <c r="AE50" s="559"/>
      <c r="AF50" s="677">
        <f>IF(IFERROR(INDEX('EZ list'!E:E,MATCH(B50,'EZ list'!C:C,0)),"")=C50,0,1)</f>
        <v>0</v>
      </c>
      <c r="AG50" s="501">
        <f t="shared" si="5"/>
        <v>0</v>
      </c>
    </row>
    <row r="51" spans="1:33" s="500" customFormat="1" ht="21" customHeight="1" thickBot="1" x14ac:dyDescent="0.25">
      <c r="A51" s="557">
        <v>39</v>
      </c>
      <c r="B51" s="499" t="e">
        <f t="shared" si="2"/>
        <v>#N/A</v>
      </c>
      <c r="C51" s="679" t="str">
        <f>IFERROR(INDEX('EZ list'!E:E,MATCH(B51,'EZ list'!C:C,0)),"")</f>
        <v/>
      </c>
      <c r="D51" s="507"/>
      <c r="E51" s="806"/>
      <c r="F51" s="807"/>
      <c r="G51" s="806"/>
      <c r="H51" s="808"/>
      <c r="I51" s="806"/>
      <c r="J51" s="808"/>
      <c r="K51" s="809" t="str">
        <f t="shared" si="3"/>
        <v/>
      </c>
      <c r="L51" s="810"/>
      <c r="M51" s="806"/>
      <c r="N51" s="807"/>
      <c r="O51" s="806"/>
      <c r="P51" s="807"/>
      <c r="Q51" s="999"/>
      <c r="R51" s="808"/>
      <c r="S51" s="1215" t="str">
        <f>IFERROR(INDEX('EZ list'!N:N,MATCH(B51,'EZ list'!C:C,0)),"")</f>
        <v/>
      </c>
      <c r="T51" s="808"/>
      <c r="U51" s="809" t="str">
        <f t="shared" si="0"/>
        <v/>
      </c>
      <c r="V51" s="808"/>
      <c r="W51" s="806"/>
      <c r="X51" s="807"/>
      <c r="Y51" s="811" t="str">
        <f t="shared" si="1"/>
        <v/>
      </c>
      <c r="Z51" s="812"/>
      <c r="AA51" s="809" t="str">
        <f t="shared" si="4"/>
        <v/>
      </c>
      <c r="AB51" s="504"/>
      <c r="AC51" s="503"/>
      <c r="AD51" s="502"/>
      <c r="AE51" s="559"/>
      <c r="AF51" s="677">
        <f>IF(IFERROR(INDEX('EZ list'!E:E,MATCH(B51,'EZ list'!C:C,0)),"")=C51,0,1)</f>
        <v>0</v>
      </c>
      <c r="AG51" s="501">
        <f t="shared" si="5"/>
        <v>0</v>
      </c>
    </row>
    <row r="52" spans="1:33" s="500" customFormat="1" ht="21" customHeight="1" thickBot="1" x14ac:dyDescent="0.25">
      <c r="A52" s="557">
        <v>40</v>
      </c>
      <c r="B52" s="499" t="e">
        <f t="shared" si="2"/>
        <v>#N/A</v>
      </c>
      <c r="C52" s="679" t="str">
        <f>IFERROR(INDEX('EZ list'!E:E,MATCH(B52,'EZ list'!C:C,0)),"")</f>
        <v/>
      </c>
      <c r="D52" s="507"/>
      <c r="E52" s="806"/>
      <c r="F52" s="807"/>
      <c r="G52" s="806"/>
      <c r="H52" s="808"/>
      <c r="I52" s="806"/>
      <c r="J52" s="808"/>
      <c r="K52" s="809" t="str">
        <f t="shared" si="3"/>
        <v/>
      </c>
      <c r="L52" s="810"/>
      <c r="M52" s="806"/>
      <c r="N52" s="807"/>
      <c r="O52" s="806"/>
      <c r="P52" s="807"/>
      <c r="Q52" s="999"/>
      <c r="R52" s="808"/>
      <c r="S52" s="1215" t="str">
        <f>IFERROR(INDEX('EZ list'!N:N,MATCH(B52,'EZ list'!C:C,0)),"")</f>
        <v/>
      </c>
      <c r="T52" s="808"/>
      <c r="U52" s="809" t="str">
        <f t="shared" si="0"/>
        <v/>
      </c>
      <c r="V52" s="808"/>
      <c r="W52" s="806"/>
      <c r="X52" s="807"/>
      <c r="Y52" s="811" t="str">
        <f t="shared" si="1"/>
        <v/>
      </c>
      <c r="Z52" s="812"/>
      <c r="AA52" s="809" t="str">
        <f t="shared" si="4"/>
        <v/>
      </c>
      <c r="AB52" s="504"/>
      <c r="AC52" s="503"/>
      <c r="AD52" s="502"/>
      <c r="AE52" s="559"/>
      <c r="AF52" s="677">
        <f>IF(IFERROR(INDEX('EZ list'!E:E,MATCH(B52,'EZ list'!C:C,0)),"")=C52,0,1)</f>
        <v>0</v>
      </c>
      <c r="AG52" s="501">
        <f t="shared" si="5"/>
        <v>0</v>
      </c>
    </row>
    <row r="53" spans="1:33" s="500" customFormat="1" ht="21" customHeight="1" thickBot="1" x14ac:dyDescent="0.25">
      <c r="A53" s="557">
        <v>41</v>
      </c>
      <c r="B53" s="499" t="e">
        <f t="shared" si="2"/>
        <v>#N/A</v>
      </c>
      <c r="C53" s="679" t="str">
        <f>IFERROR(INDEX('EZ list'!E:E,MATCH(B53,'EZ list'!C:C,0)),"")</f>
        <v/>
      </c>
      <c r="D53" s="507"/>
      <c r="E53" s="806"/>
      <c r="F53" s="807"/>
      <c r="G53" s="806"/>
      <c r="H53" s="808"/>
      <c r="I53" s="806"/>
      <c r="J53" s="808"/>
      <c r="K53" s="809" t="str">
        <f t="shared" si="3"/>
        <v/>
      </c>
      <c r="L53" s="810"/>
      <c r="M53" s="806"/>
      <c r="N53" s="807"/>
      <c r="O53" s="806"/>
      <c r="P53" s="807"/>
      <c r="Q53" s="999"/>
      <c r="R53" s="808"/>
      <c r="S53" s="1215" t="str">
        <f>IFERROR(INDEX('EZ list'!N:N,MATCH(B53,'EZ list'!C:C,0)),"")</f>
        <v/>
      </c>
      <c r="T53" s="808"/>
      <c r="U53" s="809" t="str">
        <f t="shared" si="0"/>
        <v/>
      </c>
      <c r="V53" s="808"/>
      <c r="W53" s="806"/>
      <c r="X53" s="807"/>
      <c r="Y53" s="811" t="str">
        <f t="shared" si="1"/>
        <v/>
      </c>
      <c r="Z53" s="812"/>
      <c r="AA53" s="809" t="str">
        <f t="shared" si="4"/>
        <v/>
      </c>
      <c r="AB53" s="504"/>
      <c r="AC53" s="503"/>
      <c r="AD53" s="502"/>
      <c r="AE53" s="559"/>
      <c r="AF53" s="677">
        <f>IF(IFERROR(INDEX('EZ list'!E:E,MATCH(B53,'EZ list'!C:C,0)),"")=C53,0,1)</f>
        <v>0</v>
      </c>
      <c r="AG53" s="501">
        <f t="shared" si="5"/>
        <v>0</v>
      </c>
    </row>
    <row r="54" spans="1:33" ht="18.75" thickBot="1" x14ac:dyDescent="0.25">
      <c r="A54" s="591"/>
      <c r="B54" s="589"/>
      <c r="C54" s="589"/>
      <c r="D54" s="589"/>
      <c r="E54" s="589"/>
      <c r="F54" s="589"/>
      <c r="G54" s="589"/>
      <c r="H54" s="589"/>
      <c r="I54" s="589"/>
      <c r="J54" s="589"/>
      <c r="K54" s="589"/>
      <c r="L54" s="589"/>
      <c r="M54" s="589"/>
      <c r="N54" s="589"/>
      <c r="O54" s="589"/>
      <c r="P54" s="589"/>
      <c r="Q54" s="589"/>
      <c r="R54" s="589"/>
      <c r="S54" s="589"/>
      <c r="T54" s="589"/>
      <c r="U54" s="589"/>
      <c r="V54" s="589"/>
      <c r="W54" s="589"/>
      <c r="X54" s="589"/>
      <c r="Y54" s="605"/>
      <c r="Z54" s="605"/>
      <c r="AA54" s="589"/>
      <c r="AB54" s="589"/>
      <c r="AC54" s="590"/>
      <c r="AF54" s="678">
        <f>SUM(AF13:AF53)</f>
        <v>0</v>
      </c>
      <c r="AG54" s="678">
        <f>SUM(AG13:AG53)</f>
        <v>0</v>
      </c>
    </row>
    <row r="55" spans="1:33" ht="18" hidden="1" x14ac:dyDescent="0.2">
      <c r="A55" s="499"/>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606"/>
      <c r="Z55" s="606"/>
      <c r="AA55" s="499"/>
      <c r="AB55" s="499"/>
      <c r="AC55" s="588"/>
    </row>
    <row r="56" spans="1:33" ht="16.5" hidden="1" thickBot="1" x14ac:dyDescent="0.3">
      <c r="A56" s="499"/>
      <c r="B56" s="499"/>
      <c r="C56" s="499"/>
      <c r="D56" s="499"/>
      <c r="E56" s="499"/>
      <c r="F56" s="499"/>
      <c r="G56" s="499"/>
      <c r="H56" s="499"/>
      <c r="I56" s="1768" t="str">
        <f>+IF(AD60&gt;0,"There are errors in the calculations in this form. Please check warnings on the total row.","")</f>
        <v/>
      </c>
      <c r="J56" s="1769"/>
      <c r="K56" s="1769"/>
      <c r="L56" s="1769"/>
      <c r="M56" s="1769"/>
      <c r="N56" s="1769"/>
      <c r="O56" s="1769"/>
      <c r="P56" s="1769"/>
      <c r="Q56" s="1769"/>
      <c r="R56" s="1769"/>
      <c r="S56" s="1769"/>
      <c r="T56" s="1769"/>
      <c r="U56" s="1769"/>
      <c r="V56" s="1769"/>
      <c r="W56" s="1769"/>
      <c r="X56" s="499"/>
      <c r="Y56" s="606"/>
      <c r="Z56" s="606"/>
      <c r="AA56" s="499"/>
      <c r="AB56" s="499"/>
      <c r="AC56" s="499"/>
    </row>
    <row r="57" spans="1:33" ht="16.5" hidden="1" thickBot="1" x14ac:dyDescent="0.3">
      <c r="A57" s="499"/>
      <c r="B57" s="499"/>
      <c r="C57" s="499"/>
      <c r="D57" s="499"/>
      <c r="E57" s="86"/>
      <c r="F57" s="86"/>
      <c r="G57" s="86"/>
      <c r="H57" s="347" t="s">
        <v>920</v>
      </c>
      <c r="I57" s="410"/>
      <c r="J57" s="411"/>
      <c r="K57" s="411"/>
      <c r="L57" s="411"/>
      <c r="M57" s="411"/>
      <c r="N57" s="411"/>
      <c r="O57" s="666"/>
      <c r="P57" s="666"/>
      <c r="Q57" s="411"/>
      <c r="R57" s="411"/>
      <c r="S57" s="411"/>
      <c r="T57" s="499"/>
      <c r="U57" s="499"/>
      <c r="V57" s="499"/>
      <c r="W57" s="499"/>
      <c r="X57" s="499"/>
      <c r="Y57" s="606"/>
      <c r="Z57" s="606"/>
      <c r="AA57" s="499"/>
      <c r="AB57" s="499"/>
      <c r="AC57" s="499"/>
    </row>
    <row r="58" spans="1:33" hidden="1" x14ac:dyDescent="0.2">
      <c r="A58" s="499"/>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606"/>
      <c r="Z58" s="606"/>
      <c r="AA58" s="499"/>
      <c r="AB58" s="499"/>
      <c r="AC58" s="499"/>
    </row>
    <row r="59" spans="1:33" hidden="1" x14ac:dyDescent="0.2">
      <c r="B59" s="560"/>
      <c r="C59" s="561"/>
      <c r="D59" s="561"/>
      <c r="E59" s="561"/>
      <c r="F59" s="561"/>
      <c r="G59" s="561"/>
      <c r="H59" s="561"/>
      <c r="I59" s="562"/>
      <c r="M59" s="561"/>
      <c r="N59" s="561"/>
      <c r="O59" s="561"/>
      <c r="P59" s="561"/>
      <c r="Q59" s="561"/>
      <c r="R59" s="561"/>
      <c r="S59" s="562"/>
      <c r="W59" s="561"/>
      <c r="X59" s="561"/>
      <c r="Y59" s="607"/>
      <c r="Z59" s="607"/>
      <c r="AA59" s="562"/>
    </row>
    <row r="60" spans="1:33" hidden="1" x14ac:dyDescent="0.2">
      <c r="B60" s="509"/>
      <c r="C60" s="676" t="s">
        <v>25</v>
      </c>
      <c r="D60" s="676"/>
      <c r="E60" s="676">
        <f>IF(E7="",0,1)</f>
        <v>0</v>
      </c>
      <c r="F60" s="676"/>
      <c r="G60" s="676">
        <f>IF(G7="",0,1)</f>
        <v>0</v>
      </c>
      <c r="H60" s="676"/>
      <c r="I60" s="676">
        <f>IF(I7="",0,1)</f>
        <v>0</v>
      </c>
      <c r="J60" s="676"/>
      <c r="K60" s="676">
        <f>IF(K7="",0,1)</f>
        <v>0</v>
      </c>
      <c r="L60" s="676"/>
      <c r="M60" s="676">
        <f>IF(M7="",0,1)</f>
        <v>0</v>
      </c>
      <c r="N60" s="676"/>
      <c r="O60" s="676">
        <f>IF(O7="",0,1)</f>
        <v>0</v>
      </c>
      <c r="P60" s="676"/>
      <c r="Q60" s="676">
        <f>IF(Q7="",0,1)</f>
        <v>0</v>
      </c>
      <c r="R60" s="676"/>
      <c r="S60" s="676">
        <f>IF(S7="",0,1)</f>
        <v>0</v>
      </c>
      <c r="T60" s="676"/>
      <c r="U60" s="676">
        <f>IF(U7="",0,1)</f>
        <v>0</v>
      </c>
      <c r="V60" s="676"/>
      <c r="W60" s="676">
        <f>IF(W7="",0,1)</f>
        <v>0</v>
      </c>
      <c r="X60" s="676"/>
      <c r="Y60" s="676"/>
      <c r="Z60" s="676"/>
      <c r="AA60" s="676">
        <f>IF(AA7="",0,1)</f>
        <v>0</v>
      </c>
      <c r="AB60" s="676"/>
      <c r="AC60" s="676"/>
      <c r="AD60" s="676">
        <f>SUM(E60:AA60)</f>
        <v>0</v>
      </c>
    </row>
    <row r="61" spans="1:33" hidden="1" x14ac:dyDescent="0.2">
      <c r="B61" s="1748"/>
      <c r="C61" s="1749"/>
      <c r="D61" s="1749"/>
      <c r="E61" s="1749"/>
      <c r="F61" s="1749"/>
      <c r="G61" s="1749"/>
      <c r="H61" s="1749"/>
      <c r="I61" s="1749"/>
    </row>
  </sheetData>
  <sheetProtection sheet="1" objects="1" scenarios="1"/>
  <mergeCells count="13">
    <mergeCell ref="M9:U9"/>
    <mergeCell ref="W9:Y9"/>
    <mergeCell ref="B61:I61"/>
    <mergeCell ref="A1:AC1"/>
    <mergeCell ref="B12:C12"/>
    <mergeCell ref="Y7:AB7"/>
    <mergeCell ref="G9:I9"/>
    <mergeCell ref="G12:I12"/>
    <mergeCell ref="E4:K4"/>
    <mergeCell ref="M4:U4"/>
    <mergeCell ref="W4:AA4"/>
    <mergeCell ref="W7:W8"/>
    <mergeCell ref="I56:W56"/>
  </mergeCells>
  <conditionalFormatting sqref="C13:C53 E13:E53 G13:G53 I13:I53 K13:K53 M13:M53 O13:O53 Q13:Q53 S13:S53 U13:U53 W13:W53 AA13:AA53">
    <cfRule type="expression" dxfId="53" priority="1">
      <formula>$AG$54=0</formula>
    </cfRule>
  </conditionalFormatting>
  <dataValidations count="12">
    <dataValidation type="custom" operator="equal" allowBlank="1" showInputMessage="1" showErrorMessage="1" error="The number setting their own council tax precept exceeds the sum of parishes and Charter Trustees" sqref="AC13:AC55" xr:uid="{00000000-0002-0000-0400-000000000000}">
      <formula1>#REF!=0</formula1>
    </dataValidation>
    <dataValidation type="whole" operator="greaterThanOrEqual" allowBlank="1" showInputMessage="1" showErrorMessage="1" error="These values must be a positive whole number" sqref="E13:E53" xr:uid="{00000000-0002-0000-0400-000001000000}">
      <formula1>0</formula1>
    </dataValidation>
    <dataValidation type="whole" operator="lessThanOrEqual" allowBlank="1" showInputMessage="1" showErrorMessage="1" error="This must be a negative whole number" sqref="G13:G53 I13:I53" xr:uid="{00000000-0002-0000-0400-000002000000}">
      <formula1>0</formula1>
    </dataValidation>
    <dataValidation type="whole" allowBlank="1" showErrorMessage="1" sqref="Q13:Q53" xr:uid="{00000000-0002-0000-0400-000004000000}">
      <formula1>-100000000000</formula1>
      <formula2>100000000000</formula2>
    </dataValidation>
    <dataValidation type="custom" allowBlank="1" showInputMessage="1" showErrorMessage="1" errorTitle="Formula cell" error="Data entry is not allowed in this cell" sqref="K13:K53 W6 AA13:AA53 E6 G6 I6 K6 AA6 U14:U53 U13 S13:S53" xr:uid="{674EA48D-ED6F-445C-B82C-F7009F6000F3}">
      <formula1>"az1=""n/a"""</formula1>
    </dataValidation>
    <dataValidation type="custom" allowBlank="1" showInputMessage="1" showErrorMessage="1" error="Data entry is not allowed in this cell" sqref="C13:C53" xr:uid="{F535586F-FBB0-4608-B4B3-6DD9C3D4406B}">
      <formula1>"if(p50=""n/a"")"</formula1>
    </dataValidation>
    <dataValidation type="whole" operator="greaterThanOrEqual" allowBlank="1" showInputMessage="1" showErrorMessage="1" error="This must be a positive whole number" sqref="M13:M53 O13:O53 W13:W53" xr:uid="{AB8DDFD5-6232-4A15-AD93-78FF7A8344E6}">
      <formula1>0</formula1>
    </dataValidation>
    <dataValidation type="custom" allowBlank="1" showInputMessage="1" showErrorMessage="1" errorTitle="Formula cell" error="Data entry is not allowed in this cell" prompt="This data is being used in 'Part 3 - line 5'" sqref="M6" xr:uid="{473728C2-1501-4AC1-B7A7-C9C3F0872301}">
      <formula1>"az1=""n/a"""</formula1>
    </dataValidation>
    <dataValidation type="custom" allowBlank="1" showInputMessage="1" showErrorMessage="1" errorTitle="Formula cell" error="Data entry is not allowed in this cell" prompt="This data is being used in 'Part 3 - line 6'" sqref="O6" xr:uid="{0DDA98CB-EDD9-441E-B4EF-0AE248B4361A}">
      <formula1>"az1=""n/a"""</formula1>
    </dataValidation>
    <dataValidation type="custom" allowBlank="1" showInputMessage="1" showErrorMessage="1" errorTitle="Formula cell" error="Data entry is not allowed in this cell" prompt="This data is being used in 'Part 3 - line 7'" sqref="Q6" xr:uid="{6A2387EF-E3B6-41B5-9355-DC516B892206}">
      <formula1>"az1=""n/a"""</formula1>
    </dataValidation>
    <dataValidation type="custom" allowBlank="1" showInputMessage="1" showErrorMessage="1" errorTitle="Formula cell" error="Data entry is not allowed in this cell" prompt="This data is being used in 'Part 3 - line 8'" sqref="S6" xr:uid="{31BA381D-9A4F-40B6-BE87-DCA2D9EBAD96}">
      <formula1>"az1=""n/a"""</formula1>
    </dataValidation>
    <dataValidation type="custom" allowBlank="1" showInputMessage="1" showErrorMessage="1" errorTitle="Formula cell" error="Data entry is not allowed in this cell" prompt="This data is being used in 'Part 3 - line 9'" sqref="U6" xr:uid="{6B613530-2136-4E4F-842D-0619B934993C}">
      <formula1>"az1=""n/a"""</formula1>
    </dataValidation>
  </dataValidations>
  <printOptions horizontalCentered="1"/>
  <pageMargins left="0.39370078740157483" right="0.39370078740157483" top="0.59055118110236227" bottom="0.59055118110236227" header="0.31496062992125984" footer="0.31496062992125984"/>
  <pageSetup paperSize="9" scale="31" fitToHeight="5"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fitToPage="1"/>
  </sheetPr>
  <dimension ref="A1:AY88"/>
  <sheetViews>
    <sheetView showGridLines="0" zoomScaleNormal="100" workbookViewId="0"/>
  </sheetViews>
  <sheetFormatPr defaultRowHeight="15" x14ac:dyDescent="0.2"/>
  <cols>
    <col min="1" max="2" width="1.7109375" customWidth="1"/>
    <col min="3" max="4" width="14.28515625" customWidth="1"/>
    <col min="5" max="5" width="62.7109375" customWidth="1"/>
    <col min="6" max="6" width="25" customWidth="1"/>
    <col min="7" max="7" width="3.7109375" customWidth="1"/>
    <col min="8" max="8" width="23" customWidth="1"/>
    <col min="9" max="9" width="5.28515625" customWidth="1"/>
    <col min="10" max="10" width="23" customWidth="1"/>
    <col min="11" max="11" width="4" customWidth="1"/>
    <col min="12" max="12" width="23" customWidth="1"/>
    <col min="13" max="13" width="5.42578125" style="261" customWidth="1"/>
    <col min="14" max="14" width="23" customWidth="1"/>
    <col min="15" max="15" width="9.140625" customWidth="1"/>
    <col min="16" max="16" width="9.140625" hidden="1" customWidth="1"/>
    <col min="17" max="17" width="12.7109375" hidden="1" customWidth="1"/>
    <col min="18" max="51" width="9.140625" hidden="1" customWidth="1"/>
    <col min="52" max="55" width="0" hidden="1" customWidth="1"/>
  </cols>
  <sheetData>
    <row r="1" spans="1:17" x14ac:dyDescent="0.2">
      <c r="A1" s="15"/>
      <c r="B1" s="2"/>
      <c r="C1" s="1741"/>
      <c r="D1" s="1741"/>
      <c r="E1" s="342"/>
      <c r="F1" s="342"/>
      <c r="G1" s="2"/>
      <c r="H1" s="252"/>
      <c r="I1" s="2"/>
      <c r="J1" s="2"/>
      <c r="K1" s="71"/>
    </row>
    <row r="2" spans="1:17" ht="18" x14ac:dyDescent="0.25">
      <c r="A2" s="31"/>
      <c r="B2" s="19"/>
      <c r="C2" s="87" t="e">
        <f>+CONCATENATE("Local Authority : ",+'Part 1'!K15)</f>
        <v>#N/A</v>
      </c>
      <c r="D2" s="87"/>
      <c r="E2" s="87"/>
      <c r="F2" s="87"/>
      <c r="G2" s="19"/>
      <c r="H2" s="19"/>
      <c r="I2" s="19"/>
      <c r="J2" s="19"/>
      <c r="K2" s="20"/>
    </row>
    <row r="3" spans="1:17" ht="15.75" x14ac:dyDescent="0.25">
      <c r="A3" s="30"/>
      <c r="B3" s="320"/>
      <c r="C3" s="320"/>
      <c r="D3" s="320"/>
      <c r="E3" s="320"/>
      <c r="F3" s="320"/>
      <c r="G3" s="19"/>
      <c r="H3" s="19"/>
      <c r="I3" s="19"/>
      <c r="J3" s="19"/>
      <c r="K3" s="20"/>
    </row>
    <row r="4" spans="1:17" ht="64.5" customHeight="1" x14ac:dyDescent="0.2">
      <c r="A4" s="15"/>
      <c r="B4" s="2"/>
      <c r="C4" s="1704" t="s">
        <v>2905</v>
      </c>
      <c r="D4" s="1704"/>
      <c r="E4" s="1704"/>
      <c r="F4" s="1704"/>
      <c r="G4" s="1704"/>
      <c r="H4" s="1704"/>
      <c r="I4" s="1704"/>
      <c r="J4" s="1704"/>
      <c r="K4" s="20"/>
    </row>
    <row r="5" spans="1:17" ht="15.75" x14ac:dyDescent="0.25">
      <c r="A5" s="15"/>
      <c r="B5" s="2"/>
      <c r="C5" s="18"/>
      <c r="D5" s="19"/>
      <c r="E5" s="19"/>
      <c r="F5" s="19"/>
      <c r="G5" s="19"/>
      <c r="H5" s="19"/>
      <c r="I5" s="19"/>
      <c r="J5" s="19"/>
      <c r="K5" s="20"/>
    </row>
    <row r="6" spans="1:17" ht="16.5" thickBot="1" x14ac:dyDescent="0.3">
      <c r="A6" s="15"/>
      <c r="B6" s="2"/>
      <c r="C6" s="18" t="s">
        <v>237</v>
      </c>
      <c r="D6" s="19"/>
      <c r="E6" s="19"/>
      <c r="F6" s="19"/>
      <c r="G6" s="19"/>
      <c r="H6" s="321" t="s">
        <v>687</v>
      </c>
      <c r="I6" s="19"/>
      <c r="J6" s="321" t="s">
        <v>687</v>
      </c>
      <c r="K6" s="20"/>
    </row>
    <row r="7" spans="1:17" ht="16.5" thickBot="1" x14ac:dyDescent="0.25">
      <c r="A7" s="15"/>
      <c r="B7" s="2"/>
      <c r="C7" s="1776" t="s">
        <v>1199</v>
      </c>
      <c r="D7" s="1776"/>
      <c r="E7" s="1776"/>
      <c r="F7" s="452"/>
      <c r="G7" s="452"/>
      <c r="H7" s="645"/>
      <c r="I7" s="645"/>
      <c r="J7" s="1090" t="e">
        <f>INDEX(Data!BI:BI,MATCH(Import_LA_Code,Ref_LA_Codes,0))</f>
        <v>#N/A</v>
      </c>
      <c r="K7" s="20"/>
    </row>
    <row r="8" spans="1:17" ht="15.75" x14ac:dyDescent="0.25">
      <c r="A8" s="15"/>
      <c r="B8" s="2"/>
      <c r="C8" s="18"/>
      <c r="D8" s="19"/>
      <c r="E8" s="19"/>
      <c r="F8" s="19"/>
      <c r="G8" s="19"/>
      <c r="H8" s="19"/>
      <c r="I8" s="19"/>
      <c r="J8" s="19"/>
      <c r="K8" s="20"/>
    </row>
    <row r="9" spans="1:17" ht="16.5" thickBot="1" x14ac:dyDescent="0.3">
      <c r="A9" s="15"/>
      <c r="B9" s="2"/>
      <c r="C9" s="12" t="s">
        <v>925</v>
      </c>
      <c r="D9" s="19"/>
      <c r="E9" s="19"/>
      <c r="F9" s="19"/>
      <c r="G9" s="19"/>
      <c r="H9" s="19"/>
      <c r="I9" s="19"/>
      <c r="J9" s="19"/>
      <c r="K9" s="20"/>
    </row>
    <row r="10" spans="1:17" ht="16.5" thickBot="1" x14ac:dyDescent="0.25">
      <c r="A10" s="15"/>
      <c r="B10" s="2"/>
      <c r="C10" s="1647" t="s">
        <v>2858</v>
      </c>
      <c r="D10" s="1647"/>
      <c r="E10" s="1647"/>
      <c r="F10" s="19"/>
      <c r="G10" s="19"/>
      <c r="H10" s="1077">
        <v>0</v>
      </c>
      <c r="I10" s="19"/>
      <c r="J10" s="19"/>
      <c r="K10" s="20"/>
      <c r="Q10" s="1770" t="s">
        <v>929</v>
      </c>
    </row>
    <row r="11" spans="1:17" ht="15.75" customHeight="1" thickBot="1" x14ac:dyDescent="0.3">
      <c r="A11" s="15"/>
      <c r="B11" s="2"/>
      <c r="C11" s="12"/>
      <c r="D11" s="19"/>
      <c r="E11" s="19"/>
      <c r="F11" s="19"/>
      <c r="G11" s="19"/>
      <c r="H11" s="19"/>
      <c r="I11" s="19"/>
      <c r="J11" s="19"/>
      <c r="K11" s="20"/>
      <c r="Q11" s="1770"/>
    </row>
    <row r="12" spans="1:17" ht="16.5" thickBot="1" x14ac:dyDescent="0.25">
      <c r="A12" s="15"/>
      <c r="B12" s="2"/>
      <c r="C12" s="1647" t="s">
        <v>2797</v>
      </c>
      <c r="D12" s="1647"/>
      <c r="E12" s="1647"/>
      <c r="F12" s="19"/>
      <c r="G12" s="19"/>
      <c r="H12" s="1077">
        <v>0</v>
      </c>
      <c r="I12" s="19"/>
      <c r="J12" s="19"/>
      <c r="K12" s="20"/>
      <c r="Q12" s="261"/>
    </row>
    <row r="13" spans="1:17" ht="16.5" thickBot="1" x14ac:dyDescent="0.3">
      <c r="A13" s="15"/>
      <c r="B13" s="2"/>
      <c r="C13" s="12"/>
      <c r="D13" s="19"/>
      <c r="E13" s="19"/>
      <c r="F13" s="19"/>
      <c r="G13" s="19"/>
      <c r="H13" s="19"/>
      <c r="I13" s="19"/>
      <c r="J13" s="19"/>
      <c r="K13" s="20"/>
      <c r="Q13" s="261"/>
    </row>
    <row r="14" spans="1:17" ht="16.5" thickBot="1" x14ac:dyDescent="0.25">
      <c r="A14" s="15"/>
      <c r="B14" s="2"/>
      <c r="C14" s="1647" t="s">
        <v>940</v>
      </c>
      <c r="D14" s="1647"/>
      <c r="E14" s="1647"/>
      <c r="F14" s="19"/>
      <c r="G14" s="19"/>
      <c r="H14" s="1077">
        <v>0</v>
      </c>
      <c r="I14" s="19"/>
      <c r="J14" s="19"/>
      <c r="K14" s="20"/>
      <c r="Q14" s="261"/>
    </row>
    <row r="15" spans="1:17" ht="16.5" thickBot="1" x14ac:dyDescent="0.3">
      <c r="A15" s="15"/>
      <c r="B15" s="2"/>
      <c r="C15" s="12"/>
      <c r="D15" s="19"/>
      <c r="E15" s="19"/>
      <c r="F15" s="19"/>
      <c r="G15" s="19"/>
      <c r="H15" s="19"/>
      <c r="I15" s="19"/>
      <c r="J15" s="19"/>
      <c r="K15" s="20"/>
      <c r="Q15" s="261"/>
    </row>
    <row r="16" spans="1:17" ht="16.5" thickBot="1" x14ac:dyDescent="0.25">
      <c r="A16" s="15"/>
      <c r="B16" s="2"/>
      <c r="C16" s="1647" t="s">
        <v>2798</v>
      </c>
      <c r="D16" s="1647"/>
      <c r="E16" s="1647"/>
      <c r="F16" s="1647"/>
      <c r="G16" s="19"/>
      <c r="H16" s="1077">
        <v>0</v>
      </c>
      <c r="I16" s="19"/>
      <c r="J16" s="19"/>
      <c r="K16" s="20"/>
      <c r="Q16" s="261"/>
    </row>
    <row r="17" spans="1:18" ht="16.5" thickBot="1" x14ac:dyDescent="0.3">
      <c r="A17" s="15"/>
      <c r="B17" s="2"/>
      <c r="C17" s="12"/>
      <c r="D17" s="19"/>
      <c r="E17" s="19"/>
      <c r="F17" s="19"/>
      <c r="G17" s="19"/>
      <c r="H17" s="19"/>
      <c r="I17" s="19"/>
      <c r="J17" s="19"/>
      <c r="K17" s="20"/>
      <c r="Q17" s="262" t="s">
        <v>54</v>
      </c>
    </row>
    <row r="18" spans="1:18" ht="16.5" thickBot="1" x14ac:dyDescent="0.25">
      <c r="A18" s="15"/>
      <c r="B18" s="2"/>
      <c r="C18" s="1647" t="s">
        <v>1261</v>
      </c>
      <c r="D18" s="1647"/>
      <c r="E18" s="1647"/>
      <c r="F18" s="19"/>
      <c r="G18" s="19"/>
      <c r="H18" s="1077">
        <v>0</v>
      </c>
      <c r="I18" s="19"/>
      <c r="J18" s="19"/>
      <c r="K18" s="20"/>
      <c r="Q18" s="263" t="s">
        <v>53</v>
      </c>
    </row>
    <row r="19" spans="1:18" ht="15.75" thickBot="1" x14ac:dyDescent="0.25">
      <c r="A19" s="15"/>
      <c r="B19" s="2"/>
      <c r="C19" s="10"/>
      <c r="D19" s="19"/>
      <c r="E19" s="19"/>
      <c r="F19" s="19"/>
      <c r="G19" s="19"/>
      <c r="H19" s="19"/>
      <c r="I19" s="19"/>
      <c r="J19" s="19"/>
      <c r="K19" s="20"/>
      <c r="Q19" s="263"/>
    </row>
    <row r="20" spans="1:18" ht="16.5" thickBot="1" x14ac:dyDescent="0.3">
      <c r="A20" s="15"/>
      <c r="B20" s="2"/>
      <c r="C20" s="1775" t="s">
        <v>941</v>
      </c>
      <c r="D20" s="1775"/>
      <c r="E20" s="1775"/>
      <c r="F20" s="19"/>
      <c r="G20" s="19"/>
      <c r="H20" s="354"/>
      <c r="I20" s="19"/>
      <c r="J20" s="1078">
        <f>$H$10+$H$12+$H$14+$H$16+$H$18</f>
        <v>0</v>
      </c>
      <c r="K20" s="71"/>
      <c r="Q20" s="263">
        <f>IF(+H10+H12+H14+H16+H18-J20=0,0,1)</f>
        <v>0</v>
      </c>
    </row>
    <row r="21" spans="1:18" ht="15.75" x14ac:dyDescent="0.25">
      <c r="A21" s="15"/>
      <c r="B21" s="2"/>
      <c r="C21" s="12"/>
      <c r="D21" s="19"/>
      <c r="E21" s="19"/>
      <c r="F21" s="19"/>
      <c r="G21" s="19"/>
      <c r="H21" s="19"/>
      <c r="I21" s="19"/>
      <c r="J21" s="10"/>
      <c r="K21" s="20"/>
      <c r="Q21" s="263"/>
    </row>
    <row r="22" spans="1:18" ht="16.5" thickBot="1" x14ac:dyDescent="0.3">
      <c r="A22" s="15"/>
      <c r="B22" s="2"/>
      <c r="C22" s="12" t="s">
        <v>1378</v>
      </c>
      <c r="D22" s="19"/>
      <c r="E22" s="19"/>
      <c r="F22" s="19"/>
      <c r="G22" s="19"/>
      <c r="H22" s="77"/>
      <c r="I22" s="77"/>
      <c r="J22" s="77"/>
      <c r="K22" s="20"/>
      <c r="Q22" s="263"/>
    </row>
    <row r="23" spans="1:18" ht="16.5" thickBot="1" x14ac:dyDescent="0.25">
      <c r="A23" s="15"/>
      <c r="B23" s="2"/>
      <c r="C23" s="1647" t="s">
        <v>3222</v>
      </c>
      <c r="D23" s="1647"/>
      <c r="E23" s="1647"/>
      <c r="F23" s="19"/>
      <c r="G23" s="19"/>
      <c r="H23" s="1082">
        <v>0</v>
      </c>
      <c r="I23" s="77"/>
      <c r="J23" s="77"/>
      <c r="K23" s="20"/>
      <c r="Q23" s="263"/>
    </row>
    <row r="24" spans="1:18" ht="15.75" thickBot="1" x14ac:dyDescent="0.25">
      <c r="A24" s="15"/>
      <c r="B24" s="2"/>
      <c r="C24" s="10"/>
      <c r="D24" s="19"/>
      <c r="E24" s="19"/>
      <c r="F24" s="19"/>
      <c r="G24" s="19"/>
      <c r="H24" s="77"/>
      <c r="I24" s="77"/>
      <c r="J24" s="77"/>
      <c r="K24" s="20"/>
      <c r="Q24" s="263"/>
    </row>
    <row r="25" spans="1:18" ht="16.5" thickBot="1" x14ac:dyDescent="0.25">
      <c r="A25" s="15"/>
      <c r="B25" s="2"/>
      <c r="C25" s="1647" t="s">
        <v>3220</v>
      </c>
      <c r="D25" s="1647"/>
      <c r="E25" s="1647"/>
      <c r="F25" s="19"/>
      <c r="G25" s="19"/>
      <c r="H25" s="1077">
        <v>0</v>
      </c>
      <c r="I25" s="77"/>
      <c r="J25" s="77"/>
      <c r="K25" s="20"/>
      <c r="Q25" s="263"/>
    </row>
    <row r="26" spans="1:18" ht="16.5" thickBot="1" x14ac:dyDescent="0.25">
      <c r="A26" s="15"/>
      <c r="B26" s="2"/>
      <c r="C26" s="10"/>
      <c r="D26" s="19"/>
      <c r="E26" s="19"/>
      <c r="F26" s="19"/>
      <c r="G26" s="19"/>
      <c r="H26" s="78"/>
      <c r="I26" s="77"/>
      <c r="J26" s="77"/>
      <c r="K26" s="20"/>
      <c r="Q26" s="263"/>
    </row>
    <row r="27" spans="1:18" ht="16.5" thickBot="1" x14ac:dyDescent="0.25">
      <c r="A27" s="15"/>
      <c r="B27" s="2"/>
      <c r="C27" s="1647" t="s">
        <v>2859</v>
      </c>
      <c r="D27" s="1647"/>
      <c r="E27" s="1647"/>
      <c r="F27" s="1647"/>
      <c r="G27" s="19"/>
      <c r="H27" s="1090" t="e">
        <f>IF(INDEX(Data!$BE:$BE,MATCH(Import_LA_Code,Ref_LA_Codes,0))&lt;0,INDEX(Data!$BE:$BE,MATCH(Import_LA_Code,Ref_LA_Codes,0))*-1,0)</f>
        <v>#N/A</v>
      </c>
      <c r="I27" s="77"/>
      <c r="J27" s="77"/>
      <c r="K27" s="20"/>
      <c r="Q27" s="263" t="e">
        <f>IF(ROUND(R27,0)-H27=0,0,1)</f>
        <v>#N/A</v>
      </c>
      <c r="R27" s="685" t="e">
        <f>-IF(INDEX(Data!BE:BE,MATCH(Import_LA_Code,Ref_LA_Codes,0))&lt;0,INDEX(Data!BE:BE,MATCH(Import_LA_Code,Ref_LA_Codes,0)),0)</f>
        <v>#N/A</v>
      </c>
    </row>
    <row r="28" spans="1:18" ht="16.5" thickBot="1" x14ac:dyDescent="0.25">
      <c r="A28" s="15"/>
      <c r="B28" s="2"/>
      <c r="C28" s="10"/>
      <c r="D28" s="19"/>
      <c r="E28" s="19"/>
      <c r="F28" s="19"/>
      <c r="G28" s="19"/>
      <c r="H28" s="680" t="e">
        <f>IF(H27=ROUND(R27,0),"","There is a difference between the value in Line 10 and figures previously reported")</f>
        <v>#N/A</v>
      </c>
      <c r="I28" s="391"/>
      <c r="J28" s="391"/>
      <c r="K28" s="683"/>
      <c r="Q28" s="263"/>
    </row>
    <row r="29" spans="1:18" ht="16.5" thickBot="1" x14ac:dyDescent="0.3">
      <c r="A29" s="15"/>
      <c r="B29" s="2"/>
      <c r="C29" s="1775" t="s">
        <v>3221</v>
      </c>
      <c r="D29" s="1775"/>
      <c r="E29" s="1775"/>
      <c r="F29" s="19"/>
      <c r="G29" s="19"/>
      <c r="H29" s="77"/>
      <c r="I29" s="77"/>
      <c r="J29" s="1078" t="e">
        <f>+H23+H25+H27</f>
        <v>#N/A</v>
      </c>
      <c r="K29" s="71"/>
      <c r="Q29" s="263" t="e">
        <f>IF(+H23+H25+H27-J29=0,0,1)</f>
        <v>#N/A</v>
      </c>
    </row>
    <row r="30" spans="1:18" x14ac:dyDescent="0.2">
      <c r="A30" s="15"/>
      <c r="B30" s="2"/>
      <c r="C30" s="19"/>
      <c r="D30" s="19"/>
      <c r="E30" s="19"/>
      <c r="F30" s="19"/>
      <c r="G30" s="19"/>
      <c r="H30" s="77"/>
      <c r="I30" s="77"/>
      <c r="J30" s="77"/>
      <c r="K30" s="20"/>
      <c r="Q30" s="263"/>
    </row>
    <row r="31" spans="1:18" ht="16.5" thickBot="1" x14ac:dyDescent="0.3">
      <c r="A31" s="15"/>
      <c r="B31" s="2"/>
      <c r="C31" s="12" t="s">
        <v>1377</v>
      </c>
      <c r="D31" s="19"/>
      <c r="E31" s="19"/>
      <c r="F31" s="19"/>
      <c r="G31" s="19"/>
      <c r="H31" s="77"/>
      <c r="I31" s="77"/>
      <c r="J31" s="77"/>
      <c r="K31" s="20"/>
      <c r="Q31" s="263"/>
    </row>
    <row r="32" spans="1:18" ht="16.5" thickBot="1" x14ac:dyDescent="0.25">
      <c r="A32" s="15"/>
      <c r="B32" s="2"/>
      <c r="C32" s="1647" t="s">
        <v>3219</v>
      </c>
      <c r="D32" s="1647"/>
      <c r="E32" s="1647"/>
      <c r="F32" s="10"/>
      <c r="G32" s="19"/>
      <c r="H32" s="1082">
        <v>0</v>
      </c>
      <c r="I32" s="77"/>
      <c r="J32" s="77"/>
      <c r="K32" s="20"/>
      <c r="Q32" s="263"/>
    </row>
    <row r="33" spans="1:46" ht="15.75" thickBot="1" x14ac:dyDescent="0.25">
      <c r="A33" s="15"/>
      <c r="B33" s="2"/>
      <c r="C33" s="10"/>
      <c r="D33" s="10"/>
      <c r="E33" s="10"/>
      <c r="F33" s="10"/>
      <c r="G33" s="19"/>
      <c r="H33" s="77"/>
      <c r="I33" s="77"/>
      <c r="J33" s="77"/>
      <c r="K33" s="20"/>
      <c r="Q33" s="263"/>
    </row>
    <row r="34" spans="1:46" ht="16.5" thickBot="1" x14ac:dyDescent="0.25">
      <c r="A34" s="15"/>
      <c r="B34" s="2"/>
      <c r="C34" s="1654" t="s">
        <v>2860</v>
      </c>
      <c r="D34" s="1654"/>
      <c r="E34" s="1654"/>
      <c r="F34" s="1654"/>
      <c r="G34" s="19"/>
      <c r="H34" s="1077">
        <v>0</v>
      </c>
      <c r="I34" s="77"/>
      <c r="J34" s="77"/>
      <c r="K34" s="20"/>
      <c r="Q34" s="263"/>
    </row>
    <row r="35" spans="1:46" x14ac:dyDescent="0.2">
      <c r="A35" s="15"/>
      <c r="B35" s="2"/>
      <c r="C35" s="1654"/>
      <c r="D35" s="1654"/>
      <c r="E35" s="1654"/>
      <c r="F35" s="1654"/>
      <c r="G35" s="19"/>
      <c r="H35" s="77"/>
      <c r="I35" s="77"/>
      <c r="J35" s="77"/>
      <c r="K35" s="20"/>
      <c r="Q35" s="263"/>
    </row>
    <row r="36" spans="1:46" ht="15.75" thickBot="1" x14ac:dyDescent="0.25">
      <c r="A36" s="15"/>
      <c r="B36" s="2"/>
      <c r="C36" s="10"/>
      <c r="D36" s="10"/>
      <c r="E36" s="10"/>
      <c r="F36" s="10"/>
      <c r="G36" s="19"/>
      <c r="H36" s="77"/>
      <c r="I36" s="77"/>
      <c r="J36" s="77"/>
      <c r="K36" s="20"/>
      <c r="Q36" s="263"/>
    </row>
    <row r="37" spans="1:46" ht="16.5" thickBot="1" x14ac:dyDescent="0.25">
      <c r="A37" s="15"/>
      <c r="B37" s="2"/>
      <c r="C37" s="1651" t="s">
        <v>3356</v>
      </c>
      <c r="D37" s="1651"/>
      <c r="E37" s="1651"/>
      <c r="F37" s="1651"/>
      <c r="G37" s="19"/>
      <c r="H37" s="1077">
        <v>0</v>
      </c>
      <c r="I37" s="77"/>
      <c r="J37" s="77"/>
      <c r="K37" s="20"/>
      <c r="Q37" s="263"/>
    </row>
    <row r="38" spans="1:46" x14ac:dyDescent="0.2">
      <c r="A38" s="15"/>
      <c r="B38" s="2"/>
      <c r="C38" s="1651"/>
      <c r="D38" s="1651"/>
      <c r="E38" s="1651"/>
      <c r="F38" s="1651"/>
      <c r="G38" s="19"/>
      <c r="H38" s="19"/>
      <c r="I38" s="19"/>
      <c r="J38" s="77"/>
      <c r="K38" s="20"/>
      <c r="Q38" s="263"/>
    </row>
    <row r="39" spans="1:46" ht="15.75" thickBot="1" x14ac:dyDescent="0.25">
      <c r="A39" s="15"/>
      <c r="B39" s="2"/>
      <c r="C39" s="10"/>
      <c r="D39" s="10"/>
      <c r="E39" s="10"/>
      <c r="F39" s="10"/>
      <c r="G39" s="19"/>
      <c r="H39" s="77"/>
      <c r="I39" s="77"/>
      <c r="J39" s="77"/>
      <c r="K39" s="20"/>
      <c r="Q39" s="263"/>
    </row>
    <row r="40" spans="1:46" ht="16.5" thickBot="1" x14ac:dyDescent="0.25">
      <c r="A40" s="15"/>
      <c r="B40" s="2"/>
      <c r="C40" s="1654" t="s">
        <v>2861</v>
      </c>
      <c r="D40" s="1654"/>
      <c r="E40" s="1654"/>
      <c r="F40" s="1654"/>
      <c r="G40" s="19"/>
      <c r="H40" s="1077">
        <v>0</v>
      </c>
      <c r="I40" s="77"/>
      <c r="J40" s="77"/>
      <c r="K40" s="20"/>
      <c r="Q40" s="263"/>
    </row>
    <row r="41" spans="1:46" x14ac:dyDescent="0.2">
      <c r="A41" s="15"/>
      <c r="B41" s="2"/>
      <c r="C41" s="1654"/>
      <c r="D41" s="1654"/>
      <c r="E41" s="1654"/>
      <c r="F41" s="1654"/>
      <c r="G41" s="19"/>
      <c r="H41" s="77"/>
      <c r="I41" s="77"/>
      <c r="J41" s="77"/>
      <c r="K41" s="20"/>
      <c r="Q41" s="263"/>
    </row>
    <row r="42" spans="1:46" ht="15.75" thickBot="1" x14ac:dyDescent="0.25">
      <c r="A42" s="15"/>
      <c r="B42" s="2"/>
      <c r="C42" s="356"/>
      <c r="D42" s="356"/>
      <c r="E42" s="356"/>
      <c r="F42" s="356"/>
      <c r="G42" s="19"/>
      <c r="H42" s="77"/>
      <c r="I42" s="77"/>
      <c r="J42" s="77"/>
      <c r="K42" s="20"/>
      <c r="Q42" s="263"/>
      <c r="AT42" s="142" t="s">
        <v>893</v>
      </c>
    </row>
    <row r="43" spans="1:46" ht="16.5" thickBot="1" x14ac:dyDescent="0.25">
      <c r="A43" s="15"/>
      <c r="B43" s="2"/>
      <c r="C43" s="1644" t="s">
        <v>3357</v>
      </c>
      <c r="D43" s="1644"/>
      <c r="E43" s="1644"/>
      <c r="F43" s="1644"/>
      <c r="G43" s="19"/>
      <c r="H43" s="1077">
        <v>0</v>
      </c>
      <c r="I43" s="77"/>
      <c r="J43" s="77"/>
      <c r="K43" s="20"/>
      <c r="Q43" s="263"/>
    </row>
    <row r="44" spans="1:46" x14ac:dyDescent="0.2">
      <c r="A44" s="15"/>
      <c r="B44" s="2"/>
      <c r="C44" s="1644"/>
      <c r="D44" s="1644"/>
      <c r="E44" s="1644"/>
      <c r="F44" s="1644"/>
      <c r="G44" s="19"/>
      <c r="H44" s="77"/>
      <c r="I44" s="77"/>
      <c r="J44" s="77"/>
      <c r="K44" s="20"/>
      <c r="Q44" s="263"/>
    </row>
    <row r="45" spans="1:46" ht="15.75" thickBot="1" x14ac:dyDescent="0.25">
      <c r="A45" s="15"/>
      <c r="B45" s="2"/>
      <c r="C45" s="10"/>
      <c r="D45" s="356"/>
      <c r="E45" s="356"/>
      <c r="F45" s="356"/>
      <c r="G45" s="19"/>
      <c r="H45" s="77"/>
      <c r="I45" s="77"/>
      <c r="J45" s="77"/>
      <c r="K45" s="20"/>
      <c r="Q45" s="263"/>
    </row>
    <row r="46" spans="1:46" ht="16.5" thickBot="1" x14ac:dyDescent="0.25">
      <c r="A46" s="15"/>
      <c r="B46" s="354"/>
      <c r="C46" s="1647" t="s">
        <v>942</v>
      </c>
      <c r="D46" s="1647"/>
      <c r="E46" s="1647"/>
      <c r="F46" s="10"/>
      <c r="G46" s="19"/>
      <c r="H46" s="1077">
        <v>0</v>
      </c>
      <c r="I46" s="2"/>
      <c r="J46" s="77"/>
      <c r="K46" s="20"/>
      <c r="Q46" s="263"/>
    </row>
    <row r="47" spans="1:46" ht="16.5" thickBot="1" x14ac:dyDescent="0.25">
      <c r="A47" s="15"/>
      <c r="B47" s="2"/>
      <c r="C47" s="10"/>
      <c r="D47" s="10"/>
      <c r="E47" s="10"/>
      <c r="F47" s="10"/>
      <c r="G47" s="19"/>
      <c r="H47" s="78"/>
      <c r="I47" s="77"/>
      <c r="J47" s="77"/>
      <c r="K47" s="20"/>
      <c r="Q47" s="263"/>
    </row>
    <row r="48" spans="1:46" ht="16.5" thickBot="1" x14ac:dyDescent="0.25">
      <c r="A48" s="15"/>
      <c r="B48" s="2"/>
      <c r="C48" s="1647" t="s">
        <v>2862</v>
      </c>
      <c r="D48" s="1647"/>
      <c r="E48" s="1647"/>
      <c r="F48" s="1647"/>
      <c r="G48" s="19"/>
      <c r="H48" s="1090" t="e">
        <f>IF(INDEX(Data!$BE:$BE,MATCH(Import_LA_Code,Ref_LA_Codes,0))&gt;0,INDEX(Data!$BE:$BE,MATCH(Import_LA_Code,Ref_LA_Codes,0))*-1,0)</f>
        <v>#N/A</v>
      </c>
      <c r="I48" s="77"/>
      <c r="J48" s="77"/>
      <c r="K48" s="20"/>
      <c r="Q48" s="684" t="e">
        <f>IF(H48=ROUND(R48,0),0,1)</f>
        <v>#N/A</v>
      </c>
      <c r="R48" s="685" t="e">
        <f>-IF(INDEX(Data!BE:BE,MATCH(Import_LA_Code,Ref_LA_Codes,0))&gt;0,INDEX(Data!BE:BE,MATCH(Import_LA_Code,Ref_LA_Codes,0)),0)</f>
        <v>#N/A</v>
      </c>
    </row>
    <row r="49" spans="1:18" ht="16.5" thickBot="1" x14ac:dyDescent="0.25">
      <c r="A49" s="15"/>
      <c r="B49" s="2"/>
      <c r="C49" s="10"/>
      <c r="D49" s="10"/>
      <c r="E49" s="10"/>
      <c r="F49" s="10"/>
      <c r="G49" s="19"/>
      <c r="H49" s="240" t="e">
        <f>CONCATENATE(IF(H48=ROUND(R48,0),"","There is a difference between the value in Line 18 and previously reported figures."),IF(OR((H27+H48=H27),(H27+H48=H48)),""," Lines 10 and 18 are mutually exclusive, please double check your data entry. "))</f>
        <v>#N/A</v>
      </c>
      <c r="I49" s="77"/>
      <c r="J49" s="77"/>
      <c r="K49" s="20"/>
      <c r="Q49" s="263"/>
    </row>
    <row r="50" spans="1:18" ht="16.5" thickBot="1" x14ac:dyDescent="0.3">
      <c r="A50" s="15"/>
      <c r="B50" s="2"/>
      <c r="C50" s="1775" t="s">
        <v>3223</v>
      </c>
      <c r="D50" s="1775"/>
      <c r="E50" s="1775"/>
      <c r="F50" s="10"/>
      <c r="G50" s="19"/>
      <c r="H50" s="77"/>
      <c r="I50" s="77"/>
      <c r="J50" s="1078" t="e">
        <f>+H32+H34+H37+H40+H43+H46+H48</f>
        <v>#N/A</v>
      </c>
      <c r="K50" s="71"/>
      <c r="Q50" s="264" t="e">
        <f>IF(+H32+H34+H37+H40+H43+H46+H48-J50=0,0,1)</f>
        <v>#N/A</v>
      </c>
    </row>
    <row r="51" spans="1:18" ht="16.5" thickBot="1" x14ac:dyDescent="0.3">
      <c r="A51" s="15"/>
      <c r="B51" s="2"/>
      <c r="C51" s="18"/>
      <c r="D51" s="19"/>
      <c r="E51" s="19"/>
      <c r="F51" s="19"/>
      <c r="G51" s="19"/>
      <c r="H51" s="77"/>
      <c r="I51" s="77"/>
      <c r="J51" s="77"/>
      <c r="K51" s="20"/>
      <c r="Q51" s="263"/>
      <c r="R51" s="166"/>
    </row>
    <row r="52" spans="1:18" ht="15.75" x14ac:dyDescent="0.25">
      <c r="A52" s="15"/>
      <c r="B52" s="143"/>
      <c r="C52" s="144"/>
      <c r="D52" s="145"/>
      <c r="E52" s="145"/>
      <c r="F52" s="145"/>
      <c r="G52" s="145"/>
      <c r="H52" s="146"/>
      <c r="I52" s="146"/>
      <c r="J52" s="1118"/>
      <c r="K52" s="20"/>
      <c r="Q52" s="263"/>
    </row>
    <row r="53" spans="1:18" ht="15.75" x14ac:dyDescent="0.25">
      <c r="A53" s="15"/>
      <c r="B53" s="147"/>
      <c r="C53" s="14" t="s">
        <v>2863</v>
      </c>
      <c r="D53" s="24"/>
      <c r="E53" s="24"/>
      <c r="F53" s="24"/>
      <c r="G53" s="24"/>
      <c r="H53" s="85"/>
      <c r="I53" s="85"/>
      <c r="J53" s="1119"/>
      <c r="K53" s="20"/>
      <c r="Q53" s="263"/>
    </row>
    <row r="54" spans="1:18" ht="16.5" thickBot="1" x14ac:dyDescent="0.25">
      <c r="A54" s="15"/>
      <c r="B54" s="147"/>
      <c r="C54" s="457"/>
      <c r="D54" s="24"/>
      <c r="E54" s="24"/>
      <c r="F54" s="24"/>
      <c r="G54" s="24"/>
      <c r="H54" s="85"/>
      <c r="I54" s="85"/>
      <c r="J54" s="1120" t="s">
        <v>687</v>
      </c>
      <c r="K54" s="1121"/>
      <c r="Q54" s="263"/>
    </row>
    <row r="55" spans="1:18" ht="16.5" thickBot="1" x14ac:dyDescent="0.25">
      <c r="A55" s="15"/>
      <c r="B55" s="147"/>
      <c r="C55" s="1774" t="s">
        <v>3224</v>
      </c>
      <c r="D55" s="1774"/>
      <c r="E55" s="1774"/>
      <c r="F55" s="24"/>
      <c r="G55" s="24"/>
      <c r="H55" s="85"/>
      <c r="I55" s="85"/>
      <c r="J55" s="1078" t="e">
        <f>+J7+J20+J29+J50</f>
        <v>#N/A</v>
      </c>
      <c r="K55" s="71"/>
      <c r="L55" s="166"/>
      <c r="Q55" s="264" t="e">
        <f>IF(+J7+J20+J29+J50-J55=0,0,1)</f>
        <v>#N/A</v>
      </c>
    </row>
    <row r="56" spans="1:18" ht="16.5" thickBot="1" x14ac:dyDescent="0.3">
      <c r="A56" s="15"/>
      <c r="B56" s="148"/>
      <c r="C56" s="149"/>
      <c r="D56" s="150"/>
      <c r="E56" s="150"/>
      <c r="F56" s="920" t="e">
        <f>IF(Q71=1,"This is different to Line 26. Please check that you have not overwritten any cells","")</f>
        <v>#N/A</v>
      </c>
      <c r="G56" s="150"/>
      <c r="H56" s="150"/>
      <c r="I56" s="150"/>
      <c r="J56" s="355"/>
      <c r="K56" s="1121"/>
      <c r="Q56" s="263"/>
    </row>
    <row r="57" spans="1:18" ht="15.75" x14ac:dyDescent="0.25">
      <c r="A57" s="15"/>
      <c r="B57" s="2"/>
      <c r="C57" s="18"/>
      <c r="D57" s="19"/>
      <c r="E57" s="19"/>
      <c r="F57" s="19"/>
      <c r="G57" s="19"/>
      <c r="H57" s="19"/>
      <c r="I57" s="19"/>
      <c r="J57" s="19"/>
      <c r="K57" s="19"/>
      <c r="L57" s="419"/>
      <c r="M57" s="419"/>
      <c r="N57" s="419"/>
      <c r="O57" s="420"/>
      <c r="Q57" s="263"/>
    </row>
    <row r="58" spans="1:18" ht="15.75" customHeight="1" x14ac:dyDescent="0.2">
      <c r="A58" s="644"/>
      <c r="B58" s="1170" t="s">
        <v>2796</v>
      </c>
      <c r="C58" s="1176"/>
      <c r="D58" s="1176"/>
      <c r="E58" s="491"/>
      <c r="F58" s="10"/>
      <c r="G58" s="10"/>
      <c r="H58" s="10"/>
      <c r="I58" s="10"/>
      <c r="J58" s="10"/>
      <c r="K58" s="10"/>
      <c r="L58" s="10"/>
      <c r="M58" s="10"/>
      <c r="N58" s="10"/>
      <c r="O58" s="665"/>
      <c r="Q58" s="263"/>
    </row>
    <row r="59" spans="1:18" ht="15.75" x14ac:dyDescent="0.25">
      <c r="A59" s="644"/>
      <c r="B59" s="1177"/>
      <c r="C59" s="482"/>
      <c r="D59" s="491"/>
      <c r="E59" s="491"/>
      <c r="F59" s="10"/>
      <c r="G59" s="10"/>
      <c r="H59" s="10"/>
      <c r="I59" s="10"/>
      <c r="J59" s="10"/>
      <c r="K59" s="10"/>
      <c r="L59" s="10"/>
      <c r="M59" s="10"/>
      <c r="N59" s="10"/>
      <c r="O59" s="665"/>
      <c r="Q59" s="263"/>
    </row>
    <row r="60" spans="1:18" ht="15.75" x14ac:dyDescent="0.25">
      <c r="A60" s="644"/>
      <c r="B60" s="1177"/>
      <c r="C60" s="482"/>
      <c r="D60" s="491"/>
      <c r="E60" s="491"/>
      <c r="F60" s="1072" t="s">
        <v>695</v>
      </c>
      <c r="G60" s="10"/>
      <c r="H60" s="1072" t="s">
        <v>696</v>
      </c>
      <c r="I60" s="10"/>
      <c r="J60" s="1072" t="s">
        <v>697</v>
      </c>
      <c r="K60" s="10"/>
      <c r="L60" s="1072" t="s">
        <v>698</v>
      </c>
      <c r="M60" s="10"/>
      <c r="N60" s="1072" t="s">
        <v>715</v>
      </c>
      <c r="O60" s="665"/>
      <c r="Q60" s="263"/>
    </row>
    <row r="61" spans="1:18" ht="46.5" customHeight="1" thickBot="1" x14ac:dyDescent="0.3">
      <c r="A61" s="644"/>
      <c r="B61" s="1177"/>
      <c r="C61" s="482"/>
      <c r="D61" s="491"/>
      <c r="E61" s="491"/>
      <c r="F61" s="1173" t="s">
        <v>2352</v>
      </c>
      <c r="G61" s="10"/>
      <c r="H61" s="1174" t="e">
        <f>+'Part 1'!$K$15</f>
        <v>#N/A</v>
      </c>
      <c r="I61" s="10"/>
      <c r="J61" s="1174" t="e">
        <f>+IF('Part 1'!$E$253="UA","",IF('Part 1'!$E$253="MD","",IF('Part 1'!$E$253="Greater London Authority",'Part 1'!$E$253,IF('Part 1'!$E$253="GLA - functions exc police",'Part 1'!$E$253,IF('Part 1'!$E$253="West of England CA",'Part 1'!$E$253,(CONCATENATE('Part 1'!$E$253," County Council")))))))</f>
        <v>#N/A</v>
      </c>
      <c r="K61" s="10"/>
      <c r="L61" s="1174" t="e">
        <f>+IF('Part 1'!$K$253="County","",IF('Part 1'!$K$253="NA","",'Part 1'!$K$253))</f>
        <v>#N/A</v>
      </c>
      <c r="M61" s="10"/>
      <c r="N61" s="1174" t="s">
        <v>707</v>
      </c>
      <c r="O61" s="665"/>
      <c r="Q61" s="263"/>
    </row>
    <row r="62" spans="1:18" ht="16.5" thickBot="1" x14ac:dyDescent="0.25">
      <c r="A62" s="644"/>
      <c r="B62" s="1177"/>
      <c r="C62" s="491" t="s">
        <v>2890</v>
      </c>
      <c r="D62" s="491"/>
      <c r="E62" s="491"/>
      <c r="F62" s="1175" t="e">
        <f>N62-L62-J62-H62</f>
        <v>#N/A</v>
      </c>
      <c r="G62" s="802"/>
      <c r="H62" s="1175" t="e">
        <f>VLOOKUP('Part 1'!$K$16,TierSplit!$A$6:$CI$302,19,FALSE)</f>
        <v>#N/A</v>
      </c>
      <c r="I62" s="802"/>
      <c r="J62" s="1175" t="e">
        <f>VLOOKUP('Part 1'!$K$16,TierSplit!$A$6:$CI$302,22,FALSE)</f>
        <v>#N/A</v>
      </c>
      <c r="K62" s="10"/>
      <c r="L62" s="1175" t="e">
        <f>VLOOKUP('Part 1'!$K$16,TierSplit!$A$6:$CI$302,25,FALSE)</f>
        <v>#N/A</v>
      </c>
      <c r="M62" s="10"/>
      <c r="N62" s="1175">
        <f>1</f>
        <v>1</v>
      </c>
      <c r="O62" s="665"/>
      <c r="Q62" s="263" t="e">
        <f>IF(ROUND(N62,0)-ROUND(F62+H62+J62+L62,0)=0,0,1)</f>
        <v>#N/A</v>
      </c>
    </row>
    <row r="63" spans="1:18" ht="15.75" thickBot="1" x14ac:dyDescent="0.25">
      <c r="A63" s="644"/>
      <c r="B63" s="1177"/>
      <c r="C63" s="491"/>
      <c r="D63" s="491"/>
      <c r="E63" s="491"/>
      <c r="F63" s="10"/>
      <c r="G63" s="10"/>
      <c r="H63" s="10"/>
      <c r="I63" s="10"/>
      <c r="J63" s="10"/>
      <c r="K63" s="10"/>
      <c r="L63" s="10"/>
      <c r="M63" s="10"/>
      <c r="N63" s="10"/>
      <c r="O63" s="665"/>
      <c r="Q63" s="263"/>
    </row>
    <row r="64" spans="1:18" ht="16.5" thickBot="1" x14ac:dyDescent="0.25">
      <c r="A64" s="644"/>
      <c r="B64" s="1177"/>
      <c r="C64" s="1776" t="s">
        <v>2762</v>
      </c>
      <c r="D64" s="1776"/>
      <c r="E64" s="1777"/>
      <c r="F64" s="1073" t="e">
        <f>$N64*F$62</f>
        <v>#N/A</v>
      </c>
      <c r="G64" s="10"/>
      <c r="H64" s="1073" t="e">
        <f>$N64*H$62</f>
        <v>#N/A</v>
      </c>
      <c r="I64" s="10"/>
      <c r="J64" s="1073" t="e">
        <f>$N64*J$62</f>
        <v>#N/A</v>
      </c>
      <c r="K64" s="10"/>
      <c r="L64" s="1073" t="e">
        <f>$N64*L$62</f>
        <v>#N/A</v>
      </c>
      <c r="M64" s="10"/>
      <c r="N64" s="1073" t="e">
        <f>'Part 4'!$J$7+'Part 4'!$H$27+'Part 4'!$H$48</f>
        <v>#N/A</v>
      </c>
      <c r="O64" s="665"/>
      <c r="Q64" s="263" t="e">
        <f>IF(ROUND(N64,0)-ROUND(F64+H64+J64+L64,0)=0,0,1)</f>
        <v>#N/A</v>
      </c>
    </row>
    <row r="65" spans="1:17" ht="15.75" thickBot="1" x14ac:dyDescent="0.25">
      <c r="A65" s="644"/>
      <c r="B65" s="1177"/>
      <c r="C65" s="491"/>
      <c r="D65" s="491"/>
      <c r="E65" s="491"/>
      <c r="F65" s="10"/>
      <c r="G65" s="10"/>
      <c r="H65" s="10"/>
      <c r="I65" s="10"/>
      <c r="J65" s="10"/>
      <c r="K65" s="10"/>
      <c r="L65" s="10"/>
      <c r="M65" s="10"/>
      <c r="N65" s="10"/>
      <c r="O65" s="1047"/>
      <c r="Q65" s="263"/>
    </row>
    <row r="66" spans="1:17" ht="16.5" thickBot="1" x14ac:dyDescent="0.25">
      <c r="A66" s="644"/>
      <c r="B66" s="1177"/>
      <c r="C66" s="491" t="s">
        <v>2864</v>
      </c>
      <c r="D66" s="491"/>
      <c r="E66" s="491"/>
      <c r="F66" s="1175" t="e">
        <f>N66-L66-J66-H66</f>
        <v>#N/A</v>
      </c>
      <c r="G66" s="802"/>
      <c r="H66" s="1175" t="e">
        <f>VLOOKUP('Part 1'!$K$16,TierSplit!$A$6:$CI$302,11,FALSE)</f>
        <v>#N/A</v>
      </c>
      <c r="I66" s="802"/>
      <c r="J66" s="1175" t="e">
        <f>VLOOKUP('Part 1'!$K$16,TierSplit!$A$6:$CI$302,14,FALSE)</f>
        <v>#N/A</v>
      </c>
      <c r="K66" s="802"/>
      <c r="L66" s="1175" t="e">
        <f>VLOOKUP('Part 1'!$K$16,TierSplit!$A$6:$CI$302,17,FALSE)</f>
        <v>#N/A</v>
      </c>
      <c r="M66" s="901"/>
      <c r="N66" s="1175">
        <f>1</f>
        <v>1</v>
      </c>
      <c r="O66" s="1047"/>
      <c r="Q66" s="263" t="e">
        <f>IF(ROUND(N66,0)-ROUND(F66+H66+J66+L66,0)=0,0,1)</f>
        <v>#N/A</v>
      </c>
    </row>
    <row r="67" spans="1:17" ht="15.75" thickBot="1" x14ac:dyDescent="0.25">
      <c r="A67" s="644"/>
      <c r="B67" s="1177"/>
      <c r="C67" s="491"/>
      <c r="D67" s="491"/>
      <c r="E67" s="491"/>
      <c r="F67" s="10"/>
      <c r="G67" s="10"/>
      <c r="H67" s="10"/>
      <c r="I67" s="10"/>
      <c r="J67" s="10"/>
      <c r="K67" s="10"/>
      <c r="L67" s="10"/>
      <c r="M67" s="10"/>
      <c r="N67" s="10"/>
      <c r="O67" s="1047"/>
      <c r="Q67" s="263"/>
    </row>
    <row r="68" spans="1:17" ht="16.5" thickBot="1" x14ac:dyDescent="0.25">
      <c r="A68" s="644"/>
      <c r="B68" s="1177"/>
      <c r="C68" s="1776" t="s">
        <v>2763</v>
      </c>
      <c r="D68" s="1776"/>
      <c r="E68" s="1777"/>
      <c r="F68" s="1073" t="e">
        <f>$N68*F$66</f>
        <v>#N/A</v>
      </c>
      <c r="G68" s="10"/>
      <c r="H68" s="1073" t="e">
        <f>$N68*H$66</f>
        <v>#N/A</v>
      </c>
      <c r="I68" s="10"/>
      <c r="J68" s="1073" t="e">
        <f>$N68*J$66</f>
        <v>#N/A</v>
      </c>
      <c r="K68" s="10"/>
      <c r="L68" s="1073" t="e">
        <f>$N68*L$66</f>
        <v>#N/A</v>
      </c>
      <c r="M68" s="10"/>
      <c r="N68" s="1073" t="e">
        <f>J55-N64</f>
        <v>#N/A</v>
      </c>
      <c r="O68" s="1047"/>
      <c r="Q68" s="263" t="e">
        <f>IF(ROUND(N68,0)-ROUND(F68+H68+J68+L68,0)=0,0,1)</f>
        <v>#N/A</v>
      </c>
    </row>
    <row r="69" spans="1:17" ht="15.75" thickBot="1" x14ac:dyDescent="0.25">
      <c r="A69" s="644"/>
      <c r="B69" s="1177"/>
      <c r="C69" s="491"/>
      <c r="D69" s="491"/>
      <c r="E69" s="491"/>
      <c r="F69" s="10"/>
      <c r="G69" s="10"/>
      <c r="H69" s="10"/>
      <c r="I69" s="10"/>
      <c r="J69" s="10"/>
      <c r="K69" s="10"/>
      <c r="L69" s="10"/>
      <c r="M69" s="10"/>
      <c r="N69" s="10"/>
      <c r="O69" s="1047"/>
      <c r="Q69" s="263"/>
    </row>
    <row r="70" spans="1:17" ht="16.5" thickBot="1" x14ac:dyDescent="0.3">
      <c r="A70" s="644"/>
      <c r="B70" s="1177"/>
      <c r="C70" s="1778" t="s">
        <v>2775</v>
      </c>
      <c r="D70" s="1778"/>
      <c r="E70" s="1779"/>
      <c r="F70" s="1073" t="e">
        <f>F64+F68</f>
        <v>#N/A</v>
      </c>
      <c r="G70" s="10"/>
      <c r="H70" s="1073" t="e">
        <f>H64+H68</f>
        <v>#N/A</v>
      </c>
      <c r="I70" s="10"/>
      <c r="J70" s="1073" t="e">
        <f>J64+J68</f>
        <v>#N/A</v>
      </c>
      <c r="K70" s="10"/>
      <c r="L70" s="1073" t="e">
        <f>L64+L68</f>
        <v>#N/A</v>
      </c>
      <c r="M70" s="10"/>
      <c r="N70" s="1073" t="e">
        <f>N64+N68</f>
        <v>#N/A</v>
      </c>
      <c r="O70" s="20"/>
      <c r="Q70" s="263" t="e">
        <f>IF(ROUND(N70,0)-ROUND(F70+H70+J70+L70,0)=0,0,1)</f>
        <v>#N/A</v>
      </c>
    </row>
    <row r="71" spans="1:17" ht="16.5" thickBot="1" x14ac:dyDescent="0.3">
      <c r="A71" s="15"/>
      <c r="B71" s="2"/>
      <c r="C71" s="18"/>
      <c r="D71" s="19"/>
      <c r="E71" s="19"/>
      <c r="F71" s="19"/>
      <c r="G71" s="19"/>
      <c r="H71" s="19"/>
      <c r="I71" s="19"/>
      <c r="J71" s="19"/>
      <c r="K71" s="19"/>
      <c r="L71" s="90"/>
      <c r="M71" s="90"/>
      <c r="N71" s="90"/>
      <c r="O71" s="155"/>
      <c r="Q71" s="969" t="e">
        <f>IF(N70=J55,0,1)</f>
        <v>#N/A</v>
      </c>
    </row>
    <row r="72" spans="1:17" ht="15.75" x14ac:dyDescent="0.25">
      <c r="A72" s="68"/>
      <c r="B72" s="69"/>
      <c r="C72" s="418"/>
      <c r="D72" s="419"/>
      <c r="E72" s="419"/>
      <c r="F72" s="419"/>
      <c r="G72" s="419"/>
      <c r="H72" s="419"/>
      <c r="I72" s="419"/>
      <c r="J72" s="419"/>
      <c r="K72" s="420"/>
      <c r="Q72" s="261"/>
    </row>
    <row r="73" spans="1:17" ht="34.5" customHeight="1" x14ac:dyDescent="0.25">
      <c r="A73" s="15"/>
      <c r="B73" s="2"/>
      <c r="C73" s="1773" t="e">
        <f>IF(Q27=1,"There is a difference between the value in Line 10 and the estimated deficit on the collection fund in respect of financial year 2022-23, as reported on the 2023-24 NNDR1 form. Please check and provide comments if true.","")</f>
        <v>#N/A</v>
      </c>
      <c r="D73" s="1773"/>
      <c r="E73" s="1773"/>
      <c r="F73" s="1773"/>
      <c r="G73" s="1773"/>
      <c r="H73" s="1773"/>
      <c r="I73" s="1773"/>
      <c r="J73" s="1773"/>
      <c r="K73" s="665"/>
      <c r="Q73" s="261"/>
    </row>
    <row r="74" spans="1:17" ht="31.5" customHeight="1" x14ac:dyDescent="0.25">
      <c r="A74" s="15"/>
      <c r="B74" s="2"/>
      <c r="C74" s="1773" t="e">
        <f>IF(Q48=1,"There is a difference between the value in Line 18 and the estimated surplus on the collection fund in respect of financial year 2021-22, as reported on the 2023-24 NNDR1 form. Please check and provide comments if true","")</f>
        <v>#N/A</v>
      </c>
      <c r="D74" s="1773"/>
      <c r="E74" s="1773"/>
      <c r="F74" s="1773"/>
      <c r="G74" s="1773"/>
      <c r="H74" s="1773"/>
      <c r="I74" s="1773"/>
      <c r="J74" s="1773"/>
      <c r="K74" s="665"/>
      <c r="Q74" s="261"/>
    </row>
    <row r="75" spans="1:17" ht="15.75" x14ac:dyDescent="0.25">
      <c r="A75" s="15"/>
      <c r="B75" s="2"/>
      <c r="C75" s="1772" t="e">
        <f>+IF(Q76&gt;0,"There are errors in the calculations in this form.  Have you overwritten some of the pre-filled calculations? Please check.","")</f>
        <v>#N/A</v>
      </c>
      <c r="D75" s="1772"/>
      <c r="E75" s="1772"/>
      <c r="F75" s="1772"/>
      <c r="G75" s="1772"/>
      <c r="H75" s="1772"/>
      <c r="I75" s="1772"/>
      <c r="J75" s="1772"/>
      <c r="K75" s="151"/>
      <c r="Q75" s="261" t="s">
        <v>25</v>
      </c>
    </row>
    <row r="76" spans="1:17" ht="39.75" customHeight="1" x14ac:dyDescent="0.25">
      <c r="A76" s="15"/>
      <c r="B76" s="2"/>
      <c r="C76" s="1771" t="s">
        <v>1372</v>
      </c>
      <c r="D76" s="1771"/>
      <c r="E76" s="1771"/>
      <c r="F76" s="1771"/>
      <c r="G76" s="1771"/>
      <c r="H76" s="1771"/>
      <c r="I76" s="1771"/>
      <c r="J76" s="1771"/>
      <c r="K76" s="151"/>
      <c r="Q76" s="265" t="e">
        <f>SUM(Q29:Q71)</f>
        <v>#N/A</v>
      </c>
    </row>
    <row r="77" spans="1:17" ht="15.75" hidden="1" customHeight="1" x14ac:dyDescent="0.25">
      <c r="A77" s="15"/>
      <c r="B77" s="2"/>
      <c r="C77" s="886"/>
      <c r="D77" s="886"/>
      <c r="E77" s="886"/>
      <c r="F77" s="886"/>
      <c r="G77" s="886"/>
      <c r="H77" s="886"/>
      <c r="I77" s="886"/>
      <c r="J77" s="886"/>
      <c r="K77" s="151"/>
    </row>
    <row r="78" spans="1:17" ht="16.5" hidden="1" thickBot="1" x14ac:dyDescent="0.3">
      <c r="A78" s="15"/>
      <c r="B78" s="2"/>
      <c r="C78" s="412"/>
      <c r="D78" s="412"/>
      <c r="E78" s="347" t="s">
        <v>920</v>
      </c>
      <c r="F78" s="152"/>
      <c r="G78" s="153"/>
      <c r="H78" s="153"/>
      <c r="I78" s="153"/>
      <c r="J78" s="153"/>
      <c r="K78" s="151"/>
    </row>
    <row r="79" spans="1:17" ht="15.75" thickBot="1" x14ac:dyDescent="0.25">
      <c r="A79" s="16"/>
      <c r="B79" s="17"/>
      <c r="C79" s="17"/>
      <c r="D79" s="17"/>
      <c r="E79" s="17"/>
      <c r="F79" s="17"/>
      <c r="G79" s="17"/>
      <c r="H79" s="17"/>
      <c r="I79" s="17"/>
      <c r="J79" s="17"/>
      <c r="K79" s="72"/>
    </row>
    <row r="81" spans="3:4" x14ac:dyDescent="0.2">
      <c r="C81" s="278"/>
      <c r="D81" s="278"/>
    </row>
    <row r="82" spans="3:4" x14ac:dyDescent="0.2">
      <c r="C82" s="266"/>
      <c r="D82" s="278"/>
    </row>
    <row r="83" spans="3:4" x14ac:dyDescent="0.2">
      <c r="C83" s="266"/>
      <c r="D83" s="278"/>
    </row>
    <row r="84" spans="3:4" x14ac:dyDescent="0.2">
      <c r="C84" s="266"/>
      <c r="D84" s="278"/>
    </row>
    <row r="85" spans="3:4" x14ac:dyDescent="0.2">
      <c r="C85" s="278"/>
      <c r="D85" s="278"/>
    </row>
    <row r="86" spans="3:4" x14ac:dyDescent="0.2">
      <c r="C86" s="278"/>
      <c r="D86" s="278"/>
    </row>
    <row r="87" spans="3:4" x14ac:dyDescent="0.2">
      <c r="C87" s="278"/>
      <c r="D87" s="278"/>
    </row>
    <row r="88" spans="3:4" x14ac:dyDescent="0.2">
      <c r="C88" s="278"/>
      <c r="D88" s="278"/>
    </row>
  </sheetData>
  <sheetProtection sheet="1" objects="1" scenarios="1"/>
  <mergeCells count="30">
    <mergeCell ref="C50:E50"/>
    <mergeCell ref="C64:E64"/>
    <mergeCell ref="C68:E68"/>
    <mergeCell ref="C70:E70"/>
    <mergeCell ref="C32:E32"/>
    <mergeCell ref="C37:F38"/>
    <mergeCell ref="C43:F44"/>
    <mergeCell ref="C46:E46"/>
    <mergeCell ref="C48:F48"/>
    <mergeCell ref="C7:E7"/>
    <mergeCell ref="C23:E23"/>
    <mergeCell ref="C25:E25"/>
    <mergeCell ref="C27:F27"/>
    <mergeCell ref="C29:E29"/>
    <mergeCell ref="C4:J4"/>
    <mergeCell ref="C1:D1"/>
    <mergeCell ref="C34:F35"/>
    <mergeCell ref="Q10:Q11"/>
    <mergeCell ref="C76:J76"/>
    <mergeCell ref="C75:J75"/>
    <mergeCell ref="C40:F41"/>
    <mergeCell ref="C73:J73"/>
    <mergeCell ref="C74:J74"/>
    <mergeCell ref="C55:E55"/>
    <mergeCell ref="C10:E10"/>
    <mergeCell ref="C12:E12"/>
    <mergeCell ref="C14:E14"/>
    <mergeCell ref="C16:F16"/>
    <mergeCell ref="C18:E18"/>
    <mergeCell ref="C20:E20"/>
  </mergeCells>
  <phoneticPr fontId="7" type="noConversion"/>
  <conditionalFormatting sqref="C76">
    <cfRule type="expression" dxfId="52" priority="1">
      <formula>OR($C$73&lt;&gt;"",$C$74&lt;&gt;"",$C$75&lt;&gt;"")</formula>
    </cfRule>
  </conditionalFormatting>
  <conditionalFormatting sqref="K20 K29 K50 K55">
    <cfRule type="expression" dxfId="51" priority="305">
      <formula>AND($Q20=0)=FALSE</formula>
    </cfRule>
  </conditionalFormatting>
  <dataValidations count="27">
    <dataValidation type="whole" operator="lessThanOrEqual" allowBlank="1" showInputMessage="1" showErrorMessage="1" errorTitle="Negative whole number required" error="This number MUST be a negative whole number" sqref="H12 H46 H43 H34 H37 H40" xr:uid="{00000000-0002-0000-0500-000002000000}">
      <formula1>0</formula1>
    </dataValidation>
    <dataValidation type="whole" operator="greaterThanOrEqual" allowBlank="1" showInputMessage="1" showErrorMessage="1" errorTitle="Positive whole number required" error="This number MUST be a positive whole number" sqref="H10" xr:uid="{00000000-0002-0000-0500-000003000000}">
      <formula1>0</formula1>
    </dataValidation>
    <dataValidation type="whole" allowBlank="1" showInputMessage="1" showErrorMessage="1" error="Whole numbers only allowed" sqref="H18 H14" xr:uid="{00000000-0002-0000-0500-000004000000}">
      <formula1>-100000000000000000000</formula1>
      <formula2>100000000000000000000</formula2>
    </dataValidation>
    <dataValidation type="whole" operator="greaterThanOrEqual" allowBlank="1" showInputMessage="1" showErrorMessage="1" errorTitle="Positive number required here" error="This MUST be a positive whole number" sqref="H16 H25 H48 H27" xr:uid="{00000000-0002-0000-0500-000005000000}">
      <formula1>0</formula1>
    </dataValidation>
    <dataValidation allowBlank="1" showInputMessage="1" showErrorMessage="1" error="You can not amend this cell" sqref="R48" xr:uid="{00000000-0002-0000-0500-000006000000}"/>
    <dataValidation type="custom" allowBlank="1" showInputMessage="1" showErrorMessage="1" error="Data entry is not allowed in this cell" sqref="J29 J50 J55 J20" xr:uid="{8704C7D6-08AD-4F22-879A-9E7E5D63AFCE}">
      <formula1>"az1=""na"""</formula1>
    </dataValidation>
    <dataValidation type="custom" allowBlank="1" showInputMessage="1" showErrorMessage="1" error="Data entry is not allowed in this cell" sqref="I66 M66 I70 K64 I64 G64 G70 G62 I62 G66 K70 K66" xr:uid="{7069DF00-FF79-4074-9446-C89BDA1F62A3}">
      <formula1>"ac1=""n/a"""</formula1>
    </dataValidation>
    <dataValidation type="custom" allowBlank="1" showInputMessage="1" showErrorMessage="1" sqref="F61 H61 J61 L61 N61" xr:uid="{58B7D7A8-57E6-4FFB-830E-5533F62CDD1A}">
      <formula1>"az1=""na"""</formula1>
    </dataValidation>
    <dataValidation type="whole" operator="greaterThanOrEqual" allowBlank="1" showInputMessage="1" showErrorMessage="1" errorTitle="Positive number required here" error="This MUST be a positive whole number" prompt="There should not have been any transitional protection payments received in 2022-23 as the scheme had expired, but please include receipts in respect of previous years" sqref="H23" xr:uid="{5DAF9811-FB44-4625-A940-ABCB474A136B}">
      <formula1>0</formula1>
    </dataValidation>
    <dataValidation type="whole" operator="lessThanOrEqual" allowBlank="1" showInputMessage="1" showErrorMessage="1" errorTitle="Negative whole number required" error="This number MUST be a negative whole number" prompt="There should not have been any transitional protection payments made in 2022-23 as the scheme had expired, but please include payments in respect of previous years" sqref="H32" xr:uid="{9EF9C973-0C6E-4D27-8501-3D1A163C45BA}">
      <formula1>0</formula1>
    </dataValidation>
    <dataValidation allowBlank="1" showInputMessage="1" showErrorMessage="1" prompt="This was line 22 in the 2022-23 form" sqref="C62" xr:uid="{6505CCEF-743E-4BE0-9CA2-B4ACD265743C}"/>
    <dataValidation allowBlank="1" showInputMessage="1" showErrorMessage="1" prompt="This was line 24 in the 2022-23 form" sqref="C66" xr:uid="{45FE36B5-A96D-482A-A10E-D581C773146B}"/>
    <dataValidation allowBlank="1" showInputMessage="1" showErrorMessage="1" prompt="This was line 26 in the 2022-23 form" sqref="C70" xr:uid="{A1086944-4EAC-41A4-8673-22BA3CC6A541}"/>
    <dataValidation type="custom" allowBlank="1" showInputMessage="1" showErrorMessage="1" error="You cannot amend this cell" sqref="C75:J75" xr:uid="{23C7EAF7-2411-4570-BA3B-65F267289743}">
      <formula1>"if(P50=""n/a"")"</formula1>
    </dataValidation>
    <dataValidation type="custom" allowBlank="1" showInputMessage="1" showErrorMessage="1" error="Data entry is not allowed in this cell" sqref="C73:J74" xr:uid="{A305285E-8DBE-4F31-971F-F33AF4B1249E}">
      <formula1>"az1=""n/a"""</formula1>
    </dataValidation>
    <dataValidation type="custom" allowBlank="1" showInputMessage="1" showErrorMessage="1" error="Data entry is not allowed in this cell" sqref="F62 F64 H64 H62 J62 J64 L64 L62 N62 N64 N66 L66 J66 H66 F66 F68 H68 J68 L68 N68 N70 L70 J70 H70 F70" xr:uid="{F5155116-CA9B-4D54-BD0A-07CC29BE6AA9}">
      <formula1>"az1=""NA"""</formula1>
    </dataValidation>
    <dataValidation allowBlank="1" showInputMessage="1" showErrorMessage="1" prompt="This was line 21 in the 2022-23 form._x000a_This data is being used in 'Part 1 - Line 23' and 'Part 4 - line 24'." sqref="C55:E55" xr:uid="{04D5999A-6244-4742-A010-5D6F917E1865}"/>
    <dataValidation allowBlank="1" showInputMessage="1" showErrorMessage="1" prompt="This data is being used in 'Part 4 - line 20'." sqref="C50:E50 C20:E20 C29:E29" xr:uid="{61B24B50-D2D1-4254-9ED0-A5299B0EC13D}"/>
    <dataValidation allowBlank="1" showInputMessage="1" showErrorMessage="1" prompt="This data is being used in 'Part 4 - line 7'." sqref="C10:E10 C12:E12 C14:E14 C16:F16 C18:E18" xr:uid="{35E18CB0-E6EB-4F45-B4CF-E6D414AFF24C}"/>
    <dataValidation allowBlank="1" showInputMessage="1" showErrorMessage="1" prompt="This data is being used in 'Part 4 - line 11'." sqref="C23:E23 C25:E25" xr:uid="{58B16164-208F-443D-8F75-EDB0AEEC970B}"/>
    <dataValidation allowBlank="1" showInputMessage="1" showErrorMessage="1" prompt="This data is being used in 'Part 4 - line 19'." sqref="C32:E32 C34:F35 C37:F38 C40:F41 C43:F44 C46:E46" xr:uid="{DFC6C370-46C4-401A-BE77-E29B6C955204}"/>
    <dataValidation allowBlank="1" showInputMessage="1" showErrorMessage="1" prompt="This data is being used in 'Part 4 - line 20' and 'Part 4 - line 22'." sqref="C7:E7" xr:uid="{ED061DE8-CD70-4AF5-8EAA-AF0977136DC6}"/>
    <dataValidation allowBlank="1" showInputMessage="1" showErrorMessage="1" prompt="This data is being used in 'Part 4 - line 11' and 'Part 4 - line 22'." sqref="C27:F27" xr:uid="{B90387C9-3B1F-4B5B-8898-689D6A081598}"/>
    <dataValidation allowBlank="1" showInputMessage="1" showErrorMessage="1" prompt="This data is being used in 'Part 4 - line 19' and 'Part 4 - line 22'." sqref="C48:F48" xr:uid="{95A7DDC1-8BA5-4C88-9478-80DD2210AF6C}"/>
    <dataValidation allowBlank="1" showInputMessage="1" showErrorMessage="1" prompt="This was line 23 in the 2022-23 form._x000a_This data is being used in 'Part 4 - line 24' and 'Part 4 - line 25'." sqref="C64:E64" xr:uid="{DD3DEB1F-7F3A-49EE-BEC4-7BD545589F65}"/>
    <dataValidation allowBlank="1" showInputMessage="1" showErrorMessage="1" prompt="This was line 25 in the 2022-23 form._x000a_This data is being used in 'Part 4 - Line 25'." sqref="C68:E68" xr:uid="{0AF8540C-E9CC-45ED-893E-89CAA5FFC9AE}"/>
    <dataValidation type="whole" allowBlank="1" showInputMessage="1" showErrorMessage="1" errorTitle="Whole number required" error="This MUST be a whole number" sqref="J7" xr:uid="{3516699E-51CE-4426-A794-2FF3EB436CB3}">
      <formula1>-1000000000000</formula1>
      <formula2>1000000000000</formula2>
    </dataValidation>
  </dataValidations>
  <printOptions horizontalCentered="1" verticalCentered="1"/>
  <pageMargins left="0.39370078740157483" right="0.39370078740157483" top="0.59055118110236227" bottom="0.59055118110236227" header="0.51181102362204722" footer="0.51181102362204722"/>
  <pageSetup paperSize="9" scale="4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autoPageBreaks="0"/>
  </sheetPr>
  <dimension ref="A1:AX141"/>
  <sheetViews>
    <sheetView showGridLines="0" zoomScaleNormal="100" workbookViewId="0"/>
  </sheetViews>
  <sheetFormatPr defaultRowHeight="12.75" x14ac:dyDescent="0.2"/>
  <cols>
    <col min="1" max="1" width="4.7109375" customWidth="1"/>
    <col min="2" max="2" width="22.5703125" style="53" customWidth="1"/>
    <col min="3" max="3" width="53.7109375" style="53" customWidth="1"/>
    <col min="4" max="4" width="4.7109375" style="53" customWidth="1"/>
    <col min="5" max="5" width="24.7109375" style="53" customWidth="1"/>
    <col min="6" max="6" width="4.5703125" style="53" customWidth="1"/>
    <col min="7" max="7" width="2.7109375" style="53" customWidth="1"/>
    <col min="8" max="8" width="24.7109375" style="53" customWidth="1"/>
    <col min="9" max="9" width="6.42578125" style="53" customWidth="1"/>
    <col min="10" max="10" width="15" style="52" hidden="1" customWidth="1"/>
    <col min="11" max="11" width="9.140625" style="692" hidden="1" customWidth="1"/>
    <col min="12" max="50" width="9.140625" hidden="1" customWidth="1"/>
    <col min="51" max="55" width="9.140625" customWidth="1"/>
  </cols>
  <sheetData>
    <row r="1" spans="1:11" s="45" customFormat="1" ht="18" x14ac:dyDescent="0.25">
      <c r="A1" s="100"/>
      <c r="B1" s="100"/>
      <c r="C1" s="100"/>
      <c r="D1" s="100"/>
      <c r="E1" s="100"/>
      <c r="F1" s="100"/>
      <c r="G1" s="100"/>
      <c r="H1" s="100"/>
      <c r="I1" s="101"/>
      <c r="J1" s="44"/>
      <c r="K1" s="690"/>
    </row>
    <row r="2" spans="1:11" s="47" customFormat="1" ht="24" customHeight="1" x14ac:dyDescent="0.25">
      <c r="A2" s="1793" t="s">
        <v>238</v>
      </c>
      <c r="B2" s="1794"/>
      <c r="C2" s="1794"/>
      <c r="D2" s="1794"/>
      <c r="E2" s="1794"/>
      <c r="F2" s="1794"/>
      <c r="G2" s="1794"/>
      <c r="H2" s="1794"/>
      <c r="I2" s="1795"/>
      <c r="J2" s="46"/>
      <c r="K2" s="690"/>
    </row>
    <row r="3" spans="1:11" s="47" customFormat="1" ht="24" customHeight="1" x14ac:dyDescent="0.25">
      <c r="A3" s="1796"/>
      <c r="B3" s="1745"/>
      <c r="C3" s="1745"/>
      <c r="D3" s="1745"/>
      <c r="E3" s="1745"/>
      <c r="F3" s="1745"/>
      <c r="G3" s="1745"/>
      <c r="H3" s="1745"/>
      <c r="I3" s="1797"/>
      <c r="J3" s="46"/>
      <c r="K3" s="690"/>
    </row>
    <row r="4" spans="1:11" s="45" customFormat="1" ht="18" x14ac:dyDescent="0.25">
      <c r="A4" s="102"/>
      <c r="B4" s="1794" t="s">
        <v>239</v>
      </c>
      <c r="C4" s="1745"/>
      <c r="D4" s="1745"/>
      <c r="E4" s="1745"/>
      <c r="F4" s="1745"/>
      <c r="G4" s="1745"/>
      <c r="H4" s="1745"/>
      <c r="I4" s="104"/>
      <c r="J4" s="44"/>
      <c r="K4" s="690"/>
    </row>
    <row r="5" spans="1:11" s="45" customFormat="1" ht="18" x14ac:dyDescent="0.25">
      <c r="A5" s="102"/>
      <c r="B5" s="1745"/>
      <c r="C5" s="1745"/>
      <c r="D5" s="1745"/>
      <c r="E5" s="1745"/>
      <c r="F5" s="1745"/>
      <c r="G5" s="1745"/>
      <c r="H5" s="1745"/>
      <c r="I5" s="104"/>
      <c r="J5" s="44"/>
      <c r="K5" s="690"/>
    </row>
    <row r="6" spans="1:11" s="45" customFormat="1" ht="18" x14ac:dyDescent="0.25">
      <c r="A6" s="102"/>
      <c r="B6" s="48"/>
      <c r="C6" s="48"/>
      <c r="D6" s="48"/>
      <c r="E6" s="48"/>
      <c r="F6" s="48"/>
      <c r="G6" s="48"/>
      <c r="H6" s="48"/>
      <c r="I6" s="104"/>
      <c r="J6" s="44"/>
      <c r="K6" s="690"/>
    </row>
    <row r="7" spans="1:11" s="45" customFormat="1" ht="18" x14ac:dyDescent="0.25">
      <c r="A7" s="102"/>
      <c r="B7" s="1799" t="s">
        <v>498</v>
      </c>
      <c r="C7" s="1799"/>
      <c r="D7" s="1799"/>
      <c r="E7" s="1799"/>
      <c r="F7" s="1799"/>
      <c r="G7" s="1799"/>
      <c r="H7" s="1799"/>
      <c r="I7" s="103"/>
      <c r="J7" s="44"/>
      <c r="K7" s="690"/>
    </row>
    <row r="8" spans="1:11" s="45" customFormat="1" ht="18" x14ac:dyDescent="0.25">
      <c r="A8" s="102"/>
      <c r="B8" s="1798" t="s">
        <v>2774</v>
      </c>
      <c r="C8" s="1799"/>
      <c r="D8" s="1799"/>
      <c r="E8" s="1799"/>
      <c r="F8" s="1799"/>
      <c r="G8" s="1799"/>
      <c r="H8" s="1799"/>
      <c r="I8" s="103"/>
      <c r="J8" s="44"/>
      <c r="K8" s="690"/>
    </row>
    <row r="9" spans="1:11" s="45" customFormat="1" ht="18" x14ac:dyDescent="0.25">
      <c r="A9" s="1802"/>
      <c r="B9" s="1799"/>
      <c r="C9" s="1799"/>
      <c r="D9" s="1799"/>
      <c r="E9" s="1799"/>
      <c r="F9" s="1799"/>
      <c r="G9" s="1799"/>
      <c r="H9" s="1799"/>
      <c r="I9" s="1803"/>
      <c r="J9" s="44"/>
      <c r="K9" s="690"/>
    </row>
    <row r="10" spans="1:11" s="45" customFormat="1" ht="18" x14ac:dyDescent="0.25">
      <c r="A10" s="105"/>
      <c r="B10" s="1800" t="s">
        <v>2866</v>
      </c>
      <c r="C10" s="1801"/>
      <c r="D10" s="1801"/>
      <c r="E10" s="1801"/>
      <c r="F10" s="1801"/>
      <c r="G10" s="1801"/>
      <c r="H10" s="1801"/>
      <c r="I10" s="104"/>
      <c r="J10" s="158"/>
      <c r="K10" s="690"/>
    </row>
    <row r="11" spans="1:11" s="45" customFormat="1" ht="18" x14ac:dyDescent="0.25">
      <c r="A11" s="105"/>
      <c r="B11" s="1801"/>
      <c r="C11" s="1801"/>
      <c r="D11" s="1801"/>
      <c r="E11" s="1801"/>
      <c r="F11" s="1801"/>
      <c r="G11" s="1801"/>
      <c r="H11" s="1801"/>
      <c r="I11" s="104"/>
      <c r="J11" s="158"/>
      <c r="K11" s="690"/>
    </row>
    <row r="12" spans="1:11" s="26" customFormat="1" ht="15.75" x14ac:dyDescent="0.25">
      <c r="A12" s="106"/>
      <c r="B12" s="32"/>
      <c r="C12" s="32"/>
      <c r="D12" s="32"/>
      <c r="E12" s="32"/>
      <c r="F12" s="32"/>
      <c r="G12" s="32"/>
      <c r="H12" s="32"/>
      <c r="I12" s="107"/>
      <c r="J12" s="49"/>
      <c r="K12" s="253"/>
    </row>
    <row r="13" spans="1:11" s="26" customFormat="1" ht="15.75" x14ac:dyDescent="0.25">
      <c r="A13" s="106"/>
      <c r="B13" s="50" t="s">
        <v>690</v>
      </c>
      <c r="C13" s="1805" t="e">
        <f>+'Part 1'!K15</f>
        <v>#N/A</v>
      </c>
      <c r="D13" s="1806"/>
      <c r="E13" s="50"/>
      <c r="F13" s="50"/>
      <c r="G13" s="50"/>
      <c r="H13" s="51"/>
      <c r="I13" s="107"/>
      <c r="J13" s="49"/>
      <c r="K13" s="253"/>
    </row>
    <row r="14" spans="1:11" s="26" customFormat="1" ht="15.75" x14ac:dyDescent="0.25">
      <c r="A14" s="106"/>
      <c r="B14" s="50" t="s">
        <v>691</v>
      </c>
      <c r="C14" s="1805" t="e">
        <f>+'Part 1'!K16</f>
        <v>#N/A</v>
      </c>
      <c r="D14" s="1806"/>
      <c r="E14" s="50"/>
      <c r="F14" s="50"/>
      <c r="G14" s="50"/>
      <c r="H14" s="51"/>
      <c r="I14" s="107"/>
      <c r="J14" s="49"/>
      <c r="K14" s="253"/>
    </row>
    <row r="15" spans="1:11" s="26" customFormat="1" ht="15.75" x14ac:dyDescent="0.25">
      <c r="A15" s="106"/>
      <c r="B15" s="50" t="s">
        <v>490</v>
      </c>
      <c r="C15" s="1791">
        <f>+'Part 1'!K17</f>
        <v>0</v>
      </c>
      <c r="D15" s="1792"/>
      <c r="E15" s="50"/>
      <c r="F15" s="50"/>
      <c r="G15" s="50"/>
      <c r="H15" s="51"/>
      <c r="I15" s="107"/>
      <c r="J15" s="49"/>
      <c r="K15" s="253"/>
    </row>
    <row r="16" spans="1:11" s="26" customFormat="1" ht="15.75" x14ac:dyDescent="0.25">
      <c r="A16" s="106"/>
      <c r="B16" s="50" t="s">
        <v>491</v>
      </c>
      <c r="C16" s="1791">
        <f>+'Part 1'!K18</f>
        <v>0</v>
      </c>
      <c r="D16" s="1792"/>
      <c r="E16" s="50"/>
      <c r="F16" s="50"/>
      <c r="G16" s="50"/>
      <c r="H16" s="51"/>
      <c r="I16" s="107"/>
      <c r="J16" s="49"/>
      <c r="K16" s="253"/>
    </row>
    <row r="17" spans="1:11" s="26" customFormat="1" ht="15.75" x14ac:dyDescent="0.25">
      <c r="A17" s="106"/>
      <c r="B17" s="50" t="s">
        <v>492</v>
      </c>
      <c r="C17" s="1782">
        <f>+'Part 1'!K19</f>
        <v>0</v>
      </c>
      <c r="D17" s="1783"/>
      <c r="E17" s="50"/>
      <c r="F17" s="50"/>
      <c r="G17" s="50"/>
      <c r="H17" s="51"/>
      <c r="I17" s="107"/>
      <c r="J17" s="49"/>
      <c r="K17" s="253"/>
    </row>
    <row r="18" spans="1:11" s="26" customFormat="1" ht="15.75" thickBot="1" x14ac:dyDescent="0.25">
      <c r="A18" s="108"/>
      <c r="B18" s="109"/>
      <c r="C18" s="109"/>
      <c r="D18" s="109"/>
      <c r="E18" s="109"/>
      <c r="F18" s="109"/>
      <c r="G18" s="109"/>
      <c r="H18" s="110" t="s">
        <v>948</v>
      </c>
      <c r="I18" s="653">
        <f>'Part 1'!S20</f>
        <v>1.1000000000000001</v>
      </c>
      <c r="J18" s="49"/>
      <c r="K18" s="253"/>
    </row>
    <row r="19" spans="1:11" ht="21.95" hidden="1" customHeight="1" x14ac:dyDescent="0.2">
      <c r="A19" s="111"/>
      <c r="B19" s="1785"/>
      <c r="C19" s="1786"/>
      <c r="D19" s="1786"/>
      <c r="E19" s="1786"/>
      <c r="F19" s="1786"/>
      <c r="G19" s="1786"/>
      <c r="H19" s="1786"/>
      <c r="I19" s="112"/>
    </row>
    <row r="20" spans="1:11" ht="21.95" hidden="1" customHeight="1" thickBot="1" x14ac:dyDescent="0.25">
      <c r="A20" s="113"/>
      <c r="B20" s="1787"/>
      <c r="C20" s="1787"/>
      <c r="D20" s="1787"/>
      <c r="E20" s="1787"/>
      <c r="F20" s="1787"/>
      <c r="G20" s="1787"/>
      <c r="H20" s="1787"/>
      <c r="I20" s="114"/>
    </row>
    <row r="21" spans="1:11" ht="13.5" thickBot="1" x14ac:dyDescent="0.25">
      <c r="A21" s="115"/>
      <c r="I21" s="37"/>
    </row>
    <row r="22" spans="1:11" s="26" customFormat="1" ht="75.75" thickBot="1" x14ac:dyDescent="0.25">
      <c r="A22" s="116"/>
      <c r="B22" s="1804" t="s">
        <v>2870</v>
      </c>
      <c r="C22" s="1804"/>
      <c r="D22" s="1804"/>
      <c r="E22" s="1804"/>
      <c r="F22" s="681"/>
      <c r="G22" s="681"/>
      <c r="H22" s="813" t="s">
        <v>2871</v>
      </c>
      <c r="I22" s="117"/>
      <c r="J22" s="49"/>
      <c r="K22" s="253"/>
    </row>
    <row r="23" spans="1:11" ht="18.75" thickBot="1" x14ac:dyDescent="0.3">
      <c r="A23" s="118"/>
      <c r="B23" s="23" t="s">
        <v>499</v>
      </c>
      <c r="C23" s="24"/>
      <c r="D23" s="24"/>
      <c r="H23" s="24"/>
      <c r="I23" s="37"/>
    </row>
    <row r="24" spans="1:11" ht="18.75" thickBot="1" x14ac:dyDescent="0.3">
      <c r="A24" s="118"/>
      <c r="B24" s="357" t="s">
        <v>2872</v>
      </c>
      <c r="C24" s="55"/>
      <c r="D24" s="56"/>
      <c r="E24" s="56"/>
      <c r="G24" s="817"/>
      <c r="H24" s="119">
        <v>0</v>
      </c>
      <c r="I24" s="37"/>
      <c r="J24" s="159"/>
    </row>
    <row r="25" spans="1:11" s="43" customFormat="1" ht="12" customHeight="1" thickBot="1" x14ac:dyDescent="0.3">
      <c r="A25" s="118"/>
      <c r="B25" s="57"/>
      <c r="C25" s="57"/>
      <c r="D25" s="58"/>
      <c r="E25" s="58"/>
      <c r="F25" s="59"/>
      <c r="G25" s="818"/>
      <c r="H25" s="160"/>
      <c r="I25" s="120"/>
      <c r="J25" s="161"/>
      <c r="K25" s="693"/>
    </row>
    <row r="26" spans="1:11" ht="18.75" thickBot="1" x14ac:dyDescent="0.3">
      <c r="A26" s="118"/>
      <c r="B26" s="1780" t="s">
        <v>2873</v>
      </c>
      <c r="C26" s="1788"/>
      <c r="D26" s="1789"/>
      <c r="E26" s="1789"/>
      <c r="F26" s="138"/>
      <c r="G26" s="817"/>
      <c r="H26" s="119">
        <v>0</v>
      </c>
      <c r="I26" s="37"/>
      <c r="J26" s="159"/>
    </row>
    <row r="27" spans="1:11" ht="18.75" thickBot="1" x14ac:dyDescent="0.3">
      <c r="A27" s="118"/>
      <c r="B27" s="1788"/>
      <c r="C27" s="1788"/>
      <c r="D27" s="1789"/>
      <c r="E27" s="1789"/>
      <c r="F27" s="59"/>
      <c r="G27" s="817"/>
      <c r="H27" s="160"/>
      <c r="I27" s="37"/>
      <c r="J27" s="159"/>
    </row>
    <row r="28" spans="1:11" ht="18.75" thickBot="1" x14ac:dyDescent="0.3">
      <c r="A28" s="118"/>
      <c r="B28" s="1780" t="s">
        <v>2874</v>
      </c>
      <c r="C28" s="1788"/>
      <c r="D28" s="1789"/>
      <c r="E28" s="1789"/>
      <c r="F28" s="138"/>
      <c r="G28" s="817"/>
      <c r="H28" s="119">
        <v>0</v>
      </c>
      <c r="I28" s="37"/>
      <c r="J28" s="159"/>
    </row>
    <row r="29" spans="1:11" ht="18" x14ac:dyDescent="0.25">
      <c r="A29" s="118"/>
      <c r="B29" s="1788"/>
      <c r="C29" s="1788"/>
      <c r="D29" s="1789"/>
      <c r="E29" s="1789"/>
      <c r="F29" s="59"/>
      <c r="G29" s="819"/>
      <c r="H29" s="160"/>
      <c r="I29" s="37"/>
    </row>
    <row r="30" spans="1:11" ht="12.75" customHeight="1" thickBot="1" x14ac:dyDescent="0.3">
      <c r="A30" s="118"/>
      <c r="B30" s="57"/>
      <c r="C30" s="57"/>
      <c r="D30" s="58"/>
      <c r="E30" s="58"/>
      <c r="F30" s="59"/>
      <c r="G30" s="819"/>
      <c r="H30" s="160"/>
      <c r="I30" s="37"/>
    </row>
    <row r="31" spans="1:11" ht="18.75" thickBot="1" x14ac:dyDescent="0.3">
      <c r="A31" s="118"/>
      <c r="B31" s="313" t="s">
        <v>2875</v>
      </c>
      <c r="C31" s="57"/>
      <c r="D31" s="58"/>
      <c r="E31" s="58"/>
      <c r="F31" s="59"/>
      <c r="G31" s="819"/>
      <c r="H31" s="642">
        <v>0</v>
      </c>
      <c r="I31" s="947"/>
    </row>
    <row r="32" spans="1:11" ht="12.75" customHeight="1" thickBot="1" x14ac:dyDescent="0.3">
      <c r="A32" s="118"/>
      <c r="B32" s="57"/>
      <c r="C32" s="57"/>
      <c r="D32" s="58"/>
      <c r="E32" s="58"/>
      <c r="F32" s="59"/>
      <c r="G32" s="819"/>
      <c r="H32" s="160"/>
      <c r="I32" s="947"/>
    </row>
    <row r="33" spans="1:11" ht="18.75" thickBot="1" x14ac:dyDescent="0.3">
      <c r="A33" s="118"/>
      <c r="B33" s="1780" t="s">
        <v>2876</v>
      </c>
      <c r="C33" s="1788"/>
      <c r="D33" s="1789"/>
      <c r="E33" s="1789"/>
      <c r="F33" s="138"/>
      <c r="G33" s="817"/>
      <c r="H33" s="119">
        <v>0</v>
      </c>
      <c r="I33" s="37"/>
      <c r="J33" s="159"/>
    </row>
    <row r="34" spans="1:11" ht="18.75" thickBot="1" x14ac:dyDescent="0.3">
      <c r="A34" s="118"/>
      <c r="B34" s="1788"/>
      <c r="C34" s="1788"/>
      <c r="D34" s="1789"/>
      <c r="E34" s="1789"/>
      <c r="F34" s="59"/>
      <c r="G34" s="817"/>
      <c r="H34" s="160"/>
      <c r="I34" s="37"/>
    </row>
    <row r="35" spans="1:11" ht="18.75" thickBot="1" x14ac:dyDescent="0.3">
      <c r="A35" s="118"/>
      <c r="B35" s="313" t="s">
        <v>2877</v>
      </c>
      <c r="C35" s="60"/>
      <c r="D35" s="58"/>
      <c r="E35" s="58"/>
      <c r="F35" s="59"/>
      <c r="G35" s="817"/>
      <c r="H35" s="121">
        <f>+H37+H39+H41+H43+H45+H47</f>
        <v>0</v>
      </c>
      <c r="I35" s="37"/>
      <c r="J35" s="159"/>
    </row>
    <row r="36" spans="1:11" ht="18.75" thickBot="1" x14ac:dyDescent="0.3">
      <c r="A36" s="118"/>
      <c r="B36" s="60" t="s">
        <v>719</v>
      </c>
      <c r="C36" s="58"/>
      <c r="D36" s="58"/>
      <c r="E36" s="58"/>
      <c r="F36" s="820"/>
      <c r="G36" s="60"/>
      <c r="H36" s="122"/>
      <c r="I36" s="37"/>
      <c r="J36" s="159"/>
    </row>
    <row r="37" spans="1:11" ht="18.75" thickBot="1" x14ac:dyDescent="0.3">
      <c r="A37" s="118"/>
      <c r="B37" s="123" t="s">
        <v>500</v>
      </c>
      <c r="C37" s="123"/>
      <c r="D37" s="60"/>
      <c r="E37" s="58"/>
      <c r="F37" s="821"/>
      <c r="G37" s="24"/>
      <c r="H37" s="119">
        <v>0</v>
      </c>
      <c r="I37" s="37"/>
      <c r="J37" s="159"/>
    </row>
    <row r="38" spans="1:11" s="142" customFormat="1" ht="12" customHeight="1" thickBot="1" x14ac:dyDescent="0.25">
      <c r="A38" s="314"/>
      <c r="B38" s="315"/>
      <c r="C38" s="315"/>
      <c r="D38" s="316"/>
      <c r="E38" s="316"/>
      <c r="F38" s="821"/>
      <c r="G38" s="457"/>
      <c r="H38" s="827"/>
      <c r="I38" s="317"/>
      <c r="J38" s="159"/>
      <c r="K38" s="692"/>
    </row>
    <row r="39" spans="1:11" ht="18.75" thickBot="1" x14ac:dyDescent="0.3">
      <c r="A39" s="118"/>
      <c r="B39" s="123" t="s">
        <v>501</v>
      </c>
      <c r="C39" s="123"/>
      <c r="D39" s="60"/>
      <c r="E39" s="58"/>
      <c r="F39" s="821"/>
      <c r="G39" s="24"/>
      <c r="H39" s="119">
        <v>0</v>
      </c>
      <c r="I39" s="37"/>
      <c r="J39" s="159"/>
    </row>
    <row r="40" spans="1:11" ht="12" customHeight="1" thickBot="1" x14ac:dyDescent="0.3">
      <c r="A40" s="118"/>
      <c r="B40" s="123"/>
      <c r="C40" s="123"/>
      <c r="D40" s="60"/>
      <c r="E40" s="58"/>
      <c r="F40" s="821"/>
      <c r="G40" s="24"/>
      <c r="H40" s="138"/>
      <c r="I40" s="37"/>
      <c r="J40" s="159"/>
    </row>
    <row r="41" spans="1:11" ht="18.75" thickBot="1" x14ac:dyDescent="0.3">
      <c r="A41" s="118"/>
      <c r="B41" s="123" t="s">
        <v>502</v>
      </c>
      <c r="C41" s="123"/>
      <c r="D41" s="60"/>
      <c r="E41" s="58"/>
      <c r="F41" s="821"/>
      <c r="G41" s="24"/>
      <c r="H41" s="119">
        <v>0</v>
      </c>
      <c r="I41" s="37"/>
      <c r="J41" s="159"/>
    </row>
    <row r="42" spans="1:11" ht="12" customHeight="1" thickBot="1" x14ac:dyDescent="0.3">
      <c r="A42" s="118"/>
      <c r="B42" s="123"/>
      <c r="C42" s="123"/>
      <c r="D42" s="60"/>
      <c r="E42" s="58"/>
      <c r="F42" s="821"/>
      <c r="G42" s="24"/>
      <c r="H42" s="138"/>
      <c r="I42" s="37"/>
      <c r="J42" s="159"/>
    </row>
    <row r="43" spans="1:11" ht="18.75" thickBot="1" x14ac:dyDescent="0.3">
      <c r="A43" s="118"/>
      <c r="B43" s="123" t="s">
        <v>503</v>
      </c>
      <c r="C43" s="123"/>
      <c r="D43" s="60"/>
      <c r="E43" s="58"/>
      <c r="F43" s="821"/>
      <c r="G43" s="24"/>
      <c r="H43" s="119">
        <v>0</v>
      </c>
      <c r="I43" s="37"/>
      <c r="J43" s="159"/>
    </row>
    <row r="44" spans="1:11" ht="12" customHeight="1" thickBot="1" x14ac:dyDescent="0.3">
      <c r="A44" s="118"/>
      <c r="B44" s="124"/>
      <c r="C44" s="123"/>
      <c r="D44" s="60"/>
      <c r="E44" s="58"/>
      <c r="F44" s="821"/>
      <c r="G44" s="822"/>
      <c r="H44" s="828"/>
      <c r="I44" s="37"/>
      <c r="J44" s="159"/>
    </row>
    <row r="45" spans="1:11" ht="18.75" thickBot="1" x14ac:dyDescent="0.3">
      <c r="A45" s="118"/>
      <c r="B45" s="1781" t="s">
        <v>726</v>
      </c>
      <c r="C45" s="1781"/>
      <c r="D45" s="1781"/>
      <c r="E45" s="1781"/>
      <c r="F45" s="61"/>
      <c r="G45" s="24"/>
      <c r="H45" s="119">
        <v>0</v>
      </c>
      <c r="I45" s="37"/>
      <c r="J45" s="159"/>
    </row>
    <row r="46" spans="1:11" ht="12" customHeight="1" thickBot="1" x14ac:dyDescent="0.3">
      <c r="A46" s="118"/>
      <c r="B46" s="99"/>
      <c r="C46" s="99"/>
      <c r="D46" s="99"/>
      <c r="E46" s="99"/>
      <c r="F46" s="61"/>
      <c r="G46" s="24"/>
      <c r="H46" s="138"/>
      <c r="I46" s="37"/>
      <c r="J46" s="159"/>
    </row>
    <row r="47" spans="1:11" ht="18.75" thickBot="1" x14ac:dyDescent="0.3">
      <c r="A47" s="125"/>
      <c r="B47" s="1781" t="s">
        <v>504</v>
      </c>
      <c r="C47" s="1781"/>
      <c r="D47" s="1781"/>
      <c r="E47" s="1781"/>
      <c r="F47" s="59"/>
      <c r="G47" s="823"/>
      <c r="H47" s="119">
        <v>0</v>
      </c>
      <c r="I47" s="126"/>
      <c r="J47" s="159"/>
    </row>
    <row r="48" spans="1:11" ht="18" x14ac:dyDescent="0.25">
      <c r="A48" s="125"/>
      <c r="B48" s="899"/>
      <c r="C48" s="900"/>
      <c r="D48" s="424"/>
      <c r="E48" s="424"/>
      <c r="F48" s="59"/>
      <c r="G48" s="819"/>
      <c r="H48" s="830"/>
      <c r="I48" s="126"/>
      <c r="J48" s="159"/>
    </row>
    <row r="49" spans="1:10" ht="18.75" thickBot="1" x14ac:dyDescent="0.3">
      <c r="A49" s="118"/>
      <c r="B49" s="62" t="s">
        <v>505</v>
      </c>
      <c r="C49" s="55"/>
      <c r="D49" s="24"/>
      <c r="F49" s="138"/>
      <c r="G49" s="817"/>
      <c r="H49" s="648"/>
      <c r="I49" s="37"/>
    </row>
    <row r="50" spans="1:10" ht="18.75" thickBot="1" x14ac:dyDescent="0.3">
      <c r="A50" s="118"/>
      <c r="B50" s="1780" t="s">
        <v>2878</v>
      </c>
      <c r="C50" s="1613"/>
      <c r="D50" s="1613"/>
      <c r="E50" s="1613"/>
      <c r="F50" s="59"/>
      <c r="G50" s="24"/>
      <c r="H50" s="119">
        <v>0</v>
      </c>
      <c r="I50" s="37"/>
      <c r="J50" s="159"/>
    </row>
    <row r="51" spans="1:10" ht="15" customHeight="1" thickBot="1" x14ac:dyDescent="0.3">
      <c r="A51" s="118"/>
      <c r="B51" s="57"/>
      <c r="C51" s="57"/>
      <c r="D51" s="54"/>
      <c r="E51" s="54"/>
      <c r="F51" s="59"/>
      <c r="G51" s="24"/>
      <c r="H51" s="160"/>
      <c r="I51" s="37"/>
    </row>
    <row r="52" spans="1:10" ht="18.75" thickBot="1" x14ac:dyDescent="0.3">
      <c r="A52" s="118"/>
      <c r="B52" s="1780" t="s">
        <v>2879</v>
      </c>
      <c r="C52" s="1788"/>
      <c r="D52" s="1789"/>
      <c r="E52" s="1789"/>
      <c r="F52" s="56"/>
      <c r="G52" s="24"/>
      <c r="H52" s="119">
        <v>0</v>
      </c>
      <c r="I52" s="37"/>
      <c r="J52" s="159"/>
    </row>
    <row r="53" spans="1:10" ht="18.75" thickBot="1" x14ac:dyDescent="0.3">
      <c r="A53" s="118"/>
      <c r="B53" s="1788"/>
      <c r="C53" s="1788"/>
      <c r="D53" s="1789"/>
      <c r="E53" s="1789"/>
      <c r="F53" s="138"/>
      <c r="G53" s="817"/>
      <c r="H53" s="160"/>
      <c r="I53" s="37"/>
    </row>
    <row r="54" spans="1:10" ht="18.75" thickBot="1" x14ac:dyDescent="0.3">
      <c r="A54" s="118"/>
      <c r="B54" s="1780" t="s">
        <v>2880</v>
      </c>
      <c r="C54" s="1788"/>
      <c r="D54" s="1789"/>
      <c r="E54" s="1789"/>
      <c r="F54" s="138"/>
      <c r="G54" s="817"/>
      <c r="H54" s="119">
        <v>0</v>
      </c>
      <c r="I54" s="37"/>
      <c r="J54" s="159"/>
    </row>
    <row r="55" spans="1:10" ht="18.75" thickBot="1" x14ac:dyDescent="0.3">
      <c r="A55" s="118"/>
      <c r="B55" s="1788"/>
      <c r="C55" s="1788"/>
      <c r="D55" s="1789"/>
      <c r="E55" s="1789"/>
      <c r="F55" s="61"/>
      <c r="G55" s="817"/>
      <c r="H55" s="160"/>
      <c r="I55" s="37"/>
    </row>
    <row r="56" spans="1:10" ht="18.75" thickBot="1" x14ac:dyDescent="0.3">
      <c r="A56" s="118"/>
      <c r="B56" s="1780" t="s">
        <v>2881</v>
      </c>
      <c r="C56" s="1788"/>
      <c r="D56" s="1788"/>
      <c r="E56" s="1788"/>
      <c r="F56" s="138"/>
      <c r="G56" s="817"/>
      <c r="H56" s="119">
        <v>0</v>
      </c>
      <c r="I56" s="37"/>
      <c r="J56" s="159"/>
    </row>
    <row r="57" spans="1:10" ht="18.75" thickBot="1" x14ac:dyDescent="0.3">
      <c r="A57" s="118"/>
      <c r="B57" s="1790"/>
      <c r="C57" s="1790"/>
      <c r="D57" s="1790"/>
      <c r="E57" s="1790"/>
      <c r="F57" s="61"/>
      <c r="G57" s="817"/>
      <c r="H57" s="160"/>
      <c r="I57" s="37"/>
    </row>
    <row r="58" spans="1:10" ht="18.75" thickBot="1" x14ac:dyDescent="0.3">
      <c r="A58" s="118"/>
      <c r="B58" s="1780" t="s">
        <v>2882</v>
      </c>
      <c r="C58" s="1788"/>
      <c r="D58" s="1789"/>
      <c r="E58" s="1789"/>
      <c r="F58" s="138"/>
      <c r="G58" s="817"/>
      <c r="H58" s="119">
        <v>0</v>
      </c>
      <c r="I58" s="37"/>
      <c r="J58" s="159"/>
    </row>
    <row r="59" spans="1:10" ht="18.75" thickBot="1" x14ac:dyDescent="0.3">
      <c r="A59" s="118"/>
      <c r="B59" s="1788"/>
      <c r="C59" s="1788"/>
      <c r="D59" s="1789"/>
      <c r="E59" s="1789"/>
      <c r="F59" s="138"/>
      <c r="G59" s="817"/>
      <c r="H59" s="160"/>
      <c r="I59" s="37"/>
      <c r="J59" s="159"/>
    </row>
    <row r="60" spans="1:10" ht="18.75" thickBot="1" x14ac:dyDescent="0.3">
      <c r="A60" s="118"/>
      <c r="B60" s="313" t="s">
        <v>2883</v>
      </c>
      <c r="C60" s="60"/>
      <c r="D60" s="58"/>
      <c r="E60" s="58"/>
      <c r="F60" s="61"/>
      <c r="G60" s="817"/>
      <c r="H60" s="119">
        <v>0</v>
      </c>
      <c r="I60" s="37"/>
      <c r="J60" s="159"/>
    </row>
    <row r="61" spans="1:10" ht="15" customHeight="1" thickBot="1" x14ac:dyDescent="0.3">
      <c r="A61" s="118"/>
      <c r="B61" s="60"/>
      <c r="C61" s="60"/>
      <c r="D61" s="58"/>
      <c r="E61" s="58"/>
      <c r="F61" s="61"/>
      <c r="G61" s="817"/>
      <c r="H61" s="138"/>
      <c r="I61" s="37"/>
      <c r="J61" s="159"/>
    </row>
    <row r="62" spans="1:10" ht="18.75" thickBot="1" x14ac:dyDescent="0.3">
      <c r="A62" s="118"/>
      <c r="B62" s="313" t="s">
        <v>2884</v>
      </c>
      <c r="C62" s="60"/>
      <c r="D62" s="58"/>
      <c r="E62" s="58"/>
      <c r="F62" s="61"/>
      <c r="G62" s="817"/>
      <c r="H62" s="119">
        <v>0</v>
      </c>
      <c r="I62" s="37"/>
      <c r="J62" s="159"/>
    </row>
    <row r="63" spans="1:10" ht="15" customHeight="1" x14ac:dyDescent="0.25">
      <c r="A63" s="118"/>
      <c r="B63" s="60"/>
      <c r="C63" s="60"/>
      <c r="D63" s="58"/>
      <c r="E63" s="58"/>
      <c r="F63" s="61"/>
      <c r="G63" s="817"/>
      <c r="H63" s="138"/>
      <c r="I63" s="37"/>
      <c r="J63" s="159"/>
    </row>
    <row r="64" spans="1:10" ht="18" x14ac:dyDescent="0.25">
      <c r="A64" s="118"/>
      <c r="B64" s="312" t="s">
        <v>1255</v>
      </c>
      <c r="C64" s="60"/>
      <c r="D64" s="58"/>
      <c r="E64" s="58"/>
      <c r="F64" s="61"/>
      <c r="G64" s="817"/>
      <c r="H64" s="138"/>
      <c r="I64" s="37"/>
      <c r="J64" s="159"/>
    </row>
    <row r="65" spans="1:11" ht="15" customHeight="1" thickBot="1" x14ac:dyDescent="0.3">
      <c r="A65" s="118"/>
      <c r="B65" s="60"/>
      <c r="C65" s="60"/>
      <c r="D65" s="58"/>
      <c r="E65" s="58"/>
      <c r="F65" s="61"/>
      <c r="G65" s="817"/>
      <c r="H65" s="138"/>
      <c r="I65" s="37"/>
      <c r="J65" s="159"/>
    </row>
    <row r="66" spans="1:11" s="273" customFormat="1" ht="18" customHeight="1" thickBot="1" x14ac:dyDescent="0.3">
      <c r="A66" s="636"/>
      <c r="B66" s="637" t="s">
        <v>2885</v>
      </c>
      <c r="C66" s="638"/>
      <c r="D66" s="639"/>
      <c r="E66" s="639"/>
      <c r="F66" s="824"/>
      <c r="G66" s="825"/>
      <c r="H66" s="642">
        <v>0</v>
      </c>
      <c r="I66" s="640"/>
      <c r="J66" s="641"/>
      <c r="K66" s="692"/>
    </row>
    <row r="67" spans="1:11" s="273" customFormat="1" ht="18" customHeight="1" thickBot="1" x14ac:dyDescent="0.3">
      <c r="A67" s="636"/>
      <c r="B67" s="637"/>
      <c r="C67" s="638"/>
      <c r="D67" s="639"/>
      <c r="E67" s="639"/>
      <c r="F67" s="824"/>
      <c r="G67" s="825"/>
      <c r="H67" s="829"/>
      <c r="I67" s="640"/>
      <c r="J67" s="641"/>
      <c r="K67" s="694"/>
    </row>
    <row r="68" spans="1:11" s="273" customFormat="1" ht="18" customHeight="1" thickBot="1" x14ac:dyDescent="0.3">
      <c r="A68" s="636"/>
      <c r="B68" s="637" t="s">
        <v>2886</v>
      </c>
      <c r="C68" s="638"/>
      <c r="D68" s="639"/>
      <c r="E68" s="639"/>
      <c r="F68" s="824"/>
      <c r="G68" s="825"/>
      <c r="H68" s="642">
        <v>0</v>
      </c>
      <c r="I68" s="640"/>
      <c r="J68" s="641"/>
      <c r="K68" s="692"/>
    </row>
    <row r="69" spans="1:11" s="273" customFormat="1" ht="18" customHeight="1" thickBot="1" x14ac:dyDescent="0.3">
      <c r="A69" s="636"/>
      <c r="B69" s="637"/>
      <c r="C69" s="638"/>
      <c r="D69" s="639"/>
      <c r="E69" s="639"/>
      <c r="F69" s="824"/>
      <c r="G69" s="825"/>
      <c r="H69" s="830"/>
      <c r="I69" s="640"/>
      <c r="J69" s="641"/>
      <c r="K69" s="694"/>
    </row>
    <row r="70" spans="1:11" s="273" customFormat="1" ht="18" customHeight="1" thickBot="1" x14ac:dyDescent="0.3">
      <c r="A70" s="636"/>
      <c r="B70" s="637" t="s">
        <v>2887</v>
      </c>
      <c r="C70" s="638"/>
      <c r="D70" s="639"/>
      <c r="E70" s="639"/>
      <c r="F70" s="824"/>
      <c r="G70" s="825"/>
      <c r="H70" s="642">
        <v>0</v>
      </c>
      <c r="I70" s="640"/>
      <c r="J70" s="641"/>
      <c r="K70" s="692"/>
    </row>
    <row r="71" spans="1:11" ht="15" customHeight="1" thickBot="1" x14ac:dyDescent="0.3">
      <c r="A71" s="118"/>
      <c r="B71" s="60"/>
      <c r="C71" s="60"/>
      <c r="D71" s="58"/>
      <c r="E71" s="58"/>
      <c r="F71" s="138"/>
      <c r="G71" s="817"/>
      <c r="H71" s="160"/>
      <c r="I71" s="37"/>
      <c r="K71" s="692" t="s">
        <v>2764</v>
      </c>
    </row>
    <row r="72" spans="1:11" ht="18.75" thickBot="1" x14ac:dyDescent="0.3">
      <c r="A72" s="125"/>
      <c r="B72" s="1784" t="s">
        <v>2888</v>
      </c>
      <c r="C72" s="1784"/>
      <c r="D72" s="1784"/>
      <c r="E72" s="1784"/>
      <c r="F72" s="59"/>
      <c r="G72" s="819"/>
      <c r="H72" s="642">
        <v>0</v>
      </c>
      <c r="I72" s="126"/>
      <c r="J72" s="159"/>
      <c r="K72" s="696">
        <f>SUM(H72,H70,H68,H66,H62,H60,H58,H56,H54,H52,H50,H35,H33,H31,H28,H26,H24)</f>
        <v>0</v>
      </c>
    </row>
    <row r="73" spans="1:11" ht="18.75" thickBot="1" x14ac:dyDescent="0.3">
      <c r="A73" s="125"/>
      <c r="B73" s="1784"/>
      <c r="C73" s="1784"/>
      <c r="D73" s="1784"/>
      <c r="E73" s="1784"/>
      <c r="F73" s="59"/>
      <c r="G73" s="819"/>
      <c r="H73" s="830"/>
      <c r="I73" s="126"/>
      <c r="J73" s="159"/>
    </row>
    <row r="74" spans="1:11" ht="18.75" thickBot="1" x14ac:dyDescent="0.3">
      <c r="A74" s="125"/>
      <c r="B74" s="899" t="s">
        <v>2920</v>
      </c>
      <c r="C74" s="1048"/>
      <c r="D74" s="1049"/>
      <c r="E74" s="1049"/>
      <c r="F74" s="1050"/>
      <c r="G74" s="1051"/>
      <c r="H74" s="1166">
        <v>0</v>
      </c>
      <c r="I74" s="126"/>
      <c r="J74" s="159"/>
    </row>
    <row r="75" spans="1:11" ht="14.25" customHeight="1" x14ac:dyDescent="0.25">
      <c r="A75" s="125"/>
      <c r="B75" s="99"/>
      <c r="C75" s="99"/>
      <c r="D75" s="99"/>
      <c r="E75" s="99"/>
      <c r="F75" s="59"/>
      <c r="G75" s="823"/>
      <c r="H75" s="138"/>
      <c r="I75" s="126"/>
      <c r="J75" s="159"/>
    </row>
    <row r="76" spans="1:11" ht="18.75" thickBot="1" x14ac:dyDescent="0.3">
      <c r="A76" s="118"/>
      <c r="B76" s="23" t="s">
        <v>506</v>
      </c>
      <c r="C76" s="24"/>
      <c r="D76" s="63"/>
      <c r="E76" s="63"/>
      <c r="F76" s="61"/>
      <c r="G76" s="817"/>
      <c r="H76" s="138"/>
      <c r="I76" s="37"/>
    </row>
    <row r="77" spans="1:11" ht="18.75" thickBot="1" x14ac:dyDescent="0.3">
      <c r="A77" s="118"/>
      <c r="B77" s="1780" t="s">
        <v>2921</v>
      </c>
      <c r="C77" s="1655"/>
      <c r="D77" s="1655"/>
      <c r="E77" s="1655"/>
      <c r="F77" s="61"/>
      <c r="G77" s="826"/>
      <c r="H77" s="119">
        <v>0</v>
      </c>
      <c r="I77" s="127"/>
      <c r="J77" s="159"/>
    </row>
    <row r="78" spans="1:11" ht="18.75" thickBot="1" x14ac:dyDescent="0.3">
      <c r="A78" s="118"/>
      <c r="B78" s="1655"/>
      <c r="C78" s="1655"/>
      <c r="D78" s="1655"/>
      <c r="E78" s="1655"/>
      <c r="F78" s="63"/>
      <c r="G78" s="63"/>
      <c r="H78" s="61" t="str">
        <f>IF((AND(H77=0)),"How many hereditaments contributing?","")</f>
        <v>How many hereditaments contributing?</v>
      </c>
      <c r="I78" s="127"/>
    </row>
    <row r="79" spans="1:11" ht="18.75" thickBot="1" x14ac:dyDescent="0.3">
      <c r="A79" s="118"/>
      <c r="B79" s="1780" t="s">
        <v>2922</v>
      </c>
      <c r="C79" s="1788"/>
      <c r="D79" s="1790"/>
      <c r="E79" s="1790"/>
      <c r="F79" s="63"/>
      <c r="G79" s="63"/>
      <c r="H79" s="121">
        <f>+H82+H84</f>
        <v>0</v>
      </c>
      <c r="I79" s="127"/>
    </row>
    <row r="80" spans="1:11" ht="18" x14ac:dyDescent="0.25">
      <c r="A80" s="118"/>
      <c r="B80" s="1788"/>
      <c r="C80" s="1788"/>
      <c r="D80" s="1790"/>
      <c r="E80" s="1790"/>
      <c r="F80" s="63"/>
      <c r="G80" s="63"/>
      <c r="H80" s="1820" t="str">
        <f>IF((AND(H79=0)),"How many hereditaments are receiving a discount?","")</f>
        <v>How many hereditaments are receiving a discount?</v>
      </c>
      <c r="I80" s="128"/>
    </row>
    <row r="81" spans="1:16" ht="18.75" thickBot="1" x14ac:dyDescent="0.3">
      <c r="A81" s="118"/>
      <c r="B81" s="24" t="s">
        <v>719</v>
      </c>
      <c r="C81" s="54"/>
      <c r="D81" s="54"/>
      <c r="E81" s="54"/>
      <c r="F81" s="63"/>
      <c r="G81" s="63"/>
      <c r="H81" s="1821"/>
      <c r="I81" s="127"/>
    </row>
    <row r="82" spans="1:16" ht="16.5" thickBot="1" x14ac:dyDescent="0.25">
      <c r="A82" s="129"/>
      <c r="B82" s="1781" t="s">
        <v>987</v>
      </c>
      <c r="C82" s="1781"/>
      <c r="D82" s="1807"/>
      <c r="E82" s="1807"/>
      <c r="F82" s="64"/>
      <c r="G82" s="64"/>
      <c r="H82" s="119">
        <v>0</v>
      </c>
      <c r="I82" s="127"/>
    </row>
    <row r="83" spans="1:16" ht="15" customHeight="1" thickBot="1" x14ac:dyDescent="0.3">
      <c r="A83" s="118"/>
      <c r="B83" s="1808"/>
      <c r="C83" s="1808"/>
      <c r="D83" s="1807"/>
      <c r="E83" s="1807"/>
      <c r="F83" s="63"/>
      <c r="G83" s="63"/>
      <c r="H83" s="162"/>
      <c r="I83" s="127"/>
    </row>
    <row r="84" spans="1:16" ht="18.75" thickBot="1" x14ac:dyDescent="0.3">
      <c r="A84" s="118"/>
      <c r="B84" s="1781" t="s">
        <v>988</v>
      </c>
      <c r="C84" s="1781"/>
      <c r="D84" s="1807"/>
      <c r="E84" s="1807"/>
      <c r="F84" s="65"/>
      <c r="G84" s="24"/>
      <c r="H84" s="119">
        <v>0</v>
      </c>
      <c r="I84" s="127"/>
    </row>
    <row r="85" spans="1:16" ht="18" customHeight="1" thickBot="1" x14ac:dyDescent="0.3">
      <c r="A85" s="118"/>
      <c r="B85" s="1781"/>
      <c r="C85" s="1781"/>
      <c r="D85" s="1807"/>
      <c r="E85" s="1807"/>
      <c r="F85" s="1822" t="str">
        <f>IF((AND(H79-H82-H84&lt;&gt;0)),"Ui &amp; Uii do not sum to U total","")</f>
        <v/>
      </c>
      <c r="G85" s="1822"/>
      <c r="H85" s="1822"/>
      <c r="I85" s="127"/>
    </row>
    <row r="86" spans="1:16" ht="18.75" thickBot="1" x14ac:dyDescent="0.3">
      <c r="A86" s="118"/>
      <c r="B86" s="1780" t="s">
        <v>2923</v>
      </c>
      <c r="C86" s="1613"/>
      <c r="D86" s="1613"/>
      <c r="E86" s="1613"/>
      <c r="F86" s="67"/>
      <c r="G86" s="66"/>
      <c r="H86" s="119">
        <v>0</v>
      </c>
      <c r="I86" s="127"/>
    </row>
    <row r="87" spans="1:16" ht="18" x14ac:dyDescent="0.25">
      <c r="A87" s="118"/>
      <c r="B87" s="1613"/>
      <c r="C87" s="1613"/>
      <c r="D87" s="1613"/>
      <c r="E87" s="1613"/>
      <c r="F87" s="1813" t="str">
        <f>IF((AND(H86=0)),"How many hereditaments are paying just the small business rate multiplier?","")</f>
        <v>How many hereditaments are paying just the small business rate multiplier?</v>
      </c>
      <c r="G87" s="1814"/>
      <c r="H87" s="1814"/>
      <c r="I87" s="1815"/>
    </row>
    <row r="88" spans="1:16" ht="18.75" thickBot="1" x14ac:dyDescent="0.3">
      <c r="A88" s="141"/>
      <c r="B88" s="1818" t="s">
        <v>2889</v>
      </c>
      <c r="C88" s="1819"/>
      <c r="D88" s="1819"/>
      <c r="E88" s="1819"/>
      <c r="F88" s="1816"/>
      <c r="G88" s="1816"/>
      <c r="H88" s="1816"/>
      <c r="I88" s="1817"/>
    </row>
    <row r="89" spans="1:16" x14ac:dyDescent="0.2">
      <c r="A89" s="130"/>
      <c r="B89" s="131"/>
      <c r="C89" s="131"/>
      <c r="D89" s="131"/>
      <c r="E89" s="131"/>
      <c r="F89" s="131"/>
      <c r="G89" s="131"/>
      <c r="H89" s="131"/>
      <c r="I89" s="132"/>
    </row>
    <row r="90" spans="1:16" ht="18" x14ac:dyDescent="0.25">
      <c r="A90" s="163"/>
      <c r="B90" s="359" t="s">
        <v>2816</v>
      </c>
      <c r="C90" s="164"/>
      <c r="D90" s="164"/>
      <c r="E90" s="164"/>
      <c r="F90" s="164"/>
      <c r="G90" s="164"/>
      <c r="H90" s="698" t="e">
        <f>+C13</f>
        <v>#N/A</v>
      </c>
      <c r="I90" s="165"/>
    </row>
    <row r="91" spans="1:16" ht="13.5" thickBot="1" x14ac:dyDescent="0.25">
      <c r="A91" s="133"/>
      <c r="B91" s="134"/>
      <c r="C91" s="134"/>
      <c r="D91" s="134"/>
      <c r="E91" s="134"/>
      <c r="F91" s="134"/>
      <c r="G91" s="134"/>
      <c r="H91" s="110" t="s">
        <v>948</v>
      </c>
      <c r="I91" s="653">
        <f>I18</f>
        <v>1.1000000000000001</v>
      </c>
    </row>
    <row r="92" spans="1:16" ht="13.5" thickBot="1" x14ac:dyDescent="0.25">
      <c r="A92" s="115"/>
      <c r="I92" s="37"/>
    </row>
    <row r="93" spans="1:16" ht="45.75" thickBot="1" x14ac:dyDescent="0.25">
      <c r="A93" s="115"/>
      <c r="B93" s="1812" t="s">
        <v>2817</v>
      </c>
      <c r="C93" s="1812"/>
      <c r="D93" s="1812"/>
      <c r="E93" s="1812"/>
      <c r="F93" s="682"/>
      <c r="G93" s="682"/>
      <c r="H93" s="814" t="s">
        <v>2818</v>
      </c>
      <c r="I93" s="37"/>
    </row>
    <row r="94" spans="1:16" ht="18" x14ac:dyDescent="0.25">
      <c r="A94" s="118"/>
      <c r="B94" s="23" t="s">
        <v>488</v>
      </c>
      <c r="C94" s="24"/>
      <c r="D94" s="24"/>
      <c r="F94" s="21"/>
      <c r="G94" s="21"/>
      <c r="H94" s="94"/>
      <c r="I94" s="37"/>
    </row>
    <row r="95" spans="1:16" ht="18.75" thickBot="1" x14ac:dyDescent="0.3">
      <c r="A95" s="118"/>
      <c r="B95" s="1780" t="s">
        <v>2819</v>
      </c>
      <c r="C95" s="1613"/>
      <c r="D95" s="1613"/>
      <c r="E95" s="1613"/>
      <c r="F95" s="135"/>
      <c r="G95" s="135"/>
      <c r="H95" s="550">
        <f>+'Part 2'!AB96</f>
        <v>0</v>
      </c>
      <c r="I95" s="37"/>
      <c r="K95" s="695"/>
    </row>
    <row r="96" spans="1:16" ht="18" x14ac:dyDescent="0.25">
      <c r="A96" s="118"/>
      <c r="B96" s="54"/>
      <c r="C96" s="1809" t="str">
        <f>IF((NOT($H$98+$H$100+$H$102+$H$104+$H$106+$H$108=$H$95)),"Rows (i) to (vi) must add up to line (a) above","")</f>
        <v/>
      </c>
      <c r="D96" s="1810"/>
      <c r="E96" s="1810"/>
      <c r="F96" s="1810"/>
      <c r="G96" s="1810"/>
      <c r="H96" s="1810"/>
      <c r="I96" s="37"/>
      <c r="L96" s="688"/>
      <c r="M96" s="688"/>
      <c r="N96" s="688"/>
      <c r="O96" s="688"/>
      <c r="P96" s="688"/>
    </row>
    <row r="97" spans="1:11" ht="13.5" customHeight="1" thickBot="1" x14ac:dyDescent="0.3">
      <c r="A97" s="118"/>
      <c r="B97" s="60" t="s">
        <v>719</v>
      </c>
      <c r="C97" s="58"/>
      <c r="D97" s="58"/>
      <c r="E97" s="58"/>
      <c r="F97" s="56"/>
      <c r="G97" s="56"/>
      <c r="H97" s="137"/>
      <c r="I97" s="37"/>
    </row>
    <row r="98" spans="1:11" ht="18.75" thickBot="1" x14ac:dyDescent="0.3">
      <c r="A98" s="118"/>
      <c r="B98" s="123" t="s">
        <v>240</v>
      </c>
      <c r="C98" s="123"/>
      <c r="D98" s="60"/>
      <c r="E98" s="58"/>
      <c r="F98" s="135"/>
      <c r="G98" s="135"/>
      <c r="H98" s="119">
        <v>0</v>
      </c>
      <c r="I98" s="37"/>
    </row>
    <row r="99" spans="1:11" ht="18.75" thickBot="1" x14ac:dyDescent="0.3">
      <c r="A99" s="118"/>
      <c r="B99" s="124"/>
      <c r="C99" s="123"/>
      <c r="D99" s="60"/>
      <c r="E99" s="58"/>
      <c r="F99" s="136"/>
      <c r="G99" s="136"/>
      <c r="H99" s="61"/>
      <c r="I99" s="37"/>
    </row>
    <row r="100" spans="1:11" ht="18.75" thickBot="1" x14ac:dyDescent="0.3">
      <c r="A100" s="118"/>
      <c r="B100" s="123" t="s">
        <v>241</v>
      </c>
      <c r="C100" s="123"/>
      <c r="D100" s="60"/>
      <c r="E100" s="58"/>
      <c r="F100" s="135"/>
      <c r="G100" s="135"/>
      <c r="H100" s="119">
        <v>0</v>
      </c>
      <c r="I100" s="37"/>
    </row>
    <row r="101" spans="1:11" ht="18.75" thickBot="1" x14ac:dyDescent="0.3">
      <c r="A101" s="118"/>
      <c r="B101" s="123"/>
      <c r="C101" s="123"/>
      <c r="D101" s="60"/>
      <c r="E101" s="58"/>
      <c r="F101" s="136"/>
      <c r="G101" s="136"/>
      <c r="H101" s="61"/>
      <c r="I101" s="127"/>
    </row>
    <row r="102" spans="1:11" ht="18.75" thickBot="1" x14ac:dyDescent="0.3">
      <c r="A102" s="118"/>
      <c r="B102" s="123" t="s">
        <v>242</v>
      </c>
      <c r="C102" s="123"/>
      <c r="D102" s="60"/>
      <c r="E102" s="58"/>
      <c r="F102" s="135"/>
      <c r="G102" s="135"/>
      <c r="H102" s="348">
        <v>0</v>
      </c>
      <c r="I102" s="37"/>
    </row>
    <row r="103" spans="1:11" ht="18.75" thickBot="1" x14ac:dyDescent="0.3">
      <c r="A103" s="118"/>
      <c r="B103" s="123"/>
      <c r="C103" s="123"/>
      <c r="D103" s="60"/>
      <c r="E103" s="58"/>
      <c r="F103" s="136"/>
      <c r="G103" s="136"/>
      <c r="H103" s="61"/>
      <c r="I103" s="37"/>
    </row>
    <row r="104" spans="1:11" ht="18.75" thickBot="1" x14ac:dyDescent="0.3">
      <c r="A104" s="118"/>
      <c r="B104" s="123" t="s">
        <v>243</v>
      </c>
      <c r="C104" s="123"/>
      <c r="D104" s="60"/>
      <c r="E104" s="58"/>
      <c r="F104" s="135"/>
      <c r="G104" s="135"/>
      <c r="H104" s="348">
        <v>0</v>
      </c>
      <c r="I104" s="37"/>
    </row>
    <row r="105" spans="1:11" ht="18.75" thickBot="1" x14ac:dyDescent="0.3">
      <c r="A105" s="118"/>
      <c r="B105" s="123"/>
      <c r="C105" s="123"/>
      <c r="D105" s="60"/>
      <c r="E105" s="58"/>
      <c r="F105" s="136"/>
      <c r="G105" s="136"/>
      <c r="H105" s="61"/>
      <c r="I105" s="37"/>
    </row>
    <row r="106" spans="1:11" ht="18.75" thickBot="1" x14ac:dyDescent="0.3">
      <c r="A106" s="118"/>
      <c r="B106" s="1781" t="s">
        <v>725</v>
      </c>
      <c r="C106" s="1811"/>
      <c r="D106" s="1811"/>
      <c r="E106" s="1811"/>
      <c r="F106" s="1811"/>
      <c r="G106" s="138"/>
      <c r="H106" s="348">
        <v>0</v>
      </c>
      <c r="I106" s="37"/>
    </row>
    <row r="107" spans="1:11" ht="18.75" thickBot="1" x14ac:dyDescent="0.3">
      <c r="A107" s="118"/>
      <c r="B107" s="1811"/>
      <c r="C107" s="1811"/>
      <c r="D107" s="1811"/>
      <c r="E107" s="1811"/>
      <c r="F107" s="1811"/>
      <c r="G107" s="136"/>
      <c r="H107" s="171"/>
      <c r="I107" s="37"/>
    </row>
    <row r="108" spans="1:11" ht="18.75" thickBot="1" x14ac:dyDescent="0.3">
      <c r="A108" s="118"/>
      <c r="B108" s="1781" t="s">
        <v>244</v>
      </c>
      <c r="C108" s="1811"/>
      <c r="D108" s="1811"/>
      <c r="E108" s="1811"/>
      <c r="F108" s="61"/>
      <c r="G108" s="24"/>
      <c r="H108" s="348">
        <v>0</v>
      </c>
      <c r="I108" s="37"/>
    </row>
    <row r="109" spans="1:11" ht="29.25" customHeight="1" x14ac:dyDescent="0.25">
      <c r="A109" s="118"/>
      <c r="B109" s="1811"/>
      <c r="C109" s="1811"/>
      <c r="D109" s="1811"/>
      <c r="E109" s="1811"/>
      <c r="F109" s="1834" t="str">
        <f>IF((AND(H95-H98-H100-H102-H104-H106-H108&lt;&gt;0)),"Lines a(i) to a(vi) do not sum to A total","")</f>
        <v/>
      </c>
      <c r="G109" s="1834"/>
      <c r="H109" s="1834"/>
      <c r="I109" s="37"/>
    </row>
    <row r="110" spans="1:11" ht="18.75" thickBot="1" x14ac:dyDescent="0.3">
      <c r="A110" s="118"/>
      <c r="B110" s="23" t="s">
        <v>506</v>
      </c>
      <c r="C110" s="24"/>
      <c r="D110" s="63"/>
      <c r="E110" s="63"/>
      <c r="F110" s="63"/>
      <c r="G110" s="63"/>
      <c r="H110" s="63"/>
      <c r="I110" s="127"/>
    </row>
    <row r="111" spans="1:11" ht="18.75" thickBot="1" x14ac:dyDescent="0.3">
      <c r="A111" s="118"/>
      <c r="B111" s="1788" t="s">
        <v>489</v>
      </c>
      <c r="C111" s="1790"/>
      <c r="D111" s="1790"/>
      <c r="E111" s="1790"/>
      <c r="F111" s="139"/>
      <c r="G111" s="139"/>
      <c r="H111" s="550">
        <f>+'Part 2'!M57</f>
        <v>0</v>
      </c>
      <c r="I111" s="350"/>
      <c r="K111" s="691"/>
    </row>
    <row r="112" spans="1:11" ht="34.5" customHeight="1" thickBot="1" x14ac:dyDescent="0.3">
      <c r="A112" s="118"/>
      <c r="B112" s="24" t="s">
        <v>719</v>
      </c>
      <c r="C112" s="54"/>
      <c r="D112" s="54"/>
      <c r="E112" s="54"/>
      <c r="F112" s="157"/>
      <c r="G112" s="157"/>
      <c r="H112" s="59" t="str">
        <f>IF(H113+H115=H111,"","Sum of b(i) and b(ii) should be same as the figure above")</f>
        <v/>
      </c>
      <c r="I112" s="349"/>
    </row>
    <row r="113" spans="1:11" ht="18.75" thickBot="1" x14ac:dyDescent="0.3">
      <c r="A113" s="118"/>
      <c r="B113" s="1823" t="s">
        <v>985</v>
      </c>
      <c r="C113" s="1823"/>
      <c r="D113" s="1789"/>
      <c r="E113" s="1789"/>
      <c r="F113" s="140"/>
      <c r="G113" s="140"/>
      <c r="H113" s="172">
        <v>0</v>
      </c>
      <c r="I113" s="127"/>
    </row>
    <row r="114" spans="1:11" ht="18.75" thickBot="1" x14ac:dyDescent="0.3">
      <c r="A114" s="118"/>
      <c r="B114" s="1788"/>
      <c r="C114" s="1788"/>
      <c r="D114" s="1789"/>
      <c r="E114" s="1789"/>
      <c r="F114" s="135"/>
      <c r="G114" s="135"/>
      <c r="H114" s="173" t="str">
        <f>IF((AND(H113=0,F114&gt;0)),"How much relief received?","")</f>
        <v/>
      </c>
      <c r="I114" s="127"/>
    </row>
    <row r="115" spans="1:11" ht="18.75" thickBot="1" x14ac:dyDescent="0.3">
      <c r="A115" s="118"/>
      <c r="B115" s="1823" t="s">
        <v>986</v>
      </c>
      <c r="C115" s="1823"/>
      <c r="D115" s="1789"/>
      <c r="E115" s="1789"/>
      <c r="F115" s="492"/>
      <c r="G115" s="492"/>
      <c r="H115" s="172">
        <v>0</v>
      </c>
      <c r="I115" s="127"/>
    </row>
    <row r="116" spans="1:11" ht="18" x14ac:dyDescent="0.25">
      <c r="A116" s="118"/>
      <c r="B116" s="1823"/>
      <c r="C116" s="1823"/>
      <c r="D116" s="1789"/>
      <c r="E116" s="1789"/>
      <c r="F116" s="1835" t="str">
        <f>IF((AND(H111-H113-H115&lt;&gt;0)),"Line b(i) &amp; b(ii) do not sum to B total","")</f>
        <v/>
      </c>
      <c r="G116" s="1835"/>
      <c r="H116" s="1835"/>
      <c r="I116" s="127"/>
    </row>
    <row r="117" spans="1:11" ht="18" x14ac:dyDescent="0.25">
      <c r="A117" s="1216"/>
      <c r="B117" s="1213"/>
      <c r="C117" s="1213"/>
      <c r="D117" s="58"/>
      <c r="E117" s="58"/>
      <c r="F117" s="1214"/>
      <c r="G117" s="1214"/>
      <c r="H117" s="1214"/>
      <c r="I117" s="1217"/>
    </row>
    <row r="118" spans="1:11" ht="18.75" thickBot="1" x14ac:dyDescent="0.3">
      <c r="A118" s="1216"/>
      <c r="B118" s="1218" t="s">
        <v>3291</v>
      </c>
      <c r="C118" s="1213"/>
      <c r="D118" s="58"/>
      <c r="E118" s="58"/>
      <c r="F118" s="1214"/>
      <c r="G118" s="1214"/>
      <c r="H118" s="1214"/>
      <c r="I118" s="1217"/>
    </row>
    <row r="119" spans="1:11" ht="18.75" thickBot="1" x14ac:dyDescent="0.3">
      <c r="A119" s="1216"/>
      <c r="B119" s="313" t="s">
        <v>3292</v>
      </c>
      <c r="C119" s="1213"/>
      <c r="D119" s="58"/>
      <c r="E119" s="58"/>
      <c r="F119" s="1214"/>
      <c r="G119" s="1214"/>
      <c r="H119" s="550">
        <f>'Part 2'!AB124</f>
        <v>0</v>
      </c>
      <c r="I119" s="1217"/>
    </row>
    <row r="120" spans="1:11" ht="18" x14ac:dyDescent="0.25">
      <c r="A120" s="1216"/>
      <c r="B120" s="1213"/>
      <c r="C120" s="1213"/>
      <c r="D120" s="58"/>
      <c r="E120" s="58"/>
      <c r="F120" s="1214"/>
      <c r="G120" s="1214"/>
      <c r="H120" s="1214"/>
      <c r="I120" s="1217"/>
    </row>
    <row r="121" spans="1:11" ht="18.75" thickBot="1" x14ac:dyDescent="0.3">
      <c r="A121" s="1216"/>
      <c r="B121" s="1212" t="s">
        <v>719</v>
      </c>
      <c r="C121" s="1213"/>
      <c r="D121" s="58"/>
      <c r="E121" s="58"/>
      <c r="F121" s="1214"/>
      <c r="G121" s="1214"/>
      <c r="H121" s="1214"/>
      <c r="I121" s="1217"/>
      <c r="K121" s="1220" t="s">
        <v>3295</v>
      </c>
    </row>
    <row r="122" spans="1:11" ht="18.75" thickBot="1" x14ac:dyDescent="0.3">
      <c r="A122" s="1216"/>
      <c r="B122" s="1836" t="s">
        <v>3294</v>
      </c>
      <c r="C122" s="1836"/>
      <c r="D122" s="1836"/>
      <c r="E122" s="1836"/>
      <c r="F122" s="1214"/>
      <c r="G122" s="1214"/>
      <c r="H122" s="172">
        <v>0</v>
      </c>
      <c r="I122" s="1217"/>
      <c r="K122" s="692" t="e">
        <f>IF(OR(Import_LA_Code="E0701",Import_LA_Code="E0702"),1,0)</f>
        <v>#N/A</v>
      </c>
    </row>
    <row r="123" spans="1:11" ht="18" x14ac:dyDescent="0.25">
      <c r="A123" s="1216"/>
      <c r="B123" s="1836"/>
      <c r="C123" s="1836"/>
      <c r="D123" s="1836"/>
      <c r="E123" s="1836"/>
      <c r="F123" s="1214"/>
      <c r="G123" s="1214"/>
      <c r="H123" s="1214"/>
      <c r="I123" s="1217"/>
    </row>
    <row r="124" spans="1:11" ht="11.25" customHeight="1" thickBot="1" x14ac:dyDescent="0.3">
      <c r="A124" s="1216"/>
      <c r="B124" s="1213"/>
      <c r="C124" s="1213"/>
      <c r="D124" s="58"/>
      <c r="E124" s="58"/>
      <c r="F124" s="1214"/>
      <c r="G124" s="1214"/>
      <c r="H124" s="1214"/>
      <c r="I124" s="1217"/>
    </row>
    <row r="125" spans="1:11" ht="18.75" thickBot="1" x14ac:dyDescent="0.3">
      <c r="A125" s="1216"/>
      <c r="B125" s="1219" t="s">
        <v>3293</v>
      </c>
      <c r="C125" s="1213"/>
      <c r="D125" s="58"/>
      <c r="E125" s="58"/>
      <c r="F125" s="1214"/>
      <c r="G125" s="1214"/>
      <c r="H125" s="550">
        <f>H119-H122</f>
        <v>0</v>
      </c>
      <c r="I125" s="1217"/>
    </row>
    <row r="126" spans="1:11" ht="12.75" customHeight="1" x14ac:dyDescent="0.25">
      <c r="A126" s="1216"/>
      <c r="B126" s="1219"/>
      <c r="C126" s="1213"/>
      <c r="D126" s="58"/>
      <c r="E126" s="58"/>
      <c r="F126" s="1214"/>
      <c r="G126" s="1214"/>
      <c r="H126" s="1221"/>
      <c r="I126" s="1217"/>
    </row>
    <row r="127" spans="1:11" ht="26.25" customHeight="1" thickBot="1" x14ac:dyDescent="0.3">
      <c r="A127" s="118"/>
      <c r="B127" s="1833" t="s">
        <v>493</v>
      </c>
      <c r="C127" s="1655"/>
      <c r="D127" s="58"/>
      <c r="E127" s="58"/>
      <c r="F127" s="169"/>
      <c r="G127" s="169"/>
      <c r="H127" s="135"/>
      <c r="I127" s="127"/>
      <c r="K127" s="696"/>
    </row>
    <row r="128" spans="1:11" ht="21.75" customHeight="1" thickBot="1" x14ac:dyDescent="0.3">
      <c r="A128" s="118"/>
      <c r="B128" s="60" t="s">
        <v>494</v>
      </c>
      <c r="C128" s="60"/>
      <c r="D128" s="170"/>
      <c r="E128" s="170"/>
      <c r="F128" s="140"/>
      <c r="G128" s="140"/>
      <c r="H128" s="455"/>
      <c r="I128" s="127"/>
    </row>
    <row r="129" spans="1:9" ht="21" customHeight="1" thickBot="1" x14ac:dyDescent="0.25">
      <c r="A129" s="38"/>
      <c r="B129" s="60"/>
      <c r="C129" s="60"/>
      <c r="D129" s="170"/>
      <c r="E129" s="170"/>
      <c r="F129" s="135"/>
      <c r="G129" s="135"/>
      <c r="H129" s="686" t="str">
        <f>IF(H128="","Please complete this cell with a date","")</f>
        <v>Please complete this cell with a date</v>
      </c>
      <c r="I129" s="127"/>
    </row>
    <row r="130" spans="1:9" ht="15" x14ac:dyDescent="0.2">
      <c r="A130" s="1600" t="s">
        <v>509</v>
      </c>
      <c r="B130" s="34"/>
      <c r="C130" s="34"/>
      <c r="D130" s="34"/>
      <c r="E130" s="34"/>
      <c r="F130" s="34"/>
      <c r="G130" s="34"/>
      <c r="H130" s="34"/>
      <c r="I130" s="35"/>
    </row>
    <row r="131" spans="1:9" ht="15.75" thickBot="1" x14ac:dyDescent="0.25">
      <c r="A131" s="831"/>
      <c r="B131" s="687" t="str">
        <f>IF(K89=1,"Please check Part 1. There may be missing values","")</f>
        <v/>
      </c>
      <c r="H131" s="689" t="str">
        <f>IF(K127=1,"Please check Part 2. There may be missing values","")</f>
        <v/>
      </c>
      <c r="I131" s="37"/>
    </row>
    <row r="132" spans="1:9" ht="15" x14ac:dyDescent="0.2">
      <c r="A132" s="831"/>
      <c r="B132" s="1824"/>
      <c r="C132" s="1825"/>
      <c r="D132" s="1825"/>
      <c r="E132" s="1825"/>
      <c r="F132" s="1825"/>
      <c r="G132" s="1825"/>
      <c r="H132" s="1826"/>
      <c r="I132" s="37"/>
    </row>
    <row r="133" spans="1:9" ht="15" x14ac:dyDescent="0.2">
      <c r="A133" s="831"/>
      <c r="B133" s="1827"/>
      <c r="C133" s="1828"/>
      <c r="D133" s="1828"/>
      <c r="E133" s="1828"/>
      <c r="F133" s="1828"/>
      <c r="G133" s="1828"/>
      <c r="H133" s="1829"/>
      <c r="I133" s="37"/>
    </row>
    <row r="134" spans="1:9" ht="15" x14ac:dyDescent="0.2">
      <c r="A134" s="831"/>
      <c r="B134" s="1827"/>
      <c r="C134" s="1828"/>
      <c r="D134" s="1828"/>
      <c r="E134" s="1828"/>
      <c r="F134" s="1828"/>
      <c r="G134" s="1828"/>
      <c r="H134" s="1829"/>
      <c r="I134" s="37"/>
    </row>
    <row r="135" spans="1:9" ht="15" x14ac:dyDescent="0.2">
      <c r="A135" s="831"/>
      <c r="B135" s="1827"/>
      <c r="C135" s="1828"/>
      <c r="D135" s="1828"/>
      <c r="E135" s="1828"/>
      <c r="F135" s="1828"/>
      <c r="G135" s="1828"/>
      <c r="H135" s="1829"/>
      <c r="I135" s="37"/>
    </row>
    <row r="136" spans="1:9" ht="15" x14ac:dyDescent="0.2">
      <c r="A136" s="831"/>
      <c r="B136" s="1827"/>
      <c r="C136" s="1828"/>
      <c r="D136" s="1828"/>
      <c r="E136" s="1828"/>
      <c r="F136" s="1828"/>
      <c r="G136" s="1828"/>
      <c r="H136" s="1829"/>
      <c r="I136" s="37"/>
    </row>
    <row r="137" spans="1:9" ht="15" x14ac:dyDescent="0.2">
      <c r="A137" s="831"/>
      <c r="B137" s="1827"/>
      <c r="C137" s="1828"/>
      <c r="D137" s="1828"/>
      <c r="E137" s="1828"/>
      <c r="F137" s="1828"/>
      <c r="G137" s="1828"/>
      <c r="H137" s="1829"/>
      <c r="I137" s="37"/>
    </row>
    <row r="138" spans="1:9" ht="15" x14ac:dyDescent="0.2">
      <c r="A138" s="831"/>
      <c r="B138" s="1827"/>
      <c r="C138" s="1828"/>
      <c r="D138" s="1828"/>
      <c r="E138" s="1828"/>
      <c r="F138" s="1828"/>
      <c r="G138" s="1828"/>
      <c r="H138" s="1829"/>
      <c r="I138" s="37"/>
    </row>
    <row r="139" spans="1:9" ht="15" x14ac:dyDescent="0.2">
      <c r="A139" s="831"/>
      <c r="B139" s="1827"/>
      <c r="C139" s="1828"/>
      <c r="D139" s="1828"/>
      <c r="E139" s="1828"/>
      <c r="F139" s="1828"/>
      <c r="G139" s="1828"/>
      <c r="H139" s="1829"/>
      <c r="I139" s="37"/>
    </row>
    <row r="140" spans="1:9" ht="15.75" thickBot="1" x14ac:dyDescent="0.25">
      <c r="A140" s="831"/>
      <c r="B140" s="1830"/>
      <c r="C140" s="1831"/>
      <c r="D140" s="1831"/>
      <c r="E140" s="1831"/>
      <c r="F140" s="1831"/>
      <c r="G140" s="1831"/>
      <c r="H140" s="1832"/>
      <c r="I140" s="37"/>
    </row>
    <row r="141" spans="1:9" ht="15.75" thickBot="1" x14ac:dyDescent="0.25">
      <c r="A141" s="832"/>
      <c r="B141" s="38"/>
      <c r="C141" s="38"/>
      <c r="D141" s="38"/>
      <c r="E141" s="38"/>
      <c r="F141" s="38"/>
      <c r="G141" s="38"/>
      <c r="H141" s="38"/>
      <c r="I141" s="39"/>
    </row>
  </sheetData>
  <sheetProtection sheet="1" objects="1" scenarios="1"/>
  <dataConsolidate/>
  <mergeCells count="46">
    <mergeCell ref="B111:E111"/>
    <mergeCell ref="B113:E114"/>
    <mergeCell ref="B108:E109"/>
    <mergeCell ref="B132:H140"/>
    <mergeCell ref="B115:E116"/>
    <mergeCell ref="B127:C127"/>
    <mergeCell ref="F109:H109"/>
    <mergeCell ref="F116:H116"/>
    <mergeCell ref="B122:E123"/>
    <mergeCell ref="B95:E95"/>
    <mergeCell ref="B82:E83"/>
    <mergeCell ref="B79:E80"/>
    <mergeCell ref="C96:H96"/>
    <mergeCell ref="B106:F107"/>
    <mergeCell ref="B93:E93"/>
    <mergeCell ref="F87:I88"/>
    <mergeCell ref="B88:E88"/>
    <mergeCell ref="B84:E85"/>
    <mergeCell ref="B86:E87"/>
    <mergeCell ref="H80:H81"/>
    <mergeCell ref="F85:H85"/>
    <mergeCell ref="C16:D16"/>
    <mergeCell ref="B45:E45"/>
    <mergeCell ref="B26:E27"/>
    <mergeCell ref="B28:E29"/>
    <mergeCell ref="A2:I3"/>
    <mergeCell ref="B4:H5"/>
    <mergeCell ref="B8:H8"/>
    <mergeCell ref="B10:H11"/>
    <mergeCell ref="A9:I9"/>
    <mergeCell ref="B22:E22"/>
    <mergeCell ref="B7:H7"/>
    <mergeCell ref="C13:D13"/>
    <mergeCell ref="B33:E34"/>
    <mergeCell ref="C14:D14"/>
    <mergeCell ref="C15:D15"/>
    <mergeCell ref="B77:E78"/>
    <mergeCell ref="B47:E47"/>
    <mergeCell ref="C17:D17"/>
    <mergeCell ref="B72:E73"/>
    <mergeCell ref="B19:H20"/>
    <mergeCell ref="B52:E53"/>
    <mergeCell ref="B58:E59"/>
    <mergeCell ref="B56:E57"/>
    <mergeCell ref="B54:E55"/>
    <mergeCell ref="B50:E50"/>
  </mergeCells>
  <phoneticPr fontId="0" type="noConversion"/>
  <conditionalFormatting sqref="H122">
    <cfRule type="expression" dxfId="50" priority="1">
      <formula>$K$122=0</formula>
    </cfRule>
  </conditionalFormatting>
  <dataValidations count="20">
    <dataValidation type="decimal" allowBlank="1" showInputMessage="1" showErrorMessage="1" error="Can't be more than Row E" sqref="F98:G98" xr:uid="{00000000-0002-0000-0600-000000000000}">
      <formula1>0</formula1>
      <formula2>F95</formula2>
    </dataValidation>
    <dataValidation type="decimal" allowBlank="1" showInputMessage="1" showErrorMessage="1" error="Can't be more than row E" sqref="F102:G102" xr:uid="{00000000-0002-0000-0600-000001000000}">
      <formula1>0</formula1>
      <formula2>F95</formula2>
    </dataValidation>
    <dataValidation type="decimal" allowBlank="1" showInputMessage="1" showErrorMessage="1" error="Can't be more than row E" sqref="F104:G104" xr:uid="{00000000-0002-0000-0600-000002000000}">
      <formula1>0</formula1>
      <formula2>F95</formula2>
    </dataValidation>
    <dataValidation type="decimal" allowBlank="1" showInputMessage="1" showErrorMessage="1" error="Can't be more than row E" sqref="G106" xr:uid="{00000000-0002-0000-0600-000003000000}">
      <formula1>0</formula1>
      <formula2>G95</formula2>
    </dataValidation>
    <dataValidation type="textLength" operator="lessThan" allowBlank="1" showInputMessage="1" showErrorMessage="1" error="Please do not amend or delete this line" sqref="J25" xr:uid="{00000000-0002-0000-0600-000004000000}">
      <formula1>0</formula1>
    </dataValidation>
    <dataValidation type="custom" allowBlank="1" showInputMessage="1" showErrorMessage="1" error="Data entry not allowed" sqref="I111" xr:uid="{00000000-0002-0000-0600-000005000000}">
      <formula1>#REF!="n/a"</formula1>
    </dataValidation>
    <dataValidation type="custom" allowBlank="1" showInputMessage="1" showErrorMessage="1" error="Data entry not allowed" sqref="H111 H35 H79 H95" xr:uid="{00000000-0002-0000-0600-000006000000}">
      <formula1>"if(K108=""n/a"")"</formula1>
    </dataValidation>
    <dataValidation type="custom" allowBlank="1" showInputMessage="1" showErrorMessage="1" error="Do not overwrite" sqref="H78 H80:H81 I87:I88 F87:H88" xr:uid="{00000000-0002-0000-0600-000007000000}">
      <formula1>"if(K108=""n/a"")"</formula1>
    </dataValidation>
    <dataValidation type="whole" operator="greaterThanOrEqual" allowBlank="1" showInputMessage="1" showErrorMessage="1" errorTitle="Positive Entry required" sqref="H69 H48 H75 H73" xr:uid="{00000000-0002-0000-0600-00000C000000}">
      <formula1>0</formula1>
    </dataValidation>
    <dataValidation type="whole" operator="lessThanOrEqual" allowBlank="1" showInputMessage="1" showErrorMessage="1" errorTitle="Negative whole number required" error="This MUST be a negative whole number." sqref="H98 H102 H104 H115 H113 H108 H106" xr:uid="{00000000-0002-0000-0600-00000E000000}">
      <formula1>0</formula1>
    </dataValidation>
    <dataValidation type="whole" operator="lessThanOrEqual" allowBlank="1" showInputMessage="1" showErrorMessage="1" errorTitle="Negative whole number required" error="This MUST  be a negative whole number." sqref="H100" xr:uid="{00000000-0002-0000-0600-00000F000000}">
      <formula1>0</formula1>
    </dataValidation>
    <dataValidation type="date" allowBlank="1" showInputMessage="1" showErrorMessage="1" errorTitle="Valid date required" error="Date must be as close to 31 December 2023 as possible" sqref="H128" xr:uid="{7EF4B75A-AE93-42C4-994C-744904459A97}">
      <formula1>45261</formula1>
      <formula2>45323</formula2>
    </dataValidation>
    <dataValidation type="whole" operator="greaterThanOrEqual" allowBlank="1" showInputMessage="1" showErrorMessage="1" error="This value should be positive" sqref="H24 H26 H28 H31 H33 H37 H39 H41 H43 H45 H47 H50 H52 H54 H56 H58 H60 H62 H66 H68 H70 H72 H74 H77 H82 H84 H86" xr:uid="{B67241AD-1753-48AB-A232-A4F34BA7292B}">
      <formula1>0</formula1>
    </dataValidation>
    <dataValidation allowBlank="1" showInputMessage="1" showErrorMessage="1" prompt="This was line t in the 2023-24 form" sqref="B86:E87" xr:uid="{CEA95E73-FE96-4EEC-92E2-2B075B793F28}"/>
    <dataValidation allowBlank="1" showInputMessage="1" showErrorMessage="1" prompt="This was line s in the 2023-24 form" sqref="B79:E80" xr:uid="{85E56967-DD9F-4D4F-92D4-0710C5B8FCE3}"/>
    <dataValidation allowBlank="1" showInputMessage="1" showErrorMessage="1" prompt="This line wasnt in the 2023-24 form" sqref="B74" xr:uid="{C64815A0-7677-442B-91C2-0E5590FDCC01}"/>
    <dataValidation type="custom" allowBlank="1" showInputMessage="1" showErrorMessage="1" error="Data entry is not allowed in this cell" sqref="H119 H125:H126" xr:uid="{233F8622-91FD-4FDE-937B-9F89C16B0DB7}">
      <formula1>"AB1=""n/a"""</formula1>
    </dataValidation>
    <dataValidation type="whole" operator="lessThanOrEqual" allowBlank="1" showInputMessage="1" showErrorMessage="1" errorTitle="Negative whole number required" error="This MUST be a negative whole number." prompt="You only need to enter data in this cell if your authority has a Mayoral Development Corporation. This cell will be greyed out and the other cells in section c. calculated automatically for most authorities." sqref="H122" xr:uid="{9474DF99-0D97-47D8-B57E-EDA296E4C4A1}">
      <formula1>0</formula1>
    </dataValidation>
    <dataValidation allowBlank="1" showInputMessage="1" showErrorMessage="1" prompt="You only need to enter data in this cell if your authority has a Mayoral Development Corporation. This cell will be greyed out and the other cells in section c. calculated automatically for most authorities." sqref="B122:E123" xr:uid="{07FC6AEC-2F33-4CC3-A133-31D4AC3E5CCB}"/>
    <dataValidation allowBlank="1" showInputMessage="1" showErrorMessage="1" prompt="This was line r in the 2023-24 form" sqref="B77:E78" xr:uid="{C3113268-69E7-4F1D-B954-2AD5C067E035}"/>
  </dataValidations>
  <printOptions horizontalCentered="1" verticalCentered="1"/>
  <pageMargins left="0.39370078740157483" right="0.39370078740157483" top="0.39370078740157483" bottom="0.39370078740157483" header="0" footer="0"/>
  <pageSetup paperSize="9" scale="53" orientation="portrait" r:id="rId1"/>
  <headerFooter alignWithMargins="0">
    <oddFooter>Page &amp;P of &amp;N</oddFooter>
  </headerFooter>
  <rowBreaks count="1" manualBreakCount="1">
    <brk id="8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autoPageBreaks="0" fitToPage="1"/>
  </sheetPr>
  <dimension ref="A1:BQ68"/>
  <sheetViews>
    <sheetView showGridLines="0" zoomScale="90" zoomScaleNormal="90" workbookViewId="0"/>
  </sheetViews>
  <sheetFormatPr defaultColWidth="9.140625" defaultRowHeight="15" x14ac:dyDescent="0.2"/>
  <cols>
    <col min="1" max="1" width="3.7109375" style="26" customWidth="1"/>
    <col min="2" max="2" width="9.140625" style="26"/>
    <col min="3" max="3" width="60.42578125" style="26" customWidth="1"/>
    <col min="4" max="4" width="18.7109375" style="26" customWidth="1"/>
    <col min="5" max="5" width="15.7109375" style="26" customWidth="1"/>
    <col min="6" max="6" width="3.7109375" style="26" customWidth="1"/>
    <col min="7" max="7" width="16.7109375" style="26" bestFit="1" customWidth="1"/>
    <col min="8" max="8" width="9.28515625" style="26" bestFit="1" customWidth="1"/>
    <col min="9" max="9" width="3.7109375" style="26" customWidth="1"/>
    <col min="10" max="10" width="12.7109375" style="168" bestFit="1" customWidth="1"/>
    <col min="11" max="11" width="9.28515625" style="168" bestFit="1" customWidth="1"/>
    <col min="12" max="12" width="3.7109375" style="168" customWidth="1"/>
    <col min="13" max="13" width="22.28515625" style="168" customWidth="1"/>
    <col min="14" max="14" width="3.7109375" style="243" customWidth="1"/>
    <col min="15" max="15" width="50.7109375" style="242" customWidth="1"/>
    <col min="16" max="16" width="3.7109375" style="242" customWidth="1"/>
    <col min="17" max="17" width="0" style="242" hidden="1" customWidth="1"/>
    <col min="18" max="18" width="9.140625" style="242" hidden="1" customWidth="1"/>
    <col min="19" max="19" width="3.7109375" style="242" hidden="1" customWidth="1"/>
    <col min="20" max="26" width="9.140625" style="242" hidden="1" customWidth="1"/>
    <col min="27" max="27" width="11.140625" style="242" hidden="1" customWidth="1"/>
    <col min="28" max="52" width="9.140625" style="242" hidden="1" customWidth="1"/>
    <col min="53" max="55" width="9.140625" style="242" customWidth="1"/>
    <col min="56" max="69" width="9.140625" style="242"/>
    <col min="70" max="16384" width="9.140625" style="26"/>
  </cols>
  <sheetData>
    <row r="1" spans="1:21" s="242" customFormat="1" x14ac:dyDescent="0.2">
      <c r="A1" s="274"/>
      <c r="C1" s="275"/>
      <c r="D1" s="275"/>
      <c r="E1" s="275"/>
      <c r="F1" s="275"/>
      <c r="G1" s="275"/>
      <c r="H1" s="275"/>
      <c r="I1" s="275"/>
      <c r="J1" s="276"/>
      <c r="K1" s="276"/>
      <c r="L1" s="276"/>
      <c r="M1" s="276"/>
      <c r="N1" s="276"/>
      <c r="O1" s="275"/>
      <c r="P1" s="277"/>
      <c r="S1" s="246"/>
      <c r="T1" s="247"/>
    </row>
    <row r="2" spans="1:21" s="242" customFormat="1" ht="20.25" x14ac:dyDescent="0.3">
      <c r="A2" s="1130"/>
      <c r="B2" s="1131" t="s">
        <v>888</v>
      </c>
      <c r="J2" s="243"/>
      <c r="K2" s="243"/>
      <c r="L2" s="243"/>
      <c r="M2" s="243"/>
      <c r="N2" s="243"/>
      <c r="P2" s="957"/>
      <c r="S2" s="246"/>
      <c r="T2" s="247"/>
    </row>
    <row r="3" spans="1:21" s="242" customFormat="1" x14ac:dyDescent="0.2">
      <c r="A3" s="1130"/>
      <c r="J3" s="243"/>
      <c r="K3" s="243"/>
      <c r="L3" s="243"/>
      <c r="M3" s="243"/>
      <c r="N3" s="243"/>
      <c r="P3" s="957"/>
      <c r="S3" s="246"/>
      <c r="T3" s="247"/>
    </row>
    <row r="4" spans="1:21" s="242" customFormat="1" ht="15.75" x14ac:dyDescent="0.25">
      <c r="A4" s="1292"/>
      <c r="B4" s="958" t="e">
        <f>+CONCATENATE("Local authority : ",+'Part 1'!$K$15,"     ",+'Part 1'!$K$16)</f>
        <v>#N/A</v>
      </c>
      <c r="C4" s="400"/>
      <c r="D4" s="400"/>
      <c r="E4" s="400"/>
      <c r="F4" s="958"/>
      <c r="G4" s="400"/>
      <c r="H4" s="400"/>
      <c r="I4" s="400"/>
      <c r="J4" s="398"/>
      <c r="K4" s="398"/>
      <c r="L4" s="398"/>
      <c r="M4" s="398"/>
      <c r="N4" s="398"/>
      <c r="O4" s="400"/>
      <c r="P4" s="551"/>
      <c r="S4" s="248"/>
      <c r="T4" s="249"/>
      <c r="U4" s="399"/>
    </row>
    <row r="5" spans="1:21" s="242" customFormat="1" ht="15.75" x14ac:dyDescent="0.25">
      <c r="A5" s="1292"/>
      <c r="B5" s="958" t="str">
        <f>+CONCATENATE("Local authority contact name : ",+'Part 1'!K17)</f>
        <v xml:space="preserve">Local authority contact name : </v>
      </c>
      <c r="C5" s="400"/>
      <c r="D5" s="400"/>
      <c r="E5" s="400"/>
      <c r="F5" s="400"/>
      <c r="G5" s="400"/>
      <c r="H5" s="400"/>
      <c r="I5" s="400"/>
      <c r="J5" s="398"/>
      <c r="K5" s="398"/>
      <c r="L5" s="398"/>
      <c r="M5" s="398"/>
      <c r="N5" s="398"/>
      <c r="O5" s="400"/>
      <c r="P5" s="551"/>
      <c r="S5" s="250"/>
      <c r="T5" s="249"/>
    </row>
    <row r="6" spans="1:21" s="242" customFormat="1" ht="15.75" x14ac:dyDescent="0.25">
      <c r="A6" s="1292"/>
      <c r="B6" s="958" t="str">
        <f>+CONCATENATE("Local authority contact number : ",+'Part 1'!K18)</f>
        <v xml:space="preserve">Local authority contact number : </v>
      </c>
      <c r="C6" s="400"/>
      <c r="D6" s="400"/>
      <c r="E6" s="400"/>
      <c r="F6" s="400"/>
      <c r="G6" s="400"/>
      <c r="H6" s="400"/>
      <c r="I6" s="400"/>
      <c r="J6" s="398"/>
      <c r="K6" s="398"/>
      <c r="L6" s="398"/>
      <c r="M6" s="398"/>
      <c r="N6" s="398"/>
      <c r="O6" s="400"/>
      <c r="P6" s="551"/>
      <c r="S6" s="250"/>
      <c r="T6" s="249"/>
    </row>
    <row r="7" spans="1:21" s="242" customFormat="1" ht="15.75" x14ac:dyDescent="0.25">
      <c r="A7" s="1292"/>
      <c r="B7" s="958" t="str">
        <f>+CONCATENATE("Local authority contact email address : ",+'Part 1'!K19)</f>
        <v xml:space="preserve">Local authority contact email address : </v>
      </c>
      <c r="C7" s="400"/>
      <c r="D7" s="400"/>
      <c r="E7" s="400"/>
      <c r="F7" s="400"/>
      <c r="G7" s="400"/>
      <c r="H7" s="400"/>
      <c r="I7" s="400"/>
      <c r="J7" s="398"/>
      <c r="K7" s="398"/>
      <c r="L7" s="398"/>
      <c r="M7" s="398"/>
      <c r="N7" s="398"/>
      <c r="O7" s="400"/>
      <c r="P7" s="551"/>
      <c r="S7" s="250"/>
      <c r="T7" s="249"/>
    </row>
    <row r="8" spans="1:21" s="242" customFormat="1" ht="15.75" x14ac:dyDescent="0.25">
      <c r="A8" s="1292"/>
      <c r="B8" s="958"/>
      <c r="C8" s="400"/>
      <c r="D8" s="400"/>
      <c r="E8" s="400"/>
      <c r="F8" s="400"/>
      <c r="G8" s="400"/>
      <c r="H8" s="400"/>
      <c r="I8" s="400"/>
      <c r="J8" s="398"/>
      <c r="K8" s="398"/>
      <c r="L8" s="398"/>
      <c r="M8" s="398"/>
      <c r="N8" s="398"/>
      <c r="O8" s="400"/>
      <c r="P8" s="551"/>
      <c r="S8" s="250"/>
      <c r="T8" s="249"/>
    </row>
    <row r="9" spans="1:21" s="242" customFormat="1" x14ac:dyDescent="0.2">
      <c r="A9" s="1292"/>
      <c r="B9" s="360" t="s">
        <v>246</v>
      </c>
      <c r="C9" s="360"/>
      <c r="D9" s="400"/>
      <c r="E9" s="400"/>
      <c r="F9" s="400"/>
      <c r="G9" s="400"/>
      <c r="H9" s="400"/>
      <c r="I9" s="400"/>
      <c r="J9" s="398"/>
      <c r="K9" s="398"/>
      <c r="L9" s="398"/>
      <c r="M9" s="398"/>
      <c r="N9" s="398"/>
      <c r="O9" s="400"/>
      <c r="P9" s="551"/>
      <c r="S9" s="250"/>
      <c r="T9" s="249"/>
    </row>
    <row r="10" spans="1:21" s="242" customFormat="1" x14ac:dyDescent="0.2">
      <c r="A10" s="1292"/>
      <c r="B10" s="360" t="s">
        <v>2813</v>
      </c>
      <c r="C10" s="360"/>
      <c r="D10" s="400"/>
      <c r="E10" s="400"/>
      <c r="F10" s="400"/>
      <c r="G10" s="400"/>
      <c r="H10" s="400"/>
      <c r="I10" s="400"/>
      <c r="J10" s="398"/>
      <c r="K10" s="398"/>
      <c r="L10" s="398"/>
      <c r="M10" s="398"/>
      <c r="N10" s="398"/>
      <c r="O10" s="400"/>
      <c r="P10" s="551"/>
      <c r="S10" s="250"/>
      <c r="T10" s="249"/>
    </row>
    <row r="11" spans="1:21" ht="15.75" x14ac:dyDescent="0.25">
      <c r="A11" s="1292"/>
      <c r="B11" s="400"/>
      <c r="C11" s="958"/>
      <c r="D11" s="400"/>
      <c r="E11" s="400"/>
      <c r="F11" s="400"/>
      <c r="G11" s="400"/>
      <c r="H11" s="400"/>
      <c r="I11" s="400"/>
      <c r="J11" s="398"/>
      <c r="K11" s="398"/>
      <c r="L11" s="398"/>
      <c r="M11" s="398"/>
      <c r="N11" s="398"/>
      <c r="O11" s="400"/>
      <c r="P11" s="551"/>
      <c r="S11" s="250"/>
      <c r="T11" s="249"/>
    </row>
    <row r="12" spans="1:21" ht="15.75" customHeight="1" x14ac:dyDescent="0.2">
      <c r="A12" s="1292"/>
      <c r="B12" s="1837" t="s">
        <v>2322</v>
      </c>
      <c r="C12" s="1837"/>
      <c r="D12" s="1837"/>
      <c r="E12" s="1837"/>
      <c r="F12" s="1837"/>
      <c r="G12" s="1837"/>
      <c r="H12" s="1837"/>
      <c r="I12" s="1837"/>
      <c r="J12" s="1837"/>
      <c r="K12" s="1837"/>
      <c r="L12" s="1837"/>
      <c r="M12" s="1837"/>
      <c r="N12" s="1837"/>
      <c r="O12" s="1837"/>
      <c r="P12" s="1293"/>
      <c r="S12" s="250"/>
      <c r="T12" s="249"/>
    </row>
    <row r="13" spans="1:21" ht="15.75" customHeight="1" x14ac:dyDescent="0.2">
      <c r="A13" s="1292"/>
      <c r="B13" s="1837"/>
      <c r="C13" s="1837"/>
      <c r="D13" s="1837"/>
      <c r="E13" s="1837"/>
      <c r="F13" s="1837"/>
      <c r="G13" s="1837"/>
      <c r="H13" s="1837"/>
      <c r="I13" s="1837"/>
      <c r="J13" s="1837"/>
      <c r="K13" s="1837"/>
      <c r="L13" s="1837"/>
      <c r="M13" s="1837"/>
      <c r="N13" s="1837"/>
      <c r="O13" s="1837"/>
      <c r="P13" s="1293"/>
      <c r="S13" s="250"/>
      <c r="T13" s="249"/>
    </row>
    <row r="14" spans="1:21" ht="15.75" x14ac:dyDescent="0.25">
      <c r="A14" s="1292"/>
      <c r="B14" s="9"/>
      <c r="C14" s="958"/>
      <c r="D14" s="400"/>
      <c r="E14" s="400"/>
      <c r="F14" s="400"/>
      <c r="G14" s="400"/>
      <c r="H14" s="400"/>
      <c r="I14" s="400"/>
      <c r="J14" s="398"/>
      <c r="K14" s="398"/>
      <c r="L14" s="398"/>
      <c r="M14" s="398"/>
      <c r="N14" s="398"/>
      <c r="O14" s="400"/>
      <c r="P14" s="1293"/>
      <c r="S14" s="250"/>
      <c r="T14" s="249"/>
    </row>
    <row r="15" spans="1:21" ht="15.75" x14ac:dyDescent="0.25">
      <c r="A15" s="1292"/>
      <c r="B15" s="400" t="s">
        <v>2323</v>
      </c>
      <c r="C15" s="958"/>
      <c r="D15" s="400"/>
      <c r="E15" s="400"/>
      <c r="F15" s="400"/>
      <c r="G15" s="400"/>
      <c r="H15" s="400"/>
      <c r="I15" s="400"/>
      <c r="J15" s="398"/>
      <c r="K15" s="398"/>
      <c r="L15" s="398"/>
      <c r="M15" s="398"/>
      <c r="N15" s="398"/>
      <c r="O15" s="400"/>
      <c r="P15" s="1293"/>
      <c r="S15" s="250"/>
      <c r="T15" s="249"/>
    </row>
    <row r="16" spans="1:21" ht="15.75" x14ac:dyDescent="0.25">
      <c r="A16" s="1292"/>
      <c r="B16" s="400"/>
      <c r="C16" s="958"/>
      <c r="D16" s="400"/>
      <c r="E16" s="400"/>
      <c r="F16" s="400"/>
      <c r="G16" s="400"/>
      <c r="H16" s="400"/>
      <c r="I16" s="400"/>
      <c r="J16" s="398"/>
      <c r="K16" s="398"/>
      <c r="L16" s="398"/>
      <c r="M16" s="398"/>
      <c r="N16" s="398"/>
      <c r="O16" s="400"/>
      <c r="P16" s="1293"/>
      <c r="S16" s="250"/>
      <c r="T16" s="249"/>
    </row>
    <row r="17" spans="1:29" ht="16.5" thickBot="1" x14ac:dyDescent="0.3">
      <c r="A17" s="1292"/>
      <c r="B17" s="400"/>
      <c r="C17" s="400"/>
      <c r="D17" s="1844" t="s">
        <v>840</v>
      </c>
      <c r="E17" s="1845"/>
      <c r="F17" s="1294"/>
      <c r="G17" s="1844" t="s">
        <v>842</v>
      </c>
      <c r="H17" s="1845"/>
      <c r="I17" s="1294"/>
      <c r="J17" s="1844" t="s">
        <v>841</v>
      </c>
      <c r="K17" s="1845"/>
      <c r="L17" s="1294"/>
      <c r="M17" s="398"/>
      <c r="N17" s="398"/>
      <c r="O17" s="400"/>
      <c r="P17" s="551"/>
      <c r="S17" s="250"/>
      <c r="T17" s="249"/>
    </row>
    <row r="18" spans="1:29" ht="16.5" thickBot="1" x14ac:dyDescent="0.3">
      <c r="A18" s="1292"/>
      <c r="B18" s="398" t="s">
        <v>877</v>
      </c>
      <c r="C18" s="400"/>
      <c r="D18" s="291" t="s">
        <v>939</v>
      </c>
      <c r="E18" s="291" t="s">
        <v>2812</v>
      </c>
      <c r="F18" s="1295"/>
      <c r="G18" s="1295" t="s">
        <v>876</v>
      </c>
      <c r="H18" s="1295" t="s">
        <v>247</v>
      </c>
      <c r="I18" s="1295"/>
      <c r="J18" s="1295" t="s">
        <v>876</v>
      </c>
      <c r="K18" s="1295" t="s">
        <v>247</v>
      </c>
      <c r="L18" s="1295"/>
      <c r="M18" s="89"/>
      <c r="N18" s="398"/>
      <c r="O18" s="416" t="s">
        <v>924</v>
      </c>
      <c r="P18" s="551"/>
      <c r="S18" s="250"/>
      <c r="T18" s="273"/>
      <c r="U18" s="273"/>
      <c r="V18" s="273"/>
      <c r="W18" s="273"/>
      <c r="X18" s="273"/>
      <c r="Y18" s="273"/>
      <c r="Z18" s="273"/>
      <c r="AA18" s="400" t="s">
        <v>1332</v>
      </c>
    </row>
    <row r="19" spans="1:29" ht="16.5" thickBot="1" x14ac:dyDescent="0.25">
      <c r="A19" s="1292"/>
      <c r="B19" s="1296">
        <v>1</v>
      </c>
      <c r="C19" s="386" t="s">
        <v>875</v>
      </c>
      <c r="D19" s="1297" t="e">
        <f>INDEX(Data!E:E,MATCH(Import_LA_Code,Ref_LA_Codes,0))</f>
        <v>#N/A</v>
      </c>
      <c r="E19" s="1297">
        <f>+'Part 2'!$AB$18</f>
        <v>0</v>
      </c>
      <c r="F19" s="1297"/>
      <c r="G19" s="1297" t="e">
        <f>+E19-D19</f>
        <v>#N/A</v>
      </c>
      <c r="H19" s="1298" t="e">
        <f>IF(AND(D19=0,E19=0),0,IF(AND(D19=0,E19&lt;&gt;0),1,G19/ABS((D19))))</f>
        <v>#N/A</v>
      </c>
      <c r="I19" s="1299"/>
      <c r="J19" s="1300">
        <v>0</v>
      </c>
      <c r="K19" s="1298">
        <v>0.02</v>
      </c>
      <c r="L19" s="1298"/>
      <c r="M19" s="1301" t="e">
        <f>IF(O19&lt;&gt;"","Comment made", IF(AND(ABS(H19)&gt;K19,ABS(G19)&gt;J19),"Please comment","OK"))</f>
        <v>#N/A</v>
      </c>
      <c r="N19" s="1302"/>
      <c r="O19" s="470"/>
      <c r="P19" s="267" t="str">
        <f>+IF(R19+S19=2,"!","")</f>
        <v/>
      </c>
      <c r="T19" s="273"/>
      <c r="U19" s="273"/>
      <c r="V19" s="273"/>
      <c r="W19" s="273"/>
      <c r="X19" s="273"/>
      <c r="Y19" s="273" t="e">
        <f>IF(M19="OK",0,1)</f>
        <v>#N/A</v>
      </c>
      <c r="Z19" s="273"/>
      <c r="AA19" s="242">
        <v>0</v>
      </c>
      <c r="AB19" s="242">
        <v>0.02</v>
      </c>
      <c r="AC19" s="242">
        <f>IF(AND(J19=AA19,K19=AB19),0,1)</f>
        <v>0</v>
      </c>
    </row>
    <row r="20" spans="1:29" ht="15.75" x14ac:dyDescent="0.2">
      <c r="A20" s="1292"/>
      <c r="B20" s="1303"/>
      <c r="C20" s="269"/>
      <c r="D20" s="847"/>
      <c r="E20" s="847"/>
      <c r="F20" s="847"/>
      <c r="G20" s="847"/>
      <c r="H20" s="296"/>
      <c r="I20" s="297"/>
      <c r="J20" s="1304"/>
      <c r="K20" s="296"/>
      <c r="L20" s="296"/>
      <c r="M20" s="268"/>
      <c r="N20" s="1303"/>
      <c r="O20" s="271"/>
      <c r="P20" s="1305"/>
      <c r="S20" s="250"/>
      <c r="T20" s="273"/>
      <c r="U20" s="273"/>
      <c r="V20" s="273"/>
      <c r="W20" s="273"/>
      <c r="X20" s="273"/>
      <c r="Y20" s="273"/>
      <c r="Z20" s="273"/>
    </row>
    <row r="21" spans="1:29" ht="16.5" thickBot="1" x14ac:dyDescent="0.3">
      <c r="A21" s="1292"/>
      <c r="B21" s="1303"/>
      <c r="C21" s="270" t="s">
        <v>879</v>
      </c>
      <c r="D21" s="291" t="s">
        <v>2380</v>
      </c>
      <c r="E21" s="291" t="s">
        <v>2812</v>
      </c>
      <c r="F21" s="847"/>
      <c r="G21" s="1295" t="s">
        <v>876</v>
      </c>
      <c r="H21" s="1295" t="s">
        <v>247</v>
      </c>
      <c r="I21" s="1295"/>
      <c r="J21" s="1295" t="s">
        <v>876</v>
      </c>
      <c r="K21" s="1295" t="s">
        <v>247</v>
      </c>
      <c r="L21" s="296"/>
      <c r="M21" s="268"/>
      <c r="N21" s="1303"/>
      <c r="O21" s="271"/>
      <c r="P21" s="1305"/>
      <c r="S21" s="250"/>
      <c r="T21" s="273"/>
      <c r="U21" s="273"/>
      <c r="V21" s="273"/>
      <c r="W21" s="273"/>
      <c r="X21" s="273"/>
      <c r="Y21" s="273"/>
      <c r="Z21" s="273"/>
    </row>
    <row r="22" spans="1:29" ht="15.75" x14ac:dyDescent="0.2">
      <c r="A22" s="1292"/>
      <c r="B22" s="1306">
        <v>2</v>
      </c>
      <c r="C22" s="385" t="s">
        <v>898</v>
      </c>
      <c r="D22" s="1307" t="e">
        <f>INDEX(Data!H:H,MATCH(Import_LA_Code,Ref_LA_Codes,0))</f>
        <v>#N/A</v>
      </c>
      <c r="E22" s="1307">
        <f>+'Part 2'!$AB$57</f>
        <v>0</v>
      </c>
      <c r="F22" s="1307"/>
      <c r="G22" s="1307" t="e">
        <f t="shared" ref="G22:G28" si="0">ABS(+E22-D22)</f>
        <v>#N/A</v>
      </c>
      <c r="H22" s="1308" t="e">
        <f t="shared" ref="H22:H28" si="1">IF(AND(D22=0,E22=0),0,IF(AND(D22=0,E22&lt;&gt;0),1,G22/ABS((D22))))</f>
        <v>#N/A</v>
      </c>
      <c r="I22" s="1309"/>
      <c r="J22" s="1310">
        <v>500000</v>
      </c>
      <c r="K22" s="1308">
        <v>0.05</v>
      </c>
      <c r="L22" s="1308"/>
      <c r="M22" s="1311" t="e">
        <f t="shared" ref="M22:M28" si="2">IF(O22&lt;&gt;"","Comment made", IF(AND(ABS(H22)&gt;K22,ABS(G22)&gt;J22),"Please comment","OK"))</f>
        <v>#N/A</v>
      </c>
      <c r="N22" s="1312"/>
      <c r="O22" s="471"/>
      <c r="P22" s="1305"/>
      <c r="S22" s="250"/>
      <c r="T22" s="273"/>
      <c r="U22" s="273"/>
      <c r="V22" s="273"/>
      <c r="W22" s="273"/>
      <c r="X22" s="273"/>
      <c r="Y22" s="273" t="e">
        <f t="shared" ref="Y22:Y44" si="3">IF(M22="OK",0,1)</f>
        <v>#N/A</v>
      </c>
      <c r="Z22" s="273"/>
      <c r="AA22" s="242">
        <v>500000</v>
      </c>
      <c r="AB22" s="242">
        <v>0.1</v>
      </c>
      <c r="AC22" s="242">
        <f t="shared" ref="AC22:AC28" si="4">IF(AND(J22=AA22,K22=AB22),0,1)</f>
        <v>1</v>
      </c>
    </row>
    <row r="23" spans="1:29" ht="15.75" x14ac:dyDescent="0.2">
      <c r="A23" s="1292"/>
      <c r="B23" s="1313">
        <v>3</v>
      </c>
      <c r="C23" s="269" t="s">
        <v>884</v>
      </c>
      <c r="D23" s="847" t="e">
        <f>INDEX(Data!K:K,MATCH(Import_LA_Code,Ref_LA_Codes,0))</f>
        <v>#N/A</v>
      </c>
      <c r="E23" s="847">
        <f>+'Part 2'!$AB$63</f>
        <v>0</v>
      </c>
      <c r="F23" s="847"/>
      <c r="G23" s="847" t="e">
        <f t="shared" si="0"/>
        <v>#N/A</v>
      </c>
      <c r="H23" s="296" t="e">
        <f t="shared" si="1"/>
        <v>#N/A</v>
      </c>
      <c r="I23" s="297"/>
      <c r="J23" s="1304">
        <v>0</v>
      </c>
      <c r="K23" s="296">
        <v>0.1</v>
      </c>
      <c r="L23" s="296"/>
      <c r="M23" s="1284" t="e">
        <f t="shared" si="2"/>
        <v>#N/A</v>
      </c>
      <c r="N23" s="1314"/>
      <c r="O23" s="472"/>
      <c r="P23" s="1305"/>
      <c r="T23" s="273"/>
      <c r="U23" s="273"/>
      <c r="V23" s="273"/>
      <c r="W23" s="273"/>
      <c r="X23" s="273"/>
      <c r="Y23" s="273" t="e">
        <f t="shared" si="3"/>
        <v>#N/A</v>
      </c>
      <c r="Z23" s="273"/>
      <c r="AA23" s="242">
        <v>0</v>
      </c>
      <c r="AB23" s="242">
        <v>0.15</v>
      </c>
      <c r="AC23" s="242">
        <f t="shared" si="4"/>
        <v>1</v>
      </c>
    </row>
    <row r="24" spans="1:29" ht="15.75" x14ac:dyDescent="0.2">
      <c r="A24" s="1292"/>
      <c r="B24" s="1313">
        <v>4</v>
      </c>
      <c r="C24" s="269" t="s">
        <v>885</v>
      </c>
      <c r="D24" s="847" t="e">
        <f>INDEX(Data!L:L,MATCH(Import_LA_Code,Ref_LA_Codes,0))</f>
        <v>#N/A</v>
      </c>
      <c r="E24" s="847">
        <f>+'Part 2'!$AB$66</f>
        <v>0</v>
      </c>
      <c r="F24" s="847"/>
      <c r="G24" s="847" t="e">
        <f t="shared" si="0"/>
        <v>#N/A</v>
      </c>
      <c r="H24" s="296" t="e">
        <f t="shared" si="1"/>
        <v>#N/A</v>
      </c>
      <c r="I24" s="297"/>
      <c r="J24" s="1304">
        <v>20000</v>
      </c>
      <c r="K24" s="296">
        <v>0.2</v>
      </c>
      <c r="L24" s="296"/>
      <c r="M24" s="1284" t="e">
        <f t="shared" si="2"/>
        <v>#N/A</v>
      </c>
      <c r="N24" s="1314"/>
      <c r="O24" s="472"/>
      <c r="P24" s="1305"/>
      <c r="T24" s="273"/>
      <c r="U24" s="273"/>
      <c r="V24" s="273"/>
      <c r="W24" s="273"/>
      <c r="X24" s="273"/>
      <c r="Y24" s="273" t="e">
        <f t="shared" si="3"/>
        <v>#N/A</v>
      </c>
      <c r="Z24" s="273"/>
      <c r="AA24" s="242">
        <v>20000</v>
      </c>
      <c r="AB24" s="242">
        <v>0.2</v>
      </c>
      <c r="AC24" s="242">
        <f t="shared" si="4"/>
        <v>0</v>
      </c>
    </row>
    <row r="25" spans="1:29" ht="18" x14ac:dyDescent="0.2">
      <c r="A25" s="1292"/>
      <c r="B25" s="1313">
        <v>5</v>
      </c>
      <c r="C25" s="269" t="s">
        <v>3320</v>
      </c>
      <c r="D25" s="847" t="e">
        <f>INDEX(Data!M:M,MATCH(Import_LA_Code,Ref_LA_Codes,0))+INDEX(Data!T:T,MATCH(Import_LA_Code,Ref_LA_Codes,0))+INDEX(Data!AB:AB,MATCH(Import_LA_Code,Ref_LA_Codes,0))</f>
        <v>#N/A</v>
      </c>
      <c r="E25" s="847">
        <f>+'Part 2'!$AB$69</f>
        <v>0</v>
      </c>
      <c r="F25" s="847"/>
      <c r="G25" s="847" t="e">
        <f t="shared" si="0"/>
        <v>#N/A</v>
      </c>
      <c r="H25" s="296" t="e">
        <f t="shared" si="1"/>
        <v>#N/A</v>
      </c>
      <c r="I25" s="297"/>
      <c r="J25" s="1304">
        <v>10000</v>
      </c>
      <c r="K25" s="296">
        <v>0.1</v>
      </c>
      <c r="L25" s="296"/>
      <c r="M25" s="1284" t="e">
        <f t="shared" si="2"/>
        <v>#N/A</v>
      </c>
      <c r="N25" s="1314"/>
      <c r="O25" s="472"/>
      <c r="P25" s="1305"/>
      <c r="T25" s="273"/>
      <c r="U25" s="273"/>
      <c r="V25" s="273"/>
      <c r="W25" s="273"/>
      <c r="X25" s="273"/>
      <c r="Y25" s="273" t="e">
        <f t="shared" si="3"/>
        <v>#N/A</v>
      </c>
      <c r="Z25" s="273"/>
      <c r="AA25" s="242">
        <v>5000</v>
      </c>
      <c r="AB25" s="242">
        <v>0.15</v>
      </c>
      <c r="AC25" s="242">
        <f t="shared" si="4"/>
        <v>1</v>
      </c>
    </row>
    <row r="26" spans="1:29" ht="15.75" x14ac:dyDescent="0.2">
      <c r="A26" s="1292"/>
      <c r="B26" s="1313">
        <v>6</v>
      </c>
      <c r="C26" s="269" t="s">
        <v>2424</v>
      </c>
      <c r="D26" s="847" t="e">
        <f>INDEX(Data!N:N,MATCH(Import_LA_Code,Ref_LA_Codes,0))</f>
        <v>#N/A</v>
      </c>
      <c r="E26" s="847">
        <f>'Part 2'!AB72</f>
        <v>0</v>
      </c>
      <c r="F26" s="847"/>
      <c r="G26" s="847" t="e">
        <f t="shared" ref="G26" si="5">ABS(+E26-D26)</f>
        <v>#N/A</v>
      </c>
      <c r="H26" s="296" t="e">
        <f t="shared" ref="H26" si="6">IF(AND(D26=0,E26=0),0,IF(AND(D26=0,E26&lt;&gt;0),1,G26/ABS((D26))))</f>
        <v>#N/A</v>
      </c>
      <c r="I26" s="297"/>
      <c r="J26" s="1304">
        <v>5000</v>
      </c>
      <c r="K26" s="296">
        <v>0.15</v>
      </c>
      <c r="L26" s="296"/>
      <c r="M26" s="1284" t="e">
        <f t="shared" si="2"/>
        <v>#N/A</v>
      </c>
      <c r="N26" s="1314"/>
      <c r="O26" s="472"/>
      <c r="P26" s="1315"/>
      <c r="T26" s="273"/>
      <c r="U26" s="273"/>
      <c r="V26" s="273"/>
      <c r="W26" s="273"/>
      <c r="X26" s="273"/>
      <c r="Y26" s="273" t="e">
        <f t="shared" si="3"/>
        <v>#N/A</v>
      </c>
      <c r="Z26" s="273"/>
      <c r="AA26" s="242">
        <v>5000</v>
      </c>
      <c r="AB26" s="242">
        <v>0.1</v>
      </c>
      <c r="AC26" s="242">
        <f t="shared" si="4"/>
        <v>1</v>
      </c>
    </row>
    <row r="27" spans="1:29" ht="15.75" x14ac:dyDescent="0.2">
      <c r="A27" s="1292"/>
      <c r="B27" s="1313">
        <v>7</v>
      </c>
      <c r="C27" s="269" t="s">
        <v>886</v>
      </c>
      <c r="D27" s="847" t="e">
        <f>INDEX(Data!O:O,MATCH(Import_LA_Code,Ref_LA_Codes,0))</f>
        <v>#N/A</v>
      </c>
      <c r="E27" s="847">
        <f>+'Part 2'!$AB$93</f>
        <v>0</v>
      </c>
      <c r="F27" s="847"/>
      <c r="G27" s="847" t="e">
        <f t="shared" si="0"/>
        <v>#N/A</v>
      </c>
      <c r="H27" s="296" t="e">
        <f t="shared" si="1"/>
        <v>#N/A</v>
      </c>
      <c r="I27" s="297"/>
      <c r="J27" s="1304">
        <v>75000</v>
      </c>
      <c r="K27" s="296">
        <v>0.2</v>
      </c>
      <c r="L27" s="296"/>
      <c r="M27" s="1284" t="e">
        <f t="shared" si="2"/>
        <v>#N/A</v>
      </c>
      <c r="N27" s="1314"/>
      <c r="O27" s="472"/>
      <c r="P27" s="1305"/>
      <c r="T27" s="273"/>
      <c r="U27" s="273"/>
      <c r="V27" s="273"/>
      <c r="W27" s="273"/>
      <c r="X27" s="273"/>
      <c r="Y27" s="273" t="e">
        <f t="shared" si="3"/>
        <v>#N/A</v>
      </c>
      <c r="Z27" s="273"/>
      <c r="AA27" s="242">
        <v>100000</v>
      </c>
      <c r="AB27" s="242">
        <v>0.2</v>
      </c>
      <c r="AC27" s="242">
        <f t="shared" si="4"/>
        <v>1</v>
      </c>
    </row>
    <row r="28" spans="1:29" ht="16.5" thickBot="1" x14ac:dyDescent="0.25">
      <c r="A28" s="1292"/>
      <c r="B28" s="1316">
        <v>8</v>
      </c>
      <c r="C28" s="1317" t="s">
        <v>887</v>
      </c>
      <c r="D28" s="1318" t="e">
        <f>INDEX(Data!P:P,MATCH(Import_LA_Code,Ref_LA_Codes,0))</f>
        <v>#N/A</v>
      </c>
      <c r="E28" s="1318">
        <f>+'Part 2'!$AB$96</f>
        <v>0</v>
      </c>
      <c r="F28" s="1318"/>
      <c r="G28" s="1318" t="e">
        <f t="shared" si="0"/>
        <v>#N/A</v>
      </c>
      <c r="H28" s="1319" t="e">
        <f t="shared" si="1"/>
        <v>#N/A</v>
      </c>
      <c r="I28" s="1320"/>
      <c r="J28" s="1321">
        <v>750000</v>
      </c>
      <c r="K28" s="1319">
        <v>0.25</v>
      </c>
      <c r="L28" s="1319"/>
      <c r="M28" s="1286" t="e">
        <f t="shared" si="2"/>
        <v>#N/A</v>
      </c>
      <c r="N28" s="1322"/>
      <c r="O28" s="473"/>
      <c r="P28" s="1305"/>
      <c r="T28" s="273"/>
      <c r="U28" s="273"/>
      <c r="V28" s="273"/>
      <c r="W28" s="273"/>
      <c r="X28" s="273"/>
      <c r="Y28" s="273" t="e">
        <f t="shared" si="3"/>
        <v>#N/A</v>
      </c>
      <c r="Z28" s="273"/>
      <c r="AA28" s="242">
        <v>500000</v>
      </c>
      <c r="AB28" s="242">
        <v>0.25</v>
      </c>
      <c r="AC28" s="242">
        <f t="shared" si="4"/>
        <v>1</v>
      </c>
    </row>
    <row r="29" spans="1:29" ht="18" x14ac:dyDescent="0.2">
      <c r="A29" s="1292"/>
      <c r="B29" s="269" t="s">
        <v>3319</v>
      </c>
      <c r="C29" s="269"/>
      <c r="D29" s="847"/>
      <c r="E29" s="847"/>
      <c r="F29" s="847"/>
      <c r="G29" s="637"/>
      <c r="H29" s="1323"/>
      <c r="I29" s="637"/>
      <c r="J29" s="1303"/>
      <c r="K29" s="1303"/>
      <c r="L29" s="1303"/>
      <c r="M29" s="268"/>
      <c r="N29" s="1303"/>
      <c r="O29" s="271"/>
      <c r="P29" s="1305"/>
      <c r="T29" s="273"/>
      <c r="U29" s="273"/>
      <c r="V29" s="273"/>
      <c r="W29" s="273"/>
      <c r="X29" s="273"/>
      <c r="Y29" s="273"/>
      <c r="Z29" s="273"/>
    </row>
    <row r="30" spans="1:29" ht="15.75" x14ac:dyDescent="0.2">
      <c r="A30" s="1324"/>
      <c r="B30" s="1303"/>
      <c r="C30" s="269"/>
      <c r="D30" s="847"/>
      <c r="E30" s="847"/>
      <c r="F30" s="847"/>
      <c r="G30" s="637"/>
      <c r="H30" s="1323"/>
      <c r="I30" s="637"/>
      <c r="J30" s="1303"/>
      <c r="K30" s="1303"/>
      <c r="L30" s="1303"/>
      <c r="M30" s="268"/>
      <c r="N30" s="1303"/>
      <c r="O30" s="271"/>
      <c r="P30" s="1325"/>
      <c r="T30" s="273"/>
      <c r="U30" s="273"/>
      <c r="V30" s="273"/>
      <c r="W30" s="273"/>
      <c r="X30" s="273"/>
      <c r="Y30" s="273"/>
      <c r="Z30" s="273"/>
    </row>
    <row r="31" spans="1:29" ht="16.5" thickBot="1" x14ac:dyDescent="0.3">
      <c r="A31" s="1292"/>
      <c r="B31" s="1303"/>
      <c r="C31" s="270" t="s">
        <v>880</v>
      </c>
      <c r="D31" s="291" t="s">
        <v>2380</v>
      </c>
      <c r="E31" s="291" t="s">
        <v>2812</v>
      </c>
      <c r="F31" s="847"/>
      <c r="G31" s="1295" t="s">
        <v>876</v>
      </c>
      <c r="H31" s="1295" t="s">
        <v>247</v>
      </c>
      <c r="I31" s="1295"/>
      <c r="J31" s="1295" t="s">
        <v>876</v>
      </c>
      <c r="K31" s="1295" t="s">
        <v>247</v>
      </c>
      <c r="L31" s="1303"/>
      <c r="M31" s="268"/>
      <c r="N31" s="1303"/>
      <c r="O31" s="271"/>
      <c r="P31" s="1305"/>
      <c r="T31" s="273"/>
      <c r="U31" s="273"/>
      <c r="V31" s="273"/>
      <c r="W31" s="273"/>
      <c r="X31" s="273"/>
      <c r="Y31" s="273"/>
      <c r="Z31" s="273"/>
    </row>
    <row r="32" spans="1:29" ht="15.75" x14ac:dyDescent="0.2">
      <c r="A32" s="1292"/>
      <c r="B32" s="1306">
        <f>+B28+1</f>
        <v>9</v>
      </c>
      <c r="C32" s="385" t="s">
        <v>884</v>
      </c>
      <c r="D32" s="1307" t="e">
        <f>INDEX(Data!Q:Q,MATCH(Import_LA_Code,Ref_LA_Codes,0))</f>
        <v>#N/A</v>
      </c>
      <c r="E32" s="1307">
        <f>+'Part 2'!$AB$112</f>
        <v>0</v>
      </c>
      <c r="F32" s="1307"/>
      <c r="G32" s="1307" t="e">
        <f>ABS(+E32-D32)</f>
        <v>#N/A</v>
      </c>
      <c r="H32" s="1308" t="e">
        <f t="shared" ref="H32:H38" si="7">IF(AND(D32=0,E32=0),0,IF(AND(D32=0,E32&lt;&gt;0),1,G32/ABS((D32))))</f>
        <v>#N/A</v>
      </c>
      <c r="I32" s="1309"/>
      <c r="J32" s="1310">
        <v>50000</v>
      </c>
      <c r="K32" s="1308">
        <v>0.25</v>
      </c>
      <c r="L32" s="1308"/>
      <c r="M32" s="1311" t="e">
        <f t="shared" ref="M32:M38" si="8">IF(O32&lt;&gt;"","Comment made", IF(AND(ABS(H32)&gt;K32,ABS(G32)&gt;J32),"Please comment","OK"))</f>
        <v>#N/A</v>
      </c>
      <c r="N32" s="1312"/>
      <c r="O32" s="471"/>
      <c r="P32" s="1305"/>
      <c r="T32" s="273"/>
      <c r="U32" s="273"/>
      <c r="V32" s="273"/>
      <c r="W32" s="273"/>
      <c r="X32" s="273"/>
      <c r="Y32" s="273" t="e">
        <f t="shared" si="3"/>
        <v>#N/A</v>
      </c>
      <c r="Z32" s="273"/>
      <c r="AA32" s="242">
        <v>20000</v>
      </c>
      <c r="AB32" s="242">
        <v>0.25</v>
      </c>
      <c r="AC32" s="242">
        <f t="shared" ref="AC32:AC38" si="9">IF(AND(J32=AA32,K32=AB32),0,1)</f>
        <v>1</v>
      </c>
    </row>
    <row r="33" spans="1:69" ht="15.75" x14ac:dyDescent="0.2">
      <c r="A33" s="1292"/>
      <c r="B33" s="1313">
        <f>+B32+1</f>
        <v>10</v>
      </c>
      <c r="C33" s="269" t="s">
        <v>881</v>
      </c>
      <c r="D33" s="847" t="e">
        <f>INDEX(Data!R:R,MATCH(Import_LA_Code,Ref_LA_Codes,0))</f>
        <v>#N/A</v>
      </c>
      <c r="E33" s="847">
        <f>+'Part 2'!$AB$115</f>
        <v>0</v>
      </c>
      <c r="F33" s="847"/>
      <c r="G33" s="847" t="e">
        <f>ABS(+E33-D33)</f>
        <v>#N/A</v>
      </c>
      <c r="H33" s="296" t="e">
        <f t="shared" si="7"/>
        <v>#N/A</v>
      </c>
      <c r="I33" s="297"/>
      <c r="J33" s="1304">
        <v>50000</v>
      </c>
      <c r="K33" s="296">
        <v>0.25</v>
      </c>
      <c r="L33" s="296"/>
      <c r="M33" s="1284" t="e">
        <f t="shared" si="8"/>
        <v>#N/A</v>
      </c>
      <c r="N33" s="1314"/>
      <c r="O33" s="472"/>
      <c r="P33" s="1305"/>
      <c r="T33" s="273"/>
      <c r="U33" s="273"/>
      <c r="V33" s="273"/>
      <c r="W33" s="273"/>
      <c r="X33" s="273"/>
      <c r="Y33" s="273" t="e">
        <f t="shared" si="3"/>
        <v>#N/A</v>
      </c>
      <c r="Z33" s="273"/>
      <c r="AA33" s="242">
        <v>50000</v>
      </c>
      <c r="AB33" s="242">
        <v>0.25</v>
      </c>
      <c r="AC33" s="242">
        <f t="shared" si="9"/>
        <v>0</v>
      </c>
    </row>
    <row r="34" spans="1:69" ht="15.75" x14ac:dyDescent="0.2">
      <c r="A34" s="1292"/>
      <c r="B34" s="1313">
        <f t="shared" ref="B34:B39" si="10">+B33+1</f>
        <v>11</v>
      </c>
      <c r="C34" s="269" t="s">
        <v>878</v>
      </c>
      <c r="D34" s="847" t="e">
        <f>INDEX(Data!S:S,MATCH(Import_LA_Code,Ref_LA_Codes,0))</f>
        <v>#N/A</v>
      </c>
      <c r="E34" s="847">
        <f>+'Part 2'!$AB$118</f>
        <v>0</v>
      </c>
      <c r="F34" s="847"/>
      <c r="G34" s="847" t="e">
        <f>ABS(+E34-D34)</f>
        <v>#N/A</v>
      </c>
      <c r="H34" s="296" t="e">
        <f t="shared" si="7"/>
        <v>#N/A</v>
      </c>
      <c r="I34" s="297"/>
      <c r="J34" s="1304">
        <v>5000</v>
      </c>
      <c r="K34" s="296">
        <v>0.25</v>
      </c>
      <c r="L34" s="296"/>
      <c r="M34" s="1284" t="e">
        <f t="shared" si="8"/>
        <v>#N/A</v>
      </c>
      <c r="N34" s="1314"/>
      <c r="O34" s="472"/>
      <c r="P34" s="1305"/>
      <c r="T34" s="273"/>
      <c r="U34" s="273"/>
      <c r="V34" s="273"/>
      <c r="W34" s="273"/>
      <c r="X34" s="273"/>
      <c r="Y34" s="273" t="e">
        <f t="shared" si="3"/>
        <v>#N/A</v>
      </c>
      <c r="Z34" s="273"/>
      <c r="AA34" s="242">
        <v>5000</v>
      </c>
      <c r="AB34" s="242">
        <v>0.25</v>
      </c>
      <c r="AC34" s="242">
        <f t="shared" si="9"/>
        <v>0</v>
      </c>
    </row>
    <row r="35" spans="1:69" ht="15.75" x14ac:dyDescent="0.2">
      <c r="A35" s="1292"/>
      <c r="B35" s="1313">
        <f>+B34+1</f>
        <v>12</v>
      </c>
      <c r="C35" s="269" t="s">
        <v>882</v>
      </c>
      <c r="D35" s="847" t="e">
        <f>INDEX(Data!U:U,MATCH(Import_LA_Code,Ref_LA_Codes,0))</f>
        <v>#N/A</v>
      </c>
      <c r="E35" s="847">
        <f>+'Part 2'!$AB$121</f>
        <v>0</v>
      </c>
      <c r="F35" s="847"/>
      <c r="G35" s="847" t="e">
        <f t="shared" ref="G35:G38" si="11">ABS(+E35-D35)</f>
        <v>#N/A</v>
      </c>
      <c r="H35" s="296" t="e">
        <f t="shared" si="7"/>
        <v>#N/A</v>
      </c>
      <c r="I35" s="297"/>
      <c r="J35" s="1304">
        <v>5000</v>
      </c>
      <c r="K35" s="296">
        <v>0.25</v>
      </c>
      <c r="L35" s="296"/>
      <c r="M35" s="1284" t="e">
        <f t="shared" si="8"/>
        <v>#N/A</v>
      </c>
      <c r="N35" s="1314"/>
      <c r="O35" s="472"/>
      <c r="P35" s="1305"/>
      <c r="T35" s="273"/>
      <c r="U35" s="273"/>
      <c r="V35" s="273"/>
      <c r="W35" s="273"/>
      <c r="X35" s="273"/>
      <c r="Y35" s="273" t="e">
        <f t="shared" si="3"/>
        <v>#N/A</v>
      </c>
      <c r="Z35" s="273"/>
      <c r="AA35" s="242">
        <v>5000</v>
      </c>
      <c r="AB35" s="242">
        <v>0.25</v>
      </c>
      <c r="AC35" s="242">
        <f t="shared" si="9"/>
        <v>0</v>
      </c>
    </row>
    <row r="36" spans="1:69" ht="15.75" x14ac:dyDescent="0.2">
      <c r="A36" s="1292"/>
      <c r="B36" s="1313">
        <f t="shared" si="10"/>
        <v>13</v>
      </c>
      <c r="C36" s="269" t="s">
        <v>883</v>
      </c>
      <c r="D36" s="847" t="e">
        <f>INDEX(Data!V:V,MATCH(Import_LA_Code,Ref_LA_Codes,0))</f>
        <v>#N/A</v>
      </c>
      <c r="E36" s="847">
        <f>+'Part 2'!$AB$124</f>
        <v>0</v>
      </c>
      <c r="F36" s="847"/>
      <c r="G36" s="847" t="e">
        <f t="shared" si="11"/>
        <v>#N/A</v>
      </c>
      <c r="H36" s="296" t="e">
        <f t="shared" si="7"/>
        <v>#N/A</v>
      </c>
      <c r="I36" s="297"/>
      <c r="J36" s="1304">
        <v>100000</v>
      </c>
      <c r="K36" s="296">
        <v>0.25</v>
      </c>
      <c r="L36" s="296"/>
      <c r="M36" s="1284" t="e">
        <f t="shared" si="8"/>
        <v>#N/A</v>
      </c>
      <c r="N36" s="1314"/>
      <c r="O36" s="472"/>
      <c r="P36" s="1305"/>
      <c r="T36" s="273"/>
      <c r="U36" s="273"/>
      <c r="V36" s="273"/>
      <c r="W36" s="273"/>
      <c r="X36" s="273"/>
      <c r="Y36" s="273" t="e">
        <f t="shared" si="3"/>
        <v>#N/A</v>
      </c>
      <c r="Z36" s="273"/>
      <c r="AA36" s="242">
        <v>100000</v>
      </c>
      <c r="AB36" s="242">
        <v>0.25</v>
      </c>
      <c r="AC36" s="242">
        <f t="shared" si="9"/>
        <v>0</v>
      </c>
    </row>
    <row r="37" spans="1:69" ht="15.75" x14ac:dyDescent="0.2">
      <c r="A37" s="1292"/>
      <c r="B37" s="1313">
        <f t="shared" si="10"/>
        <v>14</v>
      </c>
      <c r="C37" s="269" t="s">
        <v>899</v>
      </c>
      <c r="D37" s="847" t="e">
        <f>INDEX(Data!W:W,MATCH(Import_LA_Code,Ref_LA_Codes,0))</f>
        <v>#N/A</v>
      </c>
      <c r="E37" s="847">
        <f>+'Part 2'!$J$127</f>
        <v>0</v>
      </c>
      <c r="F37" s="847"/>
      <c r="G37" s="847" t="e">
        <f t="shared" si="11"/>
        <v>#N/A</v>
      </c>
      <c r="H37" s="296" t="e">
        <f t="shared" si="7"/>
        <v>#N/A</v>
      </c>
      <c r="I37" s="297"/>
      <c r="J37" s="1304">
        <v>25000</v>
      </c>
      <c r="K37" s="296">
        <v>0.25</v>
      </c>
      <c r="L37" s="296"/>
      <c r="M37" s="1284" t="e">
        <f t="shared" si="8"/>
        <v>#N/A</v>
      </c>
      <c r="N37" s="1314"/>
      <c r="O37" s="472"/>
      <c r="P37" s="1305"/>
      <c r="T37" s="273"/>
      <c r="U37" s="273"/>
      <c r="V37" s="273"/>
      <c r="W37" s="273"/>
      <c r="X37" s="273"/>
      <c r="Y37" s="273" t="e">
        <f t="shared" si="3"/>
        <v>#N/A</v>
      </c>
      <c r="Z37" s="273"/>
      <c r="AA37" s="242">
        <v>25000</v>
      </c>
      <c r="AB37" s="242">
        <v>0.25</v>
      </c>
      <c r="AC37" s="242">
        <f t="shared" si="9"/>
        <v>0</v>
      </c>
    </row>
    <row r="38" spans="1:69" ht="15.75" x14ac:dyDescent="0.2">
      <c r="A38" s="1292"/>
      <c r="B38" s="1313">
        <f t="shared" si="10"/>
        <v>15</v>
      </c>
      <c r="C38" s="269" t="s">
        <v>900</v>
      </c>
      <c r="D38" s="847" t="e">
        <f>INDEX(Data!X:X,MATCH(Import_LA_Code,Ref_LA_Codes,0))</f>
        <v>#N/A</v>
      </c>
      <c r="E38" s="847">
        <f>+'Part 2'!$G$129</f>
        <v>0</v>
      </c>
      <c r="F38" s="847"/>
      <c r="G38" s="847" t="e">
        <f t="shared" si="11"/>
        <v>#N/A</v>
      </c>
      <c r="H38" s="296" t="e">
        <f t="shared" si="7"/>
        <v>#N/A</v>
      </c>
      <c r="I38" s="297"/>
      <c r="J38" s="1304">
        <v>0</v>
      </c>
      <c r="K38" s="296">
        <v>0.25</v>
      </c>
      <c r="L38" s="296"/>
      <c r="M38" s="1284" t="e">
        <f t="shared" si="8"/>
        <v>#N/A</v>
      </c>
      <c r="N38" s="1303"/>
      <c r="O38" s="472"/>
      <c r="P38" s="1305"/>
      <c r="T38" s="273"/>
      <c r="U38" s="273"/>
      <c r="V38" s="273"/>
      <c r="W38" s="273"/>
      <c r="X38" s="273"/>
      <c r="Y38" s="273" t="e">
        <f t="shared" si="3"/>
        <v>#N/A</v>
      </c>
      <c r="Z38" s="273"/>
      <c r="AA38" s="242">
        <v>0</v>
      </c>
      <c r="AB38" s="242">
        <v>0.25</v>
      </c>
      <c r="AC38" s="242">
        <f t="shared" si="9"/>
        <v>0</v>
      </c>
    </row>
    <row r="39" spans="1:69" ht="16.5" thickBot="1" x14ac:dyDescent="0.25">
      <c r="A39" s="1292"/>
      <c r="B39" s="1326">
        <f t="shared" si="10"/>
        <v>16</v>
      </c>
      <c r="C39" s="1057" t="s">
        <v>3359</v>
      </c>
      <c r="D39" s="1318" t="e">
        <f>INDEX(Data!AC:AC,MATCH(Import_LA_Code,Ref_LA_Codes,0))</f>
        <v>#N/A</v>
      </c>
      <c r="E39" s="1318">
        <f>'Part 2'!$AB$157</f>
        <v>0</v>
      </c>
      <c r="F39" s="1318"/>
      <c r="G39" s="1318" t="e">
        <f t="shared" ref="G39" si="12">ABS(+E39-D39)</f>
        <v>#N/A</v>
      </c>
      <c r="H39" s="1319" t="e">
        <f t="shared" ref="H39" si="13">IF(AND(D39=0,E39=0),0,IF(AND(D39=0,E39&lt;&gt;0),1,G39/ABS((D39))))</f>
        <v>#N/A</v>
      </c>
      <c r="I39" s="1320"/>
      <c r="J39" s="1321">
        <v>500000</v>
      </c>
      <c r="K39" s="1319">
        <v>0.1</v>
      </c>
      <c r="L39" s="1319"/>
      <c r="M39" s="1286" t="e">
        <f>IF(O39&lt;&gt;"","Comment made", IF(OR(AND(ABS(H39)&gt;K39,ABS(G39)&gt;J39),AND(H39&gt;0.1,E39-D39&gt;0)),"Please comment","OK"))</f>
        <v>#N/A</v>
      </c>
      <c r="N39" s="1327"/>
      <c r="O39" s="473"/>
      <c r="P39" s="1315"/>
      <c r="T39" s="273"/>
      <c r="U39" s="273"/>
      <c r="V39" s="273"/>
      <c r="W39" s="273"/>
      <c r="X39" s="273"/>
      <c r="Y39" s="273"/>
      <c r="Z39" s="273"/>
    </row>
    <row r="40" spans="1:69" s="242" customFormat="1" ht="16.5" thickBot="1" x14ac:dyDescent="0.25">
      <c r="A40" s="1292"/>
      <c r="B40" s="1303"/>
      <c r="C40" s="269"/>
      <c r="D40" s="847"/>
      <c r="E40" s="847"/>
      <c r="F40" s="847"/>
      <c r="G40" s="847"/>
      <c r="H40" s="296"/>
      <c r="I40" s="297"/>
      <c r="J40" s="1304"/>
      <c r="K40" s="296"/>
      <c r="L40" s="296"/>
      <c r="M40" s="1284"/>
      <c r="N40" s="1284"/>
      <c r="O40" s="1284"/>
      <c r="P40" s="1293"/>
      <c r="Y40" s="273"/>
    </row>
    <row r="41" spans="1:69" ht="16.5" thickBot="1" x14ac:dyDescent="0.25">
      <c r="A41" s="1292"/>
      <c r="B41" s="1296">
        <f>+B39+1</f>
        <v>17</v>
      </c>
      <c r="C41" s="386" t="s">
        <v>901</v>
      </c>
      <c r="D41" s="1297" t="e">
        <f>INDEX(Data!Z:Z,MATCH(Import_LA_Code,Ref_LA_Codes,0))</f>
        <v>#N/A</v>
      </c>
      <c r="E41" s="1297">
        <f>+'Part 2'!$AB$176</f>
        <v>0</v>
      </c>
      <c r="F41" s="1297"/>
      <c r="G41" s="1297" t="e">
        <f>ABS(+E41-D41)</f>
        <v>#N/A</v>
      </c>
      <c r="H41" s="1298" t="e">
        <f t="shared" ref="H41" si="14">IF(AND(D41=0,E41=0),0,IF(AND(D41=0,E41&lt;&gt;0),1,G41/ABS((D41))))</f>
        <v>#N/A</v>
      </c>
      <c r="I41" s="1299"/>
      <c r="J41" s="1300">
        <v>0</v>
      </c>
      <c r="K41" s="1328">
        <v>7.4999999999999997E-2</v>
      </c>
      <c r="L41" s="1298"/>
      <c r="M41" s="1301" t="e">
        <f>IF(O41&lt;&gt;"","Comment made", IF(AND(ABS(H41)&gt;K41,ABS(G41)&gt;J41),"Please comment","OK"))</f>
        <v>#N/A</v>
      </c>
      <c r="N41" s="1329"/>
      <c r="O41" s="474"/>
      <c r="P41" s="551"/>
      <c r="Y41" s="273" t="e">
        <f t="shared" si="3"/>
        <v>#N/A</v>
      </c>
      <c r="AA41" s="242">
        <v>0</v>
      </c>
      <c r="AB41" s="242">
        <v>0.05</v>
      </c>
      <c r="AC41" s="242">
        <f>IF(AND(J41=AA41,K41=AB41),0,1)</f>
        <v>1</v>
      </c>
    </row>
    <row r="42" spans="1:69" ht="15.75" x14ac:dyDescent="0.2">
      <c r="A42" s="1292"/>
      <c r="B42" s="1303"/>
      <c r="C42" s="269"/>
      <c r="D42" s="847"/>
      <c r="E42" s="847"/>
      <c r="F42" s="847"/>
      <c r="G42" s="847"/>
      <c r="H42" s="296"/>
      <c r="I42" s="637"/>
      <c r="J42" s="1304"/>
      <c r="K42" s="296"/>
      <c r="L42" s="1303"/>
      <c r="M42" s="1284"/>
      <c r="N42" s="1303"/>
      <c r="O42" s="1276"/>
      <c r="P42" s="551"/>
      <c r="Y42" s="273"/>
    </row>
    <row r="43" spans="1:69" ht="16.5" thickBot="1" x14ac:dyDescent="0.3">
      <c r="A43" s="1292"/>
      <c r="B43" s="1303"/>
      <c r="C43" s="270" t="s">
        <v>894</v>
      </c>
      <c r="D43" s="291" t="s">
        <v>2380</v>
      </c>
      <c r="E43" s="291" t="s">
        <v>2812</v>
      </c>
      <c r="F43" s="847"/>
      <c r="G43" s="1295" t="s">
        <v>876</v>
      </c>
      <c r="H43" s="1295" t="s">
        <v>247</v>
      </c>
      <c r="I43" s="1295"/>
      <c r="J43" s="1295" t="s">
        <v>876</v>
      </c>
      <c r="K43" s="1295" t="s">
        <v>247</v>
      </c>
      <c r="L43" s="1303"/>
      <c r="M43" s="1284"/>
      <c r="N43" s="1303"/>
      <c r="O43" s="1276"/>
      <c r="P43" s="551"/>
      <c r="Y43" s="273"/>
      <c r="AA43" s="242" t="s">
        <v>876</v>
      </c>
      <c r="AB43" s="242" t="s">
        <v>247</v>
      </c>
    </row>
    <row r="44" spans="1:69" ht="15.75" x14ac:dyDescent="0.2">
      <c r="A44" s="1292"/>
      <c r="B44" s="1306">
        <f>+B41+1</f>
        <v>18</v>
      </c>
      <c r="C44" s="385" t="s">
        <v>2324</v>
      </c>
      <c r="D44" s="1307" t="e">
        <f>INDEX(Data!AA:AA,MATCH(Import_LA_Code,Ref_LA_Codes,0))</f>
        <v>#N/A</v>
      </c>
      <c r="E44" s="1307">
        <f>'Part 3'!M22</f>
        <v>0</v>
      </c>
      <c r="F44" s="1307"/>
      <c r="G44" s="1307" t="e">
        <f>ABS(+E44-D44)</f>
        <v>#N/A</v>
      </c>
      <c r="H44" s="1308" t="e">
        <f t="shared" ref="H44" si="15">IF(AND(D44=0,E44=0),0,IF(AND(D44=0,E44&lt;&gt;0),1,G44/ABS((D44))))</f>
        <v>#N/A</v>
      </c>
      <c r="I44" s="1309"/>
      <c r="J44" s="1310">
        <v>2000000</v>
      </c>
      <c r="K44" s="1308">
        <v>0.25</v>
      </c>
      <c r="L44" s="1308"/>
      <c r="M44" s="1311" t="e">
        <f t="shared" ref="M44" si="16">IF(O44&lt;&gt;"","Comment made", IF(AND(ABS(H44)&gt;K44,ABS(G44)&gt;J44),"Please comment","OK"))</f>
        <v>#N/A</v>
      </c>
      <c r="N44" s="1312"/>
      <c r="O44" s="471"/>
      <c r="P44" s="551"/>
      <c r="Y44" s="273" t="e">
        <f t="shared" si="3"/>
        <v>#N/A</v>
      </c>
      <c r="AA44" s="242">
        <v>1500000</v>
      </c>
      <c r="AB44" s="242">
        <v>0.25</v>
      </c>
      <c r="AC44" s="242">
        <f>IF(AND(J44=AA44,K44=AB44),0,1)</f>
        <v>1</v>
      </c>
    </row>
    <row r="45" spans="1:69" s="209" customFormat="1" ht="16.5" thickBot="1" x14ac:dyDescent="0.25">
      <c r="A45" s="1330"/>
      <c r="B45" s="1331">
        <f>+B44+1</f>
        <v>19</v>
      </c>
      <c r="C45" s="387" t="s">
        <v>2325</v>
      </c>
      <c r="D45" s="1332"/>
      <c r="E45" s="1333" t="e">
        <f>+'Part 4'!$J$55</f>
        <v>#N/A</v>
      </c>
      <c r="F45" s="1333"/>
      <c r="G45" s="388" t="s">
        <v>893</v>
      </c>
      <c r="H45" s="388" t="s">
        <v>893</v>
      </c>
      <c r="I45" s="1334"/>
      <c r="J45" s="388">
        <v>0</v>
      </c>
      <c r="K45" s="388" t="s">
        <v>893</v>
      </c>
      <c r="L45" s="1335"/>
      <c r="M45" s="1286" t="e">
        <f>IF(O45&lt;&gt;"","Comment made", IF(E45=0,"Please comment","OK"))</f>
        <v>#N/A</v>
      </c>
      <c r="N45" s="1336"/>
      <c r="O45" s="475"/>
      <c r="P45" s="1337"/>
      <c r="Q45" s="244"/>
      <c r="R45" s="244"/>
      <c r="S45" s="244"/>
      <c r="T45" s="244"/>
      <c r="U45" s="244"/>
      <c r="V45" s="244"/>
      <c r="W45" s="244"/>
      <c r="X45" s="244"/>
      <c r="Y45" s="273" t="e">
        <f>IF(M45="OK",0,1)</f>
        <v>#N/A</v>
      </c>
      <c r="Z45" s="244"/>
      <c r="AA45" s="244">
        <v>0</v>
      </c>
      <c r="AB45" s="244" t="s">
        <v>893</v>
      </c>
      <c r="AC45" s="242">
        <f>IF(AND(J45=AA45,K45=AB45),0,1)</f>
        <v>0</v>
      </c>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1:69" s="209" customFormat="1" ht="15.75" x14ac:dyDescent="0.2">
      <c r="A46" s="1330"/>
      <c r="B46" s="1338"/>
      <c r="C46" s="654"/>
      <c r="D46" s="1339"/>
      <c r="E46" s="1339"/>
      <c r="F46" s="1339"/>
      <c r="G46" s="655"/>
      <c r="H46" s="655"/>
      <c r="I46" s="1340"/>
      <c r="J46" s="655"/>
      <c r="K46" s="655"/>
      <c r="L46" s="1338"/>
      <c r="M46" s="1284"/>
      <c r="N46" s="1338"/>
      <c r="O46" s="1594"/>
      <c r="P46" s="1341"/>
      <c r="Q46" s="244"/>
      <c r="R46" s="244"/>
      <c r="S46" s="244"/>
      <c r="T46" s="244"/>
      <c r="U46" s="244"/>
      <c r="V46" s="244"/>
      <c r="W46" s="244"/>
      <c r="X46" s="244"/>
      <c r="Y46" s="273"/>
      <c r="Z46" s="244"/>
      <c r="AA46" s="244"/>
      <c r="AB46" s="244"/>
      <c r="AC46" s="242"/>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1:69" s="209" customFormat="1" ht="16.5" thickBot="1" x14ac:dyDescent="0.25">
      <c r="A47" s="1330"/>
      <c r="B47" s="1338"/>
      <c r="C47" s="654"/>
      <c r="D47" s="657" t="s">
        <v>1238</v>
      </c>
      <c r="E47" s="657" t="s">
        <v>2814</v>
      </c>
      <c r="F47" s="1339"/>
      <c r="G47" s="657" t="s">
        <v>876</v>
      </c>
      <c r="H47" s="655"/>
      <c r="I47" s="1340"/>
      <c r="J47" s="657" t="s">
        <v>876</v>
      </c>
      <c r="K47" s="655"/>
      <c r="L47" s="1338"/>
      <c r="M47" s="1284"/>
      <c r="N47" s="1338"/>
      <c r="O47" s="1594"/>
      <c r="P47" s="1341"/>
      <c r="Q47" s="244"/>
      <c r="R47" s="244"/>
      <c r="S47" s="244"/>
      <c r="T47" s="244"/>
      <c r="U47" s="244"/>
      <c r="V47" s="244"/>
      <c r="W47" s="244"/>
      <c r="X47" s="244"/>
      <c r="Y47" s="273"/>
      <c r="Z47" s="244"/>
      <c r="AA47" s="244" t="s">
        <v>876</v>
      </c>
      <c r="AB47" s="244"/>
      <c r="AC47" s="242"/>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1:69" ht="16.5" thickBot="1" x14ac:dyDescent="0.25">
      <c r="A48" s="1292"/>
      <c r="B48" s="1342">
        <v>20</v>
      </c>
      <c r="C48" s="656" t="s">
        <v>2326</v>
      </c>
      <c r="D48" s="1297" t="e">
        <f>INDEX(Data!BI:BI,MATCH(Import_LA_Code,Ref_LA_Codes,0))</f>
        <v>#N/A</v>
      </c>
      <c r="E48" s="1343" t="e">
        <f>'Part 4'!$J$7</f>
        <v>#N/A</v>
      </c>
      <c r="F48" s="1343"/>
      <c r="G48" s="1343" t="e">
        <f>ABS(E48-D48)</f>
        <v>#N/A</v>
      </c>
      <c r="H48" s="1344"/>
      <c r="I48" s="1344"/>
      <c r="J48" s="1345">
        <v>0</v>
      </c>
      <c r="K48" s="1346"/>
      <c r="L48" s="1346"/>
      <c r="M48" s="1347" t="e">
        <f>IF(O48&lt;&gt;"","Comment made", IF(G48&gt;J48,"Please comment","OK"))</f>
        <v>#N/A</v>
      </c>
      <c r="N48" s="1348"/>
      <c r="O48" s="664"/>
      <c r="P48" s="551"/>
      <c r="Y48" s="273" t="e">
        <f t="shared" ref="Y48" si="17">IF(M48="OK",0,1)</f>
        <v>#N/A</v>
      </c>
      <c r="AA48" s="242">
        <v>0</v>
      </c>
      <c r="AC48" s="242">
        <f>IF(AND(J48=AA48,K48=AB48),0,1)</f>
        <v>0</v>
      </c>
    </row>
    <row r="49" spans="1:29" s="242" customFormat="1" x14ac:dyDescent="0.2">
      <c r="A49" s="1292"/>
      <c r="B49" s="400"/>
      <c r="C49" s="398"/>
      <c r="D49" s="400"/>
      <c r="E49" s="1349"/>
      <c r="F49" s="1349"/>
      <c r="G49" s="400"/>
      <c r="H49" s="400"/>
      <c r="I49" s="400"/>
      <c r="J49" s="398"/>
      <c r="K49" s="398"/>
      <c r="L49" s="398"/>
      <c r="M49" s="398"/>
      <c r="N49" s="398"/>
      <c r="O49" s="400"/>
      <c r="P49" s="551"/>
      <c r="AC49" s="545">
        <f>IF(SUM(AC19:AC48)&gt;0,1,0)</f>
        <v>1</v>
      </c>
    </row>
    <row r="50" spans="1:29" s="242" customFormat="1" ht="15.75" x14ac:dyDescent="0.25">
      <c r="A50" s="1292"/>
      <c r="B50" s="400"/>
      <c r="C50" s="400"/>
      <c r="D50" s="400"/>
      <c r="E50" s="400"/>
      <c r="F50" s="400"/>
      <c r="G50" s="1841" t="s">
        <v>1002</v>
      </c>
      <c r="H50" s="1842"/>
      <c r="I50" s="1842"/>
      <c r="J50" s="1842"/>
      <c r="K50" s="1842"/>
      <c r="L50" s="1843"/>
      <c r="M50" s="417">
        <f>COUNTIF($M$19:$M$48,"Please Comment")</f>
        <v>0</v>
      </c>
      <c r="N50" s="398"/>
      <c r="O50" s="400"/>
      <c r="P50" s="551"/>
    </row>
    <row r="51" spans="1:29" s="242" customFormat="1" ht="16.5" thickBot="1" x14ac:dyDescent="0.3">
      <c r="A51" s="1292"/>
      <c r="B51" s="332" t="s">
        <v>917</v>
      </c>
      <c r="C51" s="400"/>
      <c r="D51" s="400"/>
      <c r="E51" s="400"/>
      <c r="F51" s="400"/>
      <c r="G51" s="331"/>
      <c r="H51" s="331"/>
      <c r="I51" s="331"/>
      <c r="J51" s="331"/>
      <c r="K51" s="331"/>
      <c r="L51" s="331"/>
      <c r="M51" s="398"/>
      <c r="N51" s="398"/>
      <c r="O51" s="400"/>
      <c r="P51" s="551"/>
    </row>
    <row r="52" spans="1:29" ht="77.25" customHeight="1" thickBot="1" x14ac:dyDescent="0.25">
      <c r="A52" s="1350"/>
      <c r="B52" s="1838"/>
      <c r="C52" s="1839"/>
      <c r="D52" s="1839"/>
      <c r="E52" s="1839"/>
      <c r="F52" s="1839"/>
      <c r="G52" s="1839"/>
      <c r="H52" s="1839"/>
      <c r="I52" s="1839"/>
      <c r="J52" s="1839"/>
      <c r="K52" s="1839"/>
      <c r="L52" s="1839"/>
      <c r="M52" s="1839"/>
      <c r="N52" s="1839"/>
      <c r="O52" s="1840"/>
      <c r="P52" s="551"/>
    </row>
    <row r="53" spans="1:29" s="242" customFormat="1" ht="15.75" thickBot="1" x14ac:dyDescent="0.25">
      <c r="A53" s="1351"/>
      <c r="B53" s="552"/>
      <c r="C53" s="552"/>
      <c r="D53" s="552"/>
      <c r="E53" s="552"/>
      <c r="F53" s="552"/>
      <c r="G53" s="552"/>
      <c r="H53" s="552"/>
      <c r="I53" s="552"/>
      <c r="J53" s="1352"/>
      <c r="K53" s="1352"/>
      <c r="L53" s="1352"/>
      <c r="M53" s="1352"/>
      <c r="N53" s="1352"/>
      <c r="O53" s="552"/>
      <c r="P53" s="553"/>
    </row>
    <row r="54" spans="1:29" s="242" customFormat="1" x14ac:dyDescent="0.2">
      <c r="J54" s="243"/>
      <c r="K54" s="243"/>
      <c r="L54" s="243"/>
      <c r="M54" s="243"/>
      <c r="N54" s="243"/>
    </row>
    <row r="55" spans="1:29" s="242" customFormat="1" x14ac:dyDescent="0.2">
      <c r="J55" s="243"/>
      <c r="K55" s="243"/>
      <c r="L55" s="243"/>
      <c r="M55" s="243"/>
      <c r="N55" s="243"/>
    </row>
    <row r="56" spans="1:29" s="242" customFormat="1" x14ac:dyDescent="0.2">
      <c r="J56" s="243"/>
      <c r="K56" s="243"/>
      <c r="L56" s="243"/>
      <c r="M56" s="243"/>
      <c r="N56" s="243"/>
    </row>
    <row r="57" spans="1:29" s="242" customFormat="1" x14ac:dyDescent="0.2">
      <c r="J57" s="243"/>
      <c r="K57" s="243"/>
      <c r="L57" s="243"/>
      <c r="M57" s="243"/>
      <c r="N57" s="243"/>
    </row>
    <row r="58" spans="1:29" s="242" customFormat="1" x14ac:dyDescent="0.2">
      <c r="J58" s="243"/>
      <c r="K58" s="243"/>
      <c r="L58" s="243"/>
      <c r="M58" s="243"/>
      <c r="N58" s="243"/>
    </row>
    <row r="59" spans="1:29" s="242" customFormat="1" x14ac:dyDescent="0.2">
      <c r="J59" s="243"/>
      <c r="K59" s="243"/>
      <c r="L59" s="243"/>
      <c r="M59" s="243"/>
      <c r="N59" s="243"/>
    </row>
    <row r="60" spans="1:29" s="242" customFormat="1" x14ac:dyDescent="0.2">
      <c r="J60" s="243"/>
      <c r="K60" s="243"/>
      <c r="L60" s="243"/>
      <c r="M60" s="243"/>
      <c r="N60" s="243"/>
    </row>
    <row r="61" spans="1:29" s="242" customFormat="1" x14ac:dyDescent="0.2">
      <c r="J61" s="243"/>
      <c r="K61" s="243"/>
      <c r="L61" s="243"/>
      <c r="M61" s="243"/>
      <c r="N61" s="243"/>
    </row>
    <row r="62" spans="1:29" s="242" customFormat="1" x14ac:dyDescent="0.2">
      <c r="J62" s="243"/>
      <c r="K62" s="243"/>
      <c r="L62" s="243"/>
      <c r="M62" s="243"/>
      <c r="N62" s="243"/>
    </row>
    <row r="63" spans="1:29" s="242" customFormat="1" x14ac:dyDescent="0.2">
      <c r="J63" s="243"/>
      <c r="K63" s="243"/>
      <c r="L63" s="243"/>
      <c r="M63" s="243"/>
      <c r="N63" s="243"/>
    </row>
    <row r="64" spans="1:29" s="242" customFormat="1" x14ac:dyDescent="0.2">
      <c r="J64" s="243"/>
      <c r="K64" s="243"/>
      <c r="L64" s="243"/>
      <c r="M64" s="243"/>
      <c r="N64" s="243"/>
    </row>
    <row r="65" spans="10:14" s="242" customFormat="1" x14ac:dyDescent="0.2">
      <c r="J65" s="243"/>
      <c r="K65" s="243"/>
      <c r="L65" s="243"/>
      <c r="M65" s="243"/>
      <c r="N65" s="243"/>
    </row>
    <row r="66" spans="10:14" s="242" customFormat="1" x14ac:dyDescent="0.2">
      <c r="J66" s="243"/>
      <c r="K66" s="243"/>
      <c r="L66" s="243"/>
      <c r="M66" s="243"/>
      <c r="N66" s="243"/>
    </row>
    <row r="67" spans="10:14" s="242" customFormat="1" x14ac:dyDescent="0.2">
      <c r="J67" s="243"/>
      <c r="K67" s="243"/>
      <c r="L67" s="243"/>
      <c r="M67" s="243"/>
      <c r="N67" s="243"/>
    </row>
    <row r="68" spans="10:14" s="242" customFormat="1" x14ac:dyDescent="0.2">
      <c r="J68" s="243"/>
      <c r="K68" s="243"/>
      <c r="L68" s="243"/>
      <c r="M68" s="243"/>
      <c r="N68" s="243"/>
    </row>
  </sheetData>
  <sheetProtection sheet="1" objects="1" scenarios="1"/>
  <mergeCells count="6">
    <mergeCell ref="B12:O13"/>
    <mergeCell ref="B52:O52"/>
    <mergeCell ref="G50:L50"/>
    <mergeCell ref="D17:E17"/>
    <mergeCell ref="G17:H17"/>
    <mergeCell ref="J17:K17"/>
  </mergeCells>
  <conditionalFormatting sqref="M19 M22:M28 M32:M39">
    <cfRule type="expression" dxfId="49" priority="6">
      <formula>M19="Comment made"</formula>
    </cfRule>
    <cfRule type="expression" dxfId="48" priority="8" stopIfTrue="1">
      <formula>M19="Please comment"</formula>
    </cfRule>
    <cfRule type="expression" dxfId="47" priority="9" stopIfTrue="1">
      <formula>M19="OK"</formula>
    </cfRule>
  </conditionalFormatting>
  <conditionalFormatting sqref="M20:M21">
    <cfRule type="expression" dxfId="46" priority="110" stopIfTrue="1">
      <formula>M20="Please comment"</formula>
    </cfRule>
    <cfRule type="expression" dxfId="45" priority="111" stopIfTrue="1">
      <formula>M20="OK"</formula>
    </cfRule>
  </conditionalFormatting>
  <conditionalFormatting sqref="M41">
    <cfRule type="expression" dxfId="44" priority="14">
      <formula>M41="Comment made"</formula>
    </cfRule>
    <cfRule type="expression" dxfId="43" priority="16" stopIfTrue="1">
      <formula>M41="Please comment"</formula>
    </cfRule>
    <cfRule type="expression" dxfId="42" priority="17" stopIfTrue="1">
      <formula>M41="OK"</formula>
    </cfRule>
  </conditionalFormatting>
  <conditionalFormatting sqref="M44:M48">
    <cfRule type="expression" dxfId="41" priority="3">
      <formula>M44="Comment made"</formula>
    </cfRule>
    <cfRule type="expression" dxfId="40" priority="4" stopIfTrue="1">
      <formula>M44="Please comment"</formula>
    </cfRule>
    <cfRule type="expression" dxfId="39" priority="5" stopIfTrue="1">
      <formula>M44="OK"</formula>
    </cfRule>
  </conditionalFormatting>
  <conditionalFormatting sqref="M51">
    <cfRule type="expression" dxfId="38" priority="99" stopIfTrue="1">
      <formula>AND(M51&lt;&gt;0)=TRUE</formula>
    </cfRule>
  </conditionalFormatting>
  <conditionalFormatting sqref="M40:O40">
    <cfRule type="expression" dxfId="37" priority="71" stopIfTrue="1">
      <formula>M40="Zero in 2014-15"</formula>
    </cfRule>
    <cfRule type="expression" dxfId="36" priority="75" stopIfTrue="1">
      <formula>M40="Please comment"</formula>
    </cfRule>
    <cfRule type="expression" dxfId="35" priority="76" stopIfTrue="1">
      <formula>M40="OK"</formula>
    </cfRule>
  </conditionalFormatting>
  <conditionalFormatting sqref="O19 O22:O28 O32:O39 O41">
    <cfRule type="expression" dxfId="34" priority="98" stopIfTrue="1">
      <formula>AND($M19="Please comment")=TRUE</formula>
    </cfRule>
  </conditionalFormatting>
  <conditionalFormatting sqref="O20:O21">
    <cfRule type="expression" dxfId="33" priority="108" stopIfTrue="1">
      <formula>O20="Please comment"</formula>
    </cfRule>
    <cfRule type="expression" dxfId="32" priority="109" stopIfTrue="1">
      <formula>O20="OK"</formula>
    </cfRule>
  </conditionalFormatting>
  <conditionalFormatting sqref="O29:O31">
    <cfRule type="expression" dxfId="31" priority="106" stopIfTrue="1">
      <formula>O29="Please comment"</formula>
    </cfRule>
    <cfRule type="expression" dxfId="30" priority="107" stopIfTrue="1">
      <formula>O29="OK"</formula>
    </cfRule>
  </conditionalFormatting>
  <conditionalFormatting sqref="O44:O48">
    <cfRule type="expression" dxfId="29" priority="1" stopIfTrue="1">
      <formula>AND($M44="Please comment")=TRUE</formula>
    </cfRule>
  </conditionalFormatting>
  <dataValidations count="24">
    <dataValidation type="custom" allowBlank="1" showInputMessage="1" showErrorMessage="1" error="Data entry is not allowed in this cell" sqref="M48 G27:H28 E19 E41 G19:H19 M27:M28 G41:H41 G44:H45 G48:H48 J48:K48 J19:K19 M19 M41 M44:M45 E27:E28 E48 J44:K45 J41:K41 M22:M25 E22:E25 E44:E45 J32:K38 M32:M38 G32:H38 E32:E38 J22:K28 G22:H25 D39:I39 L39:M39 J39 K39" xr:uid="{BACE0E2A-31E4-456B-AD1F-41243E3D3AA7}">
      <formula1>"if(p50=""n/a"")"</formula1>
    </dataValidation>
    <dataValidation type="custom" allowBlank="1" showInputMessage="1" showErrorMessage="1" error="Data entry not allowed in this cell" sqref="M50" xr:uid="{EC91AF5D-BE44-437B-8259-DF943F414F11}">
      <formula1>"AZ1=""NA"""</formula1>
    </dataValidation>
    <dataValidation allowBlank="1" showInputMessage="1" showErrorMessage="1" error="Data entry is not allowed in this cell" sqref="D27:D38 D19:D25 D40:D48" xr:uid="{0C05931A-B292-4C52-AF97-A359E4431DAC}"/>
    <dataValidation allowBlank="1" showInputMessage="1" showErrorMessage="1" prompt="Part 2 Line 1" sqref="C19" xr:uid="{CF62D336-88D1-480C-A1D0-AD91ABF38376}"/>
    <dataValidation allowBlank="1" showInputMessage="1" showErrorMessage="1" prompt="Part 2 Line 9" sqref="C22" xr:uid="{2788BAD8-F3F8-41E4-A0D0-75F689A10AD6}"/>
    <dataValidation allowBlank="1" showInputMessage="1" showErrorMessage="1" prompt="Part 2 Line 12" sqref="C24" xr:uid="{90741989-AE92-4FD5-BAC4-BE980B47FA04}"/>
    <dataValidation allowBlank="1" showInputMessage="1" showErrorMessage="1" prompt="Part 2 Line 13" sqref="C25" xr:uid="{CA3B2597-9F9F-4F12-846C-F852C0548239}"/>
    <dataValidation allowBlank="1" showInputMessage="1" showErrorMessage="1" prompt="Part 2 Line 11" sqref="C23" xr:uid="{BFD8E5F6-8524-427A-8CF0-C811D7F359F9}"/>
    <dataValidation allowBlank="1" showInputMessage="1" showErrorMessage="1" prompt="Part 2 Line 14" sqref="C26" xr:uid="{237AFC54-B1B9-4C35-8619-E498B1E881C6}"/>
    <dataValidation allowBlank="1" showInputMessage="1" showErrorMessage="1" prompt="Part 2 Line 19" sqref="C27" xr:uid="{2201A324-B5F9-49EE-9700-7B6D904109F9}"/>
    <dataValidation allowBlank="1" showInputMessage="1" showErrorMessage="1" prompt="Part 2 Line 20" sqref="C28" xr:uid="{2AA5BCB6-C49D-4C19-BC22-9B83B32A968B}"/>
    <dataValidation allowBlank="1" showInputMessage="1" showErrorMessage="1" prompt="Part 2 Line 24" sqref="C32" xr:uid="{4DB24756-CA0C-4F20-8F37-2CC20C41193E}"/>
    <dataValidation allowBlank="1" showInputMessage="1" showErrorMessage="1" prompt="Part 2 Line 25" sqref="C33" xr:uid="{246F5D7A-4728-4BED-B15D-A5103BBB40F2}"/>
    <dataValidation allowBlank="1" showInputMessage="1" showErrorMessage="1" prompt="Part 2 Line 26" sqref="C34" xr:uid="{B0CCF7A1-C6E5-4A87-A76A-8B2CFA29749E}"/>
    <dataValidation allowBlank="1" showInputMessage="1" showErrorMessage="1" prompt="Part 2 Line 27" sqref="C35" xr:uid="{36ECC7FA-AE66-4565-BA1A-0C380FA8B934}"/>
    <dataValidation allowBlank="1" showInputMessage="1" showErrorMessage="1" prompt="Part 2 Line 28" sqref="C36" xr:uid="{E964B943-7301-4021-BAA2-E7150719300A}"/>
    <dataValidation allowBlank="1" showInputMessage="1" showErrorMessage="1" prompt="Part 2 Line 29" sqref="C37" xr:uid="{ED96D8E1-F3A2-402D-8824-AC520958D532}"/>
    <dataValidation allowBlank="1" showInputMessage="1" showErrorMessage="1" prompt="Part 2 Line 30" sqref="C38" xr:uid="{7478A574-4566-4107-ABAE-114A1686DE89}"/>
    <dataValidation allowBlank="1" showInputMessage="1" showErrorMessage="1" prompt="Part 2 Line 42" sqref="C41" xr:uid="{EC6C1F7D-47C8-42F4-92B5-0EE25315FCCF}"/>
    <dataValidation allowBlank="1" showInputMessage="1" showErrorMessage="1" prompt="Part 3 Line 3" sqref="C44" xr:uid="{AC2FA88B-66D5-48BF-8B0F-62DFEC39ADEA}"/>
    <dataValidation allowBlank="1" showInputMessage="1" showErrorMessage="1" prompt="Part 4 Line 20" sqref="C45" xr:uid="{37EFF47E-B034-47C5-8646-0B0AF1A2C01D}"/>
    <dataValidation allowBlank="1" showInputMessage="1" showErrorMessage="1" prompt="Part 4 Line 1" sqref="C48" xr:uid="{220327B0-A42A-4FBB-9501-5687B2DE5685}"/>
    <dataValidation allowBlank="1" showInputMessage="1" showErrorMessage="1" prompt="Part 2 Line 38" sqref="C39" xr:uid="{1CB41D3B-1728-4858-A97C-96DE8424E1C9}"/>
    <dataValidation type="custom" allowBlank="1" showInputMessage="1" showErrorMessage="1" error="Do not amend" sqref="AA19:AC49" xr:uid="{81D39755-C671-4FD2-8BAA-E93DF8BCC0C8}">
      <formula1>"if(az1=""n/a"")"</formula1>
    </dataValidation>
  </dataValidations>
  <pageMargins left="0.39370078740157483" right="0.39370078740157483" top="0.39370078740157483" bottom="0.39370078740157483" header="0.31496062992125984" footer="0.31496062992125984"/>
  <pageSetup paperSize="9"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autoPageBreaks="0" fitToPage="1"/>
  </sheetPr>
  <dimension ref="A1:BQ80"/>
  <sheetViews>
    <sheetView showGridLines="0" zoomScale="90" zoomScaleNormal="90" workbookViewId="0"/>
  </sheetViews>
  <sheetFormatPr defaultColWidth="9.140625" defaultRowHeight="15" x14ac:dyDescent="0.2"/>
  <cols>
    <col min="1" max="1" width="3.7109375" style="311" customWidth="1"/>
    <col min="2" max="2" width="10.7109375" style="311" bestFit="1" customWidth="1"/>
    <col min="3" max="3" width="38.85546875" style="311" customWidth="1"/>
    <col min="4" max="4" width="16.7109375" style="311" customWidth="1"/>
    <col min="5" max="5" width="15.7109375" style="311" customWidth="1"/>
    <col min="6" max="6" width="3.7109375" style="311" customWidth="1"/>
    <col min="7" max="7" width="16.7109375" style="311" bestFit="1" customWidth="1"/>
    <col min="8" max="8" width="9.28515625" style="311" bestFit="1" customWidth="1"/>
    <col min="9" max="9" width="3.7109375" style="311" customWidth="1"/>
    <col min="10" max="10" width="12.7109375" style="292" bestFit="1" customWidth="1"/>
    <col min="11" max="11" width="9.28515625" style="292" bestFit="1" customWidth="1"/>
    <col min="12" max="12" width="3.7109375" style="292" customWidth="1"/>
    <col min="13" max="13" width="22.28515625" style="292" customWidth="1"/>
    <col min="14" max="14" width="3.7109375" style="281" customWidth="1"/>
    <col min="15" max="15" width="50.7109375" style="279" customWidth="1"/>
    <col min="16" max="16" width="3.7109375" style="279" customWidth="1"/>
    <col min="17" max="17" width="0" style="279" hidden="1" customWidth="1"/>
    <col min="18" max="18" width="9.140625" style="279" hidden="1" customWidth="1"/>
    <col min="19" max="19" width="3.7109375" style="279" hidden="1" customWidth="1"/>
    <col min="20" max="52" width="9.140625" style="279" hidden="1" customWidth="1"/>
    <col min="53" max="55" width="9.140625" style="279" customWidth="1"/>
    <col min="56" max="16384" width="9.140625" style="311"/>
  </cols>
  <sheetData>
    <row r="1" spans="1:69" s="279" customFormat="1" x14ac:dyDescent="0.2">
      <c r="A1" s="280"/>
      <c r="J1" s="281"/>
      <c r="K1" s="281"/>
      <c r="L1" s="281"/>
      <c r="M1" s="281"/>
      <c r="N1" s="281"/>
      <c r="P1" s="282"/>
      <c r="S1" s="283"/>
      <c r="T1" s="284"/>
    </row>
    <row r="2" spans="1:69" s="279" customFormat="1" ht="20.25" x14ac:dyDescent="0.3">
      <c r="A2" s="1132"/>
      <c r="B2" s="1134" t="s">
        <v>911</v>
      </c>
      <c r="J2" s="281"/>
      <c r="K2" s="281"/>
      <c r="L2" s="281"/>
      <c r="M2" s="281"/>
      <c r="N2" s="281"/>
      <c r="P2" s="1133"/>
      <c r="S2" s="283"/>
      <c r="T2" s="284"/>
    </row>
    <row r="3" spans="1:69" s="279" customFormat="1" x14ac:dyDescent="0.2">
      <c r="A3" s="1132"/>
      <c r="J3" s="281"/>
      <c r="K3" s="281"/>
      <c r="L3" s="281"/>
      <c r="M3" s="281"/>
      <c r="N3" s="281"/>
      <c r="P3" s="1133"/>
      <c r="S3" s="283"/>
      <c r="T3" s="284"/>
    </row>
    <row r="4" spans="1:69" s="279" customFormat="1" ht="15.75" x14ac:dyDescent="0.25">
      <c r="A4" s="280"/>
      <c r="B4" s="958" t="e">
        <f>+CONCATENATE("Local authority : ",+'Part 1'!$K$15,"     ",+'Part 1'!$K$16)</f>
        <v>#N/A</v>
      </c>
      <c r="F4" s="285"/>
      <c r="J4" s="281"/>
      <c r="K4" s="281"/>
      <c r="L4" s="281"/>
      <c r="M4" s="281"/>
      <c r="N4" s="281"/>
      <c r="P4" s="282"/>
      <c r="S4" s="286"/>
      <c r="T4" s="287"/>
    </row>
    <row r="5" spans="1:69" s="279" customFormat="1" ht="15.75" x14ac:dyDescent="0.25">
      <c r="A5" s="280"/>
      <c r="B5" s="958" t="str">
        <f>+CONCATENATE("Local authority contact name : ",+'Part 1'!K17)</f>
        <v xml:space="preserve">Local authority contact name : </v>
      </c>
      <c r="J5" s="281"/>
      <c r="K5" s="281"/>
      <c r="L5" s="281"/>
      <c r="M5" s="281"/>
      <c r="N5" s="281"/>
      <c r="P5" s="282"/>
      <c r="S5" s="288"/>
      <c r="T5" s="287"/>
    </row>
    <row r="6" spans="1:69" s="279" customFormat="1" ht="15.75" x14ac:dyDescent="0.25">
      <c r="A6" s="280"/>
      <c r="B6" s="958" t="str">
        <f>+CONCATENATE("Local authority contact number : ",+'Part 1'!K18)</f>
        <v xml:space="preserve">Local authority contact number : </v>
      </c>
      <c r="J6" s="281"/>
      <c r="K6" s="281"/>
      <c r="L6" s="281"/>
      <c r="M6" s="281"/>
      <c r="N6" s="281"/>
      <c r="P6" s="282"/>
      <c r="S6" s="288"/>
      <c r="T6" s="287"/>
    </row>
    <row r="7" spans="1:69" s="279" customFormat="1" ht="15.75" x14ac:dyDescent="0.25">
      <c r="A7" s="280"/>
      <c r="B7" s="958" t="str">
        <f>+CONCATENATE("Local authority contact email address : ",+'Part 1'!K19)</f>
        <v xml:space="preserve">Local authority contact email address : </v>
      </c>
      <c r="J7" s="281"/>
      <c r="K7" s="281"/>
      <c r="L7" s="281"/>
      <c r="M7" s="281"/>
      <c r="N7" s="281"/>
      <c r="P7" s="282"/>
      <c r="S7" s="288"/>
      <c r="T7" s="546"/>
    </row>
    <row r="8" spans="1:69" s="279" customFormat="1" ht="15.75" x14ac:dyDescent="0.25">
      <c r="A8" s="280"/>
      <c r="B8" s="285"/>
      <c r="J8" s="281"/>
      <c r="K8" s="281"/>
      <c r="L8" s="281"/>
      <c r="M8" s="281"/>
      <c r="N8" s="281"/>
      <c r="P8" s="282"/>
      <c r="S8" s="288"/>
      <c r="T8" s="287"/>
    </row>
    <row r="9" spans="1:69" s="279" customFormat="1" x14ac:dyDescent="0.2">
      <c r="A9" s="280"/>
      <c r="B9" s="289" t="s">
        <v>246</v>
      </c>
      <c r="C9" s="289"/>
      <c r="J9" s="281"/>
      <c r="K9" s="281"/>
      <c r="L9" s="281"/>
      <c r="M9" s="281"/>
      <c r="N9" s="281"/>
      <c r="P9" s="282"/>
      <c r="S9" s="288"/>
      <c r="T9" s="287"/>
    </row>
    <row r="10" spans="1:69" s="279" customFormat="1" x14ac:dyDescent="0.2">
      <c r="A10" s="280"/>
      <c r="B10" s="360" t="s">
        <v>2813</v>
      </c>
      <c r="C10" s="289"/>
      <c r="J10" s="281"/>
      <c r="K10" s="281"/>
      <c r="L10" s="281"/>
      <c r="M10" s="281"/>
      <c r="N10" s="281"/>
      <c r="P10" s="282"/>
      <c r="S10" s="288"/>
      <c r="T10" s="287"/>
    </row>
    <row r="11" spans="1:69" ht="15.75" x14ac:dyDescent="0.25">
      <c r="A11" s="280"/>
      <c r="B11" s="279"/>
      <c r="C11" s="285"/>
      <c r="D11" s="279"/>
      <c r="E11" s="279"/>
      <c r="F11" s="279"/>
      <c r="G11" s="279"/>
      <c r="H11" s="279"/>
      <c r="I11" s="279"/>
      <c r="J11" s="281"/>
      <c r="K11" s="281"/>
      <c r="L11" s="281"/>
      <c r="M11" s="281"/>
      <c r="P11" s="282"/>
      <c r="S11" s="288"/>
      <c r="T11" s="287"/>
    </row>
    <row r="12" spans="1:69" s="26" customFormat="1" ht="15.75" customHeight="1" x14ac:dyDescent="0.2">
      <c r="A12" s="245"/>
      <c r="B12" s="1837" t="s">
        <v>2322</v>
      </c>
      <c r="C12" s="1837"/>
      <c r="D12" s="1837"/>
      <c r="E12" s="1837"/>
      <c r="F12" s="1837"/>
      <c r="G12" s="1837"/>
      <c r="H12" s="1837"/>
      <c r="I12" s="1837"/>
      <c r="J12" s="1837"/>
      <c r="K12" s="1837"/>
      <c r="L12" s="1837"/>
      <c r="M12" s="1837"/>
      <c r="N12" s="1837"/>
      <c r="O12" s="1837"/>
      <c r="P12" s="957"/>
      <c r="Q12" s="242"/>
      <c r="R12" s="242"/>
      <c r="S12" s="250"/>
      <c r="T12" s="249"/>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row>
    <row r="13" spans="1:69" s="26" customFormat="1" ht="15.75" customHeight="1" x14ac:dyDescent="0.2">
      <c r="A13" s="245"/>
      <c r="B13" s="1837"/>
      <c r="C13" s="1837"/>
      <c r="D13" s="1837"/>
      <c r="E13" s="1837"/>
      <c r="F13" s="1837"/>
      <c r="G13" s="1837"/>
      <c r="H13" s="1837"/>
      <c r="I13" s="1837"/>
      <c r="J13" s="1837"/>
      <c r="K13" s="1837"/>
      <c r="L13" s="1837"/>
      <c r="M13" s="1837"/>
      <c r="N13" s="1837"/>
      <c r="O13" s="1837"/>
      <c r="P13" s="957"/>
      <c r="Q13" s="242"/>
      <c r="R13" s="242"/>
      <c r="S13" s="250"/>
      <c r="T13" s="249"/>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row>
    <row r="14" spans="1:69" s="26" customFormat="1" ht="15.75" x14ac:dyDescent="0.25">
      <c r="A14" s="245"/>
      <c r="B14" s="9"/>
      <c r="C14" s="958"/>
      <c r="D14" s="400"/>
      <c r="E14" s="400"/>
      <c r="F14" s="400"/>
      <c r="G14" s="400"/>
      <c r="H14" s="400"/>
      <c r="I14" s="400"/>
      <c r="J14" s="398"/>
      <c r="K14" s="398"/>
      <c r="L14" s="398"/>
      <c r="M14" s="398"/>
      <c r="N14" s="398"/>
      <c r="O14" s="400"/>
      <c r="P14" s="957"/>
      <c r="Q14" s="242"/>
      <c r="R14" s="242"/>
      <c r="S14" s="250"/>
      <c r="T14" s="249"/>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row>
    <row r="15" spans="1:69" s="26" customFormat="1" ht="15.75" x14ac:dyDescent="0.25">
      <c r="A15" s="245"/>
      <c r="B15" s="400" t="s">
        <v>2323</v>
      </c>
      <c r="C15" s="958"/>
      <c r="D15" s="400"/>
      <c r="E15" s="400"/>
      <c r="F15" s="400"/>
      <c r="G15" s="400"/>
      <c r="H15" s="400"/>
      <c r="I15" s="400"/>
      <c r="J15" s="398"/>
      <c r="K15" s="398"/>
      <c r="L15" s="398"/>
      <c r="M15" s="398"/>
      <c r="N15" s="398"/>
      <c r="O15" s="400"/>
      <c r="P15" s="957"/>
      <c r="Q15" s="242"/>
      <c r="R15" s="242"/>
      <c r="S15" s="250"/>
      <c r="T15" s="249"/>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row>
    <row r="16" spans="1:69" s="26" customFormat="1" ht="15.75" x14ac:dyDescent="0.25">
      <c r="A16" s="245"/>
      <c r="B16" s="400"/>
      <c r="C16" s="958"/>
      <c r="D16" s="400"/>
      <c r="E16" s="400"/>
      <c r="F16" s="400"/>
      <c r="G16" s="400"/>
      <c r="H16" s="400"/>
      <c r="I16" s="400"/>
      <c r="J16" s="398"/>
      <c r="K16" s="398"/>
      <c r="L16" s="398"/>
      <c r="M16" s="398"/>
      <c r="N16" s="398"/>
      <c r="O16" s="400"/>
      <c r="P16" s="957"/>
      <c r="Q16" s="242"/>
      <c r="R16" s="242"/>
      <c r="S16" s="250"/>
      <c r="T16" s="249"/>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row>
    <row r="17" spans="1:56" ht="15.75" x14ac:dyDescent="0.25">
      <c r="A17" s="280"/>
      <c r="B17" s="279"/>
      <c r="C17" s="279"/>
      <c r="D17" s="1851" t="s">
        <v>840</v>
      </c>
      <c r="E17" s="1852"/>
      <c r="F17" s="290"/>
      <c r="G17" s="1851" t="s">
        <v>842</v>
      </c>
      <c r="H17" s="1852"/>
      <c r="I17" s="290"/>
      <c r="J17" s="1851" t="s">
        <v>841</v>
      </c>
      <c r="K17" s="1852"/>
      <c r="L17" s="290"/>
      <c r="M17" s="281"/>
      <c r="P17" s="282"/>
      <c r="S17" s="288"/>
      <c r="T17" s="287"/>
    </row>
    <row r="18" spans="1:56" ht="16.5" thickBot="1" x14ac:dyDescent="0.3">
      <c r="A18" s="280"/>
      <c r="B18" s="281" t="s">
        <v>877</v>
      </c>
      <c r="C18" s="279"/>
      <c r="D18" s="291" t="s">
        <v>2380</v>
      </c>
      <c r="E18" s="658" t="s">
        <v>2812</v>
      </c>
      <c r="F18" s="291"/>
      <c r="G18" s="291" t="s">
        <v>876</v>
      </c>
      <c r="H18" s="291" t="s">
        <v>247</v>
      </c>
      <c r="I18" s="291"/>
      <c r="J18" s="291" t="s">
        <v>876</v>
      </c>
      <c r="K18" s="291" t="s">
        <v>247</v>
      </c>
      <c r="L18" s="291"/>
      <c r="P18" s="282"/>
      <c r="S18" s="288"/>
      <c r="T18" s="287"/>
    </row>
    <row r="19" spans="1:56" ht="16.5" thickBot="1" x14ac:dyDescent="0.3">
      <c r="A19" s="280"/>
      <c r="B19" s="293"/>
      <c r="C19" s="301" t="s">
        <v>879</v>
      </c>
      <c r="D19" s="295"/>
      <c r="E19" s="295"/>
      <c r="F19" s="295"/>
      <c r="G19" s="295"/>
      <c r="H19" s="296"/>
      <c r="I19" s="297"/>
      <c r="J19" s="298"/>
      <c r="K19" s="296"/>
      <c r="L19" s="296"/>
      <c r="M19" s="299"/>
      <c r="N19" s="293"/>
      <c r="O19" s="389" t="s">
        <v>924</v>
      </c>
      <c r="P19" s="302"/>
      <c r="S19" s="288"/>
      <c r="T19" s="287"/>
      <c r="AA19" s="279" t="s">
        <v>1333</v>
      </c>
    </row>
    <row r="20" spans="1:56" ht="15.75" x14ac:dyDescent="0.2">
      <c r="A20" s="280"/>
      <c r="B20" s="363">
        <v>1</v>
      </c>
      <c r="C20" s="364" t="s">
        <v>902</v>
      </c>
      <c r="D20" s="1281" t="e">
        <f>INDEX(Data!AD:AD,MATCH(Import_LA_Code,Ref_LA_Codes,0))</f>
        <v>#N/A</v>
      </c>
      <c r="E20" s="365">
        <f>+'Supplementary Information'!$H$24</f>
        <v>0</v>
      </c>
      <c r="F20" s="365"/>
      <c r="G20" s="365" t="e">
        <f t="shared" ref="G20:G25" si="0">+E20-D20</f>
        <v>#N/A</v>
      </c>
      <c r="H20" s="366" t="e">
        <f>IF(AND(D20=0,E20=0),0,IF(AND(D20=0,E20&lt;&gt;0),1,G20/D20))</f>
        <v>#N/A</v>
      </c>
      <c r="I20" s="367"/>
      <c r="J20" s="368">
        <v>20</v>
      </c>
      <c r="K20" s="366">
        <v>0.1</v>
      </c>
      <c r="L20" s="366"/>
      <c r="M20" s="1282" t="e">
        <f t="shared" ref="M20:M25" si="1">IF(O20&lt;&gt;"","Comment made", IF(AND(ABS(H20)&gt;K20,ABS(G20)&gt;J20),"Please comment","OK"))</f>
        <v>#N/A</v>
      </c>
      <c r="N20" s="369"/>
      <c r="O20" s="476"/>
      <c r="P20" s="302"/>
      <c r="S20" s="288"/>
      <c r="T20" s="287"/>
      <c r="Y20" s="273" t="e">
        <f>IF(M20="OK",0,1)</f>
        <v>#N/A</v>
      </c>
      <c r="AA20" s="279">
        <v>20</v>
      </c>
      <c r="AB20" s="279">
        <v>0.1</v>
      </c>
      <c r="AC20" s="279">
        <f>IF(AND(J20=AA20,K20=AB20),0,1)</f>
        <v>0</v>
      </c>
    </row>
    <row r="21" spans="1:56" ht="15.75" x14ac:dyDescent="0.2">
      <c r="A21" s="280"/>
      <c r="B21" s="370">
        <v>2</v>
      </c>
      <c r="C21" s="323" t="s">
        <v>903</v>
      </c>
      <c r="D21" s="1283" t="e">
        <f>INDEX(Data!AE:AE,MATCH(Import_LA_Code,Ref_LA_Codes,0))</f>
        <v>#N/A</v>
      </c>
      <c r="E21" s="324">
        <f>+'Supplementary Information'!$H$26</f>
        <v>0</v>
      </c>
      <c r="F21" s="324"/>
      <c r="G21" s="324" t="e">
        <f t="shared" si="0"/>
        <v>#N/A</v>
      </c>
      <c r="H21" s="325" t="e">
        <f t="shared" ref="H21:H25" si="2">IF(AND(D21=0,E21=0),0,IF(AND(D21=0,E21&lt;&gt;0),1,G21/D21))</f>
        <v>#N/A</v>
      </c>
      <c r="I21" s="326"/>
      <c r="J21" s="328">
        <v>5</v>
      </c>
      <c r="K21" s="325">
        <v>0</v>
      </c>
      <c r="L21" s="325"/>
      <c r="M21" s="1284" t="e">
        <f t="shared" si="1"/>
        <v>#N/A</v>
      </c>
      <c r="N21" s="327"/>
      <c r="O21" s="477"/>
      <c r="P21" s="302"/>
      <c r="S21" s="288"/>
      <c r="T21" s="287"/>
      <c r="Y21" s="273" t="e">
        <f t="shared" ref="Y21:Y25" si="3">IF(M21="OK",0,1)</f>
        <v>#N/A</v>
      </c>
      <c r="AA21" s="279">
        <v>5</v>
      </c>
      <c r="AB21" s="279">
        <v>0</v>
      </c>
      <c r="AC21" s="279">
        <f t="shared" ref="AC21:AC25" si="4">IF(AND(J21=AA21,K21=AB21),0,1)</f>
        <v>0</v>
      </c>
    </row>
    <row r="22" spans="1:56" ht="15.75" x14ac:dyDescent="0.2">
      <c r="A22" s="280"/>
      <c r="B22" s="370">
        <v>3</v>
      </c>
      <c r="C22" s="323" t="s">
        <v>904</v>
      </c>
      <c r="D22" s="1283" t="e">
        <f>INDEX(Data!AF:AF,MATCH(Import_LA_Code,Ref_LA_Codes,0))</f>
        <v>#N/A</v>
      </c>
      <c r="E22" s="324">
        <f>+'Supplementary Information'!$H$28</f>
        <v>0</v>
      </c>
      <c r="F22" s="324"/>
      <c r="G22" s="324" t="e">
        <f t="shared" si="0"/>
        <v>#N/A</v>
      </c>
      <c r="H22" s="325" t="e">
        <f t="shared" si="2"/>
        <v>#N/A</v>
      </c>
      <c r="I22" s="326"/>
      <c r="J22" s="328">
        <v>10</v>
      </c>
      <c r="K22" s="325">
        <v>0</v>
      </c>
      <c r="L22" s="325"/>
      <c r="M22" s="1284" t="e">
        <f t="shared" si="1"/>
        <v>#N/A</v>
      </c>
      <c r="N22" s="327"/>
      <c r="O22" s="477"/>
      <c r="P22" s="302"/>
      <c r="Y22" s="273" t="e">
        <f t="shared" si="3"/>
        <v>#N/A</v>
      </c>
      <c r="AA22" s="279">
        <v>10</v>
      </c>
      <c r="AB22" s="279">
        <v>0</v>
      </c>
      <c r="AC22" s="279">
        <f t="shared" si="4"/>
        <v>0</v>
      </c>
    </row>
    <row r="23" spans="1:56" ht="15.75" x14ac:dyDescent="0.2">
      <c r="A23" s="280"/>
      <c r="B23" s="370">
        <v>4</v>
      </c>
      <c r="C23" s="323" t="s">
        <v>2338</v>
      </c>
      <c r="D23" s="1283" t="e">
        <f>INDEX(Data!AH:AH,MATCH(Import_LA_Code,Ref_LA_Codes,0))</f>
        <v>#N/A</v>
      </c>
      <c r="E23" s="324">
        <f>'Supplementary Information'!H31</f>
        <v>0</v>
      </c>
      <c r="F23" s="324"/>
      <c r="G23" s="324" t="e">
        <f t="shared" ref="G23" si="5">+E23-D23</f>
        <v>#N/A</v>
      </c>
      <c r="H23" s="325" t="e">
        <f t="shared" ref="H23" si="6">IF(AND(D23=0,E23=0),0,IF(AND(D23=0,E23&lt;&gt;0),1,G23/D23))</f>
        <v>#N/A</v>
      </c>
      <c r="I23" s="326"/>
      <c r="J23" s="328">
        <v>15</v>
      </c>
      <c r="K23" s="325">
        <v>0</v>
      </c>
      <c r="L23" s="325"/>
      <c r="M23" s="1284" t="e">
        <f t="shared" si="1"/>
        <v>#N/A</v>
      </c>
      <c r="N23" s="327"/>
      <c r="O23" s="477"/>
      <c r="P23" s="848"/>
      <c r="Y23" s="273"/>
    </row>
    <row r="24" spans="1:56" ht="15.75" x14ac:dyDescent="0.2">
      <c r="A24" s="280"/>
      <c r="B24" s="370">
        <v>5</v>
      </c>
      <c r="C24" s="323" t="s">
        <v>905</v>
      </c>
      <c r="D24" s="1283" t="e">
        <f>INDEX(Data!AI:AI,MATCH(Import_LA_Code,Ref_LA_Codes,0))</f>
        <v>#N/A</v>
      </c>
      <c r="E24" s="324">
        <f>+'Supplementary Information'!$H$33</f>
        <v>0</v>
      </c>
      <c r="F24" s="324"/>
      <c r="G24" s="324" t="e">
        <f t="shared" si="0"/>
        <v>#N/A</v>
      </c>
      <c r="H24" s="325" t="e">
        <f t="shared" si="2"/>
        <v>#N/A</v>
      </c>
      <c r="I24" s="326"/>
      <c r="J24" s="328">
        <v>10</v>
      </c>
      <c r="K24" s="325">
        <v>0</v>
      </c>
      <c r="L24" s="325"/>
      <c r="M24" s="1284" t="e">
        <f t="shared" si="1"/>
        <v>#N/A</v>
      </c>
      <c r="N24" s="327"/>
      <c r="O24" s="477"/>
      <c r="P24" s="302"/>
      <c r="R24" s="303"/>
      <c r="S24" s="303"/>
      <c r="T24" s="303"/>
      <c r="U24" s="303"/>
      <c r="V24" s="303"/>
      <c r="W24" s="303"/>
      <c r="X24" s="303"/>
      <c r="Y24" s="273" t="e">
        <f t="shared" si="3"/>
        <v>#N/A</v>
      </c>
      <c r="Z24" s="303"/>
      <c r="AA24" s="279">
        <v>10</v>
      </c>
      <c r="AB24" s="279">
        <v>0</v>
      </c>
      <c r="AC24" s="279">
        <f t="shared" si="4"/>
        <v>0</v>
      </c>
    </row>
    <row r="25" spans="1:56" ht="16.5" thickBot="1" x14ac:dyDescent="0.25">
      <c r="A25" s="280"/>
      <c r="B25" s="371">
        <v>6</v>
      </c>
      <c r="C25" s="372" t="s">
        <v>906</v>
      </c>
      <c r="D25" s="1285" t="e">
        <f>INDEX(Data!AJ:AJ,MATCH(Import_LA_Code,Ref_LA_Codes,0))</f>
        <v>#N/A</v>
      </c>
      <c r="E25" s="373">
        <f>+'Supplementary Information'!$H$35</f>
        <v>0</v>
      </c>
      <c r="F25" s="373"/>
      <c r="G25" s="373" t="e">
        <f t="shared" si="0"/>
        <v>#N/A</v>
      </c>
      <c r="H25" s="374" t="e">
        <f t="shared" si="2"/>
        <v>#N/A</v>
      </c>
      <c r="I25" s="375"/>
      <c r="J25" s="376">
        <v>100</v>
      </c>
      <c r="K25" s="374">
        <v>0.3</v>
      </c>
      <c r="L25" s="374"/>
      <c r="M25" s="1286" t="e">
        <f t="shared" si="1"/>
        <v>#N/A</v>
      </c>
      <c r="N25" s="377"/>
      <c r="O25" s="937"/>
      <c r="P25" s="302"/>
      <c r="Y25" s="273" t="e">
        <f t="shared" si="3"/>
        <v>#N/A</v>
      </c>
      <c r="AA25" s="279">
        <v>100</v>
      </c>
      <c r="AB25" s="279">
        <v>0.3</v>
      </c>
      <c r="AC25" s="279">
        <f t="shared" si="4"/>
        <v>0</v>
      </c>
      <c r="BD25" s="311" t="s">
        <v>708</v>
      </c>
    </row>
    <row r="26" spans="1:56" s="279" customFormat="1" ht="15.75" x14ac:dyDescent="0.2">
      <c r="A26" s="280"/>
      <c r="B26" s="293"/>
      <c r="C26" s="294"/>
      <c r="D26" s="295"/>
      <c r="E26" s="295"/>
      <c r="F26" s="295"/>
      <c r="G26" s="304"/>
      <c r="H26" s="305"/>
      <c r="I26" s="304"/>
      <c r="J26" s="293"/>
      <c r="K26" s="293"/>
      <c r="L26" s="293"/>
      <c r="M26" s="299"/>
      <c r="N26" s="293"/>
      <c r="O26" s="300"/>
      <c r="P26" s="302"/>
    </row>
    <row r="27" spans="1:56" s="279" customFormat="1" ht="16.5" thickBot="1" x14ac:dyDescent="0.25">
      <c r="A27" s="280"/>
      <c r="B27" s="293"/>
      <c r="C27" s="301" t="s">
        <v>880</v>
      </c>
      <c r="D27" s="295"/>
      <c r="E27" s="295"/>
      <c r="F27" s="295"/>
      <c r="G27" s="304"/>
      <c r="H27" s="305"/>
      <c r="I27" s="304"/>
      <c r="J27" s="293"/>
      <c r="K27" s="293"/>
      <c r="L27" s="293"/>
      <c r="M27" s="299"/>
      <c r="N27" s="293"/>
      <c r="O27" s="300"/>
      <c r="P27" s="302"/>
    </row>
    <row r="28" spans="1:56" s="279" customFormat="1" ht="15.75" x14ac:dyDescent="0.2">
      <c r="A28" s="280"/>
      <c r="B28" s="363">
        <v>7</v>
      </c>
      <c r="C28" s="364" t="s">
        <v>902</v>
      </c>
      <c r="D28" s="1281" t="e">
        <f>INDEX(Data!AK:AK,MATCH(Import_LA_Code,Ref_LA_Codes,0))</f>
        <v>#N/A</v>
      </c>
      <c r="E28" s="365">
        <f>+'Supplementary Information'!$H$50</f>
        <v>0</v>
      </c>
      <c r="F28" s="365"/>
      <c r="G28" s="365" t="e">
        <f t="shared" ref="G28:G39" si="7">+E28-D28</f>
        <v>#N/A</v>
      </c>
      <c r="H28" s="366" t="e">
        <f t="shared" ref="H28:H42" si="8">IF(AND(D28=0,E28=0),0,IF(AND(D28=0,E28&lt;&gt;0),1,G28/D28))</f>
        <v>#N/A</v>
      </c>
      <c r="I28" s="367"/>
      <c r="J28" s="368">
        <v>20</v>
      </c>
      <c r="K28" s="366">
        <v>0.1</v>
      </c>
      <c r="L28" s="366"/>
      <c r="M28" s="1282" t="e">
        <f t="shared" ref="M28:M42" si="9">IF(O28&lt;&gt;"","Comment made", IF(AND(ABS(H28)&gt;K28,ABS(G28)&gt;J28),"Please comment","OK"))</f>
        <v>#N/A</v>
      </c>
      <c r="N28" s="369"/>
      <c r="O28" s="478"/>
      <c r="P28" s="302"/>
      <c r="Y28" s="273" t="e">
        <f t="shared" ref="Y28:Y45" si="10">IF(M28="OK",0,1)</f>
        <v>#N/A</v>
      </c>
      <c r="AA28" s="279">
        <v>20</v>
      </c>
      <c r="AB28" s="279">
        <v>0.1</v>
      </c>
      <c r="AC28" s="279">
        <f t="shared" ref="AC28:AC45" si="11">IF(AND(J28=AA28,K28=AB28),0,1)</f>
        <v>0</v>
      </c>
    </row>
    <row r="29" spans="1:56" s="279" customFormat="1" ht="15.75" x14ac:dyDescent="0.2">
      <c r="A29" s="280"/>
      <c r="B29" s="370">
        <v>8</v>
      </c>
      <c r="C29" s="323" t="s">
        <v>907</v>
      </c>
      <c r="D29" s="1283" t="e">
        <f>INDEX(Data!AL:AL,MATCH(Import_LA_Code,Ref_LA_Codes,0))</f>
        <v>#N/A</v>
      </c>
      <c r="E29" s="324">
        <f>+'Supplementary Information'!$H$52</f>
        <v>0</v>
      </c>
      <c r="F29" s="324"/>
      <c r="G29" s="324" t="e">
        <f t="shared" si="7"/>
        <v>#N/A</v>
      </c>
      <c r="H29" s="325" t="e">
        <f t="shared" si="8"/>
        <v>#N/A</v>
      </c>
      <c r="I29" s="326"/>
      <c r="J29" s="328">
        <v>20</v>
      </c>
      <c r="K29" s="325">
        <v>0</v>
      </c>
      <c r="L29" s="325"/>
      <c r="M29" s="1284" t="e">
        <f t="shared" si="9"/>
        <v>#N/A</v>
      </c>
      <c r="N29" s="327"/>
      <c r="O29" s="479"/>
      <c r="P29" s="302"/>
      <c r="Y29" s="273" t="e">
        <f t="shared" si="10"/>
        <v>#N/A</v>
      </c>
      <c r="AA29" s="279">
        <v>20</v>
      </c>
      <c r="AB29" s="279">
        <v>0</v>
      </c>
      <c r="AC29" s="279">
        <f t="shared" si="11"/>
        <v>0</v>
      </c>
    </row>
    <row r="30" spans="1:56" s="279" customFormat="1" ht="15.75" x14ac:dyDescent="0.2">
      <c r="A30" s="280"/>
      <c r="B30" s="370">
        <v>9</v>
      </c>
      <c r="C30" s="323" t="s">
        <v>908</v>
      </c>
      <c r="D30" s="1283" t="e">
        <f>INDEX(Data!AO:AO,MATCH(Import_LA_Code,Ref_LA_Codes,0))</f>
        <v>#N/A</v>
      </c>
      <c r="E30" s="324">
        <f>+'Supplementary Information'!$H$54</f>
        <v>0</v>
      </c>
      <c r="F30" s="324"/>
      <c r="G30" s="324" t="e">
        <f t="shared" si="7"/>
        <v>#N/A</v>
      </c>
      <c r="H30" s="325" t="e">
        <f t="shared" si="8"/>
        <v>#N/A</v>
      </c>
      <c r="I30" s="326"/>
      <c r="J30" s="328">
        <v>5</v>
      </c>
      <c r="K30" s="325">
        <v>0</v>
      </c>
      <c r="L30" s="325"/>
      <c r="M30" s="1284" t="e">
        <f t="shared" si="9"/>
        <v>#N/A</v>
      </c>
      <c r="N30" s="327"/>
      <c r="O30" s="479"/>
      <c r="P30" s="302"/>
      <c r="Y30" s="273" t="e">
        <f t="shared" si="10"/>
        <v>#N/A</v>
      </c>
      <c r="AA30" s="279">
        <v>5</v>
      </c>
      <c r="AB30" s="279">
        <v>0</v>
      </c>
      <c r="AC30" s="279">
        <f t="shared" si="11"/>
        <v>0</v>
      </c>
    </row>
    <row r="31" spans="1:56" s="279" customFormat="1" ht="15.75" x14ac:dyDescent="0.2">
      <c r="A31" s="280"/>
      <c r="B31" s="370">
        <v>10</v>
      </c>
      <c r="C31" s="323" t="s">
        <v>904</v>
      </c>
      <c r="D31" s="1283" t="e">
        <f>INDEX(Data!AM:AM,MATCH(Import_LA_Code,Ref_LA_Codes,0))</f>
        <v>#N/A</v>
      </c>
      <c r="E31" s="324">
        <f>+'Supplementary Information'!$H$56</f>
        <v>0</v>
      </c>
      <c r="F31" s="324"/>
      <c r="G31" s="324" t="e">
        <f t="shared" si="7"/>
        <v>#N/A</v>
      </c>
      <c r="H31" s="325" t="e">
        <f t="shared" si="8"/>
        <v>#N/A</v>
      </c>
      <c r="I31" s="326"/>
      <c r="J31" s="328">
        <v>10</v>
      </c>
      <c r="K31" s="325">
        <v>0</v>
      </c>
      <c r="L31" s="325"/>
      <c r="M31" s="1284" t="e">
        <f t="shared" si="9"/>
        <v>#N/A</v>
      </c>
      <c r="N31" s="327"/>
      <c r="O31" s="479"/>
      <c r="P31" s="302"/>
      <c r="Y31" s="273" t="e">
        <f t="shared" si="10"/>
        <v>#N/A</v>
      </c>
      <c r="AA31" s="279">
        <v>10</v>
      </c>
      <c r="AB31" s="279">
        <v>0</v>
      </c>
      <c r="AC31" s="279">
        <f t="shared" si="11"/>
        <v>0</v>
      </c>
    </row>
    <row r="32" spans="1:56" s="279" customFormat="1" ht="15.75" x14ac:dyDescent="0.2">
      <c r="A32" s="280"/>
      <c r="B32" s="370">
        <v>11</v>
      </c>
      <c r="C32" s="323" t="s">
        <v>909</v>
      </c>
      <c r="D32" s="1283" t="e">
        <f>INDEX(Data!AN:AN,MATCH(Import_LA_Code,Ref_LA_Codes,0))</f>
        <v>#N/A</v>
      </c>
      <c r="E32" s="324">
        <f>+'Supplementary Information'!$H$58</f>
        <v>0</v>
      </c>
      <c r="F32" s="324"/>
      <c r="G32" s="324" t="e">
        <f t="shared" si="7"/>
        <v>#N/A</v>
      </c>
      <c r="H32" s="325" t="e">
        <f t="shared" si="8"/>
        <v>#N/A</v>
      </c>
      <c r="I32" s="326"/>
      <c r="J32" s="328">
        <v>5</v>
      </c>
      <c r="K32" s="325">
        <v>0</v>
      </c>
      <c r="L32" s="325"/>
      <c r="M32" s="1284" t="e">
        <f t="shared" si="9"/>
        <v>#N/A</v>
      </c>
      <c r="N32" s="327"/>
      <c r="O32" s="479"/>
      <c r="P32" s="302"/>
      <c r="Y32" s="273" t="e">
        <f t="shared" si="10"/>
        <v>#N/A</v>
      </c>
      <c r="AA32" s="279">
        <v>5</v>
      </c>
      <c r="AB32" s="279">
        <v>0</v>
      </c>
      <c r="AC32" s="279">
        <f t="shared" si="11"/>
        <v>0</v>
      </c>
    </row>
    <row r="33" spans="1:55" s="279" customFormat="1" ht="15.75" x14ac:dyDescent="0.2">
      <c r="A33" s="280"/>
      <c r="B33" s="370">
        <v>12</v>
      </c>
      <c r="C33" s="323" t="s">
        <v>2307</v>
      </c>
      <c r="D33" s="1283" t="e">
        <f>INDEX(Data!AP:AP,MATCH(Import_LA_Code,Ref_LA_Codes,0))</f>
        <v>#N/A</v>
      </c>
      <c r="E33" s="324">
        <f>+'Supplementary Information'!$H$60</f>
        <v>0</v>
      </c>
      <c r="F33" s="324"/>
      <c r="G33" s="324" t="e">
        <f t="shared" si="7"/>
        <v>#N/A</v>
      </c>
      <c r="H33" s="325" t="e">
        <f t="shared" si="8"/>
        <v>#N/A</v>
      </c>
      <c r="I33" s="326"/>
      <c r="J33" s="328">
        <v>10</v>
      </c>
      <c r="K33" s="325">
        <v>0</v>
      </c>
      <c r="L33" s="325"/>
      <c r="M33" s="1284" t="e">
        <f t="shared" si="9"/>
        <v>#N/A</v>
      </c>
      <c r="N33" s="327"/>
      <c r="O33" s="479"/>
      <c r="P33" s="302"/>
      <c r="Y33" s="273" t="e">
        <f t="shared" si="10"/>
        <v>#N/A</v>
      </c>
      <c r="AA33" s="279">
        <v>10</v>
      </c>
      <c r="AB33" s="279">
        <v>0</v>
      </c>
      <c r="AC33" s="279">
        <f t="shared" si="11"/>
        <v>0</v>
      </c>
    </row>
    <row r="34" spans="1:55" s="279" customFormat="1" ht="15.75" x14ac:dyDescent="0.2">
      <c r="A34" s="280"/>
      <c r="B34" s="370">
        <v>13</v>
      </c>
      <c r="C34" s="323" t="s">
        <v>910</v>
      </c>
      <c r="D34" s="1283" t="e">
        <f>INDEX(Data!AQ:AQ,MATCH(Import_LA_Code,Ref_LA_Codes,0))</f>
        <v>#N/A</v>
      </c>
      <c r="E34" s="324">
        <f>+'Supplementary Information'!$H$62</f>
        <v>0</v>
      </c>
      <c r="F34" s="324"/>
      <c r="G34" s="324" t="e">
        <f t="shared" si="7"/>
        <v>#N/A</v>
      </c>
      <c r="H34" s="325" t="e">
        <f t="shared" si="8"/>
        <v>#N/A</v>
      </c>
      <c r="I34" s="326"/>
      <c r="J34" s="328">
        <v>20</v>
      </c>
      <c r="K34" s="325">
        <v>0</v>
      </c>
      <c r="L34" s="325"/>
      <c r="M34" s="1284" t="e">
        <f t="shared" si="9"/>
        <v>#N/A</v>
      </c>
      <c r="N34" s="327"/>
      <c r="O34" s="938"/>
      <c r="P34" s="302"/>
      <c r="Y34" s="273" t="e">
        <f t="shared" si="10"/>
        <v>#N/A</v>
      </c>
      <c r="AA34" s="279">
        <v>20</v>
      </c>
      <c r="AB34" s="279">
        <v>0</v>
      </c>
      <c r="AC34" s="279">
        <f t="shared" si="11"/>
        <v>0</v>
      </c>
    </row>
    <row r="35" spans="1:55" s="279" customFormat="1" ht="15.75" x14ac:dyDescent="0.2">
      <c r="A35" s="280"/>
      <c r="B35" s="371">
        <v>14</v>
      </c>
      <c r="C35" s="323" t="s">
        <v>2786</v>
      </c>
      <c r="D35" s="1283" t="e">
        <f>INDEX(Data!AR:AR,MATCH(Import_LA_Code,Ref_LA_Codes,0))</f>
        <v>#N/A</v>
      </c>
      <c r="E35" s="324">
        <f>'Supplementary Information'!$H$72</f>
        <v>0</v>
      </c>
      <c r="F35" s="324"/>
      <c r="G35" s="324" t="e">
        <f t="shared" ref="G35" si="12">+E35-D35</f>
        <v>#N/A</v>
      </c>
      <c r="H35" s="325" t="e">
        <f t="shared" ref="H35" si="13">IF(AND(D35=0,E35=0),0,IF(AND(D35=0,E35&lt;&gt;0),1,G35/D35))</f>
        <v>#N/A</v>
      </c>
      <c r="I35" s="326"/>
      <c r="J35" s="328">
        <v>150</v>
      </c>
      <c r="K35" s="325">
        <v>0.15</v>
      </c>
      <c r="L35" s="325"/>
      <c r="M35" s="1286" t="e">
        <f>IF(O35&lt;&gt;"","Comment made", IF(AND(ABS(H35)&gt;K35,ABS(G35)&gt;J35),"Please comment","OK"))</f>
        <v>#N/A</v>
      </c>
      <c r="N35" s="1056"/>
      <c r="O35" s="937"/>
      <c r="P35" s="848"/>
      <c r="Y35" s="273" t="e">
        <f t="shared" si="10"/>
        <v>#N/A</v>
      </c>
    </row>
    <row r="36" spans="1:55" s="279" customFormat="1" ht="15.75" x14ac:dyDescent="0.2">
      <c r="A36" s="280"/>
      <c r="B36" s="923"/>
      <c r="C36" s="924"/>
      <c r="D36" s="925"/>
      <c r="E36" s="926"/>
      <c r="F36" s="926"/>
      <c r="G36" s="926"/>
      <c r="H36" s="927"/>
      <c r="I36" s="928"/>
      <c r="J36" s="929"/>
      <c r="K36" s="927"/>
      <c r="L36" s="927"/>
      <c r="M36" s="930"/>
      <c r="N36" s="923"/>
      <c r="O36" s="1595"/>
      <c r="P36" s="848"/>
      <c r="Y36" s="273"/>
    </row>
    <row r="37" spans="1:55" s="279" customFormat="1" ht="16.5" thickBot="1" x14ac:dyDescent="0.25">
      <c r="A37" s="280"/>
      <c r="B37" s="931"/>
      <c r="C37" s="941" t="s">
        <v>2294</v>
      </c>
      <c r="D37" s="940"/>
      <c r="E37" s="932"/>
      <c r="F37" s="932"/>
      <c r="G37" s="932"/>
      <c r="H37" s="933"/>
      <c r="I37" s="934"/>
      <c r="J37" s="935"/>
      <c r="K37" s="933"/>
      <c r="L37" s="933"/>
      <c r="M37" s="936"/>
      <c r="N37" s="931"/>
      <c r="O37" s="1596"/>
      <c r="P37" s="848"/>
      <c r="Y37" s="273"/>
    </row>
    <row r="38" spans="1:55" s="279" customFormat="1" ht="15.75" x14ac:dyDescent="0.2">
      <c r="A38" s="280"/>
      <c r="B38" s="370">
        <v>15</v>
      </c>
      <c r="C38" s="323" t="s">
        <v>915</v>
      </c>
      <c r="D38" s="1283" t="e">
        <f>INDEX(Data!AS:AS,MATCH(Import_LA_Code,Ref_LA_Codes,0))</f>
        <v>#N/A</v>
      </c>
      <c r="E38" s="324">
        <f>+'Supplementary Information'!$H$77</f>
        <v>0</v>
      </c>
      <c r="F38" s="324"/>
      <c r="G38" s="324" t="e">
        <f t="shared" si="7"/>
        <v>#N/A</v>
      </c>
      <c r="H38" s="325" t="e">
        <f t="shared" si="8"/>
        <v>#N/A</v>
      </c>
      <c r="I38" s="326"/>
      <c r="J38" s="328">
        <v>100</v>
      </c>
      <c r="K38" s="325">
        <v>0.1</v>
      </c>
      <c r="L38" s="325"/>
      <c r="M38" s="1284" t="e">
        <f t="shared" si="9"/>
        <v>#N/A</v>
      </c>
      <c r="N38" s="327"/>
      <c r="O38" s="939"/>
      <c r="P38" s="302"/>
      <c r="Y38" s="273" t="e">
        <f t="shared" si="10"/>
        <v>#N/A</v>
      </c>
      <c r="AA38" s="279">
        <v>100</v>
      </c>
      <c r="AB38" s="279">
        <v>0.1</v>
      </c>
      <c r="AC38" s="279">
        <f t="shared" si="11"/>
        <v>0</v>
      </c>
    </row>
    <row r="39" spans="1:55" s="279" customFormat="1" ht="15.75" x14ac:dyDescent="0.2">
      <c r="A39" s="280"/>
      <c r="B39" s="370">
        <v>16</v>
      </c>
      <c r="C39" s="323" t="s">
        <v>912</v>
      </c>
      <c r="D39" s="1283" t="e">
        <f>INDEX(Data!AT:AT,MATCH(Import_LA_Code,Ref_LA_Codes,0))</f>
        <v>#N/A</v>
      </c>
      <c r="E39" s="324">
        <f>+'Supplementary Information'!$H$79</f>
        <v>0</v>
      </c>
      <c r="F39" s="324"/>
      <c r="G39" s="324" t="e">
        <f t="shared" si="7"/>
        <v>#N/A</v>
      </c>
      <c r="H39" s="325" t="e">
        <f t="shared" si="8"/>
        <v>#N/A</v>
      </c>
      <c r="I39" s="326"/>
      <c r="J39" s="328">
        <v>100</v>
      </c>
      <c r="K39" s="325">
        <v>0.1</v>
      </c>
      <c r="L39" s="325"/>
      <c r="M39" s="1284" t="e">
        <f t="shared" si="9"/>
        <v>#N/A</v>
      </c>
      <c r="N39" s="327"/>
      <c r="O39" s="477"/>
      <c r="P39" s="302"/>
      <c r="Y39" s="273" t="e">
        <f t="shared" si="10"/>
        <v>#N/A</v>
      </c>
      <c r="AA39" s="279">
        <v>100</v>
      </c>
      <c r="AB39" s="279">
        <v>0.1</v>
      </c>
      <c r="AC39" s="279">
        <f t="shared" si="11"/>
        <v>0</v>
      </c>
    </row>
    <row r="40" spans="1:55" s="279" customFormat="1" ht="15.75" x14ac:dyDescent="0.2">
      <c r="A40" s="319"/>
      <c r="B40" s="370">
        <v>17</v>
      </c>
      <c r="C40" s="323" t="s">
        <v>1001</v>
      </c>
      <c r="D40" s="1283" t="e">
        <f>INDEX(Data!AU:AU,MATCH(Import_LA_Code,Ref_LA_Codes,0))</f>
        <v>#N/A</v>
      </c>
      <c r="E40" s="324">
        <f>+'Supplementary Information'!$H$82</f>
        <v>0</v>
      </c>
      <c r="F40" s="324"/>
      <c r="G40" s="324" t="e">
        <f>+E40-D40</f>
        <v>#N/A</v>
      </c>
      <c r="H40" s="325" t="e">
        <f t="shared" si="8"/>
        <v>#N/A</v>
      </c>
      <c r="I40" s="326"/>
      <c r="J40" s="328">
        <v>100</v>
      </c>
      <c r="K40" s="325">
        <v>0.1</v>
      </c>
      <c r="L40" s="325"/>
      <c r="M40" s="1284" t="e">
        <f t="shared" si="9"/>
        <v>#N/A</v>
      </c>
      <c r="N40" s="327"/>
      <c r="O40" s="477"/>
      <c r="P40" s="302"/>
      <c r="Y40" s="273" t="e">
        <f t="shared" si="10"/>
        <v>#N/A</v>
      </c>
      <c r="AA40" s="279">
        <v>100</v>
      </c>
      <c r="AB40" s="279">
        <v>0.1</v>
      </c>
      <c r="AC40" s="279">
        <f t="shared" si="11"/>
        <v>0</v>
      </c>
    </row>
    <row r="41" spans="1:55" s="279" customFormat="1" ht="15.75" x14ac:dyDescent="0.2">
      <c r="A41" s="280"/>
      <c r="B41" s="370">
        <v>18</v>
      </c>
      <c r="C41" s="323" t="s">
        <v>1003</v>
      </c>
      <c r="D41" s="1283" t="e">
        <f>INDEX(Data!AV:AV,MATCH(Import_LA_Code,Ref_LA_Codes,0))</f>
        <v>#N/A</v>
      </c>
      <c r="E41" s="324">
        <f>+'Supplementary Information'!$H$84</f>
        <v>0</v>
      </c>
      <c r="F41" s="324"/>
      <c r="G41" s="324" t="e">
        <f>+E41-D41</f>
        <v>#N/A</v>
      </c>
      <c r="H41" s="325" t="e">
        <f t="shared" si="8"/>
        <v>#N/A</v>
      </c>
      <c r="I41" s="326"/>
      <c r="J41" s="328">
        <v>100</v>
      </c>
      <c r="K41" s="325">
        <v>0.1</v>
      </c>
      <c r="L41" s="325"/>
      <c r="M41" s="1284" t="e">
        <f t="shared" si="9"/>
        <v>#N/A</v>
      </c>
      <c r="N41" s="327"/>
      <c r="O41" s="477"/>
      <c r="P41" s="302"/>
      <c r="Y41" s="273" t="e">
        <f t="shared" si="10"/>
        <v>#N/A</v>
      </c>
      <c r="AA41" s="279">
        <v>50</v>
      </c>
      <c r="AB41" s="279">
        <v>0.1</v>
      </c>
      <c r="AC41" s="279">
        <f t="shared" si="11"/>
        <v>1</v>
      </c>
    </row>
    <row r="42" spans="1:55" s="279" customFormat="1" ht="16.5" thickBot="1" x14ac:dyDescent="0.25">
      <c r="A42" s="280"/>
      <c r="B42" s="371">
        <v>19</v>
      </c>
      <c r="C42" s="372" t="s">
        <v>913</v>
      </c>
      <c r="D42" s="1285" t="e">
        <f>INDEX(Data!AW:AW,MATCH(Import_LA_Code,Ref_LA_Codes,0))</f>
        <v>#N/A</v>
      </c>
      <c r="E42" s="373">
        <f>+'Supplementary Information'!$H$86</f>
        <v>0</v>
      </c>
      <c r="F42" s="373"/>
      <c r="G42" s="373" t="e">
        <f>+E42-D42</f>
        <v>#N/A</v>
      </c>
      <c r="H42" s="374" t="e">
        <f t="shared" si="8"/>
        <v>#N/A</v>
      </c>
      <c r="I42" s="375"/>
      <c r="J42" s="376">
        <v>100</v>
      </c>
      <c r="K42" s="374">
        <v>0.1</v>
      </c>
      <c r="L42" s="374"/>
      <c r="M42" s="1284" t="e">
        <f t="shared" si="9"/>
        <v>#N/A</v>
      </c>
      <c r="N42" s="377"/>
      <c r="O42" s="480"/>
      <c r="P42" s="302"/>
      <c r="Y42" s="273" t="e">
        <f t="shared" si="10"/>
        <v>#N/A</v>
      </c>
      <c r="AA42" s="279">
        <v>100</v>
      </c>
      <c r="AB42" s="279">
        <v>0.1</v>
      </c>
      <c r="AC42" s="279">
        <f t="shared" si="11"/>
        <v>0</v>
      </c>
    </row>
    <row r="43" spans="1:55" ht="15.75" x14ac:dyDescent="0.2">
      <c r="A43" s="921"/>
      <c r="B43" s="923"/>
      <c r="C43" s="924"/>
      <c r="D43" s="925"/>
      <c r="E43" s="926"/>
      <c r="F43" s="926"/>
      <c r="G43" s="926"/>
      <c r="H43" s="927"/>
      <c r="I43" s="928"/>
      <c r="J43" s="929"/>
      <c r="K43" s="927"/>
      <c r="L43" s="927"/>
      <c r="M43" s="930"/>
      <c r="N43" s="923"/>
      <c r="O43" s="1595"/>
      <c r="P43" s="922"/>
      <c r="Q43" s="311"/>
      <c r="R43" s="311"/>
      <c r="S43" s="311"/>
      <c r="T43" s="311"/>
      <c r="U43" s="311"/>
      <c r="V43" s="311"/>
      <c r="W43" s="311"/>
      <c r="X43" s="311"/>
      <c r="Y43"/>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row>
    <row r="44" spans="1:55" s="279" customFormat="1" ht="30" customHeight="1" thickBot="1" x14ac:dyDescent="0.3">
      <c r="A44" s="280"/>
      <c r="B44" s="293"/>
      <c r="C44" s="285" t="s">
        <v>914</v>
      </c>
      <c r="D44" s="322" t="s">
        <v>916</v>
      </c>
      <c r="E44" s="1850" t="s">
        <v>2776</v>
      </c>
      <c r="F44" s="1850"/>
      <c r="G44" s="1850"/>
      <c r="H44" s="295"/>
      <c r="I44" s="295"/>
      <c r="J44" s="295"/>
      <c r="K44" s="295"/>
      <c r="L44" s="295"/>
      <c r="M44" s="1597"/>
      <c r="N44" s="295"/>
      <c r="O44" s="295"/>
      <c r="P44" s="302"/>
    </row>
    <row r="45" spans="1:55" s="279" customFormat="1" ht="45.75" thickBot="1" x14ac:dyDescent="0.25">
      <c r="A45" s="280"/>
      <c r="B45" s="378">
        <v>20</v>
      </c>
      <c r="C45" s="379" t="s">
        <v>2799</v>
      </c>
      <c r="D45" s="1287" t="e">
        <f>INDEX(Data!F:F,MATCH(Import_LA_Code,Ref_LA_Codes,0))</f>
        <v>#N/A</v>
      </c>
      <c r="E45" s="380">
        <f>+E38+E39+E42</f>
        <v>0</v>
      </c>
      <c r="F45" s="380"/>
      <c r="G45" s="380" t="e">
        <f>+E45-D45</f>
        <v>#N/A</v>
      </c>
      <c r="H45" s="381" t="e">
        <f>IF(AND(D45=0,E45=0),0,IF(AND(D45=0,E45&lt;&gt;0),1,G45/D45))</f>
        <v>#N/A</v>
      </c>
      <c r="I45" s="382"/>
      <c r="J45" s="383">
        <v>25</v>
      </c>
      <c r="K45" s="381">
        <v>0.1</v>
      </c>
      <c r="L45" s="381"/>
      <c r="M45" s="1291" t="e">
        <f>IF(O45&lt;&gt;"","Comment made", IF(AND(ABS(H45)&gt;K45,ABS(G45)&gt;J45),"Please comment","OK"))</f>
        <v>#N/A</v>
      </c>
      <c r="N45" s="384"/>
      <c r="O45" s="481"/>
      <c r="P45" s="302"/>
      <c r="Y45" s="273" t="e">
        <f t="shared" si="10"/>
        <v>#N/A</v>
      </c>
      <c r="AA45" s="279">
        <v>25</v>
      </c>
      <c r="AB45" s="279">
        <v>0.1</v>
      </c>
      <c r="AC45" s="279">
        <f t="shared" si="11"/>
        <v>0</v>
      </c>
    </row>
    <row r="46" spans="1:55" s="279" customFormat="1" x14ac:dyDescent="0.2">
      <c r="A46" s="280"/>
      <c r="B46" s="293"/>
      <c r="C46" s="318"/>
      <c r="D46" s="156"/>
      <c r="E46" s="295"/>
      <c r="F46" s="295"/>
      <c r="G46" s="295"/>
      <c r="H46" s="295"/>
      <c r="I46" s="295"/>
      <c r="J46" s="295"/>
      <c r="K46" s="295"/>
      <c r="L46" s="295"/>
      <c r="M46" s="295"/>
      <c r="N46" s="295"/>
      <c r="O46" s="295"/>
      <c r="P46" s="302"/>
      <c r="AC46" s="545">
        <f>IF(SUM(AC20:AC45)&gt;0,1,0)</f>
        <v>1</v>
      </c>
    </row>
    <row r="47" spans="1:55" s="279" customFormat="1" ht="16.5" thickBot="1" x14ac:dyDescent="0.3">
      <c r="A47" s="280"/>
      <c r="B47" s="293"/>
      <c r="C47" s="1150" t="s">
        <v>2913</v>
      </c>
      <c r="D47" s="291" t="s">
        <v>2380</v>
      </c>
      <c r="E47" s="658" t="s">
        <v>2812</v>
      </c>
      <c r="F47" s="295"/>
      <c r="G47" s="295"/>
      <c r="H47" s="295"/>
      <c r="I47" s="295"/>
      <c r="J47" s="295"/>
      <c r="K47" s="295"/>
      <c r="L47" s="295"/>
      <c r="M47" s="295"/>
      <c r="N47" s="295"/>
      <c r="O47" s="295"/>
      <c r="P47" s="1147"/>
      <c r="AC47" s="545"/>
    </row>
    <row r="48" spans="1:55" s="279" customFormat="1" ht="30" x14ac:dyDescent="0.2">
      <c r="A48" s="280"/>
      <c r="B48" s="1151">
        <v>21</v>
      </c>
      <c r="C48" s="1152" t="s">
        <v>2914</v>
      </c>
      <c r="D48" s="1289" t="e">
        <f>INDEX(Data!AX:AX,MATCH(Import_LA_Code,Ref_LA_Codes,0))</f>
        <v>#N/A</v>
      </c>
      <c r="E48" s="1155">
        <f>'Supplementary Information'!H98</f>
        <v>0</v>
      </c>
      <c r="F48" s="1155"/>
      <c r="G48" s="1155" t="e">
        <f t="shared" ref="G48" si="14">+E48-D48</f>
        <v>#N/A</v>
      </c>
      <c r="H48" s="1158" t="e">
        <f t="shared" ref="H48" si="15">IF(AND(D48=0,E48=0),0,IF(AND(D48=0,E48&lt;&gt;0),1,G48/D48))</f>
        <v>#N/A</v>
      </c>
      <c r="I48" s="1155"/>
      <c r="J48" s="1161">
        <v>250000</v>
      </c>
      <c r="K48" s="1158">
        <v>0.25</v>
      </c>
      <c r="L48" s="1155"/>
      <c r="M48" s="1290" t="e">
        <f>IF(O48&lt;&gt;"","Comment made", IF(AND(ABS(H48)&gt;K48,ABS(G48)&gt;J48),"Please comment","OK"))</f>
        <v>#N/A</v>
      </c>
      <c r="N48" s="1149"/>
      <c r="O48" s="1159"/>
      <c r="P48" s="1147"/>
      <c r="AC48" s="545"/>
    </row>
    <row r="49" spans="1:29" s="279" customFormat="1" ht="15.75" x14ac:dyDescent="0.2">
      <c r="A49" s="280"/>
      <c r="B49" s="370">
        <v>22</v>
      </c>
      <c r="C49" s="1153" t="s">
        <v>2915</v>
      </c>
      <c r="D49" s="1283" t="e">
        <f>INDEX(Data!AY:AY,MATCH(Import_LA_Code,Ref_LA_Codes,0))</f>
        <v>#N/A</v>
      </c>
      <c r="E49" s="324">
        <f>'Supplementary Information'!H100</f>
        <v>0</v>
      </c>
      <c r="F49" s="324"/>
      <c r="G49" s="324" t="e">
        <f t="shared" ref="G49:G53" si="16">+E49-D49</f>
        <v>#N/A</v>
      </c>
      <c r="H49" s="325" t="e">
        <f t="shared" ref="H49:H53" si="17">IF(AND(D49=0,E49=0),0,IF(AND(D49=0,E49&lt;&gt;0),1,G49/D49))</f>
        <v>#N/A</v>
      </c>
      <c r="I49" s="324"/>
      <c r="J49" s="328">
        <v>200000</v>
      </c>
      <c r="K49" s="325">
        <v>0.25</v>
      </c>
      <c r="L49" s="324"/>
      <c r="M49" s="1288" t="e">
        <f t="shared" ref="M49:M53" si="18">IF(O49&lt;&gt;"","Comment made", IF(AND(ABS(H49)&gt;K49,ABS(G49)&gt;J49),"Please comment","OK"))</f>
        <v>#N/A</v>
      </c>
      <c r="N49" s="295"/>
      <c r="O49" s="1160"/>
      <c r="P49" s="1147"/>
      <c r="AC49" s="545"/>
    </row>
    <row r="50" spans="1:29" s="279" customFormat="1" ht="30" x14ac:dyDescent="0.2">
      <c r="A50" s="280"/>
      <c r="B50" s="370">
        <v>23</v>
      </c>
      <c r="C50" s="1153" t="s">
        <v>2916</v>
      </c>
      <c r="D50" s="1283" t="e">
        <f>INDEX(Data!AZ:AZ,MATCH(Import_LA_Code,Ref_LA_Codes,0))</f>
        <v>#N/A</v>
      </c>
      <c r="E50" s="324">
        <f>'Supplementary Information'!H102</f>
        <v>0</v>
      </c>
      <c r="F50" s="324"/>
      <c r="G50" s="324" t="e">
        <f t="shared" si="16"/>
        <v>#N/A</v>
      </c>
      <c r="H50" s="325" t="e">
        <f t="shared" si="17"/>
        <v>#N/A</v>
      </c>
      <c r="I50" s="324"/>
      <c r="J50" s="328">
        <v>50000</v>
      </c>
      <c r="K50" s="325">
        <v>0.25</v>
      </c>
      <c r="L50" s="324"/>
      <c r="M50" s="1288" t="e">
        <f t="shared" si="18"/>
        <v>#N/A</v>
      </c>
      <c r="N50" s="295"/>
      <c r="O50" s="1160"/>
      <c r="P50" s="1147"/>
      <c r="AC50" s="545"/>
    </row>
    <row r="51" spans="1:29" s="279" customFormat="1" ht="15.75" x14ac:dyDescent="0.2">
      <c r="A51" s="280"/>
      <c r="B51" s="370">
        <v>24</v>
      </c>
      <c r="C51" s="1153" t="s">
        <v>2917</v>
      </c>
      <c r="D51" s="1283" t="e">
        <f>INDEX(Data!BA:BA,MATCH(Import_LA_Code,Ref_LA_Codes,0))</f>
        <v>#N/A</v>
      </c>
      <c r="E51" s="324">
        <f>'Supplementary Information'!H104</f>
        <v>0</v>
      </c>
      <c r="F51" s="324"/>
      <c r="G51" s="324" t="e">
        <f t="shared" si="16"/>
        <v>#N/A</v>
      </c>
      <c r="H51" s="325" t="e">
        <f t="shared" si="17"/>
        <v>#N/A</v>
      </c>
      <c r="I51" s="324"/>
      <c r="J51" s="328">
        <v>50000</v>
      </c>
      <c r="K51" s="325">
        <v>0.25</v>
      </c>
      <c r="L51" s="324"/>
      <c r="M51" s="1288" t="e">
        <f t="shared" si="18"/>
        <v>#N/A</v>
      </c>
      <c r="N51" s="295"/>
      <c r="O51" s="1160"/>
      <c r="P51" s="1147"/>
      <c r="AC51" s="545"/>
    </row>
    <row r="52" spans="1:29" s="279" customFormat="1" ht="15.75" x14ac:dyDescent="0.2">
      <c r="A52" s="280"/>
      <c r="B52" s="370">
        <v>25</v>
      </c>
      <c r="C52" s="1153" t="s">
        <v>2918</v>
      </c>
      <c r="D52" s="1283" t="e">
        <f>INDEX(Data!BB:BB,MATCH(Import_LA_Code,Ref_LA_Codes,0))</f>
        <v>#N/A</v>
      </c>
      <c r="E52" s="324">
        <f>'Supplementary Information'!H106</f>
        <v>0</v>
      </c>
      <c r="F52" s="324"/>
      <c r="G52" s="324" t="e">
        <f t="shared" si="16"/>
        <v>#N/A</v>
      </c>
      <c r="H52" s="325" t="e">
        <f t="shared" si="17"/>
        <v>#N/A</v>
      </c>
      <c r="I52" s="324"/>
      <c r="J52" s="328">
        <v>750000</v>
      </c>
      <c r="K52" s="325">
        <v>0.25</v>
      </c>
      <c r="L52" s="324"/>
      <c r="M52" s="1288" t="e">
        <f t="shared" si="18"/>
        <v>#N/A</v>
      </c>
      <c r="N52" s="295"/>
      <c r="O52" s="1160"/>
      <c r="P52" s="1147"/>
      <c r="AC52" s="545"/>
    </row>
    <row r="53" spans="1:29" s="279" customFormat="1" ht="30.75" thickBot="1" x14ac:dyDescent="0.25">
      <c r="A53" s="280"/>
      <c r="B53" s="371">
        <v>26</v>
      </c>
      <c r="C53" s="1154" t="s">
        <v>2919</v>
      </c>
      <c r="D53" s="1156" t="e">
        <f>INDEX(Data!BC:BC,MATCH(Import_LA_Code,Ref_LA_Codes,0))</f>
        <v>#N/A</v>
      </c>
      <c r="E53" s="373">
        <f>'Supplementary Information'!H108</f>
        <v>0</v>
      </c>
      <c r="F53" s="373"/>
      <c r="G53" s="373" t="e">
        <f t="shared" si="16"/>
        <v>#N/A</v>
      </c>
      <c r="H53" s="374" t="e">
        <f t="shared" si="17"/>
        <v>#N/A</v>
      </c>
      <c r="I53" s="1156"/>
      <c r="J53" s="376">
        <v>200000</v>
      </c>
      <c r="K53" s="374">
        <v>0.25</v>
      </c>
      <c r="L53" s="1157"/>
      <c r="M53" s="1291" t="e">
        <f t="shared" si="18"/>
        <v>#N/A</v>
      </c>
      <c r="N53" s="308"/>
      <c r="O53" s="937"/>
      <c r="P53" s="282"/>
    </row>
    <row r="54" spans="1:29" s="279" customFormat="1" x14ac:dyDescent="0.2">
      <c r="A54" s="280"/>
      <c r="C54" s="281"/>
      <c r="E54" s="306"/>
      <c r="F54" s="306"/>
      <c r="J54" s="281"/>
      <c r="K54" s="281"/>
      <c r="L54" s="281"/>
      <c r="M54" s="292"/>
      <c r="N54" s="281"/>
      <c r="P54" s="1148"/>
    </row>
    <row r="55" spans="1:29" s="279" customFormat="1" ht="15.75" x14ac:dyDescent="0.25">
      <c r="A55" s="280"/>
      <c r="G55" s="1847" t="s">
        <v>1002</v>
      </c>
      <c r="H55" s="1848"/>
      <c r="I55" s="1848"/>
      <c r="J55" s="1848"/>
      <c r="K55" s="1848"/>
      <c r="L55" s="1849"/>
      <c r="M55" s="417">
        <f>COUNTIF($M$20:$M$53,"Please comment")</f>
        <v>0</v>
      </c>
      <c r="N55" s="281"/>
      <c r="P55" s="282"/>
    </row>
    <row r="56" spans="1:29" s="279" customFormat="1" ht="16.5" thickBot="1" x14ac:dyDescent="0.3">
      <c r="A56" s="280"/>
      <c r="B56" s="332" t="s">
        <v>917</v>
      </c>
      <c r="C56" s="400"/>
      <c r="D56" s="400"/>
      <c r="E56" s="400"/>
      <c r="F56" s="400"/>
      <c r="G56" s="331"/>
      <c r="H56" s="331"/>
      <c r="I56" s="331"/>
      <c r="J56" s="331"/>
      <c r="K56" s="331"/>
      <c r="L56" s="331"/>
      <c r="M56" s="398"/>
      <c r="N56" s="398"/>
      <c r="O56" s="400"/>
      <c r="P56" s="282"/>
    </row>
    <row r="57" spans="1:29" s="279" customFormat="1" ht="57" customHeight="1" thickBot="1" x14ac:dyDescent="0.25">
      <c r="A57" s="351"/>
      <c r="B57" s="1838"/>
      <c r="C57" s="1839"/>
      <c r="D57" s="1839"/>
      <c r="E57" s="1839"/>
      <c r="F57" s="1839"/>
      <c r="G57" s="1839"/>
      <c r="H57" s="1839"/>
      <c r="I57" s="1839"/>
      <c r="J57" s="1839"/>
      <c r="K57" s="1839"/>
      <c r="L57" s="1839"/>
      <c r="M57" s="1839"/>
      <c r="N57" s="1839"/>
      <c r="O57" s="1840"/>
      <c r="P57" s="352"/>
    </row>
    <row r="58" spans="1:29" s="279" customFormat="1" ht="15.75" thickBot="1" x14ac:dyDescent="0.25">
      <c r="A58" s="309"/>
      <c r="B58" s="307"/>
      <c r="C58" s="307"/>
      <c r="D58" s="307"/>
      <c r="E58" s="307"/>
      <c r="F58" s="307"/>
      <c r="G58" s="307"/>
      <c r="H58" s="307"/>
      <c r="I58" s="307"/>
      <c r="J58" s="308"/>
      <c r="K58" s="308"/>
      <c r="L58" s="308"/>
      <c r="M58" s="308"/>
      <c r="N58" s="308"/>
      <c r="O58" s="307"/>
      <c r="P58" s="310"/>
    </row>
    <row r="59" spans="1:29" s="279" customFormat="1" x14ac:dyDescent="0.2">
      <c r="J59" s="281"/>
      <c r="K59" s="281"/>
      <c r="L59" s="281"/>
      <c r="M59" s="281"/>
      <c r="N59" s="281"/>
    </row>
    <row r="60" spans="1:29" s="279" customFormat="1" x14ac:dyDescent="0.2">
      <c r="J60" s="281"/>
      <c r="K60" s="281"/>
      <c r="L60" s="281"/>
      <c r="M60" s="281"/>
      <c r="N60" s="281"/>
    </row>
    <row r="61" spans="1:29" s="279" customFormat="1" x14ac:dyDescent="0.2">
      <c r="J61" s="281"/>
      <c r="K61" s="281"/>
      <c r="L61" s="281"/>
      <c r="M61" s="281"/>
      <c r="N61" s="281"/>
    </row>
    <row r="62" spans="1:29" s="279" customFormat="1" ht="18" x14ac:dyDescent="0.25">
      <c r="C62" s="1846"/>
      <c r="D62" s="1846"/>
      <c r="E62" s="1846"/>
      <c r="F62" s="1846"/>
      <c r="G62" s="1846"/>
      <c r="H62" s="1846"/>
      <c r="I62" s="1846"/>
      <c r="J62" s="281"/>
      <c r="K62" s="281"/>
      <c r="L62" s="281"/>
      <c r="M62" s="281"/>
      <c r="N62" s="281"/>
    </row>
    <row r="63" spans="1:29" s="279" customFormat="1" ht="18" x14ac:dyDescent="0.25">
      <c r="C63" s="1846"/>
      <c r="D63" s="1846"/>
      <c r="E63" s="1846"/>
      <c r="F63" s="1846"/>
      <c r="G63" s="1846"/>
      <c r="H63" s="1846"/>
      <c r="I63" s="1846"/>
      <c r="J63" s="281"/>
      <c r="K63" s="281"/>
      <c r="L63" s="281"/>
      <c r="M63" s="281"/>
      <c r="N63" s="281"/>
    </row>
    <row r="64" spans="1:29" s="279" customFormat="1" ht="18" x14ac:dyDescent="0.25">
      <c r="C64" s="1846"/>
      <c r="D64" s="1846"/>
      <c r="E64" s="1846"/>
      <c r="F64" s="1846"/>
      <c r="G64" s="1846"/>
      <c r="H64" s="1846"/>
      <c r="I64" s="1846"/>
      <c r="J64" s="281"/>
      <c r="K64" s="281"/>
      <c r="L64" s="281"/>
      <c r="M64" s="281"/>
      <c r="N64" s="281"/>
    </row>
    <row r="65" spans="1:14" s="279" customFormat="1" x14ac:dyDescent="0.2">
      <c r="J65" s="281"/>
      <c r="K65" s="281"/>
      <c r="L65" s="281"/>
      <c r="M65" s="281"/>
      <c r="N65" s="281"/>
    </row>
    <row r="66" spans="1:14" s="279" customFormat="1" x14ac:dyDescent="0.2">
      <c r="J66" s="281"/>
      <c r="K66" s="281"/>
      <c r="L66" s="281"/>
      <c r="M66" s="281"/>
      <c r="N66" s="281"/>
    </row>
    <row r="67" spans="1:14" s="279" customFormat="1" x14ac:dyDescent="0.2">
      <c r="J67" s="281"/>
      <c r="K67" s="281"/>
      <c r="L67" s="281"/>
      <c r="M67" s="281"/>
      <c r="N67" s="281"/>
    </row>
    <row r="68" spans="1:14" s="279" customFormat="1" x14ac:dyDescent="0.2">
      <c r="J68" s="281"/>
      <c r="K68" s="281"/>
      <c r="L68" s="281"/>
      <c r="M68" s="281"/>
      <c r="N68" s="281"/>
    </row>
    <row r="69" spans="1:14" s="279" customFormat="1" x14ac:dyDescent="0.2">
      <c r="J69" s="281"/>
      <c r="K69" s="281"/>
      <c r="L69" s="281"/>
      <c r="M69" s="281"/>
      <c r="N69" s="281"/>
    </row>
    <row r="70" spans="1:14" s="279" customFormat="1" x14ac:dyDescent="0.2">
      <c r="J70" s="281"/>
      <c r="K70" s="281"/>
      <c r="L70" s="281"/>
      <c r="M70" s="281"/>
      <c r="N70" s="281"/>
    </row>
    <row r="71" spans="1:14" s="279" customFormat="1" x14ac:dyDescent="0.2">
      <c r="J71" s="281"/>
      <c r="K71" s="281"/>
      <c r="L71" s="281"/>
      <c r="M71" s="281"/>
      <c r="N71" s="281"/>
    </row>
    <row r="72" spans="1:14" s="279" customFormat="1" x14ac:dyDescent="0.2">
      <c r="J72" s="281"/>
      <c r="K72" s="281"/>
      <c r="L72" s="281"/>
      <c r="M72" s="281"/>
      <c r="N72" s="281"/>
    </row>
    <row r="73" spans="1:14" s="279" customFormat="1" x14ac:dyDescent="0.2">
      <c r="J73" s="281"/>
      <c r="K73" s="281"/>
      <c r="L73" s="281"/>
      <c r="M73" s="281"/>
      <c r="N73" s="281"/>
    </row>
    <row r="74" spans="1:14" s="279" customFormat="1" x14ac:dyDescent="0.2">
      <c r="J74" s="281"/>
      <c r="K74" s="281"/>
      <c r="L74" s="281"/>
      <c r="M74" s="281"/>
      <c r="N74" s="281"/>
    </row>
    <row r="75" spans="1:14" s="279" customFormat="1" x14ac:dyDescent="0.2">
      <c r="J75" s="281"/>
      <c r="K75" s="281"/>
      <c r="L75" s="281"/>
      <c r="M75" s="281"/>
      <c r="N75" s="281"/>
    </row>
    <row r="76" spans="1:14" s="279" customFormat="1" x14ac:dyDescent="0.2">
      <c r="J76" s="281"/>
      <c r="K76" s="281"/>
      <c r="L76" s="281"/>
      <c r="M76" s="281"/>
      <c r="N76" s="281"/>
    </row>
    <row r="77" spans="1:14" s="279" customFormat="1" x14ac:dyDescent="0.2">
      <c r="J77" s="281"/>
      <c r="K77" s="281"/>
      <c r="L77" s="281"/>
      <c r="M77" s="281"/>
      <c r="N77" s="281"/>
    </row>
    <row r="78" spans="1:14" s="279" customFormat="1" x14ac:dyDescent="0.2">
      <c r="B78" s="311"/>
      <c r="C78" s="311"/>
      <c r="D78" s="311"/>
      <c r="E78" s="311"/>
      <c r="F78" s="311"/>
      <c r="G78" s="311"/>
      <c r="H78" s="311"/>
      <c r="I78" s="311"/>
      <c r="J78" s="292"/>
      <c r="K78" s="292"/>
      <c r="L78" s="292"/>
      <c r="M78" s="292"/>
      <c r="N78" s="281"/>
    </row>
    <row r="79" spans="1:14" s="279" customFormat="1" x14ac:dyDescent="0.2">
      <c r="B79" s="311"/>
      <c r="C79" s="311"/>
      <c r="D79" s="311"/>
      <c r="E79" s="311"/>
      <c r="F79" s="311"/>
      <c r="G79" s="311"/>
      <c r="H79" s="311"/>
      <c r="I79" s="311"/>
      <c r="J79" s="292"/>
      <c r="K79" s="292"/>
      <c r="L79" s="292"/>
      <c r="M79" s="292"/>
      <c r="N79" s="281"/>
    </row>
    <row r="80" spans="1:14" x14ac:dyDescent="0.2">
      <c r="A80" s="279"/>
    </row>
  </sheetData>
  <sheetProtection sheet="1" objects="1" scenarios="1"/>
  <mergeCells count="10">
    <mergeCell ref="E44:G44"/>
    <mergeCell ref="D17:E17"/>
    <mergeCell ref="G17:H17"/>
    <mergeCell ref="J17:K17"/>
    <mergeCell ref="B12:O13"/>
    <mergeCell ref="C64:I64"/>
    <mergeCell ref="G55:L55"/>
    <mergeCell ref="C62:I62"/>
    <mergeCell ref="C63:I63"/>
    <mergeCell ref="B57:O57"/>
  </mergeCells>
  <conditionalFormatting sqref="M19">
    <cfRule type="expression" dxfId="28" priority="70" stopIfTrue="1">
      <formula>M19="Please comment"</formula>
    </cfRule>
    <cfRule type="expression" dxfId="27" priority="71" stopIfTrue="1">
      <formula>M19="OK"</formula>
    </cfRule>
  </conditionalFormatting>
  <conditionalFormatting sqref="M20:M25 M43">
    <cfRule type="expression" dxfId="26" priority="16" stopIfTrue="1">
      <formula>M20="Please comment"</formula>
    </cfRule>
    <cfRule type="expression" dxfId="25" priority="17" stopIfTrue="1">
      <formula>M20="OK"</formula>
    </cfRule>
  </conditionalFormatting>
  <conditionalFormatting sqref="M28:M43 M48:M53">
    <cfRule type="expression" dxfId="24" priority="10">
      <formula>M28="Comment made"</formula>
    </cfRule>
    <cfRule type="expression" dxfId="23" priority="12" stopIfTrue="1">
      <formula>M28="Please comment"</formula>
    </cfRule>
    <cfRule type="expression" dxfId="22" priority="13" stopIfTrue="1">
      <formula>M28="OK"</formula>
    </cfRule>
  </conditionalFormatting>
  <conditionalFormatting sqref="M43 M20:M25">
    <cfRule type="expression" dxfId="21" priority="14">
      <formula>M20="Comment made"</formula>
    </cfRule>
  </conditionalFormatting>
  <conditionalFormatting sqref="M45">
    <cfRule type="expression" dxfId="20" priority="6">
      <formula>M45="Comment made"</formula>
    </cfRule>
    <cfRule type="expression" dxfId="19" priority="8" stopIfTrue="1">
      <formula>M45="Please comment"</formula>
    </cfRule>
    <cfRule type="expression" dxfId="18" priority="9" stopIfTrue="1">
      <formula>M45="OK"</formula>
    </cfRule>
  </conditionalFormatting>
  <conditionalFormatting sqref="M56">
    <cfRule type="expression" dxfId="17" priority="30" stopIfTrue="1">
      <formula>AND(M56&lt;&gt;0)=TRUE</formula>
    </cfRule>
  </conditionalFormatting>
  <conditionalFormatting sqref="O20:O25 O48:O53">
    <cfRule type="expression" dxfId="16" priority="64" stopIfTrue="1">
      <formula>AND($M20="Please comment")=TRUE</formula>
    </cfRule>
  </conditionalFormatting>
  <conditionalFormatting sqref="O26:O27">
    <cfRule type="expression" dxfId="15" priority="66" stopIfTrue="1">
      <formula>O26="Please comment"</formula>
    </cfRule>
    <cfRule type="expression" dxfId="14" priority="67" stopIfTrue="1">
      <formula>O26="OK"</formula>
    </cfRule>
  </conditionalFormatting>
  <conditionalFormatting sqref="O28:O43">
    <cfRule type="expression" dxfId="13" priority="32" stopIfTrue="1">
      <formula>AND($M28="Please comment")=TRUE</formula>
    </cfRule>
  </conditionalFormatting>
  <conditionalFormatting sqref="O45">
    <cfRule type="expression" dxfId="12" priority="31" stopIfTrue="1">
      <formula>AND($M45="Please comment")=TRUE</formula>
    </cfRule>
  </conditionalFormatting>
  <dataValidations count="28">
    <dataValidation type="custom" allowBlank="1" showInputMessage="1" showErrorMessage="1" error="Data entry is not allowed in this cell" sqref="E24:K25 E45:K45 M36:M45 E20:K22 M20:M22 M24:M34 E28:K34 D35:M35 G48:H53 M48:M53 E36:I43 K36:K43 J36:J40 J42:J43 J41 J48:K53" xr:uid="{9D7B03BB-3C02-4AAD-9DFE-3B7513FACCE0}">
      <formula1>"if(Q1=""na"")"</formula1>
    </dataValidation>
    <dataValidation allowBlank="1" showInputMessage="1" showErrorMessage="1" prompt="Supplementary Information - Part 1 Line a" sqref="C20" xr:uid="{BDD50AE6-2508-4E4C-846E-9DA734FF7849}"/>
    <dataValidation allowBlank="1" showInputMessage="1" showErrorMessage="1" prompt="Supplementary Information - Part 1 Line b" sqref="C21" xr:uid="{8E87D154-1181-439A-8FB1-9308A775DE20}"/>
    <dataValidation allowBlank="1" showInputMessage="1" showErrorMessage="1" prompt="Line c" sqref="C22" xr:uid="{67DE503D-C9D7-47EB-84B5-D552E6AC4169}"/>
    <dataValidation allowBlank="1" showInputMessage="1" showErrorMessage="1" prompt="Line e" sqref="C24" xr:uid="{D511A75B-5ACA-47E9-9FA6-A2339B5F7964}"/>
    <dataValidation allowBlank="1" showInputMessage="1" showErrorMessage="1" prompt="Line f" sqref="C25" xr:uid="{488067BA-E105-43EE-A0E9-E9C167E0E8FD}"/>
    <dataValidation allowBlank="1" showInputMessage="1" showErrorMessage="1" prompt="Line g" sqref="C28" xr:uid="{992A495B-CFBE-47D1-AAC2-E9A014098B8E}"/>
    <dataValidation allowBlank="1" showInputMessage="1" showErrorMessage="1" prompt="Line h" sqref="C29" xr:uid="{DF9ED16D-7905-404D-9C0D-471866FEC112}"/>
    <dataValidation allowBlank="1" showInputMessage="1" showErrorMessage="1" prompt="Line i" sqref="C30" xr:uid="{0DE8C432-F952-4D38-9401-CCBA4FD2B735}"/>
    <dataValidation allowBlank="1" showInputMessage="1" showErrorMessage="1" prompt="Line j" sqref="C31" xr:uid="{4BF59602-8A56-47A2-8B4B-686C621EED90}"/>
    <dataValidation allowBlank="1" showInputMessage="1" showErrorMessage="1" prompt="Line k" sqref="C32" xr:uid="{FBA6F92C-A4C5-461B-AD24-A592E5523020}"/>
    <dataValidation allowBlank="1" showInputMessage="1" showErrorMessage="1" prompt="Line l" sqref="C33" xr:uid="{625C51A1-07DB-447A-B4C6-29282742D4D4}"/>
    <dataValidation allowBlank="1" showInputMessage="1" showErrorMessage="1" prompt="Line m" sqref="C34" xr:uid="{9BA140C1-19CB-4409-A62D-E25A9A316520}"/>
    <dataValidation type="custom" allowBlank="1" showInputMessage="1" showErrorMessage="1" error="Data entry is not allowed in this cell" sqref="D23:M23 D20:D22 D24:D25 D45 D28:D34 D38:D42" xr:uid="{9FA574C6-1866-4154-9CA9-F8153C01E542}">
      <formula1>"az1=""n/a"""</formula1>
    </dataValidation>
    <dataValidation allowBlank="1" showInputMessage="1" showErrorMessage="1" prompt="Line q" sqref="C35" xr:uid="{C11AAF3D-22F3-4701-8282-13033192D68D}"/>
    <dataValidation allowBlank="1" showInputMessage="1" showErrorMessage="1" prompt="Line s" sqref="C38" xr:uid="{CFC2200A-6008-499C-99B3-309B548CF800}"/>
    <dataValidation allowBlank="1" showInputMessage="1" showErrorMessage="1" prompt="Line t" sqref="C39" xr:uid="{A866D627-DD98-4D7D-81F9-9FBF31AEB634}"/>
    <dataValidation allowBlank="1" showInputMessage="1" showErrorMessage="1" prompt="Line t i" sqref="C40" xr:uid="{41A6F051-9AA6-4765-A4A6-AC0FBAE37955}"/>
    <dataValidation allowBlank="1" showInputMessage="1" showErrorMessage="1" prompt="Line t ii" sqref="C41" xr:uid="{D5201E52-24F2-4AD9-BBF9-9B0974D7F42D}"/>
    <dataValidation allowBlank="1" showInputMessage="1" showErrorMessage="1" prompt="Line u" sqref="C42" xr:uid="{0D5C3AEE-DE35-4E54-AEE2-767C5170017C}"/>
    <dataValidation type="custom" allowBlank="1" showInputMessage="1" showErrorMessage="1" error="Do not amend" sqref="AA20:AC52" xr:uid="{FB3D6512-A756-43AE-A5FD-1406EC61D7AC}">
      <formula1>"if(ax1=""n/a"")"</formula1>
    </dataValidation>
    <dataValidation allowBlank="1" showInputMessage="1" showErrorMessage="1" prompt="Line d" sqref="C23" xr:uid="{1A6A4C15-EF27-479F-A822-88964B5B434C}"/>
    <dataValidation allowBlank="1" showInputMessage="1" showErrorMessage="1" prompt="Supplementary information: Part 2 - line a i" sqref="C48" xr:uid="{1BC31B9F-FC9F-49FE-A861-BCDB5BB2972B}"/>
    <dataValidation allowBlank="1" showInputMessage="1" showErrorMessage="1" prompt="Supplementary information: Part 2 - line a ii" sqref="C49" xr:uid="{BE79B5A1-775C-4099-A9CD-7E503E28B5AF}"/>
    <dataValidation allowBlank="1" showInputMessage="1" showErrorMessage="1" prompt="Supplementary information: Part 2 - line a iii" sqref="C50" xr:uid="{C57631B7-4A27-4994-B980-81379878752D}"/>
    <dataValidation allowBlank="1" showInputMessage="1" showErrorMessage="1" prompt="Supplementary information: Part 2 - line a iv" sqref="C51" xr:uid="{992DCA7E-A0FD-4D63-B934-2AFB5A994178}"/>
    <dataValidation allowBlank="1" showInputMessage="1" showErrorMessage="1" prompt="Supplementary information: Part 2 - line a v" sqref="C52" xr:uid="{20D51AD5-F14E-4A69-8A45-1507D3EC6C86}"/>
    <dataValidation allowBlank="1" showInputMessage="1" showErrorMessage="1" prompt="Supplementary information: Part 2 - line a vi" sqref="C53" xr:uid="{2B0AB305-F12E-44D0-BF95-5A4A511168EF}"/>
  </dataValidations>
  <pageMargins left="0.39370078740157483" right="0.39370078740157483" top="0.39370078740157483" bottom="0.39370078740157483" header="0.31496062992125984" footer="0.31496062992125984"/>
  <pageSetup paperSize="9"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C173D900E7A543BC33189B6049FB5B" ma:contentTypeVersion="14" ma:contentTypeDescription="Create a new document." ma:contentTypeScope="" ma:versionID="187082977a429338be6c7b1ad234ab44">
  <xsd:schema xmlns:xsd="http://www.w3.org/2001/XMLSchema" xmlns:xs="http://www.w3.org/2001/XMLSchema" xmlns:p="http://schemas.microsoft.com/office/2006/metadata/properties" xmlns:ns3="3af078b7-2790-4b6a-bce6-e9eabb4cbe6c" xmlns:ns4="39ebd40c-6560-4b68-b582-5c2afbc37499" targetNamespace="http://schemas.microsoft.com/office/2006/metadata/properties" ma:root="true" ma:fieldsID="6b8040d3935f258667da80ebd82d751e" ns3:_="" ns4:_="">
    <xsd:import namespace="3af078b7-2790-4b6a-bce6-e9eabb4cbe6c"/>
    <xsd:import namespace="39ebd40c-6560-4b68-b582-5c2afbc3749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f078b7-2790-4b6a-bce6-e9eabb4cbe6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ebd40c-6560-4b68-b582-5c2afbc3749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p:properties xmlns:p="http://schemas.microsoft.com/office/2006/metadata/properties" xmlns:xsi="http://www.w3.org/2001/XMLSchema-instance" xmlns:pc="http://schemas.microsoft.com/office/infopath/2007/PartnerControls">
  <documentManagement>
    <_activity xmlns="39ebd40c-6560-4b68-b582-5c2afbc3749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B10145-491C-4B50-8726-8FED09054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f078b7-2790-4b6a-bce6-e9eabb4cbe6c"/>
    <ds:schemaRef ds:uri="39ebd40c-6560-4b68-b582-5c2afbc374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76D1E-006C-4973-80CF-C092913DCAA5}">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F9F3929-5FA5-4809-B26B-41D5650BFB7C}">
  <ds:schemaRefs>
    <ds:schemaRef ds:uri="http://purl.org/dc/terms/"/>
    <ds:schemaRef ds:uri="http://schemas.microsoft.com/office/2006/documentManagement/types"/>
    <ds:schemaRef ds:uri="http://schemas.openxmlformats.org/package/2006/metadata/core-properties"/>
    <ds:schemaRef ds:uri="http://purl.org/dc/elements/1.1/"/>
    <ds:schemaRef ds:uri="39ebd40c-6560-4b68-b582-5c2afbc37499"/>
    <ds:schemaRef ds:uri="http://schemas.microsoft.com/office/infopath/2007/PartnerControls"/>
    <ds:schemaRef ds:uri="3af078b7-2790-4b6a-bce6-e9eabb4cbe6c"/>
    <ds:schemaRef ds:uri="http://www.w3.org/XML/1998/namespace"/>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2BB00861-DF6A-4443-9B9A-C2F8931F256E}">
  <ds:schemaRefs>
    <ds:schemaRef ds:uri="http://schemas.microsoft.com/sharepoint/v3/contenttype/forms"/>
  </ds:schemaRefs>
</ds:datastoreItem>
</file>

<file path=docMetadata/LabelInfo.xml><?xml version="1.0" encoding="utf-8"?>
<clbl:labelList xmlns:clbl="http://schemas.microsoft.com/office/2020/mipLabelMetadata">
  <clbl:label id="{bf346810-9c7d-43de-a872-24a2ef3995a8}" enabled="0" method="" siteId="{bf346810-9c7d-43de-a872-24a2ef3995a8}"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Title</vt:lpstr>
      <vt:lpstr>Part 1</vt:lpstr>
      <vt:lpstr>Part 2</vt:lpstr>
      <vt:lpstr>Part 3</vt:lpstr>
      <vt:lpstr>Part 3 DA summary</vt:lpstr>
      <vt:lpstr>Part 4</vt:lpstr>
      <vt:lpstr>Supplementary Information</vt:lpstr>
      <vt:lpstr>Main Validation</vt:lpstr>
      <vt:lpstr>Supplementary Validation</vt:lpstr>
      <vt:lpstr>adj_factor</vt:lpstr>
      <vt:lpstr>adj_factor_supp</vt:lpstr>
      <vt:lpstr>CONTACT</vt:lpstr>
      <vt:lpstr>'Part 3 DA summary'!CTRprint1</vt:lpstr>
      <vt:lpstr>'Part 3 DA summary'!CTRprint2</vt:lpstr>
      <vt:lpstr>datar</vt:lpstr>
      <vt:lpstr>Import_LA_Code</vt:lpstr>
      <vt:lpstr>Import_LA_Name</vt:lpstr>
      <vt:lpstr>Local_Share_Total</vt:lpstr>
      <vt:lpstr>MHCLG_CONTROL</vt:lpstr>
      <vt:lpstr>Data!Print_Area</vt:lpstr>
      <vt:lpstr>'EZ list'!Print_Area</vt:lpstr>
      <vt:lpstr>'Main Validation'!Print_Area</vt:lpstr>
      <vt:lpstr>'Part 1'!Print_Area</vt:lpstr>
      <vt:lpstr>'Part 2'!Print_Area</vt:lpstr>
      <vt:lpstr>'Part 3'!Print_Area</vt:lpstr>
      <vt:lpstr>'Part 3 DA summary'!Print_Area</vt:lpstr>
      <vt:lpstr>'Part 4'!Print_Area</vt:lpstr>
      <vt:lpstr>'Supplementary Information'!Print_Area</vt:lpstr>
      <vt:lpstr>'Supplementary Validation'!Print_Area</vt:lpstr>
      <vt:lpstr>TierSplit!Print_Area</vt:lpstr>
      <vt:lpstr>Title!Print_Area</vt:lpstr>
      <vt:lpstr>Data!Print_Titles</vt:lpstr>
      <vt:lpstr>'EZ list'!Print_Titles</vt:lpstr>
      <vt:lpstr>'Main Validation'!Print_Titles</vt:lpstr>
      <vt:lpstr>'Part 1'!Print_Titles</vt:lpstr>
      <vt:lpstr>'Part 2'!Print_Titles</vt:lpstr>
      <vt:lpstr>'Part 3 DA summary'!Print_Titles</vt:lpstr>
      <vt:lpstr>'Supplementary Validation'!Print_Titles</vt:lpstr>
      <vt:lpstr>Ref_LA_Codes</vt:lpstr>
      <vt:lpstr>Ref_LA_Codes2</vt:lpstr>
      <vt:lpstr>SBRR_Multiple</vt:lpstr>
      <vt:lpstr>SBRR_supp_historic</vt:lpstr>
      <vt:lpstr>SBRR_Supplement</vt:lpstr>
      <vt:lpstr>small_share_baa</vt:lpstr>
      <vt:lpstr>small_share_da</vt:lpstr>
      <vt:lpstr>small_share_total</vt:lpstr>
      <vt:lpstr>standard_share_baa</vt:lpstr>
      <vt:lpstr>standard_share_da</vt:lpstr>
      <vt:lpstr>standard_share_total</vt:lpstr>
      <vt:lpstr>tiersplit</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Joanna Coleman</cp:lastModifiedBy>
  <cp:lastPrinted>2019-12-16T17:53:06Z</cp:lastPrinted>
  <dcterms:created xsi:type="dcterms:W3CDTF">2013-07-12T16:47:25Z</dcterms:created>
  <dcterms:modified xsi:type="dcterms:W3CDTF">2023-12-20T13:01:19Z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4fb1df8e-c098-4f4f-8ae7-e9be86402f4a</vt:lpwstr>
  </property>
  <property fmtid="{D5CDD505-2E9C-101B-9397-08002B2CF9AE}" pid="3" name="bjSaver">
    <vt:lpwstr>XePHT1A/4MVOnNF8mnysHX9hPqgb2QQL</vt:lpwstr>
  </property>
  <property fmtid="{D5CDD505-2E9C-101B-9397-08002B2CF9AE}" pid="4" name="bjDocumentSecurityLabel">
    <vt:lpwstr>No Marking</vt:lpwstr>
  </property>
  <property fmtid="{D5CDD505-2E9C-101B-9397-08002B2CF9AE}" pid="5" name="ContentTypeId">
    <vt:lpwstr>0x01010048C173D900E7A543BC33189B6049FB5B</vt:lpwstr>
  </property>
</Properties>
</file>