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68A986F6-BBBE-4B10-BADB-934DE2FD1F17}"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#REF!</definedName>
    <definedName name="Alt_Chk_14_Hdg" hidden="1">#REF!</definedName>
    <definedName name="Alt_Chk_15_Hdg" hidden="1">#REF!</definedName>
    <definedName name="Alt_Chk_2_Hdg" hidden="1">#REF!</definedName>
    <definedName name="Bluesky_jobs_wage_premium">#REF!</definedName>
    <definedName name="Bluesky_safe_wage">#REF!</definedName>
    <definedName name="BMGHIndex" hidden="1">"O"</definedName>
    <definedName name="Cloud_jobs_wage_premium">#REF!</definedName>
    <definedName name="Cloud_safe_wage">#REF!</definedName>
    <definedName name="Cloud_safeguarded_jobs">#REF!</definedName>
    <definedName name="Depreciation_rate">#REF!</definedName>
    <definedName name="Discount_rate">#REF!</definedName>
    <definedName name="DME_LocalFile" hidden="1">"True"</definedName>
    <definedName name="Domestic_Results">#REF!</definedName>
    <definedName name="Err_Chk_1_Hdg" hidden="1">#REF!</definedName>
    <definedName name="Err_Chk_11_Hdg" hidden="1">#REF!</definedName>
    <definedName name="Err_Chk_13_Hdg" hidden="1">#REF!</definedName>
    <definedName name="Err_Chk_14_Hdg" hidden="1">#REF!</definedName>
    <definedName name="Err_Chk_15_Hdg" hidden="1">#REF!</definedName>
    <definedName name="Err_Chk_2_Hdg" hidden="1">#REF!</definedName>
    <definedName name="Err_Chk_3_Hdg" hidden="1">#REF!</definedName>
    <definedName name="Err_Chk_4_Hdg" hidden="1">#REF!</definedName>
    <definedName name="Fixed_Bluesky_jobs">#REF!</definedName>
    <definedName name="GDP_def_index">#REF!</definedName>
    <definedName name="GDP_def_year">#REF!</definedName>
    <definedName name="High_scenario_probability">#REF!</definedName>
    <definedName name="HL_Alt_Chk_1" hidden="1">#REF!</definedName>
    <definedName name="HL_Alt_Chk_14" hidden="1">#REF!</definedName>
    <definedName name="HL_Alt_Chk_15" hidden="1">#REF!</definedName>
    <definedName name="HL_Alt_Chk_2" hidden="1">#REF!</definedName>
    <definedName name="HL_Err_Chk_1" hidden="1">#REF!</definedName>
    <definedName name="HL_Err_Chk_11" hidden="1">#REF!</definedName>
    <definedName name="HL_Err_Chk_13" hidden="1">#REF!</definedName>
    <definedName name="HL_Err_Chk_14" hidden="1">#REF!</definedName>
    <definedName name="HL_Err_Chk_15" hidden="1">#REF!</definedName>
    <definedName name="HL_Err_Chk_2" hidden="1">#REF!</definedName>
    <definedName name="HL_Err_Chk_3" hidden="1">#REF!</definedName>
    <definedName name="HL_Err_Chk_4" hidden="1">#REF!</definedName>
    <definedName name="Low_scenario_probability">#REF!</definedName>
    <definedName name="Maximum_aerospace_wage">#REF!</definedName>
    <definedName name="Millions_to_pounds">#REF!</definedName>
    <definedName name="Minimum_aerospace_wage">#REF!</definedName>
    <definedName name="Pal_Workbook_GUID" hidden="1">"1LMS2U6TLKFBVGQISFA5FIYM"</definedName>
    <definedName name="Pension_uplift">#REF!</definedName>
    <definedName name="Postcode_Outcode_Results">#REF!</definedName>
    <definedName name="Present_value_base_year">#REF!</definedName>
    <definedName name="Price_base_year">#REF!</definedName>
    <definedName name="_xlnm.Print_Area" localSheetId="1">'Contents'!$A$4:$S$13</definedName>
    <definedName name="_xlnm.Print_Area" localSheetId="2">Notes!$A$4:$R$17</definedName>
    <definedName name="_xlnm.Print_Area" localSheetId="3">Table1!$A$1:$N$53</definedName>
    <definedName name="_xlnm.Print_Area" localSheetId="4">Table2!$A$1:$E$54</definedName>
    <definedName name="_xlnm.Print_Area" localSheetId="5">Table3!$A$7:$Q$53</definedName>
    <definedName name="_xlnm.Print_Area" localSheetId="6">Table4!$A$7:$H$54</definedName>
    <definedName name="_xlnm.Print_Area" localSheetId="7">Table5!$A$8:$Q$51</definedName>
    <definedName name="_xlnm.Print_Area" localSheetId="8">Table6!$A$7:$H$56</definedName>
    <definedName name="Product_market_displacement">#REF!</definedName>
    <definedName name="R_D_spend_per_year">#REF!</definedName>
    <definedName name="R_D_spillover_r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SD_Results">#REF!</definedName>
    <definedName name="Sub_of_investment">#REF!</definedName>
    <definedName name="Unadjusted_R_D_spend">#REF!</definedName>
    <definedName name="Variable_Bluesky_jobs">#REF!</definedName>
    <definedName name="Wage_premium_at_maximum">#REF!</definedName>
    <definedName name="Wage_premium_at_minimum_wage">#REF!</definedName>
    <definedName name="Wage_premium_base_year">#REF!</definedName>
  </definedNames>
  <calcPr calcId="191028" iterateCount="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3" i="42" l="1"/>
  <c r="H21" i="46"/>
  <c r="R25" i="46"/>
  <c r="R26" i="46"/>
  <c r="R27" i="46"/>
  <c r="R28" i="46"/>
  <c r="R29" i="46"/>
  <c r="R30" i="46"/>
  <c r="G36" i="46"/>
  <c r="F36" i="46"/>
  <c r="L53" i="66"/>
  <c r="D25" i="46"/>
  <c r="D26" i="46"/>
  <c r="D27" i="46"/>
  <c r="D28" i="46"/>
  <c r="D29" i="46"/>
  <c r="D30" i="46"/>
  <c r="D36" i="46"/>
  <c r="C36" i="46"/>
  <c r="B36" i="46"/>
  <c r="R36" i="46"/>
  <c r="M53" i="66"/>
  <c r="H25" i="46"/>
  <c r="H26" i="46"/>
  <c r="H27" i="46"/>
  <c r="H28" i="46"/>
  <c r="H29" i="46"/>
  <c r="H30" i="46"/>
  <c r="H36" i="46"/>
  <c r="S36" i="46"/>
  <c r="P25" i="46"/>
  <c r="P26" i="46"/>
  <c r="P27" i="46"/>
  <c r="P28" i="46"/>
  <c r="P29" i="46"/>
  <c r="P30" i="46"/>
  <c r="P31" i="46"/>
  <c r="P32" i="46"/>
  <c r="P33" i="46"/>
  <c r="P34" i="46"/>
  <c r="P35" i="46"/>
  <c r="P36" i="46"/>
  <c r="L25" i="46"/>
  <c r="L26" i="46"/>
  <c r="L27" i="46"/>
  <c r="L28" i="46"/>
  <c r="L29" i="46"/>
  <c r="L30" i="46"/>
  <c r="L31" i="46"/>
  <c r="L32" i="46"/>
  <c r="L33" i="46"/>
  <c r="L34" i="46"/>
  <c r="L35" i="46"/>
  <c r="L36" i="46"/>
  <c r="T36" i="46"/>
  <c r="T30" i="46"/>
  <c r="T29" i="46"/>
  <c r="T28" i="46"/>
  <c r="T27" i="46"/>
  <c r="T26" i="46"/>
  <c r="T25" i="46"/>
  <c r="H10" i="46"/>
  <c r="H40" i="46"/>
  <c r="H11" i="46"/>
  <c r="H41" i="46"/>
  <c r="H12" i="46"/>
  <c r="H42" i="46"/>
  <c r="H13" i="46"/>
  <c r="H43" i="46"/>
  <c r="H14" i="46"/>
  <c r="H44" i="46"/>
  <c r="H15" i="46"/>
  <c r="H45" i="46"/>
  <c r="H51" i="46"/>
  <c r="D10" i="46"/>
  <c r="D40" i="46"/>
  <c r="D11" i="46"/>
  <c r="D41" i="46"/>
  <c r="D12" i="46"/>
  <c r="D42" i="46"/>
  <c r="D13" i="46"/>
  <c r="D43" i="46"/>
  <c r="D14" i="46"/>
  <c r="D44" i="46"/>
  <c r="D15" i="46"/>
  <c r="D45" i="46"/>
  <c r="D21" i="46"/>
  <c r="U10" i="46"/>
  <c r="P10" i="46"/>
  <c r="P40" i="46"/>
  <c r="P11" i="46"/>
  <c r="P41" i="46"/>
  <c r="P12" i="46"/>
  <c r="P42" i="46"/>
  <c r="P13" i="46"/>
  <c r="P43" i="46"/>
  <c r="P14" i="46"/>
  <c r="P44" i="46"/>
  <c r="P15" i="46"/>
  <c r="P45" i="46"/>
  <c r="P16" i="46"/>
  <c r="P46" i="46"/>
  <c r="P17" i="46"/>
  <c r="P47" i="46"/>
  <c r="P18" i="46"/>
  <c r="P48" i="46"/>
  <c r="P19" i="46"/>
  <c r="P49" i="46"/>
  <c r="P20" i="46"/>
  <c r="P50" i="46"/>
  <c r="P21" i="46"/>
  <c r="P51" i="46"/>
  <c r="L10" i="46"/>
  <c r="L40" i="46"/>
  <c r="L11" i="46"/>
  <c r="L41" i="46"/>
  <c r="L12" i="46"/>
  <c r="L42" i="46"/>
  <c r="L13" i="46"/>
  <c r="L43" i="46"/>
  <c r="L14" i="46"/>
  <c r="L15" i="46"/>
  <c r="L45" i="46"/>
  <c r="L16" i="46"/>
  <c r="L46" i="46"/>
  <c r="L17" i="46"/>
  <c r="L47" i="46"/>
  <c r="L18" i="46"/>
  <c r="L48" i="46"/>
  <c r="L19" i="46"/>
  <c r="L49" i="46"/>
  <c r="L20" i="46"/>
  <c r="L50" i="46"/>
  <c r="L21" i="46"/>
  <c r="T21" i="46"/>
  <c r="N45" i="66"/>
  <c r="N53" i="66"/>
  <c r="O53" i="66"/>
  <c r="P53" i="66"/>
  <c r="I9" i="66"/>
  <c r="I10" i="66"/>
  <c r="I11" i="66"/>
  <c r="I12" i="66"/>
  <c r="I13" i="66"/>
  <c r="I14" i="66"/>
  <c r="I15" i="66"/>
  <c r="I16" i="66"/>
  <c r="I17" i="66"/>
  <c r="I18" i="66"/>
  <c r="I19" i="66"/>
  <c r="I20" i="66"/>
  <c r="I21" i="66"/>
  <c r="I22" i="66"/>
  <c r="I23" i="66"/>
  <c r="I24" i="66"/>
  <c r="I25" i="66"/>
  <c r="I26" i="66"/>
  <c r="I27" i="66"/>
  <c r="I28" i="66"/>
  <c r="I29" i="66"/>
  <c r="I30" i="66"/>
  <c r="I31" i="66"/>
  <c r="I32" i="66"/>
  <c r="I33" i="66"/>
  <c r="I34" i="66"/>
  <c r="I35" i="66"/>
  <c r="I36" i="66"/>
  <c r="I37" i="66"/>
  <c r="I38" i="66"/>
  <c r="I39" i="66"/>
  <c r="I40" i="66"/>
  <c r="I41" i="66"/>
  <c r="I42" i="66"/>
  <c r="I43" i="66"/>
  <c r="I44" i="66"/>
  <c r="I45" i="66"/>
  <c r="I46" i="66"/>
  <c r="I47" i="66"/>
  <c r="I48" i="66"/>
  <c r="I49" i="66"/>
  <c r="I50" i="66"/>
  <c r="I51" i="66"/>
  <c r="I52" i="66"/>
  <c r="D9" i="66"/>
  <c r="N9" i="66"/>
  <c r="D10" i="66"/>
  <c r="N10" i="66"/>
  <c r="D11" i="66"/>
  <c r="D12" i="66"/>
  <c r="D13" i="66"/>
  <c r="N13" i="66"/>
  <c r="D14" i="66"/>
  <c r="D15" i="66"/>
  <c r="N15" i="66"/>
  <c r="D16" i="66"/>
  <c r="D17" i="66"/>
  <c r="N17" i="66"/>
  <c r="D18" i="66"/>
  <c r="N18" i="66"/>
  <c r="D19" i="66"/>
  <c r="D20" i="66"/>
  <c r="D21" i="66"/>
  <c r="N21" i="66"/>
  <c r="D22" i="66"/>
  <c r="D23" i="66"/>
  <c r="N23" i="66"/>
  <c r="D24" i="66"/>
  <c r="D25" i="66"/>
  <c r="N25" i="66"/>
  <c r="D26" i="66"/>
  <c r="N26" i="66"/>
  <c r="D27" i="66"/>
  <c r="D28" i="66"/>
  <c r="D29" i="66"/>
  <c r="N29" i="66"/>
  <c r="D30" i="66"/>
  <c r="D31" i="66"/>
  <c r="N31" i="66"/>
  <c r="D32" i="66"/>
  <c r="D33" i="66"/>
  <c r="N33" i="66"/>
  <c r="D34" i="66"/>
  <c r="N34" i="66"/>
  <c r="D35" i="66"/>
  <c r="D36" i="66"/>
  <c r="D37" i="66"/>
  <c r="N37" i="66"/>
  <c r="D38" i="66"/>
  <c r="D39" i="66"/>
  <c r="N39" i="66"/>
  <c r="D40" i="66"/>
  <c r="D41" i="66"/>
  <c r="N41" i="66"/>
  <c r="D42" i="66"/>
  <c r="N42" i="66"/>
  <c r="D43" i="66"/>
  <c r="D44" i="66"/>
  <c r="D45" i="66"/>
  <c r="D46" i="66"/>
  <c r="D47" i="66"/>
  <c r="N47" i="66"/>
  <c r="D48" i="66"/>
  <c r="D49" i="66"/>
  <c r="N49" i="66"/>
  <c r="D50" i="66"/>
  <c r="N50" i="66"/>
  <c r="D51" i="66"/>
  <c r="D52" i="66"/>
  <c r="M9" i="42"/>
  <c r="M10" i="42"/>
  <c r="M11" i="42"/>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M50" i="42"/>
  <c r="M51" i="42"/>
  <c r="M52" i="42"/>
  <c r="L53" i="42"/>
  <c r="J10" i="42"/>
  <c r="J11" i="42"/>
  <c r="J12" i="42"/>
  <c r="J13" i="42"/>
  <c r="J14" i="42"/>
  <c r="J15" i="42"/>
  <c r="J16" i="42"/>
  <c r="J17" i="42"/>
  <c r="J18" i="42"/>
  <c r="J19" i="42"/>
  <c r="J20" i="42"/>
  <c r="J21" i="42"/>
  <c r="J22" i="42"/>
  <c r="J23" i="42"/>
  <c r="J24" i="42"/>
  <c r="J25" i="42"/>
  <c r="J26" i="42"/>
  <c r="J27" i="42"/>
  <c r="J28" i="42"/>
  <c r="J29" i="42"/>
  <c r="J30" i="42"/>
  <c r="J31" i="42"/>
  <c r="J32" i="42"/>
  <c r="J33" i="42"/>
  <c r="J34" i="42"/>
  <c r="J35" i="42"/>
  <c r="J36" i="42"/>
  <c r="J37" i="42"/>
  <c r="J38" i="42"/>
  <c r="J39" i="42"/>
  <c r="J40" i="42"/>
  <c r="J41" i="42"/>
  <c r="J42" i="42"/>
  <c r="J43" i="42"/>
  <c r="J44" i="42"/>
  <c r="J45" i="42"/>
  <c r="J46" i="42"/>
  <c r="J47" i="42"/>
  <c r="J48" i="42"/>
  <c r="J49" i="42"/>
  <c r="J50" i="42"/>
  <c r="J51" i="42"/>
  <c r="J52" i="42"/>
  <c r="J9" i="42"/>
  <c r="H9" i="42"/>
  <c r="H10" i="42"/>
  <c r="H11" i="42"/>
  <c r="H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52" i="42"/>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H53" i="45"/>
  <c r="N36" i="66"/>
  <c r="N52" i="66"/>
  <c r="N44" i="66"/>
  <c r="N28" i="66"/>
  <c r="N20" i="66"/>
  <c r="N12" i="66"/>
  <c r="N48" i="66"/>
  <c r="N40" i="66"/>
  <c r="N32" i="66"/>
  <c r="N24" i="66"/>
  <c r="N16" i="66"/>
  <c r="N51" i="66"/>
  <c r="N43" i="66"/>
  <c r="N35" i="66"/>
  <c r="N27" i="66"/>
  <c r="N19" i="66"/>
  <c r="N11" i="66"/>
  <c r="N46" i="66"/>
  <c r="N38" i="66"/>
  <c r="N30" i="66"/>
  <c r="N22" i="66"/>
  <c r="N14" i="66"/>
  <c r="L47" i="42"/>
  <c r="L49" i="42"/>
  <c r="L41" i="42"/>
  <c r="L32" i="42"/>
  <c r="L24" i="42"/>
  <c r="L16" i="42"/>
  <c r="L48" i="42"/>
  <c r="L39" i="42"/>
  <c r="L31" i="42"/>
  <c r="L23" i="42"/>
  <c r="L15" i="42"/>
  <c r="L46" i="42"/>
  <c r="L37" i="42"/>
  <c r="L29" i="42"/>
  <c r="L21" i="42"/>
  <c r="L13" i="42"/>
  <c r="L38" i="42"/>
  <c r="L30" i="42"/>
  <c r="L22" i="42"/>
  <c r="L14" i="42"/>
  <c r="N47" i="42"/>
  <c r="L45" i="42"/>
  <c r="L36" i="42"/>
  <c r="L28" i="42"/>
  <c r="L20" i="42"/>
  <c r="L12" i="42"/>
  <c r="N41" i="42"/>
  <c r="L52" i="42"/>
  <c r="L44" i="42"/>
  <c r="L35" i="42"/>
  <c r="L27" i="42"/>
  <c r="L19" i="42"/>
  <c r="L11" i="42"/>
  <c r="N53" i="42"/>
  <c r="L51" i="42"/>
  <c r="L43" i="42"/>
  <c r="L34" i="42"/>
  <c r="L26" i="42"/>
  <c r="L18" i="42"/>
  <c r="L10" i="42"/>
  <c r="N15" i="42"/>
  <c r="L40" i="42"/>
  <c r="L50" i="42"/>
  <c r="L42" i="42"/>
  <c r="L33" i="42"/>
  <c r="L25" i="42"/>
  <c r="L17" i="42"/>
  <c r="L9" i="42"/>
  <c r="N30" i="42"/>
  <c r="D51" i="46"/>
  <c r="T14" i="46"/>
  <c r="T44" i="46"/>
  <c r="L44" i="46"/>
  <c r="L51" i="46"/>
  <c r="T12" i="46"/>
  <c r="T42" i="46"/>
  <c r="T15" i="46"/>
  <c r="T45" i="46"/>
  <c r="T13" i="46"/>
  <c r="T43" i="46"/>
  <c r="T11" i="46"/>
  <c r="T41" i="46"/>
  <c r="T10" i="46"/>
  <c r="Q53" i="66"/>
  <c r="N52" i="42"/>
  <c r="N28" i="42"/>
  <c r="N51" i="42"/>
  <c r="N35" i="42"/>
  <c r="N27" i="42"/>
  <c r="N43" i="42"/>
  <c r="N39" i="42"/>
  <c r="N44" i="42"/>
  <c r="N50" i="42"/>
  <c r="N48" i="42"/>
  <c r="N29" i="42"/>
  <c r="N16" i="42"/>
  <c r="N33" i="42"/>
  <c r="N10" i="42"/>
  <c r="N14" i="42"/>
  <c r="N13" i="42"/>
  <c r="N21" i="42"/>
  <c r="N40" i="42"/>
  <c r="N37" i="42"/>
  <c r="N20" i="42"/>
  <c r="N38" i="42"/>
  <c r="N45" i="42"/>
  <c r="N18" i="42"/>
  <c r="N46" i="42"/>
  <c r="N32" i="42"/>
  <c r="N9" i="42"/>
  <c r="N26" i="42"/>
  <c r="N22" i="42"/>
  <c r="N12" i="42"/>
  <c r="N34" i="42"/>
  <c r="N24" i="42"/>
  <c r="N11" i="42"/>
  <c r="N19" i="42"/>
  <c r="N36" i="42"/>
  <c r="N17" i="42"/>
  <c r="N31" i="42"/>
  <c r="N25" i="42"/>
  <c r="N42" i="42"/>
  <c r="N23" i="42"/>
  <c r="N49" i="42"/>
  <c r="V10" i="46"/>
  <c r="T40" i="46"/>
  <c r="T51" i="46"/>
  <c r="C38" i="47"/>
  <c r="G38" i="47"/>
  <c r="B38" i="47"/>
  <c r="C21" i="47"/>
  <c r="B21" i="47"/>
  <c r="F21" i="47"/>
  <c r="I36" i="46"/>
  <c r="E36" i="46"/>
  <c r="I21" i="46"/>
  <c r="E21" i="46"/>
  <c r="C54" i="45"/>
  <c r="D54" i="45"/>
  <c r="E54" i="45"/>
  <c r="B54" i="45"/>
  <c r="D53" i="43"/>
  <c r="C54" i="43"/>
  <c r="B54" i="43"/>
  <c r="K34" i="42"/>
  <c r="K35" i="42"/>
  <c r="K36" i="42"/>
  <c r="K37" i="42"/>
  <c r="K38" i="42"/>
  <c r="K39" i="42"/>
  <c r="K40" i="42"/>
  <c r="K41" i="42"/>
  <c r="K42" i="42"/>
  <c r="K43" i="42"/>
  <c r="K44" i="42"/>
  <c r="K45" i="42"/>
  <c r="K46" i="42"/>
  <c r="K47" i="42"/>
  <c r="K48" i="42"/>
  <c r="K49" i="42"/>
  <c r="K50" i="42"/>
  <c r="K51" i="42"/>
  <c r="K52" i="42"/>
  <c r="D52" i="43"/>
  <c r="F52" i="45"/>
  <c r="G52" i="45"/>
  <c r="L52" i="66"/>
  <c r="M52" i="66"/>
  <c r="O52" i="66"/>
  <c r="P52" i="66"/>
  <c r="D11" i="43"/>
  <c r="D12" i="43"/>
  <c r="D13" i="43"/>
  <c r="D14" i="43"/>
  <c r="D15" i="43"/>
  <c r="D16" i="43"/>
  <c r="D17" i="43"/>
  <c r="D18" i="43"/>
  <c r="D19" i="43"/>
  <c r="D20" i="43"/>
  <c r="D21" i="43"/>
  <c r="D22" i="43"/>
  <c r="D23" i="43"/>
  <c r="D24" i="43"/>
  <c r="D25" i="43"/>
  <c r="D26" i="43"/>
  <c r="D27" i="43"/>
  <c r="D28" i="43"/>
  <c r="D29" i="43"/>
  <c r="D30" i="43"/>
  <c r="D32" i="43"/>
  <c r="D33" i="43"/>
  <c r="D34" i="43"/>
  <c r="D35" i="43"/>
  <c r="D36" i="43"/>
  <c r="D37" i="43"/>
  <c r="D38" i="43"/>
  <c r="D39" i="43"/>
  <c r="D40" i="43"/>
  <c r="D41" i="43"/>
  <c r="D42" i="43"/>
  <c r="D43" i="43"/>
  <c r="D44" i="43"/>
  <c r="D45" i="43"/>
  <c r="D46" i="43"/>
  <c r="D47" i="43"/>
  <c r="D48" i="43"/>
  <c r="D49" i="43"/>
  <c r="D50" i="43"/>
  <c r="D51" i="43"/>
  <c r="D31" i="43"/>
  <c r="D8" i="43"/>
  <c r="D9" i="43"/>
  <c r="D10" i="43"/>
  <c r="C20" i="46"/>
  <c r="G20" i="46"/>
  <c r="B20" i="46"/>
  <c r="F20" i="46"/>
  <c r="E20" i="46"/>
  <c r="I20" i="46"/>
  <c r="F16" i="47"/>
  <c r="F17" i="47"/>
  <c r="F18" i="47"/>
  <c r="F19" i="47"/>
  <c r="F12" i="47"/>
  <c r="F46" i="47"/>
  <c r="F13" i="47"/>
  <c r="H13" i="47"/>
  <c r="F14" i="47"/>
  <c r="F15" i="47"/>
  <c r="H15" i="47"/>
  <c r="B46" i="47"/>
  <c r="B47" i="47"/>
  <c r="B48" i="47"/>
  <c r="B49" i="47"/>
  <c r="D39" i="47"/>
  <c r="E39" i="47"/>
  <c r="E22" i="47"/>
  <c r="D22" i="47"/>
  <c r="J51" i="46"/>
  <c r="K51" i="46"/>
  <c r="M51" i="46"/>
  <c r="N51" i="46"/>
  <c r="O51" i="46"/>
  <c r="Q51" i="46"/>
  <c r="F51" i="45"/>
  <c r="G51" i="45"/>
  <c r="L51" i="66"/>
  <c r="M51" i="66"/>
  <c r="O51" i="66"/>
  <c r="P51" i="66"/>
  <c r="Q50" i="46"/>
  <c r="O50" i="46"/>
  <c r="N50" i="46"/>
  <c r="M50" i="46"/>
  <c r="K50" i="46"/>
  <c r="J50" i="46"/>
  <c r="C37" i="47"/>
  <c r="G37" i="47"/>
  <c r="E54" i="47"/>
  <c r="D54" i="47"/>
  <c r="C36" i="47"/>
  <c r="B36" i="47"/>
  <c r="F36" i="47"/>
  <c r="B35" i="47"/>
  <c r="B52" i="47"/>
  <c r="C35" i="47"/>
  <c r="C52" i="47"/>
  <c r="B34" i="47"/>
  <c r="B51" i="47"/>
  <c r="C34" i="47"/>
  <c r="G34" i="47"/>
  <c r="C33" i="47"/>
  <c r="G33" i="47"/>
  <c r="B33" i="47"/>
  <c r="B50" i="47"/>
  <c r="B37" i="47"/>
  <c r="C16" i="47"/>
  <c r="G16" i="47"/>
  <c r="C20" i="47"/>
  <c r="B20" i="47"/>
  <c r="C19" i="47"/>
  <c r="C18" i="47"/>
  <c r="C17" i="47"/>
  <c r="I19" i="46"/>
  <c r="G19" i="46"/>
  <c r="F19" i="46"/>
  <c r="F18" i="46"/>
  <c r="B19" i="46"/>
  <c r="E19" i="46"/>
  <c r="C19" i="46"/>
  <c r="I18" i="46"/>
  <c r="G18" i="46"/>
  <c r="E18" i="46"/>
  <c r="C18" i="46"/>
  <c r="B18" i="46"/>
  <c r="I17" i="46"/>
  <c r="G17" i="46"/>
  <c r="F17" i="46"/>
  <c r="E17" i="46"/>
  <c r="C17" i="46"/>
  <c r="B17" i="46"/>
  <c r="I16" i="46"/>
  <c r="G16" i="46"/>
  <c r="F16" i="46"/>
  <c r="E16" i="46"/>
  <c r="C16" i="46"/>
  <c r="B16" i="46"/>
  <c r="I32" i="46"/>
  <c r="G32" i="46"/>
  <c r="F32" i="46"/>
  <c r="E32" i="46"/>
  <c r="C32" i="46"/>
  <c r="B32" i="46"/>
  <c r="I33" i="46"/>
  <c r="G33" i="46"/>
  <c r="F33" i="46"/>
  <c r="E33" i="46"/>
  <c r="C33" i="46"/>
  <c r="B33" i="46"/>
  <c r="I34" i="46"/>
  <c r="G34" i="46"/>
  <c r="F34" i="46"/>
  <c r="E34" i="46"/>
  <c r="C34" i="46"/>
  <c r="B34" i="46"/>
  <c r="I35" i="46"/>
  <c r="G35" i="46"/>
  <c r="F35" i="46"/>
  <c r="E35" i="46"/>
  <c r="C35" i="46"/>
  <c r="B35" i="46"/>
  <c r="I31" i="46"/>
  <c r="G31" i="46"/>
  <c r="F31" i="46"/>
  <c r="H31" i="46"/>
  <c r="E31" i="46"/>
  <c r="C31" i="46"/>
  <c r="B31" i="46"/>
  <c r="F50" i="45"/>
  <c r="G50" i="45"/>
  <c r="L50" i="66"/>
  <c r="M50" i="66"/>
  <c r="O50" i="66"/>
  <c r="P50" i="66"/>
  <c r="F49" i="45"/>
  <c r="G49" i="45"/>
  <c r="L49" i="66"/>
  <c r="M49" i="66"/>
  <c r="O49" i="66"/>
  <c r="P49" i="66"/>
  <c r="F48" i="45"/>
  <c r="G48" i="45"/>
  <c r="L48" i="66"/>
  <c r="M48" i="66"/>
  <c r="O48" i="66"/>
  <c r="P48" i="66"/>
  <c r="G47" i="45"/>
  <c r="F47" i="45"/>
  <c r="P47" i="66"/>
  <c r="O47" i="66"/>
  <c r="M47" i="66"/>
  <c r="L47" i="66"/>
  <c r="G27" i="47"/>
  <c r="G28" i="47"/>
  <c r="G29" i="47"/>
  <c r="G30" i="47"/>
  <c r="G31" i="47"/>
  <c r="G48" i="47"/>
  <c r="G32" i="47"/>
  <c r="F31" i="47"/>
  <c r="F32" i="47"/>
  <c r="H32" i="47"/>
  <c r="H49" i="47"/>
  <c r="F27" i="47"/>
  <c r="H27" i="47"/>
  <c r="F28" i="47"/>
  <c r="F29" i="47"/>
  <c r="H29" i="47"/>
  <c r="F30" i="47"/>
  <c r="G46" i="45"/>
  <c r="F46" i="45"/>
  <c r="L46" i="66"/>
  <c r="M46" i="66"/>
  <c r="O46" i="66"/>
  <c r="P46" i="66"/>
  <c r="E53" i="47"/>
  <c r="D53" i="47"/>
  <c r="E52" i="47"/>
  <c r="D52" i="47"/>
  <c r="E51" i="47"/>
  <c r="D51" i="47"/>
  <c r="E50" i="47"/>
  <c r="D50" i="47"/>
  <c r="E49" i="47"/>
  <c r="D49" i="47"/>
  <c r="C49" i="47"/>
  <c r="E48" i="47"/>
  <c r="D48" i="47"/>
  <c r="C48" i="47"/>
  <c r="E47" i="47"/>
  <c r="D47" i="47"/>
  <c r="C47" i="47"/>
  <c r="C46" i="47"/>
  <c r="C45" i="47"/>
  <c r="B45" i="47"/>
  <c r="C44" i="47"/>
  <c r="B44" i="47"/>
  <c r="C43" i="47"/>
  <c r="B43" i="47"/>
  <c r="G26" i="47"/>
  <c r="F26" i="47"/>
  <c r="H26" i="47"/>
  <c r="F43" i="47"/>
  <c r="G15" i="47"/>
  <c r="G14" i="47"/>
  <c r="G13" i="47"/>
  <c r="G47" i="47"/>
  <c r="G12" i="47"/>
  <c r="G46" i="47"/>
  <c r="G11" i="47"/>
  <c r="G45" i="47"/>
  <c r="F11" i="47"/>
  <c r="F45" i="47"/>
  <c r="G10" i="47"/>
  <c r="F10" i="47"/>
  <c r="G9" i="47"/>
  <c r="F9" i="47"/>
  <c r="H9" i="47"/>
  <c r="H43" i="47"/>
  <c r="Q49" i="46"/>
  <c r="O49" i="46"/>
  <c r="N49" i="46"/>
  <c r="M49" i="46"/>
  <c r="K49" i="46"/>
  <c r="J49" i="46"/>
  <c r="Q48" i="46"/>
  <c r="O48" i="46"/>
  <c r="N48" i="46"/>
  <c r="M48" i="46"/>
  <c r="K48" i="46"/>
  <c r="J48" i="46"/>
  <c r="Q47" i="46"/>
  <c r="O47" i="46"/>
  <c r="N47" i="46"/>
  <c r="M47" i="46"/>
  <c r="K47" i="46"/>
  <c r="J47" i="46"/>
  <c r="Q46" i="46"/>
  <c r="O46" i="46"/>
  <c r="N46" i="46"/>
  <c r="M46" i="46"/>
  <c r="K46" i="46"/>
  <c r="J46" i="46"/>
  <c r="Q45" i="46"/>
  <c r="N45" i="46"/>
  <c r="M45" i="46"/>
  <c r="J45" i="46"/>
  <c r="I45" i="46"/>
  <c r="F45" i="46"/>
  <c r="E45" i="46"/>
  <c r="B45" i="46"/>
  <c r="Q44" i="46"/>
  <c r="N44" i="46"/>
  <c r="M44" i="46"/>
  <c r="J44" i="46"/>
  <c r="I44" i="46"/>
  <c r="F44" i="46"/>
  <c r="E44" i="46"/>
  <c r="B44" i="46"/>
  <c r="Q43" i="46"/>
  <c r="N43" i="46"/>
  <c r="M43" i="46"/>
  <c r="J43" i="46"/>
  <c r="I43" i="46"/>
  <c r="F43" i="46"/>
  <c r="E43" i="46"/>
  <c r="B43" i="46"/>
  <c r="I42" i="46"/>
  <c r="F42" i="46"/>
  <c r="E42" i="46"/>
  <c r="B42" i="46"/>
  <c r="I41" i="46"/>
  <c r="F41" i="46"/>
  <c r="E41" i="46"/>
  <c r="B41" i="46"/>
  <c r="I40" i="46"/>
  <c r="F40" i="46"/>
  <c r="E40" i="46"/>
  <c r="B40" i="46"/>
  <c r="U30" i="46"/>
  <c r="V30" i="46"/>
  <c r="U29" i="46"/>
  <c r="V29" i="46"/>
  <c r="U28" i="46"/>
  <c r="V28" i="46"/>
  <c r="U27" i="46"/>
  <c r="V27" i="46"/>
  <c r="U26" i="46"/>
  <c r="V26" i="46"/>
  <c r="U25" i="46"/>
  <c r="V25" i="46"/>
  <c r="U15" i="46"/>
  <c r="V15" i="46"/>
  <c r="R15" i="46"/>
  <c r="U14" i="46"/>
  <c r="R14" i="46"/>
  <c r="U13" i="46"/>
  <c r="V13" i="46"/>
  <c r="R13" i="46"/>
  <c r="U12" i="46"/>
  <c r="R12" i="46"/>
  <c r="U11" i="46"/>
  <c r="R11" i="46"/>
  <c r="R10" i="46"/>
  <c r="G45" i="45"/>
  <c r="F45" i="45"/>
  <c r="G44" i="45"/>
  <c r="F44" i="45"/>
  <c r="G43" i="45"/>
  <c r="F43" i="45"/>
  <c r="G42" i="45"/>
  <c r="F42" i="45"/>
  <c r="G41" i="45"/>
  <c r="F41" i="45"/>
  <c r="G40" i="45"/>
  <c r="F40" i="45"/>
  <c r="G39" i="45"/>
  <c r="F39" i="45"/>
  <c r="G38" i="45"/>
  <c r="F38" i="45"/>
  <c r="G37" i="45"/>
  <c r="F37" i="45"/>
  <c r="G36" i="45"/>
  <c r="F36" i="45"/>
  <c r="G35" i="45"/>
  <c r="F35" i="45"/>
  <c r="G34" i="45"/>
  <c r="F34" i="45"/>
  <c r="G33" i="45"/>
  <c r="F33" i="45"/>
  <c r="G32" i="45"/>
  <c r="F32" i="45"/>
  <c r="G31" i="45"/>
  <c r="F31" i="45"/>
  <c r="G30" i="45"/>
  <c r="F30" i="45"/>
  <c r="G29" i="45"/>
  <c r="F29" i="45"/>
  <c r="G28" i="45"/>
  <c r="F28" i="45"/>
  <c r="G27" i="45"/>
  <c r="F27" i="45"/>
  <c r="G26" i="45"/>
  <c r="F26" i="45"/>
  <c r="H26" i="45"/>
  <c r="G25" i="45"/>
  <c r="F25" i="45"/>
  <c r="G24" i="45"/>
  <c r="F24" i="45"/>
  <c r="G23" i="45"/>
  <c r="F23" i="45"/>
  <c r="G22" i="45"/>
  <c r="F22" i="45"/>
  <c r="G21" i="45"/>
  <c r="F21" i="45"/>
  <c r="G20" i="45"/>
  <c r="F20" i="45"/>
  <c r="G19" i="45"/>
  <c r="F19" i="45"/>
  <c r="G18" i="45"/>
  <c r="F18" i="45"/>
  <c r="G17" i="45"/>
  <c r="H17" i="45"/>
  <c r="F17" i="45"/>
  <c r="G16" i="45"/>
  <c r="F16" i="45"/>
  <c r="G15" i="45"/>
  <c r="F15" i="45"/>
  <c r="G14" i="45"/>
  <c r="F14" i="45"/>
  <c r="G13" i="45"/>
  <c r="F13" i="45"/>
  <c r="G12" i="45"/>
  <c r="F12" i="45"/>
  <c r="G11" i="45"/>
  <c r="F11" i="45"/>
  <c r="G10" i="45"/>
  <c r="F10" i="45"/>
  <c r="H10" i="45"/>
  <c r="G9" i="45"/>
  <c r="F9" i="45"/>
  <c r="G8" i="45"/>
  <c r="F8" i="45"/>
  <c r="P45" i="66"/>
  <c r="O45" i="66"/>
  <c r="Q45" i="66"/>
  <c r="M45" i="66"/>
  <c r="L45" i="66"/>
  <c r="P44" i="66"/>
  <c r="O44" i="66"/>
  <c r="Q44" i="66"/>
  <c r="M44" i="66"/>
  <c r="L44" i="66"/>
  <c r="P43" i="66"/>
  <c r="O43" i="66"/>
  <c r="Q43" i="66"/>
  <c r="M43" i="66"/>
  <c r="L43" i="66"/>
  <c r="P42" i="66"/>
  <c r="O42" i="66"/>
  <c r="Q42" i="66"/>
  <c r="M42" i="66"/>
  <c r="L42" i="66"/>
  <c r="P41" i="66"/>
  <c r="O41" i="66"/>
  <c r="Q41" i="66"/>
  <c r="M41" i="66"/>
  <c r="L41" i="66"/>
  <c r="P40" i="66"/>
  <c r="O40" i="66"/>
  <c r="M40" i="66"/>
  <c r="L40" i="66"/>
  <c r="P39" i="66"/>
  <c r="O39" i="66"/>
  <c r="Q39" i="66"/>
  <c r="M39" i="66"/>
  <c r="L39" i="66"/>
  <c r="P38" i="66"/>
  <c r="O38" i="66"/>
  <c r="M38" i="66"/>
  <c r="L38" i="66"/>
  <c r="P37" i="66"/>
  <c r="O37" i="66"/>
  <c r="Q37" i="66"/>
  <c r="M37" i="66"/>
  <c r="L37" i="66"/>
  <c r="P36" i="66"/>
  <c r="O36" i="66"/>
  <c r="M36" i="66"/>
  <c r="L36" i="66"/>
  <c r="P35" i="66"/>
  <c r="O35" i="66"/>
  <c r="Q35" i="66"/>
  <c r="M35" i="66"/>
  <c r="L35" i="66"/>
  <c r="P34" i="66"/>
  <c r="O34" i="66"/>
  <c r="Q34" i="66"/>
  <c r="M34" i="66"/>
  <c r="L34" i="66"/>
  <c r="P33" i="66"/>
  <c r="O33" i="66"/>
  <c r="Q33" i="66"/>
  <c r="L33" i="66"/>
  <c r="P32" i="66"/>
  <c r="O32" i="66"/>
  <c r="L32" i="66"/>
  <c r="P31" i="66"/>
  <c r="O31" i="66"/>
  <c r="L31" i="66"/>
  <c r="P30" i="66"/>
  <c r="O30" i="66"/>
  <c r="L30" i="66"/>
  <c r="P29" i="66"/>
  <c r="O29" i="66"/>
  <c r="L29" i="66"/>
  <c r="P28" i="66"/>
  <c r="O28" i="66"/>
  <c r="L28" i="66"/>
  <c r="P27" i="66"/>
  <c r="O27" i="66"/>
  <c r="Q27" i="66"/>
  <c r="L27" i="66"/>
  <c r="P26" i="66"/>
  <c r="O26" i="66"/>
  <c r="L26" i="66"/>
  <c r="P25" i="66"/>
  <c r="O25" i="66"/>
  <c r="L25" i="66"/>
  <c r="P24" i="66"/>
  <c r="O24" i="66"/>
  <c r="L24" i="66"/>
  <c r="P23" i="66"/>
  <c r="O23" i="66"/>
  <c r="L23" i="66"/>
  <c r="P22" i="66"/>
  <c r="O22" i="66"/>
  <c r="L22" i="66"/>
  <c r="P21" i="66"/>
  <c r="O21" i="66"/>
  <c r="L21" i="66"/>
  <c r="P20" i="66"/>
  <c r="O20" i="66"/>
  <c r="L20" i="66"/>
  <c r="P19" i="66"/>
  <c r="O19" i="66"/>
  <c r="Q19" i="66"/>
  <c r="L19" i="66"/>
  <c r="P18" i="66"/>
  <c r="O18" i="66"/>
  <c r="L18" i="66"/>
  <c r="P17" i="66"/>
  <c r="O17" i="66"/>
  <c r="L17" i="66"/>
  <c r="P16" i="66"/>
  <c r="O16" i="66"/>
  <c r="L16" i="66"/>
  <c r="P15" i="66"/>
  <c r="O15" i="66"/>
  <c r="L15" i="66"/>
  <c r="P14" i="66"/>
  <c r="O14" i="66"/>
  <c r="L14" i="66"/>
  <c r="P13" i="66"/>
  <c r="O13" i="66"/>
  <c r="L13" i="66"/>
  <c r="P12" i="66"/>
  <c r="O12" i="66"/>
  <c r="L12" i="66"/>
  <c r="P11" i="66"/>
  <c r="O11" i="66"/>
  <c r="Q11" i="66"/>
  <c r="L11" i="66"/>
  <c r="P10" i="66"/>
  <c r="O10" i="66"/>
  <c r="Q10" i="66"/>
  <c r="L10" i="66"/>
  <c r="P9" i="66"/>
  <c r="O9" i="66"/>
  <c r="L9" i="66"/>
  <c r="G49" i="47"/>
  <c r="H46" i="45"/>
  <c r="B53" i="47"/>
  <c r="H44" i="45"/>
  <c r="H49" i="45"/>
  <c r="H23" i="45"/>
  <c r="H28" i="45"/>
  <c r="H25" i="45"/>
  <c r="H30" i="45"/>
  <c r="H11" i="45"/>
  <c r="H9" i="45"/>
  <c r="H27" i="45"/>
  <c r="H36" i="45"/>
  <c r="H32" i="45"/>
  <c r="H31" i="45"/>
  <c r="H15" i="45"/>
  <c r="H50" i="45"/>
  <c r="G43" i="47"/>
  <c r="H14" i="47"/>
  <c r="H28" i="47"/>
  <c r="H10" i="47"/>
  <c r="F37" i="47"/>
  <c r="G36" i="47"/>
  <c r="F33" i="47"/>
  <c r="F50" i="47"/>
  <c r="G18" i="47"/>
  <c r="H18" i="47"/>
  <c r="H44" i="47"/>
  <c r="F44" i="47"/>
  <c r="F34" i="47"/>
  <c r="H12" i="47"/>
  <c r="H46" i="47"/>
  <c r="F48" i="47"/>
  <c r="H30" i="47"/>
  <c r="F49" i="47"/>
  <c r="D56" i="47"/>
  <c r="H47" i="47"/>
  <c r="G44" i="47"/>
  <c r="E56" i="47"/>
  <c r="H31" i="47"/>
  <c r="G35" i="47"/>
  <c r="G39" i="47"/>
  <c r="F47" i="47"/>
  <c r="H11" i="47"/>
  <c r="H45" i="47"/>
  <c r="F35" i="47"/>
  <c r="H34" i="46"/>
  <c r="F53" i="47"/>
  <c r="H18" i="45"/>
  <c r="H51" i="45"/>
  <c r="B39" i="47"/>
  <c r="H21" i="45"/>
  <c r="H12" i="45"/>
  <c r="H14" i="45"/>
  <c r="H43" i="45"/>
  <c r="H41" i="45"/>
  <c r="H20" i="45"/>
  <c r="H40" i="45"/>
  <c r="H45" i="45"/>
  <c r="H22" i="45"/>
  <c r="H24" i="45"/>
  <c r="H8" i="45"/>
  <c r="H19" i="45"/>
  <c r="H33" i="45"/>
  <c r="H38" i="45"/>
  <c r="H52" i="45"/>
  <c r="H39" i="45"/>
  <c r="H29" i="45"/>
  <c r="Q31" i="66"/>
  <c r="Q18" i="66"/>
  <c r="Q22" i="66"/>
  <c r="Q30" i="66"/>
  <c r="Q46" i="66"/>
  <c r="Q25" i="66"/>
  <c r="Q29" i="66"/>
  <c r="R33" i="46"/>
  <c r="D33" i="46"/>
  <c r="Q52" i="66"/>
  <c r="Q50" i="66"/>
  <c r="H32" i="46"/>
  <c r="Q15" i="66"/>
  <c r="Q26" i="66"/>
  <c r="Q48" i="66"/>
  <c r="D34" i="46"/>
  <c r="R34" i="46"/>
  <c r="H33" i="46"/>
  <c r="D35" i="46"/>
  <c r="R35" i="46"/>
  <c r="Q14" i="66"/>
  <c r="Q20" i="66"/>
  <c r="Q36" i="66"/>
  <c r="Q38" i="66"/>
  <c r="Q40" i="66"/>
  <c r="Q51" i="66"/>
  <c r="Q12" i="66"/>
  <c r="Q16" i="66"/>
  <c r="Q23" i="66"/>
  <c r="Q13" i="66"/>
  <c r="Q24" i="66"/>
  <c r="Q28" i="66"/>
  <c r="Q49" i="66"/>
  <c r="R31" i="46"/>
  <c r="D31" i="46"/>
  <c r="T31" i="46"/>
  <c r="R32" i="46"/>
  <c r="D32" i="46"/>
  <c r="T32" i="46"/>
  <c r="Q9" i="66"/>
  <c r="Q17" i="66"/>
  <c r="Q21" i="66"/>
  <c r="Q32" i="66"/>
  <c r="Q47" i="66"/>
  <c r="H35" i="46"/>
  <c r="H20" i="46"/>
  <c r="U21" i="46"/>
  <c r="V21" i="46"/>
  <c r="D20" i="46"/>
  <c r="V12" i="46"/>
  <c r="V14" i="46"/>
  <c r="H16" i="46"/>
  <c r="H46" i="46"/>
  <c r="D19" i="46"/>
  <c r="D49" i="46"/>
  <c r="D18" i="46"/>
  <c r="D48" i="46"/>
  <c r="H18" i="46"/>
  <c r="H19" i="46"/>
  <c r="H49" i="46"/>
  <c r="V11" i="46"/>
  <c r="D17" i="46"/>
  <c r="D47" i="46"/>
  <c r="D16" i="46"/>
  <c r="H17" i="46"/>
  <c r="R45" i="46"/>
  <c r="E51" i="46"/>
  <c r="U36" i="46"/>
  <c r="I50" i="46"/>
  <c r="B46" i="46"/>
  <c r="G47" i="46"/>
  <c r="U44" i="46"/>
  <c r="S32" i="46"/>
  <c r="R40" i="46"/>
  <c r="U43" i="46"/>
  <c r="R44" i="46"/>
  <c r="G48" i="46"/>
  <c r="R42" i="46"/>
  <c r="C50" i="46"/>
  <c r="S18" i="46"/>
  <c r="R43" i="46"/>
  <c r="C47" i="46"/>
  <c r="I49" i="46"/>
  <c r="U40" i="46"/>
  <c r="U34" i="46"/>
  <c r="B50" i="46"/>
  <c r="U41" i="46"/>
  <c r="U45" i="46"/>
  <c r="S33" i="46"/>
  <c r="B48" i="46"/>
  <c r="S31" i="46"/>
  <c r="U42" i="46"/>
  <c r="E47" i="46"/>
  <c r="E48" i="46"/>
  <c r="R41" i="46"/>
  <c r="S20" i="46"/>
  <c r="U32" i="46"/>
  <c r="S35" i="46"/>
  <c r="G50" i="46"/>
  <c r="S34" i="46"/>
  <c r="C49" i="46"/>
  <c r="U31" i="46"/>
  <c r="B49" i="46"/>
  <c r="U33" i="46"/>
  <c r="U35" i="46"/>
  <c r="E50" i="46"/>
  <c r="E46" i="46"/>
  <c r="E49" i="46"/>
  <c r="G46" i="46"/>
  <c r="G49" i="46"/>
  <c r="R19" i="46"/>
  <c r="C46" i="46"/>
  <c r="U20" i="46"/>
  <c r="S16" i="46"/>
  <c r="S19" i="46"/>
  <c r="B47" i="46"/>
  <c r="R17" i="46"/>
  <c r="I51" i="46"/>
  <c r="S17" i="46"/>
  <c r="R20" i="46"/>
  <c r="U19" i="46"/>
  <c r="B55" i="47"/>
  <c r="H33" i="47"/>
  <c r="F51" i="47"/>
  <c r="C39" i="47"/>
  <c r="H37" i="47"/>
  <c r="H34" i="47"/>
  <c r="H42" i="45"/>
  <c r="H16" i="45"/>
  <c r="H13" i="45"/>
  <c r="F38" i="47"/>
  <c r="F55" i="47"/>
  <c r="B54" i="47"/>
  <c r="H34" i="45"/>
  <c r="F54" i="45"/>
  <c r="H36" i="47"/>
  <c r="H35" i="45"/>
  <c r="H47" i="45"/>
  <c r="H37" i="45"/>
  <c r="G54" i="45"/>
  <c r="H54" i="45"/>
  <c r="H48" i="45"/>
  <c r="G20" i="47"/>
  <c r="C54" i="47"/>
  <c r="C50" i="47"/>
  <c r="F20" i="47"/>
  <c r="C55" i="47"/>
  <c r="G21" i="47"/>
  <c r="H21" i="47"/>
  <c r="C51" i="47"/>
  <c r="G17" i="47"/>
  <c r="D54" i="43"/>
  <c r="C22" i="47"/>
  <c r="G50" i="47"/>
  <c r="H16" i="47"/>
  <c r="B22" i="47"/>
  <c r="G19" i="47"/>
  <c r="C53" i="47"/>
  <c r="G52" i="47"/>
  <c r="I46" i="46"/>
  <c r="C48" i="46"/>
  <c r="F48" i="46"/>
  <c r="R18" i="46"/>
  <c r="U16" i="46"/>
  <c r="R16" i="46"/>
  <c r="F47" i="46"/>
  <c r="F50" i="46"/>
  <c r="F46" i="46"/>
  <c r="F49" i="46"/>
  <c r="U18" i="46"/>
  <c r="I48" i="46"/>
  <c r="U17" i="46"/>
  <c r="I47" i="46"/>
  <c r="H35" i="47"/>
  <c r="F52" i="47"/>
  <c r="H48" i="47"/>
  <c r="T35" i="46"/>
  <c r="H47" i="46"/>
  <c r="T34" i="46"/>
  <c r="H50" i="46"/>
  <c r="H48" i="46"/>
  <c r="H52" i="47"/>
  <c r="D46" i="46"/>
  <c r="V32" i="46"/>
  <c r="T33" i="46"/>
  <c r="V33" i="46"/>
  <c r="D50" i="46"/>
  <c r="V34" i="46"/>
  <c r="V36" i="46"/>
  <c r="V35" i="46"/>
  <c r="V31" i="46"/>
  <c r="T20" i="46"/>
  <c r="T50" i="46"/>
  <c r="V44" i="46"/>
  <c r="T17" i="46"/>
  <c r="T47" i="46"/>
  <c r="T16" i="46"/>
  <c r="T46" i="46"/>
  <c r="T18" i="46"/>
  <c r="T19" i="46"/>
  <c r="V45" i="46"/>
  <c r="R50" i="46"/>
  <c r="R47" i="46"/>
  <c r="S48" i="46"/>
  <c r="U49" i="46"/>
  <c r="V43" i="46"/>
  <c r="S50" i="46"/>
  <c r="R49" i="46"/>
  <c r="U50" i="46"/>
  <c r="V41" i="46"/>
  <c r="V40" i="46"/>
  <c r="V42" i="46"/>
  <c r="U51" i="46"/>
  <c r="S46" i="46"/>
  <c r="S49" i="46"/>
  <c r="S47" i="46"/>
  <c r="B56" i="47"/>
  <c r="F39" i="47"/>
  <c r="H38" i="47"/>
  <c r="H55" i="47"/>
  <c r="G54" i="47"/>
  <c r="F22" i="47"/>
  <c r="H20" i="47"/>
  <c r="H54" i="47"/>
  <c r="G22" i="47"/>
  <c r="F54" i="47"/>
  <c r="C56" i="47"/>
  <c r="G51" i="47"/>
  <c r="H17" i="47"/>
  <c r="G55" i="47"/>
  <c r="H19" i="47"/>
  <c r="G53" i="47"/>
  <c r="H50" i="47"/>
  <c r="R48" i="46"/>
  <c r="U46" i="46"/>
  <c r="R46" i="46"/>
  <c r="U48" i="46"/>
  <c r="U47" i="46"/>
  <c r="V17" i="46"/>
  <c r="V20" i="46"/>
  <c r="V16" i="46"/>
  <c r="V46" i="46"/>
  <c r="V18" i="46"/>
  <c r="T48" i="46"/>
  <c r="V19" i="46"/>
  <c r="V49" i="46"/>
  <c r="T49" i="46"/>
  <c r="H39" i="47"/>
  <c r="F56" i="47"/>
  <c r="H22" i="47"/>
  <c r="G56" i="47"/>
  <c r="H51" i="47"/>
  <c r="H53" i="47"/>
  <c r="Q22" i="46"/>
  <c r="V51" i="46"/>
  <c r="V47" i="46"/>
  <c r="V50" i="46"/>
  <c r="V48" i="46"/>
  <c r="H56" i="47"/>
</calcChain>
</file>

<file path=xl/sharedStrings.xml><?xml version="1.0" encoding="utf-8"?>
<sst xmlns="http://schemas.openxmlformats.org/spreadsheetml/2006/main" count="629" uniqueCount="257">
  <si>
    <t>Cover Sheet: Information about the Smart Meters Statistics in Great Britain, quarterly report to end September 2023</t>
  </si>
  <si>
    <t xml:space="preserve">This spreadsheet contains the data tables published alongside the quarterly report on Smart Meters Statistics by the Department for Energy Security and Net Zero.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</si>
  <si>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</si>
  <si>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</si>
  <si>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Thursday 30 November 2023</t>
  </si>
  <si>
    <t>The next publication is at 9:30am on Thursday 21st March 2024</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</si>
  <si>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</si>
  <si>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Revisions are due to updates from energy suppliers or the receipt of data replacing estimates unless otherwise stated.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</si>
  <si>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</si>
  <si>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</si>
  <si>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</si>
  <si>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smartmeter.stats@energysecurity.gov.uk</t>
  </si>
  <si>
    <t>0300 068 5044</t>
  </si>
  <si>
    <t>General enquiries</t>
  </si>
  <si>
    <t>smartmetering@energysecurity.gov.uk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</si>
  <si>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</si>
  <si>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</si>
  <si>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</si>
  <si>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</si>
  <si>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</si>
  <si>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</si>
  <si>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</si>
  <si>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</si>
  <si>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</si>
  <si>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</si>
  <si>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</si>
  <si>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</si>
  <si>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</si>
  <si>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</si>
  <si>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</si>
  <si>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</si>
  <si>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</si>
  <si>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</si>
  <si>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</si>
  <si>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</si>
  <si>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</si>
  <si>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</si>
  <si>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</si>
  <si>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</si>
  <si>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</si>
  <si>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</si>
  <si>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</si>
  <si>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</si>
  <si>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</si>
  <si>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</si>
  <si>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</si>
  <si>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</si>
  <si>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</si>
  <si>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</si>
  <si>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</si>
  <si>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</si>
  <si>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</si>
  <si>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</si>
  <si>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</si>
  <si>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</si>
  <si>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</si>
  <si>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</si>
  <si>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</si>
  <si>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</si>
  <si>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</si>
  <si>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For Q3 2023, there is a data quality issue with the breakdown of domestic smart meters operating in smart mode and traditional mode. Until this is resolved we have only shown the total smart meters in operation by fuel type in Table 1, 5a and 5c and denoted the supressed cells with 'u' indicating low reliability. These figures will be added as soon as the data quality issue has been resolved</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</si>
  <si>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</si>
  <si>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</si>
  <si>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</si>
  <si>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</si>
  <si>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Department for Energy Security and Net Zero.</t>
  </si>
  <si>
    <t>Date published: 30 November 2023</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</si>
  <si>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</si>
  <si>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</si>
  <si>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</si>
  <si>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total smart meters</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</si>
  <si>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</si>
  <si>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</si>
  <si>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</si>
  <si>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total smart meters</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</si>
  <si>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</si>
  <si>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</si>
  <si>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</si>
  <si>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total smart meters</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</si>
  <si>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</si>
  <si>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</si>
  <si>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</si>
  <si>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</si>
  <si>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</si>
  <si>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</si>
  <si>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</si>
  <si>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</si>
  <si>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</si>
  <si>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</si>
  <si>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</si>
  <si>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</si>
  <si>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</si>
  <si>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</si>
  <si>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</si>
  <si>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</si>
  <si>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</si>
  <si>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</si>
  <si>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</si>
  <si>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</si>
  <si>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</si>
  <si>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</si>
  <si>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</si>
  <si>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</si>
  <si>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</si>
  <si>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</si>
  <si>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</si>
  <si>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</si>
  <si>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</si>
  <si>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</si>
  <si>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</si>
  <si>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</si>
  <si>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</si>
  <si>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</si>
  <si>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</si>
  <si>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</si>
  <si>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</si>
  <si>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</si>
  <si>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</si>
  <si>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</si>
  <si>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</si>
  <si>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</si>
  <si>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</si>
  <si>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</si>
  <si>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</si>
  <si>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</si>
  <si>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</si>
  <si>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</si>
  <si>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</si>
  <si>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</si>
  <si>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</si>
  <si>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</si>
  <si>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</si>
  <si>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</si>
  <si>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</si>
  <si>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</si>
  <si>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</si>
  <si>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Q4 2022</t>
  </si>
  <si>
    <t>Q1 2023</t>
  </si>
  <si>
    <t>Q2 2023</t>
  </si>
  <si>
    <t>Q3 2023</t>
  </si>
  <si>
    <t>u</t>
  </si>
  <si>
    <t>[Note 26 for cells B53, C53, F53, G53, J53 and K53 marked with 'u']</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</si>
  <si>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</si>
  <si>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</si>
  <si>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</si>
  <si>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</si>
  <si>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</si>
  <si>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</si>
  <si>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</si>
  <si>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</si>
  <si>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</si>
  <si>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[Note 25]</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</si>
  <si>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</si>
  <si>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</si>
  <si>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</si>
  <si>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</si>
  <si>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</si>
  <si>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</si>
  <si>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</si>
  <si>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</si>
  <si>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rPr>
        <b/>
        <sz val="11"/>
        <rFont val="Calibri"/>
        <family val="2"/>
        <scheme val="minor"/>
      </rPr>
      <t xml:space="preserve">All meters
</t>
    </r>
    <r>
      <rPr>
        <sz val="11"/>
        <rFont val="Calibri"/>
        <family val="2"/>
        <scheme val="minor"/>
      </rPr>
      <t>total smart meters</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</si>
  <si>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</si>
  <si>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</si>
  <si>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</si>
  <si>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</si>
  <si>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</si>
  <si>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</si>
  <si>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</si>
  <si>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</si>
  <si>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</si>
  <si>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</si>
  <si>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</si>
  <si>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</si>
  <si>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</si>
  <si>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</si>
  <si>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 This means data reported for 2022 is carried forward to the data row for 2023 until this becomes available.</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</si>
  <si>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</si>
  <si>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</si>
  <si>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</si>
  <si>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</si>
  <si>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total smart</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</si>
  <si>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</si>
  <si>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</si>
  <si>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</si>
  <si>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Large suppliers</t>
    </r>
    <r>
      <rPr>
        <sz val="11"/>
        <rFont val="Calibri"/>
        <family val="2"/>
        <scheme val="minor"/>
      </rPr>
      <t xml:space="preserve">
electricity meters
total smart</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</si>
  <si>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</si>
  <si>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</si>
  <si>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</si>
  <si>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total smart</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</si>
  <si>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</si>
  <si>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</si>
  <si>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</si>
  <si>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total smart</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</si>
  <si>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</si>
  <si>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</si>
  <si>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</si>
  <si>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total smart meters</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</si>
  <si>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</si>
  <si>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</si>
  <si>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</si>
  <si>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</si>
  <si>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</si>
  <si>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</si>
  <si>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</si>
  <si>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</si>
  <si>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</si>
  <si>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</si>
  <si>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</si>
  <si>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</si>
  <si>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</si>
  <si>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</si>
  <si>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</si>
  <si>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t>[Note 26 for cells B21, C21, F21, G21, R21 and S21 marked with 'u']</t>
  </si>
  <si>
    <r>
      <t xml:space="preserve">Table 5b: </t>
    </r>
    <r>
      <rPr>
        <sz val="12"/>
        <rFont val="Calibri"/>
        <family val="2"/>
        <scheme val="minor"/>
      </rPr>
      <t>Number of non-domestic meters operated by large and small energy suppliers at end year point by fuel and meter type</t>
    </r>
  </si>
  <si>
    <r>
      <rPr>
        <b/>
        <sz val="11"/>
        <color rgb="FF000000"/>
        <rFont val="Calibri"/>
        <family val="2"/>
        <scheme val="minor"/>
      </rPr>
      <t xml:space="preserve">Large suppliers
</t>
    </r>
    <r>
      <rPr>
        <sz val="11"/>
        <color rgb="FF000000"/>
        <rFont val="Calibri"/>
        <family val="2"/>
        <scheme val="minor"/>
      </rPr>
      <t>gas meters
smart and advanced</t>
    </r>
  </si>
  <si>
    <r>
      <t xml:space="preserve">Large suppliers
</t>
    </r>
    <r>
      <rPr>
        <sz val="11"/>
        <rFont val="Calibri"/>
        <family val="2"/>
        <scheme val="minor"/>
      </rPr>
      <t>gas meters
total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</si>
  <si>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</si>
  <si>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</si>
  <si>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total smart and advanced</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</si>
  <si>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</si>
  <si>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</si>
  <si>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</si>
  <si>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total smart and advanced</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</si>
  <si>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</si>
  <si>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</si>
  <si>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</si>
  <si>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</si>
  <si>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</si>
  <si>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</si>
  <si>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</si>
  <si>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rPr>
        <b/>
        <sz val="11"/>
        <rFont val="Calibri"/>
        <family val="2"/>
        <scheme val="minor"/>
      </rPr>
      <t>All suppliers</t>
    </r>
    <r>
      <rPr>
        <sz val="11"/>
        <rFont val="Calibri"/>
        <family val="2"/>
        <scheme val="minor"/>
      </rPr>
      <t xml:space="preserve">
total smart and 
advanced</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</si>
  <si>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</si>
  <si>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</si>
  <si>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rPr>
        <b/>
        <sz val="11"/>
        <rFont val="Calibri"/>
        <family val="2"/>
        <scheme val="minor"/>
      </rPr>
      <t>Large suppliers</t>
    </r>
    <r>
      <rPr>
        <sz val="11"/>
        <rFont val="Calibri"/>
        <family val="2"/>
        <scheme val="minor"/>
      </rPr>
      <t xml:space="preserve">
gas meters
smart and advanced</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</si>
  <si>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</si>
  <si>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</si>
  <si>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[Note 26 for cells B51, C51, F51, G51, R51 and S51 marked with 'u']</t>
  </si>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</sst>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
    <numFmt numFmtId="172" formatCode="#,###;0"/>
    <numFmt numFmtId="173" formatCode="[$-809]dddd&quot;, &quot;mmmm&quot; &quot;dd&quot;, &quot;yyyy"/>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6" fillId="0" borderId="0" applyNumberFormat="0" applyFill="0" applyAlignment="0" applyProtection="0"/>
    <xf numFmtId="0" fontId="20" fillId="0" borderId="0" applyNumberFormat="0" applyFill="0" applyAlignment="0" applyProtection="0"/>
    <xf numFmtId="0" fontId="21"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6" fillId="0" borderId="0">
      <alignment horizontal="left" vertical="center" wrapText="1" indent="1"/>
    </xf>
  </cellStyleXfs>
  <cellXfs count="129">
    <xf numFmtId="0" fontId="0" fillId="0" borderId="0" xfId="0"/>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xf numFmtId="0" fontId="18" fillId="0" borderId="0" xfId="17" applyFont="1" applyAlignment="1">
      <alignment horizontal="right" readingOrder="1"/>
    </xf>
    <xf numFmtId="0" fontId="18" fillId="0" borderId="0" xfId="17" applyFont="1" applyAlignment="1">
      <alignment horizontal="right"/>
    </xf>
    <xf numFmtId="172" fontId="7" fillId="0" borderId="0" xfId="1" applyNumberFormat="1" applyFont="1" applyFill="1" applyAlignment="1">
      <alignment horizontal="right"/>
    </xf>
    <xf numFmtId="172" fontId="7" fillId="0" borderId="0" xfId="1" applyNumberFormat="1" applyFont="1" applyFill="1" applyBorder="1" applyAlignment="1">
      <alignment horizontal="right"/>
    </xf>
    <xf numFmtId="0" fontId="12" fillId="2"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10" fontId="7" fillId="0" borderId="0" xfId="46" applyNumberFormat="1" applyFont="1" applyFill="1" applyAlignment="1">
      <alignment horizontal="right" indent="1"/>
    </xf>
    <xf numFmtId="9" fontId="7" fillId="0" borderId="0" xfId="46" applyFont="1" applyFill="1"/>
    <xf numFmtId="168" fontId="7" fillId="0" borderId="0" xfId="46" applyNumberFormat="1" applyFont="1" applyFill="1"/>
    <xf numFmtId="0" fontId="19"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6" fillId="0" borderId="0" xfId="47" applyAlignment="1">
      <alignment horizontal="left" vertical="center" wrapText="1" indent="1"/>
    </xf>
    <xf numFmtId="0" fontId="7" fillId="0" borderId="0" xfId="17" applyFont="1" applyAlignment="1">
      <alignment horizontal="left" indent="1"/>
    </xf>
    <xf numFmtId="172" fontId="7" fillId="0" borderId="0" xfId="1" applyNumberFormat="1" applyFont="1" applyFill="1" applyBorder="1" applyAlignment="1">
      <alignment horizontal="left" indent="1"/>
    </xf>
    <xf numFmtId="9" fontId="7" fillId="0" borderId="2" xfId="46" applyFont="1" applyFill="1" applyBorder="1"/>
    <xf numFmtId="0" fontId="7" fillId="0" borderId="0" xfId="17" applyFont="1" applyAlignment="1">
      <alignment horizontal="left" vertical="top" indent="1"/>
    </xf>
    <xf numFmtId="9" fontId="7" fillId="0" borderId="0" xfId="46" applyFont="1" applyFill="1" applyAlignment="1">
      <alignment horizontal="center"/>
    </xf>
    <xf numFmtId="0" fontId="7" fillId="0" borderId="0" xfId="17" applyFont="1" applyAlignment="1">
      <alignment horizontal="right"/>
    </xf>
    <xf numFmtId="0" fontId="7" fillId="0" borderId="0" xfId="17" applyFont="1"/>
    <xf numFmtId="0" fontId="12" fillId="0" borderId="0" xfId="17" applyFont="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19" fillId="0" borderId="0" xfId="0" applyFont="1" applyAlignment="1">
      <alignment horizontal="left" vertical="top" indent="1"/>
    </xf>
    <xf numFmtId="0" fontId="7" fillId="0" borderId="0" xfId="1" applyNumberFormat="1" applyFont="1" applyFill="1" applyBorder="1" applyAlignment="1">
      <alignment horizontal="right"/>
    </xf>
    <xf numFmtId="0" fontId="16" fillId="0" borderId="0" xfId="47" applyAlignment="1">
      <alignment horizontal="left" vertical="center" indent="1"/>
    </xf>
    <xf numFmtId="0" fontId="17" fillId="0" borderId="0" xfId="2" applyFont="1" applyFill="1" applyAlignment="1">
      <alignment horizontal="left" indent="1"/>
    </xf>
    <xf numFmtId="0" fontId="13" fillId="0" borderId="0" xfId="0" applyFont="1" applyAlignment="1">
      <alignment horizontal="left" vertical="top" indent="1"/>
    </xf>
    <xf numFmtId="0" fontId="13" fillId="0" borderId="0" xfId="0" applyFont="1" applyAlignment="1">
      <alignment horizontal="left" vertical="top" wrapText="1"/>
    </xf>
    <xf numFmtId="0" fontId="20" fillId="0" borderId="0" xfId="0" applyFont="1" applyAlignment="1">
      <alignment horizontal="left" vertical="top" wrapText="1"/>
    </xf>
    <xf numFmtId="0" fontId="7" fillId="0" borderId="0" xfId="0" applyFont="1" applyAlignment="1">
      <alignment vertical="top"/>
    </xf>
    <xf numFmtId="0" fontId="17" fillId="0" borderId="0" xfId="2" applyFont="1" applyAlignment="1">
      <alignment horizontal="left" vertical="top" indent="1"/>
    </xf>
    <xf numFmtId="0" fontId="17" fillId="0" borderId="0" xfId="2" applyFont="1" applyAlignment="1">
      <alignment vertical="top"/>
    </xf>
    <xf numFmtId="173" fontId="14" fillId="0" borderId="0" xfId="23" applyNumberFormat="1" applyFont="1" applyAlignment="1">
      <alignment horizontal="left" vertical="top"/>
    </xf>
    <xf numFmtId="0" fontId="25" fillId="0" borderId="0" xfId="0" applyFont="1" applyAlignment="1">
      <alignment vertical="top"/>
    </xf>
    <xf numFmtId="49" fontId="14" fillId="0" borderId="0" xfId="23" applyNumberFormat="1" applyFont="1" applyAlignment="1">
      <alignment horizontal="left" vertical="top"/>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0" fontId="7" fillId="0" borderId="0" xfId="0" applyFont="1" applyAlignment="1">
      <alignment horizontal="left" vertical="top" wrapText="1"/>
    </xf>
    <xf numFmtId="9" fontId="7" fillId="0" borderId="0" xfId="46" applyFont="1" applyFill="1" applyAlignment="1">
      <alignment horizontal="right"/>
    </xf>
    <xf numFmtId="0" fontId="26" fillId="0" borderId="0" xfId="0" applyFont="1" applyAlignment="1">
      <alignment horizontal="left" vertical="center"/>
    </xf>
    <xf numFmtId="172" fontId="7" fillId="0" borderId="0" xfId="1" applyNumberFormat="1" applyFont="1" applyFill="1" applyAlignment="1">
      <alignment horizontal="left" indent="1"/>
    </xf>
    <xf numFmtId="49" fontId="7" fillId="0" borderId="0" xfId="46" applyNumberFormat="1" applyFont="1" applyFill="1" applyAlignment="1">
      <alignment horizontal="left" indent="1"/>
    </xf>
    <xf numFmtId="172" fontId="7" fillId="0" borderId="0" xfId="1" applyNumberFormat="1" applyFont="1" applyFill="1" applyAlignment="1">
      <alignment horizontal="left" indent="2"/>
    </xf>
    <xf numFmtId="0" fontId="7" fillId="0" borderId="0" xfId="2" applyFont="1" applyFill="1" applyAlignment="1">
      <alignment horizontal="left" indent="1"/>
    </xf>
    <xf numFmtId="9" fontId="7" fillId="0" borderId="0" xfId="46" applyFont="1" applyFill="1" applyBorder="1"/>
    <xf numFmtId="2" fontId="7" fillId="0" borderId="0" xfId="46" applyNumberFormat="1" applyFont="1" applyFill="1" applyAlignment="1">
      <alignment horizontal="right" indent="1"/>
    </xf>
    <xf numFmtId="167" fontId="7" fillId="0" borderId="0" xfId="1" applyNumberFormat="1" applyFont="1" applyFill="1" applyBorder="1" applyAlignment="1">
      <alignment horizontal="left" indent="1"/>
    </xf>
    <xf numFmtId="172" fontId="7" fillId="0" borderId="2" xfId="1" applyNumberFormat="1" applyFont="1" applyFill="1" applyBorder="1" applyAlignment="1">
      <alignment horizontal="right"/>
    </xf>
    <xf numFmtId="167" fontId="7" fillId="0" borderId="2" xfId="1" applyNumberFormat="1" applyFont="1" applyFill="1" applyBorder="1" applyAlignment="1">
      <alignment horizontal="left" indent="1"/>
    </xf>
    <xf numFmtId="0" fontId="7" fillId="0" borderId="0" xfId="46" applyNumberFormat="1" applyFont="1" applyFill="1" applyAlignment="1">
      <alignment horizontal="left" indent="1"/>
    </xf>
    <xf numFmtId="43" fontId="7" fillId="0" borderId="0" xfId="1" applyFont="1" applyFill="1" applyAlignment="1">
      <alignment horizontal="left" indent="1"/>
    </xf>
    <xf numFmtId="172" fontId="7" fillId="0" borderId="0" xfId="46" applyNumberFormat="1" applyFont="1" applyFill="1" applyAlignment="1">
      <alignment horizontal="right" indent="1"/>
    </xf>
    <xf numFmtId="0" fontId="5" fillId="0" borderId="0" xfId="2" applyFill="1" applyBorder="1" applyAlignment="1">
      <alignment horizontal="left" wrapText="1" indent="1"/>
    </xf>
    <xf numFmtId="0" fontId="16" fillId="0" borderId="0" xfId="47" applyFill="1" applyAlignment="1">
      <alignment horizontal="left" vertical="center" wrapText="1" indent="1"/>
    </xf>
    <xf numFmtId="0" fontId="7" fillId="0" borderId="0" xfId="49" applyFont="1" applyFill="1" applyBorder="1" applyAlignment="1">
      <alignment horizontal="left" vertical="top" wrapText="1" indent="1"/>
    </xf>
    <xf numFmtId="0" fontId="24" fillId="0" borderId="0" xfId="0" applyFont="1"/>
    <xf numFmtId="0" fontId="16" fillId="0" borderId="0" xfId="47" applyFill="1" applyAlignment="1">
      <alignment horizontal="left" indent="1"/>
    </xf>
    <xf numFmtId="0" fontId="7" fillId="0" borderId="0" xfId="49" applyFont="1" applyFill="1" applyBorder="1" applyAlignment="1">
      <alignment horizontal="left" wrapText="1" indent="1"/>
    </xf>
    <xf numFmtId="0" fontId="16" fillId="0" borderId="0" xfId="48" applyFont="1" applyFill="1" applyAlignment="1">
      <alignment horizontal="left" wrapText="1" indent="1"/>
    </xf>
    <xf numFmtId="0" fontId="23" fillId="0" borderId="0" xfId="0" applyFont="1"/>
    <xf numFmtId="0" fontId="7" fillId="0" borderId="0" xfId="0" applyFont="1" applyAlignment="1">
      <alignment horizontal="left" vertical="top" wrapText="1" indent="1"/>
    </xf>
    <xf numFmtId="0" fontId="22" fillId="0" borderId="0" xfId="0" applyFont="1"/>
    <xf numFmtId="0" fontId="13" fillId="0" borderId="0" xfId="48" applyFont="1" applyFill="1" applyAlignment="1">
      <alignment horizontal="left" indent="1"/>
    </xf>
    <xf numFmtId="0" fontId="7" fillId="0" borderId="0" xfId="48" applyFont="1" applyFill="1" applyAlignment="1">
      <alignment horizontal="left" wrapText="1" indent="1"/>
    </xf>
    <xf numFmtId="0" fontId="7" fillId="0" borderId="0" xfId="0" applyFont="1" applyAlignment="1">
      <alignment horizontal="left" wrapText="1" indent="1"/>
    </xf>
    <xf numFmtId="0" fontId="13" fillId="0" borderId="0" xfId="0" applyFont="1" applyAlignment="1">
      <alignment horizontal="left" wrapText="1" indent="1"/>
    </xf>
    <xf numFmtId="0" fontId="5" fillId="0" borderId="0" xfId="2" applyFill="1" applyAlignment="1">
      <alignment horizontal="left" indent="1"/>
    </xf>
    <xf numFmtId="0" fontId="7" fillId="0" borderId="0" xfId="0" applyFont="1" applyAlignment="1">
      <alignment horizontal="left" indent="1"/>
    </xf>
    <xf numFmtId="0" fontId="16" fillId="0" borderId="0" xfId="47" applyFill="1" applyAlignment="1">
      <alignment horizontal="left" vertical="center" indent="1"/>
    </xf>
    <xf numFmtId="0" fontId="7" fillId="0" borderId="0" xfId="0" applyFont="1" applyAlignment="1">
      <alignment horizontal="center"/>
    </xf>
    <xf numFmtId="0" fontId="7" fillId="0" borderId="0" xfId="17" applyFont="1" applyAlignment="1">
      <alignment horizontal="left" vertical="top"/>
    </xf>
    <xf numFmtId="0" fontId="18" fillId="0" borderId="0" xfId="17" applyFont="1" applyAlignment="1">
      <alignment horizontal="left" vertical="top" readingOrder="1"/>
    </xf>
    <xf numFmtId="0" fontId="18" fillId="0" borderId="0" xfId="17" applyFont="1" applyAlignment="1">
      <alignment horizontal="left" vertical="top"/>
    </xf>
    <xf numFmtId="0" fontId="12" fillId="0" borderId="0" xfId="17" applyFont="1" applyAlignment="1">
      <alignment horizontal="left" vertical="top"/>
    </xf>
    <xf numFmtId="0" fontId="13" fillId="0" borderId="1" xfId="0" applyFont="1" applyBorder="1" applyAlignment="1">
      <alignment horizontal="left" vertical="top" indent="1"/>
    </xf>
    <xf numFmtId="0" fontId="13" fillId="0" borderId="1" xfId="0" applyFont="1" applyBorder="1" applyAlignment="1">
      <alignment horizontal="right" vertical="top" wrapText="1"/>
    </xf>
    <xf numFmtId="0" fontId="13" fillId="0" borderId="1" xfId="0" applyFont="1" applyBorder="1" applyAlignment="1">
      <alignment horizontal="right" vertical="top"/>
    </xf>
    <xf numFmtId="0" fontId="7" fillId="0" borderId="2" xfId="0" applyFont="1" applyBorder="1"/>
    <xf numFmtId="0" fontId="7" fillId="0" borderId="0" xfId="0" applyFont="1" applyAlignment="1">
      <alignment horizontal="center" vertical="center"/>
    </xf>
    <xf numFmtId="172" fontId="7" fillId="0" borderId="0" xfId="0" applyNumberFormat="1" applyFont="1"/>
    <xf numFmtId="0" fontId="13" fillId="0" borderId="0" xfId="17" applyFont="1" applyAlignment="1">
      <alignment horizontal="right" readingOrder="1"/>
    </xf>
    <xf numFmtId="0" fontId="18" fillId="0" borderId="0" xfId="17" applyFont="1" applyAlignment="1">
      <alignment horizontal="left" indent="1"/>
    </xf>
    <xf numFmtId="0" fontId="13" fillId="0" borderId="0" xfId="17" applyFont="1" applyAlignment="1">
      <alignment horizontal="left" vertical="top" indent="1" readingOrder="1"/>
    </xf>
    <xf numFmtId="0" fontId="18" fillId="0" borderId="0" xfId="17" applyFont="1" applyAlignment="1">
      <alignment horizontal="left" vertical="top" indent="2"/>
    </xf>
    <xf numFmtId="0" fontId="13" fillId="0" borderId="0" xfId="0" applyFont="1" applyAlignment="1">
      <alignment horizontal="left" vertical="center" wrapText="1"/>
    </xf>
    <xf numFmtId="0" fontId="13" fillId="0" borderId="2" xfId="0" applyFont="1" applyBorder="1" applyAlignment="1">
      <alignment horizontal="left" vertical="top" indent="1"/>
    </xf>
    <xf numFmtId="0" fontId="13" fillId="0" borderId="2" xfId="0" applyFont="1" applyBorder="1" applyAlignment="1">
      <alignment horizontal="right" vertical="top"/>
    </xf>
    <xf numFmtId="0" fontId="13" fillId="0" borderId="2" xfId="0" applyFont="1" applyBorder="1" applyAlignment="1">
      <alignment horizontal="right" vertical="top" wrapText="1"/>
    </xf>
    <xf numFmtId="170" fontId="7" fillId="0" borderId="0" xfId="0" applyNumberFormat="1" applyFont="1" applyAlignment="1">
      <alignment horizontal="left" indent="1"/>
    </xf>
    <xf numFmtId="0" fontId="7" fillId="0" borderId="2" xfId="0" applyFont="1" applyBorder="1" applyAlignment="1">
      <alignment horizontal="left" indent="1"/>
    </xf>
    <xf numFmtId="9" fontId="7" fillId="0" borderId="0" xfId="46" applyFont="1" applyFill="1" applyAlignment="1">
      <alignment horizontal="left" indent="1"/>
    </xf>
    <xf numFmtId="0" fontId="7" fillId="0" borderId="2" xfId="0" applyFont="1" applyBorder="1" applyAlignment="1">
      <alignment horizontal="right" vertical="top" wrapText="1"/>
    </xf>
    <xf numFmtId="169" fontId="7" fillId="0" borderId="0" xfId="0" applyNumberFormat="1" applyFont="1" applyAlignment="1">
      <alignment horizontal="left" indent="1"/>
    </xf>
    <xf numFmtId="0" fontId="7" fillId="0" borderId="0" xfId="46" applyNumberFormat="1" applyFont="1" applyFill="1"/>
    <xf numFmtId="10" fontId="7" fillId="0" borderId="0" xfId="46" applyNumberFormat="1" applyFont="1" applyFill="1"/>
    <xf numFmtId="9" fontId="7" fillId="0" borderId="0" xfId="0" applyNumberFormat="1" applyFont="1" applyAlignment="1">
      <alignment horizontal="left" vertical="center" indent="1"/>
    </xf>
    <xf numFmtId="9" fontId="7" fillId="0" borderId="2" xfId="0" applyNumberFormat="1" applyFont="1" applyBorder="1" applyAlignment="1">
      <alignment horizontal="left" vertical="center" indent="1"/>
    </xf>
    <xf numFmtId="168" fontId="12" fillId="0" borderId="0" xfId="17" applyNumberFormat="1" applyFont="1"/>
    <xf numFmtId="9" fontId="7" fillId="0" borderId="0" xfId="0" applyNumberFormat="1" applyFont="1"/>
    <xf numFmtId="0" fontId="20" fillId="0" borderId="0" xfId="48" applyFill="1" applyAlignment="1">
      <alignment horizontal="left" vertical="center" indent="1"/>
    </xf>
    <xf numFmtId="10" fontId="7" fillId="0" borderId="0" xfId="0" applyNumberFormat="1" applyFont="1" applyAlignment="1">
      <alignment horizontal="left" vertical="center" indent="1"/>
    </xf>
    <xf numFmtId="0" fontId="13" fillId="0" borderId="2" xfId="0" applyFont="1" applyBorder="1" applyAlignment="1">
      <alignment horizontal="left" vertical="top" wrapText="1" indent="1"/>
    </xf>
    <xf numFmtId="49" fontId="7" fillId="0" borderId="0" xfId="0" applyNumberFormat="1" applyFont="1" applyAlignment="1">
      <alignment horizontal="left" indent="1"/>
    </xf>
    <xf numFmtId="0" fontId="12" fillId="0" borderId="0" xfId="0" applyFont="1" applyAlignment="1">
      <alignment horizontal="center" vertical="center"/>
    </xf>
    <xf numFmtId="43" fontId="7" fillId="0" borderId="0" xfId="1" applyFont="1" applyFill="1" applyAlignment="1">
      <alignment horizontal="right"/>
    </xf>
    <xf numFmtId="168" fontId="12" fillId="0" borderId="0" xfId="46" applyNumberFormat="1" applyFont="1" applyFill="1" applyAlignment="1">
      <alignment horizontal="center" vertical="center"/>
    </xf>
    <xf numFmtId="172" fontId="7" fillId="0" borderId="0" xfId="1" applyNumberFormat="1" applyFont="1" applyFill="1" applyAlignment="1">
      <alignment horizontal="left" indent="3"/>
    </xf>
    <xf numFmtId="171" fontId="7" fillId="0" borderId="0" xfId="46" applyNumberFormat="1" applyFont="1" applyFill="1"/>
    <xf numFmtId="172" fontId="7" fillId="0" borderId="0" xfId="46" applyNumberFormat="1" applyFont="1" applyFill="1"/>
    <xf numFmtId="0" fontId="19" fillId="0" borderId="2" xfId="0" applyFont="1" applyBorder="1" applyAlignment="1">
      <alignment horizontal="right" vertical="top" wrapText="1"/>
    </xf>
    <xf numFmtId="10" fontId="7" fillId="0" borderId="2" xfId="0" applyNumberFormat="1" applyFont="1" applyBorder="1"/>
    <xf numFmtId="9" fontId="7" fillId="0" borderId="2" xfId="0" applyNumberFormat="1" applyFont="1" applyBorder="1"/>
    <xf numFmtId="0" fontId="7" fillId="0" borderId="1" xfId="0" applyFont="1" applyBorder="1" applyAlignment="1">
      <alignment horizontal="right" vertical="top" wrapText="1"/>
    </xf>
    <xf numFmtId="169" fontId="7" fillId="0" borderId="2" xfId="0" applyNumberFormat="1" applyFont="1" applyBorder="1" applyAlignment="1">
      <alignment horizontal="left" inden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245">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minor"/>
      </font>
      <numFmt numFmtId="172" formatCode="#,###;0"/>
      <fill>
        <patternFill patternType="solid">
          <fgColor indexed="64"/>
          <bgColor rgb="FFFFFF00"/>
        </patternFill>
      </fill>
      <alignment horizontal="right" vertical="bottom"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left" vertical="bottom" textRotation="0" wrapText="0" indent="3"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numFmt numFmtId="172"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indexed="65"/>
        </patternFill>
      </fill>
      <alignment horizontal="right" vertical="bottom" textRotation="0" wrapText="0" indent="0" justifyLastLine="0" shrinkToFit="0" readingOrder="0"/>
    </dxf>
    <dxf>
      <numFmt numFmtId="172"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left" vertical="bottom" textRotation="0" wrapText="0" relativeIndent="1" justifyLastLine="0" shrinkToFit="0" readingOrder="0"/>
    </dxf>
    <dxf>
      <numFmt numFmtId="172"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2" formatCode="#,###;0"/>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D9D9D9"/>
      <color rgb="FF31859C"/>
      <color rgb="FF205766"/>
      <color rgb="FF297083"/>
      <color rgb="FF56B1CA"/>
      <color rgb="FF1F497D"/>
      <color rgb="FF3CA2BE"/>
      <color rgb="FF0645AD"/>
      <color rgb="FFC179DB"/>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xdr:rowOff>
    </xdr:from>
    <xdr:to>
      <xdr:col>3</xdr:col>
      <xdr:colOff>276225</xdr:colOff>
      <xdr:row>1</xdr:row>
      <xdr:rowOff>438150</xdr:rowOff>
    </xdr:to>
    <xdr:pic>
      <xdr:nvPicPr>
        <xdr:cNvPr id="3" name="Picture 2" descr="Department for Energy Security and Net Zero Logo">
          <a:extLst>
            <a:ext uri="{FF2B5EF4-FFF2-40B4-BE49-F238E27FC236}">
              <a16:creationId xmlns:a16="http://schemas.microsoft.com/office/drawing/2014/main" id="{2800EA23-E595-BAAC-4C4F-6924AE8B5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9525"/>
          <a:ext cx="1466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244" dataDxfId="243">
  <tableColumns count="1">
    <tableColumn id="1" xr3:uid="{8280BF36-F093-48E2-9741-F1733A42109E}" name="Worksheet title" dataDxfId="24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2" totalsRowShown="0" headerRowDxfId="57" dataDxfId="55" totalsRowDxfId="53" headerRowBorderDxfId="56" tableBorderDxfId="54" dataCellStyle="Comma" totalsRowCellStyle="Comma">
  <tableColumns count="9">
    <tableColumn id="1" xr3:uid="{F23E5A81-D045-4655-A414-2DA26117A0AE}" name="Year" dataDxfId="52" totalsRowDxfId="51"/>
    <tableColumn id="2" xr3:uid="{296F985E-8E02-472F-9D7B-E171A45EE753}" name="Large suppliers_x000a_gas meters" dataDxfId="50" totalsRowDxfId="49" dataCellStyle="Comma"/>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5:I39"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2:I56"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1" totalsRowShown="0" headerRowDxfId="241" headerRowBorderDxfId="240">
  <tableColumns count="2">
    <tableColumn id="1" xr3:uid="{596DD9CD-5FFF-4C83-808B-A7B47047C49B}" name="Note Number" dataDxfId="239"/>
    <tableColumn id="2" xr3:uid="{670CA2D3-CE25-42A6-8EEF-1B32055D7790}" name="Description" dataDxfId="23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O53" totalsRowShown="0" headerRowDxfId="237" dataDxfId="235" headerRowBorderDxfId="236" tableBorderDxfId="234" dataCellStyle="Comma">
  <autoFilter ref="A8:O53"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1A7DB28-0334-460E-A722-62F1733B7CDD}" name="Quarter" dataDxfId="233" totalsRowDxfId="232"/>
    <tableColumn id="2" xr3:uid="{D5BCBF0D-7D17-4099-9DC5-4732BB6B6FC0}" name="Gas meters_x000a_smart in_x000a_smart mode" dataDxfId="231" totalsRowDxfId="230" dataCellStyle="Comma"/>
    <tableColumn id="3" xr3:uid="{A827FE6B-5FC7-4560-AC65-31357A38D77E}" name="Gas meters_x000a_smart in_x000a_traditional mode" dataDxfId="229" totalsRowDxfId="228" dataCellStyle="Comma"/>
    <tableColumn id="13" xr3:uid="{48ADF1D9-F427-429F-96BB-E722FCCC1F9A}" name="Gas meters_x000a_total smart meters" dataDxfId="227" totalsRowDxfId="226" dataCellStyle="Comma">
      <calculatedColumnFormula>Table1[[#This Row],[Gas meters
smart in
smart mode]]+Table1[[#This Row],[Gas meters
smart in
traditional mode]]</calculatedColumnFormula>
    </tableColumn>
    <tableColumn id="4" xr3:uid="{F65906F9-DBE9-43C3-A292-FBCCDAC2A4A5}" name="Gas meters_x000a_non-smart" dataDxfId="225" totalsRowDxfId="224" dataCellStyle="Comma"/>
    <tableColumn id="5" xr3:uid="{B52CAA73-A148-4C9A-B951-C64459397FFE}" name="Electricity _x000a_meters_x000a_smart in_x000a_smart _x000a_mode" dataDxfId="223" totalsRowDxfId="222" dataCellStyle="Comma"/>
    <tableColumn id="6" xr3:uid="{8ADE877C-6C3F-4340-9241-A2EDF6BB76BB}" name="Electricity _x000a_meters_x000a_smart in_x000a_traditional mode" dataDxfId="221" totalsRowDxfId="220" dataCellStyle="Comma"/>
    <tableColumn id="14" xr3:uid="{A9411563-9A31-49F4-BFA4-CD3BC6370367}" name="Electricity meters_x000a_total smart meters" dataDxfId="219" totalsRowDxfId="218" dataCellStyle="Comma">
      <calculatedColumnFormula>Table1[[#This Row],[Electricity 
meters
smart in
smart 
mode]]+Table1[[#This Row],[Electricity 
meters
smart in
traditional mode]]</calculatedColumnFormula>
    </tableColumn>
    <tableColumn id="7" xr3:uid="{3DED4356-EB06-4C77-BD5F-33825E3502A5}" name="Electricity meters_x000a_non-smart" dataDxfId="217" totalsRowDxfId="216" dataCellStyle="Comma"/>
    <tableColumn id="8" xr3:uid="{67CD2F3E-2449-4C91-ACEE-335DE08D34B8}" name="All meters_x000a_smart in_x000a_smart _x000a_mode" dataDxfId="215" totalsRowDxfId="214" dataCellStyle="Comma">
      <calculatedColumnFormula>D9+H9</calculatedColumnFormula>
    </tableColumn>
    <tableColumn id="9" xr3:uid="{BB0909E0-23C9-43B0-A9BF-761AD69CDC0A}" name="All meters_x000a_smart in_x000a_traditional _x000a_mode" dataDxfId="213" totalsRowDxfId="212" dataCellStyle="Comma">
      <calculatedColumnFormula>C9+G9</calculatedColumnFormula>
    </tableColumn>
    <tableColumn id="15" xr3:uid="{E25D7E17-6F7D-4ABE-9CBB-0D6CC03F036C}" name="All meters_x000a_total smart meters" dataDxfId="211" totalsRowDxfId="210" dataCellStyle="Comma">
      <calculatedColumnFormula>Table1[[#This Row],[Gas meters
total smart meters]]+Table1[[#This Row],[Electricity meters
total smart meters]]</calculatedColumnFormula>
    </tableColumn>
    <tableColumn id="10" xr3:uid="{749796D7-00DC-4ADD-B086-834919A7EC6F}" name="All meters_x000a_non-smart" dataDxfId="209" totalsRowDxfId="208" dataCellStyle="Comma">
      <calculatedColumnFormula>Table1[[#This Row],[Gas meters
non-smart]]+Table1[[#This Row],[Electricity meters
non-smart]]</calculatedColumnFormula>
    </tableColumn>
    <tableColumn id="11" xr3:uid="{94B7666D-EC19-4BA3-9D7D-BB896C383655}" name="Total" dataDxfId="207" totalsRowDxfId="206" dataCellStyle="Comma">
      <calculatedColumnFormula>SUM(J9:M9)</calculatedColumnFormula>
    </tableColumn>
    <tableColumn id="12" xr3:uid="{EF08A9E8-4488-46B0-AF2A-150C13F991A7}" name="Notes" dataDxfId="205" totalsRowDxfId="20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4" totalsRowShown="0" headerRowDxfId="203" dataDxfId="201" headerRowBorderDxfId="202" tableBorderDxfId="200" dataCellStyle="Comma">
  <tableColumns count="5">
    <tableColumn id="1" xr3:uid="{39F95AE2-85D0-4273-A8F5-66D3110FAAC1}" name="Quarter" dataDxfId="199"/>
    <tableColumn id="2" xr3:uid="{8ABE5064-248E-48B2-A6C0-A7D32A53F0B2}" name="Gas" dataDxfId="198" dataCellStyle="Comma"/>
    <tableColumn id="3" xr3:uid="{805F1EFF-C13D-49B8-A44C-63406D1725C0}" name="Electricity" dataDxfId="197" dataCellStyle="Comma"/>
    <tableColumn id="4" xr3:uid="{76F0BF7E-06EE-46E9-A837-103D2699A056}" name="All Smart Meters" dataDxfId="196" dataCellStyle="Comma"/>
    <tableColumn id="5" xr3:uid="{D194C990-D7B0-4D46-A97D-D5FBFE094B36}" name="Notes" dataDxfId="19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R53" totalsRowShown="0" headerRowDxfId="194" dataDxfId="192" headerRowBorderDxfId="193" tableBorderDxfId="191" dataCellStyle="Comma">
  <tableColumns count="18">
    <tableColumn id="1" xr3:uid="{72A69248-6EAF-451A-9D62-AA808BEF67D4}" name="Quarter" dataDxfId="190"/>
    <tableColumn id="2" xr3:uid="{FF0067AD-FAC8-4175-851C-FF2396129E89}" name="Gas meters_x000a_smart in_x000a_smart mode" dataDxfId="189" dataCellStyle="Comma"/>
    <tableColumn id="3" xr3:uid="{BB1DBC51-438B-4395-B1C3-9D574013D998}" name="Gas meters_x000a_smart in_x000a_traditional mode" dataDxfId="188" dataCellStyle="Comma"/>
    <tableColumn id="16" xr3:uid="{9C75B68A-DFDC-4F71-A053-6BA0916407FF}" name="Gas meters_x000a_total smart meters" dataDxfId="187" dataCellStyle="Comma">
      <calculatedColumnFormula>Table3[[#This Row],[Gas meters
smart in
smart mode]]+Table3[[#This Row],[Gas meters
smart in
traditional mode]]</calculatedColumnFormula>
    </tableColumn>
    <tableColumn id="4" xr3:uid="{E5BF05A2-A26A-4726-85B2-0076B58C098E}" name="Gas meters_x000a_advanced" dataDxfId="186" dataCellStyle="Comma"/>
    <tableColumn id="5" xr3:uid="{1657498A-6696-4777-9BF6-2AB4E9CC11D4}" name="Gas meters_x000a_non-smart" dataDxfId="185" dataCellStyle="Comma"/>
    <tableColumn id="6" xr3:uid="{860DB158-2563-4248-9B22-39F61F9EE8FE}" name="Electricity _x000a_meters_x000a_smart in_x000a_smart mode" dataDxfId="184" dataCellStyle="Comma"/>
    <tableColumn id="7" xr3:uid="{5D5005B8-4010-46DB-820E-3874E957BFA7}" name="Electricity _x000a_meters_x000a_smart in_x000a_traditional mode" dataDxfId="183" dataCellStyle="Comma"/>
    <tableColumn id="17" xr3:uid="{48BD5D54-5A64-443A-9B0D-B7F1C265767B}" name="Electricity meters_x000a_total smart meters" dataDxfId="182" dataCellStyle="Comma">
      <calculatedColumnFormula>Table3[[#This Row],[Electricity 
meters
smart in
smart mode]]+Table3[[#This Row],[Electricity 
meters
smart in
traditional mode]]</calculatedColumnFormula>
    </tableColumn>
    <tableColumn id="8" xr3:uid="{B475AFBB-A16F-4D51-80F7-B971B72665BB}" name="Electricity _x000a_meters_x000a_advanced" dataDxfId="181" dataCellStyle="Comma"/>
    <tableColumn id="9" xr3:uid="{17F71703-FDE1-4D14-9C12-829060630F21}" name="Electricity _x000a_meters_x000a_non-smart" dataDxfId="180" dataCellStyle="Comma"/>
    <tableColumn id="10" xr3:uid="{D806840F-73DD-48C4-882A-D050BC92C822}" name="All meters_x000a_smart in_x000a_smart mode" dataDxfId="179" dataCellStyle="Comma">
      <calculatedColumnFormula>B9+G9</calculatedColumnFormula>
    </tableColumn>
    <tableColumn id="11" xr3:uid="{694CB879-802B-4A75-938C-8027CC3047D3}" name="All meters_x000a_smart in_x000a_traditional mode" dataDxfId="178" dataCellStyle="Comma">
      <calculatedColumnFormula>C9+H9</calculatedColumnFormula>
    </tableColumn>
    <tableColumn id="18" xr3:uid="{721A68ED-4AA3-4B5D-8ACF-F9BA96FE3606}" name="All meters_x000a_total smart meters" dataDxfId="177" dataCellStyle="Comma">
      <calculatedColumnFormula>Table3[[#This Row],[Gas meters
total smart meters]]+Table3[[#This Row],[Electricity meters
total smart meters]]</calculatedColumnFormula>
    </tableColumn>
    <tableColumn id="12" xr3:uid="{6621F23D-8115-4CBB-A37B-F3A104DF1467}" name="All meters_x000a_advanced" dataDxfId="176" dataCellStyle="Comma">
      <calculatedColumnFormula>E9+J9</calculatedColumnFormula>
    </tableColumn>
    <tableColumn id="13" xr3:uid="{6E1A0368-43FD-425B-9195-C02D728377D5}" name="All meters_x000a_non-smart" dataDxfId="175" dataCellStyle="Comma">
      <calculatedColumnFormula>F9+K9</calculatedColumnFormula>
    </tableColumn>
    <tableColumn id="14" xr3:uid="{9A7C46ED-B15C-4A52-8914-33EEA6010C61}" name="Total" dataDxfId="174" dataCellStyle="Comma">
      <calculatedColumnFormula>N9+O9+P9</calculatedColumnFormula>
    </tableColumn>
    <tableColumn id="15" xr3:uid="{4D8D7306-C56F-40F6-A129-145A2BEBF466}" name="Notes" dataDxfId="17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4" totalsRowShown="0" headerRowDxfId="172" dataDxfId="170" headerRowBorderDxfId="171" tableBorderDxfId="169" dataCellStyle="Comma">
  <tableColumns count="9">
    <tableColumn id="1" xr3:uid="{7162ECC4-93D7-44C8-A0B5-B75E54743B6E}" name="Quarter" dataDxfId="168"/>
    <tableColumn id="2" xr3:uid="{CB220450-EA34-4D8F-B1C6-1C828A4F2490}" name="Gas_x000a_smart _x000a_meters" dataDxfId="167" dataCellStyle="Comma"/>
    <tableColumn id="3" xr3:uid="{25DF681B-F7CE-4C7A-9C1C-998D68ED3742}" name="Gas_x000a_advanced _x000a_meters" dataDxfId="166" dataCellStyle="Comma"/>
    <tableColumn id="4" xr3:uid="{539C0A8A-F463-4C52-9FF8-F5ED615DF2C5}" name="Electricity_x000a_smart _x000a_meters" dataDxfId="165" dataCellStyle="Comma"/>
    <tableColumn id="5" xr3:uid="{83D6B843-29E1-4FEB-B14B-06A0F9D375EC}" name="Electricity_x000a_advanced _x000a_meters" dataDxfId="164" dataCellStyle="Comma"/>
    <tableColumn id="6" xr3:uid="{F610BE95-5FC7-4CD0-B242-9B0D94A2BE67}" name="All _x000a_smart _x000a_meters" dataDxfId="163" dataCellStyle="Comma"/>
    <tableColumn id="7" xr3:uid="{8B9F9266-226B-4244-8FE4-F2AB86035F5F}" name="All _x000a_advanced _x000a_meters" dataDxfId="162" dataCellStyle="Comma"/>
    <tableColumn id="8" xr3:uid="{E9FAEA99-4F06-43B2-BDD5-F7920B5FE62B}" name="All _x000a_smart and _x000a_advanced _x000a_meters" dataDxfId="161" dataCellStyle="Comma"/>
    <tableColumn id="9" xr3:uid="{7FFA5A90-7625-4F0D-A7EA-52789EEA36D4}" name="Notes" dataDxfId="16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W21" totalsRowShown="0" headerRowDxfId="159" dataDxfId="157" headerRowBorderDxfId="158" tableBorderDxfId="156" dataCellStyle="Comma">
  <autoFilter ref="A9:W21"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574BCB2A-346A-46FB-8087-3425836B95F7}" name="Year" dataDxfId="155"/>
    <tableColumn id="2" xr3:uid="{C05CE86D-0AA7-4471-838F-BC4DA009BF99}" name="Large suppliers_x000a_gas meters_x000a_smart in_x000a_smart mode" dataDxfId="154" dataCellStyle="Comma"/>
    <tableColumn id="3" xr3:uid="{77EC67FE-43B6-4939-A2DA-0A02E2779FDB}" name="Large suppliers_x000a_gas meters_x000a_smart in_x000a_traditional mode" dataDxfId="153" dataCellStyle="Comma"/>
    <tableColumn id="22" xr3:uid="{8A23CE10-2F8D-48B2-97EA-DD82DB51D87D}" name="Large suppliers_x000a_gas meters_x000a_total smart" dataDxfId="152" dataCellStyle="Comma">
      <calculatedColumnFormula>Table5a[[#This Row],[Large suppliers
gas meters
smart in
smart mode]]+Table5a[[#This Row],[Large suppliers
gas meters
smart in
traditional mode]]</calculatedColumnFormula>
    </tableColumn>
    <tableColumn id="4" xr3:uid="{AA884EDD-E21E-425F-B204-EBAF77B8BCBA}" name="Large suppliers_x000a_gas meters_x000a_non-smart" dataDxfId="151" dataCellStyle="Comma"/>
    <tableColumn id="5" xr3:uid="{FC34982B-E4D9-4798-AE3F-80F44BC96933}" name="Large_x000a_suppliers_x000a_electricity _x000a_meters_x000a_smart in_x000a_smart mode" dataDxfId="150" dataCellStyle="Comma"/>
    <tableColumn id="6" xr3:uid="{C301DBB8-E35E-4803-BE6B-CCC588319BE5}" name="Large _x000a_suppliers_x000a_electricity _x000a_meters_x000a_smart in_x000a_traditional mode" dataDxfId="149" dataCellStyle="Comma"/>
    <tableColumn id="23" xr3:uid="{F97F8290-0B4A-4637-8161-06774D80F85C}" name="Large suppliers_x000a_electricity meters_x000a_total smart" dataDxfId="148" dataCellStyle="Comma">
      <calculatedColumnFormula>Table5a[[#This Row],[Large
suppliers
electricity 
meters
smart in
smart mode]]+Table5a[[#This Row],[Large 
suppliers
electricity 
meters
smart in
traditional mode]]</calculatedColumnFormula>
    </tableColumn>
    <tableColumn id="7" xr3:uid="{B0E456FD-0466-4090-A366-F42293E3FA98}" name="Large_x000a_suppliers_x000a_electricity meters_x000a_non-smart" dataDxfId="147" dataCellStyle="Comma"/>
    <tableColumn id="8" xr3:uid="{34709369-ED22-482A-BCAE-A1A15DDC56B8}" name="Small_x000a_suppliers_x000a_gas meters_x000a_smart in_x000a_smart mode" dataDxfId="146" dataCellStyle="Comma"/>
    <tableColumn id="9" xr3:uid="{D6DF2154-3344-4E59-9E7C-BC672A0C95C1}" name="Small_x000a_suppliers_x000a_gas meters_x000a_smart in_x000a_traditional mode" dataDxfId="145" dataCellStyle="Comma"/>
    <tableColumn id="24" xr3:uid="{0ED1D60F-DC4E-48AD-8B29-12A7424B9FC9}" name="Small suppliers_x000a_gas meters_x000a_total smart" dataDxfId="144" dataCellStyle="Comma">
      <calculatedColumnFormula>Table5a[[#This Row],[Small
suppliers
gas meters
smart in
smart mode]]+Table5a[[#This Row],[Small
suppliers
gas meters
smart in
traditional mode]]</calculatedColumnFormula>
    </tableColumn>
    <tableColumn id="10" xr3:uid="{4EF1EFE2-DE2C-4DE3-8D4F-5A28547CAD5C}" name="Small_x000a_suppliers_x000a_gas meters_x000a_non-smart" dataDxfId="143" dataCellStyle="Comma"/>
    <tableColumn id="11" xr3:uid="{A64FE87C-0D6D-4534-BA73-CBEEA229A4E8}" name="Small_x000a_suppliers_x000a_electricity _x000a_meters_x000a_smart in_x000a_smart mode" dataDxfId="142" dataCellStyle="Comma"/>
    <tableColumn id="12" xr3:uid="{CCCC95DF-31A5-4E4A-AE51-F204B19D9A94}" name="Small _x000a_suppliers_x000a_electricity _x000a_meters_x000a_smart in_x000a_traditional mode" dataDxfId="141" dataCellStyle="Comma"/>
    <tableColumn id="25" xr3:uid="{EA39A75A-9D15-4520-97F9-37FDEB3A08DD}" name="Small suppliers_x000a_electricity meters_x000a_total smart" dataDxfId="140" dataCellStyle="Comma">
      <calculatedColumnFormula>Table5a[[#This Row],[Small
suppliers
electricity 
meters
smart in
smart mode]]+Table5a[[#This Row],[Small 
suppliers
electricity 
meters
smart in
traditional mode]]</calculatedColumnFormula>
    </tableColumn>
    <tableColumn id="13" xr3:uid="{6647DD76-2C40-4327-97BA-13C9E62C3C72}" name="Small _x000a_suppliers_x000a_electricity meters_x000a_non-smart" dataDxfId="139" dataCellStyle="Comma"/>
    <tableColumn id="14" xr3:uid="{D54D8279-409C-4216-B87D-25B84C81A143}" name="All _x000a_suppliers_x000a_smart in_x000a_smart mode" dataDxfId="138" dataCellStyle="Comma">
      <calculatedColumnFormula>SUM(B10,F10,J10,N10)</calculatedColumnFormula>
    </tableColumn>
    <tableColumn id="15" xr3:uid="{0D7EB790-DCCC-42CC-862F-269A116290A5}" name="All _x000a_suppliers_x000a_smart in_x000a_traditional mode" dataDxfId="137" dataCellStyle="Comma">
      <calculatedColumnFormula>SUM(C10,G10,K10,O10)</calculatedColumnFormula>
    </tableColumn>
    <tableColumn id="26" xr3:uid="{536C941F-69EF-423C-865F-80DD738F7747}" name="All suppliers_x000a_total smart meters" dataDxfId="136" dataCellStyle="Comma">
      <calculatedColumnFormula>SUM(Table5a[[#This Row],[Large suppliers
gas meters
total smart]],Table5a[[#This Row],[Large suppliers
electricity meters
total smart]],Table5a[[#This Row],[Small suppliers
gas meters
total smart]],Table5a[[#This Row],[Small suppliers
electricity meters
total smart]])</calculatedColumnFormula>
    </tableColumn>
    <tableColumn id="16" xr3:uid="{F8A76BC1-8820-4761-BF60-4C44A549A089}" name="All _x000a_suppliers_x000a_non-smart" dataDxfId="135" dataCellStyle="Comma">
      <calculatedColumnFormula>SUM(E10,I10,M10,Q10)</calculatedColumnFormula>
    </tableColumn>
    <tableColumn id="17" xr3:uid="{C297BB40-25DA-4C6B-BD5A-D3E900B83E98}" name="Total" dataDxfId="134" dataCellStyle="Comma">
      <calculatedColumnFormula>Table5a[[#This Row],[All suppliers
total smart meters]]+Table5a[[#This Row],[All 
suppliers
non-smart]]</calculatedColumnFormula>
    </tableColumn>
    <tableColumn id="18" xr3:uid="{665142D8-55BC-41F3-A498-6700891CAC5A}" name="Notes" dataDxfId="133"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4:W36" totalsRowShown="0" headerRowDxfId="132" dataDxfId="130" headerRowBorderDxfId="131" tableBorderDxfId="129" dataCellStyle="Comma">
  <autoFilter ref="A24:W36"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D08842FB-F04A-49B9-8110-ABA7A41CDD61}" name="Year" dataDxfId="128" totalsRowDxfId="127"/>
    <tableColumn id="2" xr3:uid="{A09952AB-A194-42C6-9D7C-32D562EC8B62}" name="Large suppliers_x000a_gas meters_x000a_smart and advanced" dataDxfId="126" totalsRowDxfId="125" dataCellStyle="Comma" totalsRowCellStyle="Comma"/>
    <tableColumn id="3" xr3:uid="{390E5238-7DBA-4D1E-B8DB-FFCA706AEE7E}" name="Large suppliers_x000a_gas meters_x000a_smart in_x000a_traditional mode" dataDxfId="124" totalsRowDxfId="123" dataCellStyle="Comma" totalsRowCellStyle="Comma"/>
    <tableColumn id="19" xr3:uid="{2BF5A179-793D-41B9-A1A5-01272E1B516A}" name="Large suppliers_x000a_gas meters_x000a_total smart and advanced" dataDxfId="122" dataCellStyle="Comma" totalsRowCellStyle="Comma">
      <calculatedColumnFormula>Table5b[[#This Row],[Large suppliers
gas meters
smart and advanced]]+Table5b[[#This Row],[Large suppliers
gas meters
smart in
traditional mode]]</calculatedColumnFormula>
    </tableColumn>
    <tableColumn id="4" xr3:uid="{8263D705-463C-4C04-A751-39E181C78B48}" name="Large suppliers_x000a_gas meters_x000a_non-smart" dataDxfId="121" totalsRowDxfId="120" dataCellStyle="Comma" totalsRowCellStyle="Comma"/>
    <tableColumn id="5" xr3:uid="{4E1F87E9-C3B9-4F65-BC54-24BDBDB555A7}" name="Large suppliers_x000a_electricity meters_x000a_smart and advanced" dataDxfId="119" totalsRowDxfId="118" dataCellStyle="Comma" totalsRowCellStyle="Comma"/>
    <tableColumn id="6" xr3:uid="{D9929854-CE99-447E-8B23-4984197CA72B}" name="Large suppliers_x000a_electricity meters_x000a_smart in_x000a_traditional mode" dataDxfId="117" totalsRowDxfId="116" dataCellStyle="Comma" totalsRowCellStyle="Comma"/>
    <tableColumn id="20" xr3:uid="{2B5C812F-9096-416E-B66E-40A019E3CC75}" name="Large suppliers_x000a_electricity meters_x000a_total smart and advanced" dataDxfId="115" dataCellStyle="Comma" totalsRowCellStyle="Comma">
      <calculatedColumnFormula>Table5b[[#This Row],[Large suppliers
electricity meters
smart and advanced]]+Table5b[[#This Row],[Large suppliers
electricity meters
smart in
traditional mode]]</calculatedColumnFormula>
    </tableColumn>
    <tableColumn id="7" xr3:uid="{4B39E8D1-B182-46E2-9B24-BB7FBCB71774}" name="Large _x000a_suppliers_x000a_electricity meters_x000a_non-smart" dataDxfId="114" totalsRowDxfId="113" dataCellStyle="Comma" totalsRowCellStyle="Comma"/>
    <tableColumn id="8" xr3:uid="{A991E696-D933-4DB2-AABE-C1411EDE3B56}" name="Small_x000a_suppliers_x000a_gas meters_x000a_smart and_x000a_advanced" dataDxfId="112" totalsRowDxfId="111" dataCellStyle="Comma" totalsRowCellStyle="Comma"/>
    <tableColumn id="9" xr3:uid="{7F8F05EF-76C0-4F97-8F09-25BD9CB217B8}" name="Small suppliers_x000a_gas meters_x000a_smart in_x000a_traditional mode" dataDxfId="110" totalsRowDxfId="109" dataCellStyle="Comma" totalsRowCellStyle="Comma"/>
    <tableColumn id="21" xr3:uid="{9F9AA476-A5E0-4D1A-896B-A3556CB38C02}" name="Small suppliers_x000a_gas meters_x000a_total smart and advanced" dataDxfId="108" totalsRowDxfId="107" dataCellStyle="Comma" totalsRowCellStyle="Comma">
      <calculatedColumnFormula>Table5b[[#This Row],[Small
suppliers
gas meters
smart and
advanced]]+Table5b[[#This Row],[Small suppliers
gas meters
smart in
traditional mode]]</calculatedColumnFormula>
    </tableColumn>
    <tableColumn id="10" xr3:uid="{E9257DEB-D4A7-4350-AD63-BCD5E988B4EA}" name="Small suppliers_x000a_gas meters_x000a_non-smart" dataDxfId="106" totalsRowDxfId="105" dataCellStyle="Comma" totalsRowCellStyle="Comma"/>
    <tableColumn id="11" xr3:uid="{E8FB5735-5863-4BAD-8315-E150D6F82EDA}" name="Small suppliers_x000a_electricity meters_x000a_smart and advanced" dataDxfId="104" totalsRowDxfId="103" dataCellStyle="Comma" totalsRowCellStyle="Comma"/>
    <tableColumn id="12" xr3:uid="{F9C43BE8-0EA0-4079-8B0C-46AFA5336CC6}" name="Small suppliers_x000a_electricity meters_x000a_smart in_x000a_traditional mode" dataDxfId="102" totalsRowDxfId="101" dataCellStyle="Comma" totalsRowCellStyle="Comma"/>
    <tableColumn id="22" xr3:uid="{97FC6809-FA95-4E45-8D77-29349CC113B0}" name="Small_x000a_suppliers_x000a_electricity meters_x000a_smart and_x000a_advanced" dataDxfId="100" totalsRowDxfId="99" dataCellStyle="Comma" totalsRowCellStyle="Comma">
      <calculatedColumnFormula>Table5b[[#This Row],[Small suppliers
electricity meters
smart and advanced]]+Table5b[[#This Row],[Small suppliers
electricity meters
smart in
traditional mode]]</calculatedColumnFormula>
    </tableColumn>
    <tableColumn id="13" xr3:uid="{A7459C7B-7789-4DFC-AB27-DDC6A02A9F02}" name="Small suppliers_x000a_electricity meters_x000a_non-smart" dataDxfId="98" totalsRowDxfId="97" dataCellStyle="Comma" totalsRowCellStyle="Comma"/>
    <tableColumn id="14" xr3:uid="{5C94B45A-DE3C-4423-AE4F-DC234FF5CAC2}" name="All suppliers_x000a_smart and _x000a_advanced" dataDxfId="96" totalsRowDxfId="95" dataCellStyle="Comma">
      <calculatedColumnFormula>Table5b[[#This Row],[Large suppliers
gas meters
smart and advanced]]+Table5b[[#This Row],[Large suppliers
electricity meters
smart and advanced]]+Table5b[[#This Row],[Small
suppliers
gas meters
smart and
advanced]]+Table5b[[#This Row],[Small suppliers
electricity meters
smart and advanced]]</calculatedColumnFormula>
    </tableColumn>
    <tableColumn id="15" xr3:uid="{551956B4-88FA-4E39-B879-4A3281005973}" name="All suppliers_x000a_smart in_x000a_traditional mode" dataDxfId="94" totalsRowDxfId="93" dataCellStyle="Comma" totalsRowCellStyle="Comma">
      <calculatedColumnFormula>SUM(C25,G25,K25,O25)</calculatedColumnFormula>
    </tableColumn>
    <tableColumn id="23" xr3:uid="{336CD05A-07DC-4B35-B98F-B02E764ABB3B}" name="All suppliers_x000a_total smart and _x000a_advanced" dataDxfId="92" totalsRowDxfId="91" dataCellStyle="Comma" totalsRowCellStyle="Comma">
      <calculatedColumnFormula>SUM(Table5b[[#This Row],[Large suppliers
gas meters
total smart and advanced]],Table5b[[#This Row],[Large suppliers
electricity meters
total smart and advanced]],Table5b[[#This Row],[Small suppliers
gas meters
total smart and advanced]],Table5b[[#This Row],[Small
suppliers
electricity meters
smart and
advanced]])</calculatedColumnFormula>
    </tableColumn>
    <tableColumn id="16" xr3:uid="{9198403C-3BBC-41BB-A714-E78804405083}" name="All suppliers_x000a_non-smart" dataDxfId="90" totalsRowDxfId="89" dataCellStyle="Comma" totalsRowCellStyle="Comma">
      <calculatedColumnFormula>SUM(E25,I25,M25,Q25)</calculatedColumnFormula>
    </tableColumn>
    <tableColumn id="17" xr3:uid="{DA7E08E5-CA9D-44A3-96C6-2ADD51FEF3F5}" name="Total" dataDxfId="88" totalsRowDxfId="87" dataCellStyle="Comma" totalsRowCellStyle="Comma">
      <calculatedColumnFormula>SUM(T25:U25)</calculatedColumnFormula>
    </tableColumn>
    <tableColumn id="18" xr3:uid="{E820B05A-887D-4355-9542-94999A926E5C}" name="Notes" dataDxfId="86" totalsRowDxfId="85" dataCellStyle="Comma" totalsRow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9:W51" totalsRowShown="0" headerRowDxfId="84" dataDxfId="82" headerRowBorderDxfId="83" tableBorderDxfId="81" dataCellStyle="Comma">
  <autoFilter ref="A39:W51"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6E08C58A-6286-467C-B787-DC8EA75F53E7}" name="Year" dataDxfId="80"/>
    <tableColumn id="2" xr3:uid="{F009C475-BF22-4812-B192-2B47D1118E40}" name="Large suppliers_x000a_gas meters_x000a_smart and advanced" dataDxfId="79" dataCellStyle="Comma">
      <calculatedColumnFormula>B10+B25</calculatedColumnFormula>
    </tableColumn>
    <tableColumn id="3" xr3:uid="{5E229ED9-DF97-4AD4-BEDE-C1E3A6A6F373}" name="Large suppliers_x000a_gas meters_x000a_smart in_x000a_traditional mode" dataDxfId="78" dataCellStyle="Comma">
      <calculatedColumnFormula>C10+C25</calculatedColumnFormula>
    </tableColumn>
    <tableColumn id="19" xr3:uid="{0540CCF9-24C4-478E-A710-D23E0D948F22}" name="Large suppliers_x000a_gas meters_x000a_total smart and advanced" dataDxfId="77" dataCellStyle="Comma">
      <calculatedColumnFormula>D10+D25</calculatedColumnFormula>
    </tableColumn>
    <tableColumn id="4" xr3:uid="{6DB4D9C3-C67A-47DA-8F29-05895A618D9A}" name="Large suppliers_x000a_gas meters_x000a_non-smart" dataDxfId="76" dataCellStyle="Comma">
      <calculatedColumnFormula>E10+E25</calculatedColumnFormula>
    </tableColumn>
    <tableColumn id="5" xr3:uid="{C02C6268-C258-49D7-89BA-C4AB8BE2C68B}" name="Large suppliers_x000a_electricity meters_x000a_smart and advanced" dataDxfId="75" dataCellStyle="Comma">
      <calculatedColumnFormula>F10+F25</calculatedColumnFormula>
    </tableColumn>
    <tableColumn id="6" xr3:uid="{A995B927-C85B-41D6-8800-DDBAA53A8ACF}" name="Large suppliers_x000a_electricity meters_x000a_smart in_x000a_traditional mode" dataDxfId="74" dataCellStyle="Comma">
      <calculatedColumnFormula>G10+G25</calculatedColumnFormula>
    </tableColumn>
    <tableColumn id="20" xr3:uid="{DE21283C-A8C1-4467-9984-0A730EEBB61E}" name="Large suppliers_x000a_electricity meters_x000a_total smart and advanced" dataDxfId="73" dataCellStyle="Comma">
      <calculatedColumnFormula>H10+H25</calculatedColumnFormula>
    </tableColumn>
    <tableColumn id="7" xr3:uid="{8CAC19EE-B058-4C75-9280-8F8F80D1ECA3}" name="Large suppliers_x000a_electricity meters_x000a_non-smart" dataDxfId="72" dataCellStyle="Comma">
      <calculatedColumnFormula>I10+I25</calculatedColumnFormula>
    </tableColumn>
    <tableColumn id="8" xr3:uid="{84C70D45-3B39-4D70-BFF3-B40053093561}" name="Small _x000a_suppliers_x000a_gas meters_x000a_smart and _x000a_advanced" dataDxfId="71" dataCellStyle="Comma">
      <calculatedColumnFormula>J10+J25</calculatedColumnFormula>
    </tableColumn>
    <tableColumn id="9" xr3:uid="{E6C0C03E-7FFA-4C12-9006-0338DE66F233}" name="Small suppliers_x000a_gas meters_x000a_smart in_x000a_traditional mode" dataDxfId="70" dataCellStyle="Comma">
      <calculatedColumnFormula>K10+K25</calculatedColumnFormula>
    </tableColumn>
    <tableColumn id="22" xr3:uid="{2CC236E5-2061-48B9-865C-D40EC76BF9EA}" name="Small suppliers_x000a_gas meters_x000a_total smart and advanced" dataDxfId="69" dataCellStyle="Comma">
      <calculatedColumnFormula>L10+L25</calculatedColumnFormula>
    </tableColumn>
    <tableColumn id="10" xr3:uid="{7F184059-1B83-4321-B162-F5E9E27A470B}" name="Small suppliers_x000a_gas meters_x000a_non-smart" dataDxfId="68" dataCellStyle="Comma">
      <calculatedColumnFormula>M10+M25</calculatedColumnFormula>
    </tableColumn>
    <tableColumn id="11" xr3:uid="{56307E3B-3C98-41FC-A0AA-2E65E1126668}" name="Small suppliers_x000a_electricity meters_x000a_smart and advanced" dataDxfId="67" dataCellStyle="Comma">
      <calculatedColumnFormula>N10+N25</calculatedColumnFormula>
    </tableColumn>
    <tableColumn id="12" xr3:uid="{46DA4028-88F0-4ACC-A326-4CA4CC8582E0}" name="Small suppliers_x000a_electricity meters_x000a_smart in_x000a_traditional mode" dataDxfId="66" dataCellStyle="Comma">
      <calculatedColumnFormula>O10+O25</calculatedColumnFormula>
    </tableColumn>
    <tableColumn id="23" xr3:uid="{394E829F-D83B-4DDF-B0DB-DFC3FBA3F1F2}" name="Small_x000a_suppliers_x000a_electricity meters_x000a_smart and_x000a_advanced" dataDxfId="65" dataCellStyle="Comma">
      <calculatedColumnFormula>P10+P25</calculatedColumnFormula>
    </tableColumn>
    <tableColumn id="13" xr3:uid="{3D0B84DA-585C-438E-9C68-DC1AC966F85A}" name="Small suppliers_x000a_electricity meters_x000a_non-smart" dataDxfId="64" dataCellStyle="Comma">
      <calculatedColumnFormula>Q10+Q25</calculatedColumnFormula>
    </tableColumn>
    <tableColumn id="14" xr3:uid="{D0AE50AC-B271-4C39-A8A3-F0802E17B7F5}" name="All suppliers_x000a_smart and _x000a_advanced" dataDxfId="63" dataCellStyle="Comma">
      <calculatedColumnFormula>R10+R25</calculatedColumnFormula>
    </tableColumn>
    <tableColumn id="15" xr3:uid="{E13479CE-2950-4F42-80E4-D5D56B3A1B6A}" name="All suppliers_x000a_smart in_x000a_traditional mode" dataDxfId="62" dataCellStyle="Comma">
      <calculatedColumnFormula>S10+S25</calculatedColumnFormula>
    </tableColumn>
    <tableColumn id="24" xr3:uid="{D772084C-7D22-4555-9E93-1831261F1808}" name="All suppliers_x000a_total smart and _x000a_advanced" dataDxfId="61" dataCellStyle="Comma">
      <calculatedColumnFormula>T10+T25</calculatedColumnFormula>
    </tableColumn>
    <tableColumn id="16" xr3:uid="{21420661-4B0E-45EE-9CD5-DC5C1C5085CF}" name="All suppliers_x000a_non-smart" dataDxfId="60" dataCellStyle="Comma">
      <calculatedColumnFormula>U10+U25</calculatedColumnFormula>
    </tableColumn>
    <tableColumn id="17" xr3:uid="{6AFC170C-46DD-4976-8639-4F0FBD587452}" name="Total" dataDxfId="59" dataCellStyle="Comma">
      <calculatedColumnFormula>V10+V25</calculatedColumnFormula>
    </tableColumn>
    <tableColumn id="18" xr3:uid="{0F0C5E91-659D-4ADB-9082-6FFBBE10D085}" name="Notes" dataDxfId="58"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energysecurity.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energysecurity.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6" customWidth="1"/>
    <col min="2" max="16384" width="9.1796875" style="6"/>
  </cols>
  <sheetData>
    <row r="1" spans="1:3" ht="43.5" customHeight="1" x14ac:dyDescent="0.35">
      <c r="A1" s="68" t="s">
        <v>0</v>
      </c>
    </row>
    <row r="2" spans="1:3" ht="77.25" customHeight="1" x14ac:dyDescent="0.55000000000000004">
      <c r="A2" s="69" t="s">
        <v>1</v>
      </c>
      <c r="C2" s="70"/>
    </row>
    <row r="3" spans="1:3" ht="18" customHeight="1" x14ac:dyDescent="0.35">
      <c r="A3" s="39" t="s">
        <v>2</v>
      </c>
    </row>
    <row r="4" spans="1:3" ht="25.5" customHeight="1" x14ac:dyDescent="0.5">
      <c r="A4" s="71" t="s">
        <v>3</v>
      </c>
    </row>
    <row r="5" spans="1:3" ht="15" customHeight="1" x14ac:dyDescent="0.35">
      <c r="A5" s="72" t="s">
        <v>4</v>
      </c>
    </row>
    <row r="6" spans="1:3" ht="15" customHeight="1" x14ac:dyDescent="0.35">
      <c r="A6" s="72" t="s">
        <v>5</v>
      </c>
    </row>
    <row r="7" spans="1:3" s="74" customFormat="1" ht="25.5" customHeight="1" x14ac:dyDescent="0.55000000000000004">
      <c r="A7" s="73" t="s">
        <v>6</v>
      </c>
    </row>
    <row r="8" spans="1:3" ht="219" customHeight="1" x14ac:dyDescent="0.35">
      <c r="A8" s="75" t="s">
        <v>7</v>
      </c>
    </row>
    <row r="9" spans="1:3" s="76" customFormat="1" ht="25.5" customHeight="1" x14ac:dyDescent="0.5">
      <c r="A9" s="73" t="s">
        <v>8</v>
      </c>
    </row>
    <row r="10" spans="1:3" s="76" customFormat="1" ht="15" customHeight="1" x14ac:dyDescent="0.5">
      <c r="A10" s="77" t="s">
        <v>9</v>
      </c>
    </row>
    <row r="11" spans="1:3" ht="14.5" x14ac:dyDescent="0.35">
      <c r="A11" s="78" t="s">
        <v>10</v>
      </c>
    </row>
    <row r="12" spans="1:3" ht="15" customHeight="1" x14ac:dyDescent="0.35">
      <c r="A12" s="67" t="s">
        <v>11</v>
      </c>
    </row>
    <row r="13" spans="1:3" ht="15" customHeight="1" x14ac:dyDescent="0.35">
      <c r="A13" s="79" t="s">
        <v>12</v>
      </c>
    </row>
    <row r="14" spans="1:3" ht="15" customHeight="1" x14ac:dyDescent="0.35">
      <c r="A14" s="80" t="s">
        <v>13</v>
      </c>
    </row>
    <row r="15" spans="1:3" ht="15" customHeight="1" x14ac:dyDescent="0.35">
      <c r="A15" s="81" t="s">
        <v>14</v>
      </c>
    </row>
    <row r="16" spans="1:3" ht="15" customHeight="1" x14ac:dyDescent="0.35">
      <c r="A16" s="82" t="s">
        <v>15</v>
      </c>
    </row>
    <row r="17" s="6" customFormat="1" ht="15" customHeight="1" x14ac:dyDescent="0.35"/>
    <row r="18" s="6" customFormat="1" ht="15" customHeight="1" x14ac:dyDescent="0.35"/>
    <row r="19" s="6" customFormat="1" ht="15" customHeight="1" x14ac:dyDescent="0.35"/>
    <row r="20" s="6" customFormat="1" ht="15" customHeight="1" x14ac:dyDescent="0.35"/>
    <row r="21" s="6" customFormat="1" ht="15" customHeight="1" x14ac:dyDescent="0.35"/>
    <row r="22" s="6" customFormat="1" ht="15" customHeight="1" x14ac:dyDescent="0.35"/>
    <row r="23" s="6" customFormat="1" ht="15" customHeight="1" x14ac:dyDescent="0.35"/>
    <row r="24" s="6" customFormat="1" ht="15" customHeight="1" x14ac:dyDescent="0.35"/>
    <row r="25" s="6" customFormat="1" ht="15" customHeight="1" x14ac:dyDescent="0.35"/>
    <row r="26" s="6" customFormat="1" ht="15" customHeight="1" x14ac:dyDescent="0.35"/>
    <row r="27" s="6" customFormat="1" ht="15" customHeight="1" x14ac:dyDescent="0.35"/>
    <row r="28" s="6" customFormat="1" ht="15" customHeight="1" x14ac:dyDescent="0.35"/>
    <row r="29" s="6" customFormat="1" ht="15" customHeight="1" x14ac:dyDescent="0.35"/>
    <row r="30" s="6" customFormat="1" ht="15" customHeight="1" x14ac:dyDescent="0.35"/>
    <row r="31" s="6" customFormat="1" ht="15" customHeight="1" x14ac:dyDescent="0.35"/>
    <row r="32" s="6" customFormat="1" ht="15" customHeight="1" x14ac:dyDescent="0.35"/>
    <row r="33" s="6" customFormat="1" ht="15" customHeight="1" x14ac:dyDescent="0.35"/>
    <row r="34" s="6" customFormat="1" ht="15" customHeight="1" x14ac:dyDescent="0.35"/>
    <row r="35" s="6" customFormat="1" ht="15" customHeight="1" x14ac:dyDescent="0.35"/>
    <row r="36" s="6" customFormat="1" ht="15" customHeight="1" x14ac:dyDescent="0.35"/>
    <row r="37" s="6" customFormat="1" ht="15" customHeight="1" x14ac:dyDescent="0.35"/>
    <row r="38" s="6" customFormat="1" ht="15" customHeight="1" x14ac:dyDescent="0.35"/>
    <row r="39" s="6" customFormat="1"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scale="85"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100" style="6" customWidth="1"/>
    <col min="2" max="2" width="79.7265625" style="6" customWidth="1"/>
    <col min="3" max="3" width="9.7265625" style="6" customWidth="1"/>
    <col min="4" max="4" width="20" style="6" customWidth="1"/>
    <col min="5" max="13" width="9.7265625" style="6" customWidth="1"/>
    <col min="14" max="14" width="9.1796875" style="6" customWidth="1"/>
    <col min="15" max="16384" width="9.1796875" style="6"/>
  </cols>
  <sheetData>
    <row r="1" spans="1:11" ht="43.5" customHeight="1" x14ac:dyDescent="0.35">
      <c r="A1" s="24" t="s">
        <v>16</v>
      </c>
    </row>
    <row r="2" spans="1:11" ht="17.149999999999999" customHeight="1" x14ac:dyDescent="0.35">
      <c r="A2" s="25" t="s">
        <v>17</v>
      </c>
    </row>
    <row r="3" spans="1:11" ht="25.5" customHeight="1" x14ac:dyDescent="0.35">
      <c r="A3" s="28" t="s">
        <v>18</v>
      </c>
    </row>
    <row r="4" spans="1:11" s="43" customFormat="1" ht="17.149999999999999" customHeight="1" x14ac:dyDescent="0.35">
      <c r="A4" s="40" t="s">
        <v>19</v>
      </c>
      <c r="B4" s="41"/>
      <c r="C4" s="42"/>
      <c r="D4" s="42"/>
    </row>
    <row r="5" spans="1:11" s="43" customFormat="1" ht="17.149999999999999" customHeight="1" x14ac:dyDescent="0.35">
      <c r="A5" s="44" t="s">
        <v>20</v>
      </c>
      <c r="B5" s="41"/>
      <c r="C5" s="42"/>
      <c r="D5" s="42"/>
    </row>
    <row r="6" spans="1:11" s="43" customFormat="1" ht="17.149999999999999" customHeight="1" x14ac:dyDescent="0.35">
      <c r="A6" s="44" t="s">
        <v>21</v>
      </c>
      <c r="B6" s="41"/>
      <c r="C6" s="42"/>
      <c r="D6" s="42"/>
    </row>
    <row r="7" spans="1:11" s="43" customFormat="1" ht="17.149999999999999" customHeight="1" x14ac:dyDescent="0.35">
      <c r="A7" s="44" t="s">
        <v>22</v>
      </c>
      <c r="B7" s="41"/>
      <c r="C7" s="42"/>
      <c r="D7" s="42"/>
    </row>
    <row r="8" spans="1:11" s="43" customFormat="1" ht="17.149999999999999" customHeight="1" x14ac:dyDescent="0.35">
      <c r="A8" s="44" t="s">
        <v>23</v>
      </c>
      <c r="B8" s="45"/>
      <c r="C8" s="46"/>
      <c r="D8" s="46"/>
      <c r="F8" s="47"/>
      <c r="G8" s="47"/>
      <c r="I8" s="47"/>
      <c r="J8" s="47"/>
      <c r="K8" s="47"/>
    </row>
    <row r="9" spans="1:11" s="43" customFormat="1" ht="17.149999999999999" customHeight="1" x14ac:dyDescent="0.35">
      <c r="A9" s="44" t="s">
        <v>24</v>
      </c>
      <c r="B9" s="45"/>
      <c r="C9" s="46"/>
      <c r="D9" s="46"/>
      <c r="F9" s="47"/>
      <c r="G9" s="47"/>
      <c r="H9" s="47"/>
      <c r="I9" s="47"/>
      <c r="J9" s="47"/>
      <c r="K9" s="47"/>
    </row>
    <row r="10" spans="1:11" s="43" customFormat="1" ht="17.149999999999999" customHeight="1" x14ac:dyDescent="0.35">
      <c r="A10" s="44" t="s">
        <v>25</v>
      </c>
      <c r="B10" s="45"/>
      <c r="C10" s="46"/>
      <c r="D10" s="46"/>
    </row>
    <row r="11" spans="1:11" s="43" customFormat="1" ht="17.149999999999999" customHeight="1" x14ac:dyDescent="0.35">
      <c r="A11" s="44" t="s">
        <v>26</v>
      </c>
      <c r="B11" s="45"/>
      <c r="C11" s="46"/>
      <c r="D11" s="46"/>
    </row>
    <row r="12" spans="1:11" s="43" customFormat="1" ht="17.149999999999999" customHeight="1" x14ac:dyDescent="0.35">
      <c r="A12" s="44" t="s">
        <v>27</v>
      </c>
      <c r="B12" s="45"/>
      <c r="C12" s="46"/>
      <c r="D12" s="48"/>
    </row>
    <row r="13" spans="1:11" s="43" customFormat="1" ht="17.149999999999999" customHeight="1" x14ac:dyDescent="0.35">
      <c r="A13" s="44" t="s">
        <v>28</v>
      </c>
      <c r="B13" s="45"/>
    </row>
  </sheetData>
  <phoneticPr fontId="15"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37"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2"/>
  <sheetViews>
    <sheetView showGridLines="0" zoomScaleNormal="100" workbookViewId="0">
      <pane ySplit="5" topLeftCell="A6" activePane="bottomLeft" state="frozen"/>
      <selection activeCell="B8" sqref="B8"/>
      <selection pane="bottomLeft" activeCell="A6" sqref="A6"/>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38" t="s">
        <v>29</v>
      </c>
    </row>
    <row r="2" spans="1:42" ht="17.149999999999999" customHeight="1" x14ac:dyDescent="0.35">
      <c r="A2" s="20" t="s">
        <v>30</v>
      </c>
    </row>
    <row r="3" spans="1:42" s="32" customFormat="1" ht="17.149999999999999" customHeight="1" x14ac:dyDescent="0.35">
      <c r="A3" s="25" t="s">
        <v>31</v>
      </c>
      <c r="B3" s="31"/>
      <c r="C3" s="30"/>
      <c r="D3" s="7"/>
      <c r="E3" s="7"/>
      <c r="F3" s="8"/>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s="23" customFormat="1" ht="23.25" customHeight="1" x14ac:dyDescent="0.35">
      <c r="A4" s="36" t="s">
        <v>32</v>
      </c>
      <c r="B4" s="33"/>
    </row>
    <row r="5" spans="1:42" ht="30.75" customHeight="1" x14ac:dyDescent="0.35">
      <c r="A5" s="34" t="s">
        <v>33</v>
      </c>
      <c r="B5" s="35" t="s">
        <v>34</v>
      </c>
      <c r="C5" s="14"/>
      <c r="D5" s="14"/>
      <c r="E5" s="14"/>
      <c r="F5" s="14"/>
      <c r="G5" s="14"/>
      <c r="H5" s="14"/>
      <c r="I5" s="14"/>
      <c r="J5" s="14"/>
      <c r="K5" s="14"/>
      <c r="L5" s="14"/>
    </row>
    <row r="6" spans="1:42" ht="17.149999999999999" customHeight="1" x14ac:dyDescent="0.35">
      <c r="A6" s="21">
        <v>1</v>
      </c>
      <c r="B6" s="5" t="s">
        <v>35</v>
      </c>
      <c r="C6" s="14"/>
      <c r="D6" s="14"/>
      <c r="E6" s="14"/>
      <c r="F6" s="14"/>
      <c r="G6" s="14"/>
      <c r="H6" s="14"/>
      <c r="I6" s="14"/>
      <c r="J6" s="14"/>
      <c r="K6" s="14"/>
      <c r="L6" s="14"/>
    </row>
    <row r="7" spans="1:42" ht="17.149999999999999" customHeight="1" x14ac:dyDescent="0.35">
      <c r="A7" s="21">
        <v>2</v>
      </c>
      <c r="B7" s="12" t="s">
        <v>36</v>
      </c>
      <c r="C7" s="14"/>
      <c r="D7" s="14"/>
      <c r="E7" s="14"/>
      <c r="F7" s="14"/>
      <c r="G7" s="14"/>
      <c r="H7" s="14"/>
      <c r="I7" s="14"/>
      <c r="J7" s="14"/>
      <c r="K7" s="14"/>
      <c r="L7" s="14"/>
    </row>
    <row r="8" spans="1:42" ht="17.149999999999999" customHeight="1" x14ac:dyDescent="0.35">
      <c r="A8" s="22">
        <v>3</v>
      </c>
      <c r="B8" s="12" t="s">
        <v>37</v>
      </c>
      <c r="C8" s="14"/>
      <c r="D8" s="14"/>
      <c r="E8" s="14"/>
      <c r="F8" s="14"/>
      <c r="G8" s="14"/>
      <c r="H8" s="14"/>
      <c r="I8" s="14"/>
      <c r="J8" s="14"/>
      <c r="K8" s="14"/>
      <c r="L8" s="14"/>
    </row>
    <row r="9" spans="1:42" ht="17.149999999999999" customHeight="1" x14ac:dyDescent="0.35">
      <c r="A9" s="21">
        <v>4</v>
      </c>
      <c r="B9" s="5" t="s">
        <v>38</v>
      </c>
      <c r="C9" s="14"/>
      <c r="D9" s="14"/>
      <c r="E9" s="14"/>
      <c r="F9" s="14"/>
      <c r="G9" s="14"/>
      <c r="H9" s="14"/>
      <c r="I9" s="14"/>
      <c r="J9" s="14"/>
      <c r="K9" s="14"/>
      <c r="L9" s="14"/>
    </row>
    <row r="10" spans="1:42" ht="17.149999999999999" customHeight="1" x14ac:dyDescent="0.35">
      <c r="A10" s="21">
        <v>5</v>
      </c>
      <c r="B10" s="5" t="s">
        <v>39</v>
      </c>
      <c r="C10" s="14"/>
      <c r="D10" s="15"/>
      <c r="E10" s="14"/>
      <c r="F10" s="14"/>
      <c r="G10" s="14"/>
      <c r="H10" s="14"/>
      <c r="I10" s="14"/>
      <c r="J10" s="14"/>
      <c r="K10" s="14"/>
      <c r="L10" s="14"/>
    </row>
    <row r="11" spans="1:42" ht="17.149999999999999" customHeight="1" x14ac:dyDescent="0.35">
      <c r="A11" s="22">
        <v>6</v>
      </c>
      <c r="B11" s="5" t="s">
        <v>40</v>
      </c>
      <c r="C11" s="14"/>
      <c r="D11" s="14"/>
      <c r="E11" s="14"/>
      <c r="F11" s="14"/>
      <c r="G11" s="14"/>
      <c r="H11" s="14"/>
      <c r="I11" s="14"/>
      <c r="J11" s="14"/>
      <c r="K11" s="14"/>
      <c r="L11" s="14"/>
    </row>
    <row r="12" spans="1:42" ht="17.149999999999999" customHeight="1" x14ac:dyDescent="0.35">
      <c r="A12" s="21">
        <v>7</v>
      </c>
      <c r="B12" s="13" t="s">
        <v>41</v>
      </c>
      <c r="C12" s="14"/>
      <c r="D12" s="14"/>
      <c r="E12" s="14"/>
      <c r="F12" s="14"/>
      <c r="G12" s="14"/>
      <c r="H12" s="14"/>
      <c r="I12" s="14"/>
      <c r="J12" s="14"/>
      <c r="K12" s="14"/>
      <c r="L12" s="14"/>
    </row>
    <row r="13" spans="1:42" ht="17.149999999999999" customHeight="1" x14ac:dyDescent="0.35">
      <c r="A13" s="21">
        <v>8</v>
      </c>
      <c r="B13" s="13" t="s">
        <v>42</v>
      </c>
      <c r="C13" s="14"/>
      <c r="D13" s="14"/>
      <c r="E13" s="14"/>
      <c r="F13" s="14"/>
      <c r="G13" s="14"/>
      <c r="H13" s="14"/>
      <c r="I13" s="14"/>
      <c r="J13" s="14"/>
      <c r="K13" s="14"/>
      <c r="L13" s="14"/>
    </row>
    <row r="14" spans="1:42" ht="17.149999999999999" customHeight="1" x14ac:dyDescent="0.35">
      <c r="A14" s="22">
        <v>9</v>
      </c>
      <c r="B14" s="5" t="s">
        <v>43</v>
      </c>
      <c r="C14" s="14"/>
      <c r="D14" s="14"/>
      <c r="E14" s="14"/>
      <c r="F14" s="14"/>
      <c r="G14" s="14"/>
      <c r="H14" s="14"/>
      <c r="I14" s="14"/>
      <c r="J14" s="14"/>
      <c r="K14" s="14"/>
      <c r="L14" s="14"/>
    </row>
    <row r="15" spans="1:42" ht="17.149999999999999" customHeight="1" x14ac:dyDescent="0.35">
      <c r="A15" s="22">
        <v>10</v>
      </c>
      <c r="B15" s="5" t="s">
        <v>44</v>
      </c>
      <c r="C15" s="14"/>
      <c r="D15" s="14"/>
      <c r="E15" s="14"/>
      <c r="F15" s="14"/>
      <c r="G15" s="14"/>
      <c r="H15" s="14"/>
      <c r="I15" s="14"/>
      <c r="J15" s="14"/>
      <c r="K15" s="14"/>
      <c r="L15" s="14"/>
    </row>
    <row r="16" spans="1:42" ht="17.149999999999999" customHeight="1" x14ac:dyDescent="0.35">
      <c r="A16" s="21">
        <v>11</v>
      </c>
      <c r="B16" s="5" t="s">
        <v>45</v>
      </c>
      <c r="C16" s="14"/>
      <c r="D16" s="14"/>
      <c r="E16" s="14"/>
      <c r="F16" s="14"/>
      <c r="G16" s="14"/>
      <c r="H16" s="14"/>
      <c r="I16" s="14"/>
      <c r="J16" s="14"/>
      <c r="K16" s="14"/>
      <c r="L16" s="14"/>
    </row>
    <row r="17" spans="1:12" ht="17.149999999999999" customHeight="1" x14ac:dyDescent="0.35">
      <c r="A17" s="21">
        <v>12</v>
      </c>
      <c r="B17" s="5" t="s">
        <v>46</v>
      </c>
      <c r="C17" s="14"/>
      <c r="D17" s="14"/>
      <c r="E17" s="14"/>
      <c r="F17" s="14"/>
      <c r="G17" s="14"/>
      <c r="H17" s="14"/>
      <c r="I17" s="14"/>
      <c r="J17" s="14"/>
      <c r="K17" s="14"/>
      <c r="L17" s="14"/>
    </row>
    <row r="18" spans="1:12" ht="17.149999999999999" customHeight="1" x14ac:dyDescent="0.35">
      <c r="A18" s="22">
        <v>13</v>
      </c>
      <c r="B18" s="5" t="s">
        <v>47</v>
      </c>
      <c r="C18" s="14"/>
      <c r="D18" s="14"/>
      <c r="E18" s="14"/>
      <c r="F18" s="14"/>
      <c r="G18" s="14"/>
      <c r="H18" s="14"/>
      <c r="I18" s="14"/>
      <c r="J18" s="14"/>
      <c r="K18" s="14"/>
      <c r="L18" s="14"/>
    </row>
    <row r="19" spans="1:12" ht="17.149999999999999" customHeight="1" x14ac:dyDescent="0.35">
      <c r="A19" s="21">
        <v>14</v>
      </c>
      <c r="B19" s="5" t="s">
        <v>48</v>
      </c>
      <c r="C19" s="14"/>
      <c r="D19" s="14"/>
      <c r="E19" s="14"/>
      <c r="F19" s="14"/>
      <c r="G19" s="14"/>
      <c r="H19" s="14"/>
      <c r="I19" s="14"/>
      <c r="J19" s="14"/>
      <c r="K19" s="14"/>
      <c r="L19" s="14"/>
    </row>
    <row r="20" spans="1:12" ht="17.149999999999999" customHeight="1" x14ac:dyDescent="0.35">
      <c r="A20" s="21">
        <v>15</v>
      </c>
      <c r="B20" s="5" t="s">
        <v>49</v>
      </c>
      <c r="C20" s="14"/>
      <c r="D20" s="14"/>
      <c r="E20" s="14"/>
      <c r="F20" s="14"/>
      <c r="G20" s="14"/>
      <c r="H20" s="14"/>
      <c r="I20" s="14"/>
      <c r="J20" s="14"/>
      <c r="K20" s="14"/>
      <c r="L20" s="14"/>
    </row>
    <row r="21" spans="1:12" ht="16.5" customHeight="1" x14ac:dyDescent="0.35">
      <c r="A21" s="21">
        <v>16</v>
      </c>
      <c r="B21" s="5" t="s">
        <v>50</v>
      </c>
      <c r="C21" s="14"/>
      <c r="D21" s="14"/>
      <c r="E21" s="14"/>
      <c r="F21" s="14"/>
      <c r="G21" s="14"/>
      <c r="H21" s="14"/>
      <c r="I21" s="14"/>
      <c r="J21" s="14"/>
      <c r="K21" s="14"/>
      <c r="L21" s="14"/>
    </row>
    <row r="22" spans="1:12" ht="16.5" customHeight="1" x14ac:dyDescent="0.35">
      <c r="A22" s="21">
        <v>17</v>
      </c>
      <c r="B22" s="5" t="s">
        <v>51</v>
      </c>
      <c r="C22" s="16"/>
      <c r="D22" s="16"/>
      <c r="E22" s="16"/>
      <c r="F22" s="16"/>
      <c r="G22" s="16"/>
      <c r="H22" s="16"/>
      <c r="I22" s="16"/>
      <c r="J22" s="16"/>
      <c r="K22" s="16"/>
      <c r="L22" s="16"/>
    </row>
    <row r="23" spans="1:12" ht="29.25" customHeight="1" x14ac:dyDescent="0.35">
      <c r="A23" s="23">
        <v>18</v>
      </c>
      <c r="B23" s="16" t="s">
        <v>52</v>
      </c>
    </row>
    <row r="24" spans="1:12" ht="29.25" customHeight="1" x14ac:dyDescent="0.35">
      <c r="A24" s="23">
        <v>19</v>
      </c>
      <c r="B24" s="16" t="s">
        <v>53</v>
      </c>
    </row>
    <row r="25" spans="1:12" ht="29.25" customHeight="1" x14ac:dyDescent="0.35">
      <c r="A25" s="23">
        <v>20</v>
      </c>
      <c r="B25" s="50" t="s">
        <v>54</v>
      </c>
    </row>
    <row r="26" spans="1:12" ht="16.5" customHeight="1" x14ac:dyDescent="0.35">
      <c r="A26" s="23">
        <v>21</v>
      </c>
      <c r="B26" s="50" t="s">
        <v>55</v>
      </c>
      <c r="D26" s="51"/>
    </row>
    <row r="27" spans="1:12" ht="16.5" customHeight="1" x14ac:dyDescent="0.35">
      <c r="A27" s="49">
        <v>22</v>
      </c>
      <c r="B27" s="50" t="s">
        <v>56</v>
      </c>
    </row>
    <row r="28" spans="1:12" ht="29" x14ac:dyDescent="0.35">
      <c r="A28" s="23">
        <v>23</v>
      </c>
      <c r="B28" s="52" t="s">
        <v>57</v>
      </c>
    </row>
    <row r="29" spans="1:12" ht="16.5" customHeight="1" x14ac:dyDescent="0.35">
      <c r="A29" s="23">
        <v>24</v>
      </c>
      <c r="B29" s="52" t="s">
        <v>58</v>
      </c>
    </row>
    <row r="30" spans="1:12" ht="16.5" customHeight="1" x14ac:dyDescent="0.35">
      <c r="A30" s="22">
        <v>25</v>
      </c>
      <c r="B30" s="5" t="s">
        <v>59</v>
      </c>
    </row>
    <row r="31" spans="1:12" ht="43.5" x14ac:dyDescent="0.35">
      <c r="A31" s="23">
        <v>26</v>
      </c>
      <c r="B31" s="50" t="s">
        <v>60</v>
      </c>
    </row>
    <row r="32" spans="1:12" ht="15" customHeight="1" x14ac:dyDescent="0.35">
      <c r="A32" s="1"/>
      <c r="B32" s="54"/>
    </row>
    <row r="33" spans="1:2" ht="15" customHeight="1" x14ac:dyDescent="0.35">
      <c r="A33" s="1"/>
      <c r="B33" s="54"/>
    </row>
    <row r="34" spans="1:2" ht="15" customHeight="1" x14ac:dyDescent="0.35">
      <c r="A34" s="1"/>
      <c r="B34" s="2"/>
    </row>
    <row r="35" spans="1:2" ht="15" customHeight="1" x14ac:dyDescent="0.35">
      <c r="A35" s="1"/>
      <c r="B35" s="2"/>
    </row>
    <row r="36" spans="1:2" ht="15" customHeight="1" x14ac:dyDescent="0.35">
      <c r="A36" s="1"/>
      <c r="B36" s="4"/>
    </row>
    <row r="37" spans="1:2" ht="15" customHeight="1" x14ac:dyDescent="0.35">
      <c r="A37" s="3"/>
    </row>
    <row r="38" spans="1:2" ht="15" customHeight="1" x14ac:dyDescent="0.35"/>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hidden="1" customHeight="1" x14ac:dyDescent="0.35">
      <c r="B47" s="2"/>
    </row>
    <row r="48" spans="1:2" ht="15" customHeight="1" x14ac:dyDescent="0.35">
      <c r="A48" s="1"/>
    </row>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62" ht="15" customHeight="1" x14ac:dyDescent="0.35"/>
    <row r="63" ht="15" customHeight="1" x14ac:dyDescent="0.35"/>
    <row r="64" ht="15" customHeight="1" x14ac:dyDescent="0.35"/>
    <row r="65" ht="15" customHeight="1" x14ac:dyDescent="0.35"/>
    <row r="69" ht="15" customHeight="1" x14ac:dyDescent="0.35"/>
    <row r="70" ht="15" customHeight="1" x14ac:dyDescent="0.35"/>
    <row r="71" ht="15" customHeight="1" x14ac:dyDescent="0.35"/>
    <row r="72" ht="15" customHeight="1" x14ac:dyDescent="0.35"/>
  </sheetData>
  <pageMargins left="0.7" right="0.7" top="0.75" bottom="0.75" header="0.3" footer="0.3"/>
  <pageSetup paperSize="9" scale="43"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O53"/>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B9" sqref="B9"/>
    </sheetView>
  </sheetViews>
  <sheetFormatPr defaultColWidth="9.1796875" defaultRowHeight="17.149999999999999" customHeight="1" x14ac:dyDescent="0.35"/>
  <cols>
    <col min="1" max="1" width="13" style="82" customWidth="1"/>
    <col min="2" max="2" width="10.1796875" style="6" customWidth="1"/>
    <col min="3" max="4" width="13.54296875" style="6" customWidth="1"/>
    <col min="5" max="5" width="11.7265625" style="6" customWidth="1"/>
    <col min="6" max="6" width="18.54296875" style="6" customWidth="1"/>
    <col min="7" max="8" width="12.453125" style="6" customWidth="1"/>
    <col min="9" max="9" width="11.7265625" style="6" customWidth="1"/>
    <col min="10" max="10" width="20.7265625" style="6" customWidth="1"/>
    <col min="11" max="12" width="14.26953125" style="6" customWidth="1"/>
    <col min="13" max="13" width="12.81640625" style="6" customWidth="1"/>
    <col min="14" max="14" width="15.54296875" style="6" customWidth="1"/>
    <col min="15" max="15" width="62.81640625" style="6" customWidth="1"/>
    <col min="16" max="16384" width="9.1796875" style="84"/>
  </cols>
  <sheetData>
    <row r="1" spans="1:15" ht="25.5" customHeight="1" x14ac:dyDescent="0.35">
      <c r="A1" s="83" t="s">
        <v>61</v>
      </c>
    </row>
    <row r="2" spans="1:15" s="32" customFormat="1" ht="17.149999999999999" customHeight="1" x14ac:dyDescent="0.35">
      <c r="A2" s="25" t="s">
        <v>62</v>
      </c>
      <c r="B2" s="31"/>
      <c r="C2" s="30"/>
      <c r="D2" s="30"/>
      <c r="E2" s="7"/>
      <c r="F2" s="7"/>
      <c r="G2" s="8"/>
      <c r="H2" s="8"/>
    </row>
    <row r="3" spans="1:15" s="32" customFormat="1" ht="17.149999999999999" customHeight="1" x14ac:dyDescent="0.35">
      <c r="A3" s="25" t="s">
        <v>31</v>
      </c>
      <c r="B3" s="31"/>
      <c r="C3" s="30"/>
      <c r="D3" s="30"/>
      <c r="E3" s="7"/>
      <c r="F3" s="7"/>
      <c r="G3" s="8"/>
      <c r="H3" s="8"/>
    </row>
    <row r="4" spans="1:15" s="32" customFormat="1" ht="17.149999999999999" customHeight="1" x14ac:dyDescent="0.35">
      <c r="A4" s="25" t="s">
        <v>63</v>
      </c>
      <c r="B4" s="31"/>
      <c r="C4" s="30"/>
      <c r="D4" s="30"/>
      <c r="E4" s="7"/>
      <c r="F4" s="7"/>
      <c r="G4" s="8"/>
      <c r="H4" s="8"/>
    </row>
    <row r="5" spans="1:15" s="32" customFormat="1" ht="17.149999999999999" customHeight="1" x14ac:dyDescent="0.35">
      <c r="A5" s="25" t="s">
        <v>64</v>
      </c>
      <c r="B5" s="31"/>
      <c r="C5" s="30"/>
      <c r="D5" s="30"/>
      <c r="E5" s="7"/>
      <c r="F5" s="7"/>
      <c r="G5" s="8"/>
      <c r="H5" s="8"/>
    </row>
    <row r="6" spans="1:15" s="32" customFormat="1" ht="17.149999999999999" customHeight="1" x14ac:dyDescent="0.35">
      <c r="A6" s="25" t="s">
        <v>65</v>
      </c>
      <c r="B6" s="31"/>
      <c r="C6" s="30"/>
      <c r="D6" s="30"/>
      <c r="E6" s="7"/>
      <c r="F6" s="7"/>
      <c r="G6" s="8"/>
      <c r="H6" s="8"/>
    </row>
    <row r="7" spans="1:15" s="88" customFormat="1" ht="17.149999999999999" customHeight="1" x14ac:dyDescent="0.35">
      <c r="A7" s="28" t="s">
        <v>66</v>
      </c>
      <c r="B7" s="85"/>
      <c r="C7" s="85"/>
      <c r="D7" s="85"/>
      <c r="E7" s="86"/>
      <c r="F7" s="86"/>
      <c r="G7" s="87"/>
      <c r="H7" s="87"/>
    </row>
    <row r="8" spans="1:15" s="93" customFormat="1" ht="77.25" customHeight="1" x14ac:dyDescent="0.35">
      <c r="A8" s="89" t="s">
        <v>67</v>
      </c>
      <c r="B8" s="90" t="s">
        <v>68</v>
      </c>
      <c r="C8" s="90" t="s">
        <v>69</v>
      </c>
      <c r="D8" s="90" t="s">
        <v>70</v>
      </c>
      <c r="E8" s="90" t="s">
        <v>71</v>
      </c>
      <c r="F8" s="90" t="s">
        <v>72</v>
      </c>
      <c r="G8" s="90" t="s">
        <v>73</v>
      </c>
      <c r="H8" s="90" t="s">
        <v>74</v>
      </c>
      <c r="I8" s="90" t="s">
        <v>75</v>
      </c>
      <c r="J8" s="90" t="s">
        <v>76</v>
      </c>
      <c r="K8" s="90" t="s">
        <v>77</v>
      </c>
      <c r="L8" s="90" t="s">
        <v>78</v>
      </c>
      <c r="M8" s="90" t="s">
        <v>79</v>
      </c>
      <c r="N8" s="91" t="s">
        <v>80</v>
      </c>
      <c r="O8" s="89" t="s">
        <v>22</v>
      </c>
    </row>
    <row r="9" spans="1:15" ht="17.149999999999999" customHeight="1" x14ac:dyDescent="0.35">
      <c r="A9" s="82" t="s">
        <v>81</v>
      </c>
      <c r="B9" s="9">
        <v>124</v>
      </c>
      <c r="C9" s="9"/>
      <c r="D9" s="9">
        <f>Table1[[#This Row],[Gas meters
smart in
smart mode]]+Table1[[#This Row],[Gas meters
smart in
traditional mode]]</f>
        <v>124</v>
      </c>
      <c r="E9" s="9">
        <v>21387053</v>
      </c>
      <c r="F9" s="9">
        <v>132</v>
      </c>
      <c r="G9" s="9"/>
      <c r="H9" s="9">
        <f>Table1[[#This Row],[Electricity 
meters
smart in
smart 
mode]]+Table1[[#This Row],[Electricity 
meters
smart in
traditional mode]]</f>
        <v>132</v>
      </c>
      <c r="I9" s="9">
        <v>26163247</v>
      </c>
      <c r="J9" s="9">
        <f>B9+F9</f>
        <v>256</v>
      </c>
      <c r="K9" s="9"/>
      <c r="L9" s="9">
        <f>Table1[[#This Row],[Gas meters
total smart meters]]+Table1[[#This Row],[Electricity meters
total smart meters]]</f>
        <v>256</v>
      </c>
      <c r="M9" s="9">
        <f>Table1[[#This Row],[Gas meters
non-smart]]+Table1[[#This Row],[Electricity meters
non-smart]]</f>
        <v>47550300</v>
      </c>
      <c r="N9" s="9">
        <f>L9+M9</f>
        <v>47550556</v>
      </c>
      <c r="O9" s="26"/>
    </row>
    <row r="10" spans="1:15" ht="17.149999999999999" customHeight="1" x14ac:dyDescent="0.35">
      <c r="A10" s="82" t="s">
        <v>82</v>
      </c>
      <c r="B10" s="9">
        <v>1461</v>
      </c>
      <c r="C10" s="9"/>
      <c r="D10" s="9">
        <f>Table1[[#This Row],[Gas meters
smart in
smart mode]]+Table1[[#This Row],[Gas meters
smart in
traditional mode]]</f>
        <v>1461</v>
      </c>
      <c r="E10" s="9">
        <v>21550984</v>
      </c>
      <c r="F10" s="9">
        <v>1739</v>
      </c>
      <c r="G10" s="9"/>
      <c r="H10" s="9">
        <f>Table1[[#This Row],[Electricity 
meters
smart in
smart 
mode]]+Table1[[#This Row],[Electricity 
meters
smart in
traditional mode]]</f>
        <v>1739</v>
      </c>
      <c r="I10" s="9">
        <v>26174965</v>
      </c>
      <c r="J10" s="9">
        <f t="shared" ref="J10:J52" si="0">B10+F10</f>
        <v>3200</v>
      </c>
      <c r="K10" s="9"/>
      <c r="L10" s="9">
        <f>Table1[[#This Row],[Gas meters
total smart meters]]+Table1[[#This Row],[Electricity meters
total smart meters]]</f>
        <v>3200</v>
      </c>
      <c r="M10" s="9">
        <f>Table1[[#This Row],[Gas meters
non-smart]]+Table1[[#This Row],[Electricity meters
non-smart]]</f>
        <v>47725949</v>
      </c>
      <c r="N10" s="9">
        <f t="shared" ref="N10:N52" si="1">L10+M10</f>
        <v>47729149</v>
      </c>
      <c r="O10" s="26"/>
    </row>
    <row r="11" spans="1:15" ht="22.4" customHeight="1" x14ac:dyDescent="0.35">
      <c r="A11" s="82" t="s">
        <v>83</v>
      </c>
      <c r="B11" s="9">
        <v>11991</v>
      </c>
      <c r="C11" s="9"/>
      <c r="D11" s="9">
        <f>Table1[[#This Row],[Gas meters
smart in
smart mode]]+Table1[[#This Row],[Gas meters
smart in
traditional mode]]</f>
        <v>11991</v>
      </c>
      <c r="E11" s="9">
        <v>21416950.999431364</v>
      </c>
      <c r="F11" s="9">
        <v>12049</v>
      </c>
      <c r="G11" s="9"/>
      <c r="H11" s="9">
        <f>Table1[[#This Row],[Electricity 
meters
smart in
smart 
mode]]+Table1[[#This Row],[Electricity 
meters
smart in
traditional mode]]</f>
        <v>12049</v>
      </c>
      <c r="I11" s="9">
        <v>25923120</v>
      </c>
      <c r="J11" s="9">
        <f t="shared" si="0"/>
        <v>24040</v>
      </c>
      <c r="K11" s="9"/>
      <c r="L11" s="9">
        <f>Table1[[#This Row],[Gas meters
total smart meters]]+Table1[[#This Row],[Electricity meters
total smart meters]]</f>
        <v>24040</v>
      </c>
      <c r="M11" s="9">
        <f>Table1[[#This Row],[Gas meters
non-smart]]+Table1[[#This Row],[Electricity meters
non-smart]]</f>
        <v>47340070.999431364</v>
      </c>
      <c r="N11" s="9">
        <f t="shared" si="1"/>
        <v>47364110.999431364</v>
      </c>
      <c r="O11" s="26"/>
    </row>
    <row r="12" spans="1:15" ht="17.149999999999999" customHeight="1" x14ac:dyDescent="0.35">
      <c r="A12" s="82" t="s">
        <v>84</v>
      </c>
      <c r="B12" s="9">
        <v>39337</v>
      </c>
      <c r="C12" s="9"/>
      <c r="D12" s="9">
        <f>Table1[[#This Row],[Gas meters
smart in
smart mode]]+Table1[[#This Row],[Gas meters
smart in
traditional mode]]</f>
        <v>39337</v>
      </c>
      <c r="E12" s="9">
        <v>21224171</v>
      </c>
      <c r="F12" s="9">
        <v>50038</v>
      </c>
      <c r="G12" s="9"/>
      <c r="H12" s="9">
        <f>Table1[[#This Row],[Electricity 
meters
smart in
smart 
mode]]+Table1[[#This Row],[Electricity 
meters
smart in
traditional mode]]</f>
        <v>50038</v>
      </c>
      <c r="I12" s="9">
        <v>25751659</v>
      </c>
      <c r="J12" s="9">
        <f t="shared" si="0"/>
        <v>89375</v>
      </c>
      <c r="K12" s="9"/>
      <c r="L12" s="9">
        <f>Table1[[#This Row],[Gas meters
total smart meters]]+Table1[[#This Row],[Electricity meters
total smart meters]]</f>
        <v>89375</v>
      </c>
      <c r="M12" s="9">
        <f>Table1[[#This Row],[Gas meters
non-smart]]+Table1[[#This Row],[Electricity meters
non-smart]]</f>
        <v>46975830</v>
      </c>
      <c r="N12" s="9">
        <f t="shared" si="1"/>
        <v>47065205</v>
      </c>
      <c r="O12" s="26"/>
    </row>
    <row r="13" spans="1:15" ht="17.149999999999999" customHeight="1" x14ac:dyDescent="0.35">
      <c r="A13" s="82" t="s">
        <v>85</v>
      </c>
      <c r="B13" s="9">
        <v>72113</v>
      </c>
      <c r="C13" s="9"/>
      <c r="D13" s="9">
        <f>Table1[[#This Row],[Gas meters
smart in
smart mode]]+Table1[[#This Row],[Gas meters
smart in
traditional mode]]</f>
        <v>72113</v>
      </c>
      <c r="E13" s="9">
        <v>21275065</v>
      </c>
      <c r="F13" s="9">
        <v>104704</v>
      </c>
      <c r="G13" s="9"/>
      <c r="H13" s="9">
        <f>Table1[[#This Row],[Electricity 
meters
smart in
smart 
mode]]+Table1[[#This Row],[Electricity 
meters
smart in
traditional mode]]</f>
        <v>104704</v>
      </c>
      <c r="I13" s="9">
        <v>25757248</v>
      </c>
      <c r="J13" s="9">
        <f t="shared" si="0"/>
        <v>176817</v>
      </c>
      <c r="K13" s="9"/>
      <c r="L13" s="9">
        <f>Table1[[#This Row],[Gas meters
total smart meters]]+Table1[[#This Row],[Electricity meters
total smart meters]]</f>
        <v>176817</v>
      </c>
      <c r="M13" s="9">
        <f>Table1[[#This Row],[Gas meters
non-smart]]+Table1[[#This Row],[Electricity meters
non-smart]]</f>
        <v>47032313</v>
      </c>
      <c r="N13" s="9">
        <f t="shared" si="1"/>
        <v>47209130</v>
      </c>
      <c r="O13" s="26"/>
    </row>
    <row r="14" spans="1:15" ht="17.149999999999999" customHeight="1" x14ac:dyDescent="0.35">
      <c r="A14" s="82" t="s">
        <v>86</v>
      </c>
      <c r="B14" s="9">
        <v>101728</v>
      </c>
      <c r="C14" s="9"/>
      <c r="D14" s="9">
        <f>Table1[[#This Row],[Gas meters
smart in
smart mode]]+Table1[[#This Row],[Gas meters
smart in
traditional mode]]</f>
        <v>101728</v>
      </c>
      <c r="E14" s="9">
        <v>21513727</v>
      </c>
      <c r="F14" s="9">
        <v>163427</v>
      </c>
      <c r="G14" s="9"/>
      <c r="H14" s="9">
        <f>Table1[[#This Row],[Electricity 
meters
smart in
smart 
mode]]+Table1[[#This Row],[Electricity 
meters
smart in
traditional mode]]</f>
        <v>163427</v>
      </c>
      <c r="I14" s="9">
        <v>25994868</v>
      </c>
      <c r="J14" s="9">
        <f t="shared" si="0"/>
        <v>265155</v>
      </c>
      <c r="K14" s="9"/>
      <c r="L14" s="9">
        <f>Table1[[#This Row],[Gas meters
total smart meters]]+Table1[[#This Row],[Electricity meters
total smart meters]]</f>
        <v>265155</v>
      </c>
      <c r="M14" s="9">
        <f>Table1[[#This Row],[Gas meters
non-smart]]+Table1[[#This Row],[Electricity meters
non-smart]]</f>
        <v>47508595</v>
      </c>
      <c r="N14" s="9">
        <f t="shared" si="1"/>
        <v>47773750</v>
      </c>
      <c r="O14" s="26" t="s">
        <v>87</v>
      </c>
    </row>
    <row r="15" spans="1:15" ht="22.4" customHeight="1" x14ac:dyDescent="0.35">
      <c r="A15" s="82" t="s">
        <v>88</v>
      </c>
      <c r="B15" s="9">
        <v>132972</v>
      </c>
      <c r="C15" s="9"/>
      <c r="D15" s="9">
        <f>Table1[[#This Row],[Gas meters
smart in
smart mode]]+Table1[[#This Row],[Gas meters
smart in
traditional mode]]</f>
        <v>132972</v>
      </c>
      <c r="E15" s="9">
        <v>21294944</v>
      </c>
      <c r="F15" s="9">
        <v>211730</v>
      </c>
      <c r="G15" s="9"/>
      <c r="H15" s="9">
        <f>Table1[[#This Row],[Electricity 
meters
smart in
smart 
mode]]+Table1[[#This Row],[Electricity 
meters
smart in
traditional mode]]</f>
        <v>211730</v>
      </c>
      <c r="I15" s="9">
        <v>25667602</v>
      </c>
      <c r="J15" s="9">
        <f t="shared" si="0"/>
        <v>344702</v>
      </c>
      <c r="K15" s="9"/>
      <c r="L15" s="9">
        <f>Table1[[#This Row],[Gas meters
total smart meters]]+Table1[[#This Row],[Electricity meters
total smart meters]]</f>
        <v>344702</v>
      </c>
      <c r="M15" s="9">
        <f>Table1[[#This Row],[Gas meters
non-smart]]+Table1[[#This Row],[Electricity meters
non-smart]]</f>
        <v>46962546</v>
      </c>
      <c r="N15" s="9">
        <f t="shared" si="1"/>
        <v>47307248</v>
      </c>
      <c r="O15" s="26"/>
    </row>
    <row r="16" spans="1:15" ht="17.149999999999999" customHeight="1" x14ac:dyDescent="0.35">
      <c r="A16" s="82" t="s">
        <v>89</v>
      </c>
      <c r="B16" s="9">
        <v>156190</v>
      </c>
      <c r="C16" s="9"/>
      <c r="D16" s="9">
        <f>Table1[[#This Row],[Gas meters
smart in
smart mode]]+Table1[[#This Row],[Gas meters
smart in
traditional mode]]</f>
        <v>156190</v>
      </c>
      <c r="E16" s="9">
        <v>21085263</v>
      </c>
      <c r="F16" s="9">
        <v>246447</v>
      </c>
      <c r="G16" s="9"/>
      <c r="H16" s="9">
        <f>Table1[[#This Row],[Electricity 
meters
smart in
smart 
mode]]+Table1[[#This Row],[Electricity 
meters
smart in
traditional mode]]</f>
        <v>246447</v>
      </c>
      <c r="I16" s="9">
        <v>25485350</v>
      </c>
      <c r="J16" s="9">
        <f t="shared" si="0"/>
        <v>402637</v>
      </c>
      <c r="K16" s="9"/>
      <c r="L16" s="9">
        <f>Table1[[#This Row],[Gas meters
total smart meters]]+Table1[[#This Row],[Electricity meters
total smart meters]]</f>
        <v>402637</v>
      </c>
      <c r="M16" s="9">
        <f>Table1[[#This Row],[Gas meters
non-smart]]+Table1[[#This Row],[Electricity meters
non-smart]]</f>
        <v>46570613</v>
      </c>
      <c r="N16" s="9">
        <f t="shared" si="1"/>
        <v>46973250</v>
      </c>
      <c r="O16" s="26"/>
    </row>
    <row r="17" spans="1:15" s="29" customFormat="1" ht="17.149999999999999" customHeight="1" x14ac:dyDescent="0.35">
      <c r="A17" s="82" t="s">
        <v>90</v>
      </c>
      <c r="B17" s="9">
        <v>215069</v>
      </c>
      <c r="C17" s="9"/>
      <c r="D17" s="9">
        <f>Table1[[#This Row],[Gas meters
smart in
smart mode]]+Table1[[#This Row],[Gas meters
smart in
traditional mode]]</f>
        <v>215069</v>
      </c>
      <c r="E17" s="9">
        <v>20786028</v>
      </c>
      <c r="F17" s="9">
        <v>328789</v>
      </c>
      <c r="G17" s="9"/>
      <c r="H17" s="9">
        <f>Table1[[#This Row],[Electricity 
meters
smart in
smart 
mode]]+Table1[[#This Row],[Electricity 
meters
smart in
traditional mode]]</f>
        <v>328789</v>
      </c>
      <c r="I17" s="9">
        <v>25110093</v>
      </c>
      <c r="J17" s="9">
        <f t="shared" si="0"/>
        <v>543858</v>
      </c>
      <c r="K17" s="9"/>
      <c r="L17" s="9">
        <f>Table1[[#This Row],[Gas meters
total smart meters]]+Table1[[#This Row],[Electricity meters
total smart meters]]</f>
        <v>543858</v>
      </c>
      <c r="M17" s="9">
        <f>Table1[[#This Row],[Gas meters
non-smart]]+Table1[[#This Row],[Electricity meters
non-smart]]</f>
        <v>45896121</v>
      </c>
      <c r="N17" s="9">
        <f t="shared" si="1"/>
        <v>46439979</v>
      </c>
      <c r="O17" s="26"/>
    </row>
    <row r="18" spans="1:15" s="29" customFormat="1" ht="17.149999999999999" customHeight="1" x14ac:dyDescent="0.35">
      <c r="A18" s="82" t="s">
        <v>91</v>
      </c>
      <c r="B18" s="9">
        <v>270589</v>
      </c>
      <c r="C18" s="9"/>
      <c r="D18" s="9">
        <f>Table1[[#This Row],[Gas meters
smart in
smart mode]]+Table1[[#This Row],[Gas meters
smart in
traditional mode]]</f>
        <v>270589</v>
      </c>
      <c r="E18" s="9">
        <v>20564248</v>
      </c>
      <c r="F18" s="9">
        <v>400645</v>
      </c>
      <c r="G18" s="9"/>
      <c r="H18" s="9">
        <f>Table1[[#This Row],[Electricity 
meters
smart in
smart 
mode]]+Table1[[#This Row],[Electricity 
meters
smart in
traditional mode]]</f>
        <v>400645</v>
      </c>
      <c r="I18" s="9">
        <v>24890373</v>
      </c>
      <c r="J18" s="9">
        <f t="shared" si="0"/>
        <v>671234</v>
      </c>
      <c r="K18" s="9"/>
      <c r="L18" s="9">
        <f>Table1[[#This Row],[Gas meters
total smart meters]]+Table1[[#This Row],[Electricity meters
total smart meters]]</f>
        <v>671234</v>
      </c>
      <c r="M18" s="9">
        <f>Table1[[#This Row],[Gas meters
non-smart]]+Table1[[#This Row],[Electricity meters
non-smart]]</f>
        <v>45454621</v>
      </c>
      <c r="N18" s="9">
        <f t="shared" si="1"/>
        <v>46125855</v>
      </c>
      <c r="O18" s="26"/>
    </row>
    <row r="19" spans="1:15" s="29" customFormat="1" ht="22.4" customHeight="1" x14ac:dyDescent="0.35">
      <c r="A19" s="82" t="s">
        <v>92</v>
      </c>
      <c r="B19" s="9">
        <v>367857</v>
      </c>
      <c r="C19" s="9"/>
      <c r="D19" s="9">
        <f>Table1[[#This Row],[Gas meters
smart in
smart mode]]+Table1[[#This Row],[Gas meters
smart in
traditional mode]]</f>
        <v>367857</v>
      </c>
      <c r="E19" s="9">
        <v>21412608</v>
      </c>
      <c r="F19" s="9">
        <v>575602</v>
      </c>
      <c r="G19" s="9"/>
      <c r="H19" s="9">
        <f>Table1[[#This Row],[Electricity 
meters
smart in
smart 
mode]]+Table1[[#This Row],[Electricity 
meters
smart in
traditional mode]]</f>
        <v>575602</v>
      </c>
      <c r="I19" s="9">
        <v>25741447</v>
      </c>
      <c r="J19" s="9">
        <f t="shared" si="0"/>
        <v>943459</v>
      </c>
      <c r="K19" s="9"/>
      <c r="L19" s="9">
        <f>Table1[[#This Row],[Gas meters
total smart meters]]+Table1[[#This Row],[Electricity meters
total smart meters]]</f>
        <v>943459</v>
      </c>
      <c r="M19" s="9">
        <f>Table1[[#This Row],[Gas meters
non-smart]]+Table1[[#This Row],[Electricity meters
non-smart]]</f>
        <v>47154055</v>
      </c>
      <c r="N19" s="9">
        <f t="shared" si="1"/>
        <v>48097514</v>
      </c>
      <c r="O19" s="26" t="s">
        <v>93</v>
      </c>
    </row>
    <row r="20" spans="1:15" s="29" customFormat="1" ht="17.149999999999999" customHeight="1" x14ac:dyDescent="0.35">
      <c r="A20" s="82" t="s">
        <v>94</v>
      </c>
      <c r="B20" s="9">
        <v>473819</v>
      </c>
      <c r="C20" s="9"/>
      <c r="D20" s="9">
        <f>Table1[[#This Row],[Gas meters
smart in
smart mode]]+Table1[[#This Row],[Gas meters
smart in
traditional mode]]</f>
        <v>473819</v>
      </c>
      <c r="E20" s="9">
        <v>21215177</v>
      </c>
      <c r="F20" s="9">
        <v>719368</v>
      </c>
      <c r="G20" s="9"/>
      <c r="H20" s="9">
        <f>Table1[[#This Row],[Electricity 
meters
smart in
smart 
mode]]+Table1[[#This Row],[Electricity 
meters
smart in
traditional mode]]</f>
        <v>719368</v>
      </c>
      <c r="I20" s="9">
        <v>25492318</v>
      </c>
      <c r="J20" s="9">
        <f t="shared" si="0"/>
        <v>1193187</v>
      </c>
      <c r="K20" s="9"/>
      <c r="L20" s="9">
        <f>Table1[[#This Row],[Gas meters
total smart meters]]+Table1[[#This Row],[Electricity meters
total smart meters]]</f>
        <v>1193187</v>
      </c>
      <c r="M20" s="9">
        <f>Table1[[#This Row],[Gas meters
non-smart]]+Table1[[#This Row],[Electricity meters
non-smart]]</f>
        <v>46707495</v>
      </c>
      <c r="N20" s="9">
        <f t="shared" si="1"/>
        <v>47900682</v>
      </c>
      <c r="O20" s="26"/>
    </row>
    <row r="21" spans="1:15" s="29" customFormat="1" ht="17.149999999999999" customHeight="1" x14ac:dyDescent="0.35">
      <c r="A21" s="82" t="s">
        <v>95</v>
      </c>
      <c r="B21" s="9">
        <v>607412</v>
      </c>
      <c r="C21" s="9"/>
      <c r="D21" s="9">
        <f>Table1[[#This Row],[Gas meters
smart in
smart mode]]+Table1[[#This Row],[Gas meters
smart in
traditional mode]]</f>
        <v>607412</v>
      </c>
      <c r="E21" s="9">
        <v>21037144</v>
      </c>
      <c r="F21" s="9">
        <v>908610</v>
      </c>
      <c r="G21" s="9"/>
      <c r="H21" s="9">
        <f>Table1[[#This Row],[Electricity 
meters
smart in
smart 
mode]]+Table1[[#This Row],[Electricity 
meters
smart in
traditional mode]]</f>
        <v>908610</v>
      </c>
      <c r="I21" s="9">
        <v>25230570</v>
      </c>
      <c r="J21" s="9">
        <f t="shared" si="0"/>
        <v>1516022</v>
      </c>
      <c r="K21" s="9"/>
      <c r="L21" s="9">
        <f>Table1[[#This Row],[Gas meters
total smart meters]]+Table1[[#This Row],[Electricity meters
total smart meters]]</f>
        <v>1516022</v>
      </c>
      <c r="M21" s="9">
        <f>Table1[[#This Row],[Gas meters
non-smart]]+Table1[[#This Row],[Electricity meters
non-smart]]</f>
        <v>46267714</v>
      </c>
      <c r="N21" s="9">
        <f t="shared" si="1"/>
        <v>47783736</v>
      </c>
      <c r="O21" s="26"/>
    </row>
    <row r="22" spans="1:15" s="29" customFormat="1" ht="17.149999999999999" customHeight="1" x14ac:dyDescent="0.35">
      <c r="A22" s="82" t="s">
        <v>96</v>
      </c>
      <c r="B22" s="9">
        <v>763341</v>
      </c>
      <c r="C22" s="9"/>
      <c r="D22" s="9">
        <f>Table1[[#This Row],[Gas meters
smart in
smart mode]]+Table1[[#This Row],[Gas meters
smart in
traditional mode]]</f>
        <v>763341</v>
      </c>
      <c r="E22" s="9">
        <v>20726526</v>
      </c>
      <c r="F22" s="9">
        <v>1118564</v>
      </c>
      <c r="G22" s="9"/>
      <c r="H22" s="9">
        <f>Table1[[#This Row],[Electricity 
meters
smart in
smart 
mode]]+Table1[[#This Row],[Electricity 
meters
smart in
traditional mode]]</f>
        <v>1118564</v>
      </c>
      <c r="I22" s="9">
        <v>24923979</v>
      </c>
      <c r="J22" s="9">
        <f t="shared" si="0"/>
        <v>1881905</v>
      </c>
      <c r="K22" s="9"/>
      <c r="L22" s="9">
        <f>Table1[[#This Row],[Gas meters
total smart meters]]+Table1[[#This Row],[Electricity meters
total smart meters]]</f>
        <v>1881905</v>
      </c>
      <c r="M22" s="9">
        <f>Table1[[#This Row],[Gas meters
non-smart]]+Table1[[#This Row],[Electricity meters
non-smart]]</f>
        <v>45650505</v>
      </c>
      <c r="N22" s="9">
        <f t="shared" si="1"/>
        <v>47532410</v>
      </c>
      <c r="O22" s="26"/>
    </row>
    <row r="23" spans="1:15" s="29" customFormat="1" ht="22.4" customHeight="1" x14ac:dyDescent="0.35">
      <c r="A23" s="82" t="s">
        <v>97</v>
      </c>
      <c r="B23" s="9">
        <v>1164957</v>
      </c>
      <c r="C23" s="9"/>
      <c r="D23" s="9">
        <f>Table1[[#This Row],[Gas meters
smart in
smart mode]]+Table1[[#This Row],[Gas meters
smart in
traditional mode]]</f>
        <v>1164957</v>
      </c>
      <c r="E23" s="9">
        <v>20462581</v>
      </c>
      <c r="F23" s="9">
        <v>1583193</v>
      </c>
      <c r="G23" s="9"/>
      <c r="H23" s="9">
        <f>Table1[[#This Row],[Electricity 
meters
smart in
smart 
mode]]+Table1[[#This Row],[Electricity 
meters
smart in
traditional mode]]</f>
        <v>1583193</v>
      </c>
      <c r="I23" s="9">
        <v>24581589</v>
      </c>
      <c r="J23" s="9">
        <f t="shared" si="0"/>
        <v>2748150</v>
      </c>
      <c r="K23" s="9"/>
      <c r="L23" s="9">
        <f>Table1[[#This Row],[Gas meters
total smart meters]]+Table1[[#This Row],[Electricity meters
total smart meters]]</f>
        <v>2748150</v>
      </c>
      <c r="M23" s="9">
        <f>Table1[[#This Row],[Gas meters
non-smart]]+Table1[[#This Row],[Electricity meters
non-smart]]</f>
        <v>45044170</v>
      </c>
      <c r="N23" s="9">
        <f t="shared" si="1"/>
        <v>47792320</v>
      </c>
      <c r="O23" s="26" t="s">
        <v>98</v>
      </c>
    </row>
    <row r="24" spans="1:15" s="29" customFormat="1" ht="17.149999999999999" customHeight="1" x14ac:dyDescent="0.35">
      <c r="A24" s="82" t="s">
        <v>99</v>
      </c>
      <c r="B24" s="9">
        <v>1379036</v>
      </c>
      <c r="C24" s="9"/>
      <c r="D24" s="9">
        <f>Table1[[#This Row],[Gas meters
smart in
smart mode]]+Table1[[#This Row],[Gas meters
smart in
traditional mode]]</f>
        <v>1379036</v>
      </c>
      <c r="E24" s="9">
        <v>20462897</v>
      </c>
      <c r="F24" s="9">
        <v>1923566</v>
      </c>
      <c r="G24" s="9"/>
      <c r="H24" s="9">
        <f>Table1[[#This Row],[Electricity 
meters
smart in
smart 
mode]]+Table1[[#This Row],[Electricity 
meters
smart in
traditional mode]]</f>
        <v>1923566</v>
      </c>
      <c r="I24" s="9">
        <v>24472243</v>
      </c>
      <c r="J24" s="9">
        <f t="shared" si="0"/>
        <v>3302602</v>
      </c>
      <c r="K24" s="9"/>
      <c r="L24" s="9">
        <f>Table1[[#This Row],[Gas meters
total smart meters]]+Table1[[#This Row],[Electricity meters
total smart meters]]</f>
        <v>3302602</v>
      </c>
      <c r="M24" s="9">
        <f>Table1[[#This Row],[Gas meters
non-smart]]+Table1[[#This Row],[Electricity meters
non-smart]]</f>
        <v>44935140</v>
      </c>
      <c r="N24" s="9">
        <f t="shared" si="1"/>
        <v>48237742</v>
      </c>
      <c r="O24" s="26" t="s">
        <v>100</v>
      </c>
    </row>
    <row r="25" spans="1:15" s="93" customFormat="1" ht="17.149999999999999" customHeight="1" x14ac:dyDescent="0.35">
      <c r="A25" s="82" t="s">
        <v>101</v>
      </c>
      <c r="B25" s="9">
        <v>1708885</v>
      </c>
      <c r="C25" s="9"/>
      <c r="D25" s="9">
        <f>Table1[[#This Row],[Gas meters
smart in
smart mode]]+Table1[[#This Row],[Gas meters
smart in
traditional mode]]</f>
        <v>1708885</v>
      </c>
      <c r="E25" s="9">
        <v>20049140</v>
      </c>
      <c r="F25" s="9">
        <v>2339537</v>
      </c>
      <c r="G25" s="9"/>
      <c r="H25" s="9">
        <f>Table1[[#This Row],[Electricity 
meters
smart in
smart 
mode]]+Table1[[#This Row],[Electricity 
meters
smart in
traditional mode]]</f>
        <v>2339537</v>
      </c>
      <c r="I25" s="9">
        <v>23980487</v>
      </c>
      <c r="J25" s="9">
        <f t="shared" si="0"/>
        <v>4048422</v>
      </c>
      <c r="K25" s="9"/>
      <c r="L25" s="9">
        <f>Table1[[#This Row],[Gas meters
total smart meters]]+Table1[[#This Row],[Electricity meters
total smart meters]]</f>
        <v>4048422</v>
      </c>
      <c r="M25" s="9">
        <f>Table1[[#This Row],[Gas meters
non-smart]]+Table1[[#This Row],[Electricity meters
non-smart]]</f>
        <v>44029627</v>
      </c>
      <c r="N25" s="9">
        <f t="shared" si="1"/>
        <v>48078049</v>
      </c>
      <c r="O25" s="26"/>
    </row>
    <row r="26" spans="1:15" s="93" customFormat="1" ht="17.149999999999999" customHeight="1" x14ac:dyDescent="0.35">
      <c r="A26" s="82" t="s">
        <v>102</v>
      </c>
      <c r="B26" s="9">
        <v>2069121</v>
      </c>
      <c r="C26" s="9"/>
      <c r="D26" s="9">
        <f>Table1[[#This Row],[Gas meters
smart in
smart mode]]+Table1[[#This Row],[Gas meters
smart in
traditional mode]]</f>
        <v>2069121</v>
      </c>
      <c r="E26" s="9">
        <v>19847570</v>
      </c>
      <c r="F26" s="9">
        <v>2794169</v>
      </c>
      <c r="G26" s="9"/>
      <c r="H26" s="9">
        <f>Table1[[#This Row],[Electricity 
meters
smart in
smart 
mode]]+Table1[[#This Row],[Electricity 
meters
smart in
traditional mode]]</f>
        <v>2794169</v>
      </c>
      <c r="I26" s="9">
        <v>23591156</v>
      </c>
      <c r="J26" s="9">
        <f t="shared" si="0"/>
        <v>4863290</v>
      </c>
      <c r="K26" s="9"/>
      <c r="L26" s="9">
        <f>Table1[[#This Row],[Gas meters
total smart meters]]+Table1[[#This Row],[Electricity meters
total smart meters]]</f>
        <v>4863290</v>
      </c>
      <c r="M26" s="9">
        <f>Table1[[#This Row],[Gas meters
non-smart]]+Table1[[#This Row],[Electricity meters
non-smart]]</f>
        <v>43438726</v>
      </c>
      <c r="N26" s="9">
        <f t="shared" si="1"/>
        <v>48302016</v>
      </c>
      <c r="O26" s="26" t="s">
        <v>103</v>
      </c>
    </row>
    <row r="27" spans="1:15" s="93" customFormat="1" ht="22.4" customHeight="1" x14ac:dyDescent="0.35">
      <c r="A27" s="82" t="s">
        <v>104</v>
      </c>
      <c r="B27" s="9">
        <v>2459603</v>
      </c>
      <c r="C27" s="9"/>
      <c r="D27" s="9">
        <f>Table1[[#This Row],[Gas meters
smart in
smart mode]]+Table1[[#This Row],[Gas meters
smart in
traditional mode]]</f>
        <v>2459603</v>
      </c>
      <c r="E27" s="9">
        <v>19222403</v>
      </c>
      <c r="F27" s="9">
        <v>3303814</v>
      </c>
      <c r="G27" s="9"/>
      <c r="H27" s="9">
        <f>Table1[[#This Row],[Electricity 
meters
smart in
smart 
mode]]+Table1[[#This Row],[Electricity 
meters
smart in
traditional mode]]</f>
        <v>3303814</v>
      </c>
      <c r="I27" s="9">
        <v>22807443</v>
      </c>
      <c r="J27" s="9">
        <f t="shared" si="0"/>
        <v>5763417</v>
      </c>
      <c r="K27" s="9"/>
      <c r="L27" s="9">
        <f>Table1[[#This Row],[Gas meters
total smart meters]]+Table1[[#This Row],[Electricity meters
total smart meters]]</f>
        <v>5763417</v>
      </c>
      <c r="M27" s="9">
        <f>Table1[[#This Row],[Gas meters
non-smart]]+Table1[[#This Row],[Electricity meters
non-smart]]</f>
        <v>42029846</v>
      </c>
      <c r="N27" s="9">
        <f t="shared" si="1"/>
        <v>47793263</v>
      </c>
      <c r="O27" s="26"/>
    </row>
    <row r="28" spans="1:15" s="93" customFormat="1" ht="17.149999999999999" customHeight="1" x14ac:dyDescent="0.35">
      <c r="A28" s="82" t="s">
        <v>105</v>
      </c>
      <c r="B28" s="9">
        <v>2863132</v>
      </c>
      <c r="C28" s="9"/>
      <c r="D28" s="9">
        <f>Table1[[#This Row],[Gas meters
smart in
smart mode]]+Table1[[#This Row],[Gas meters
smart in
traditional mode]]</f>
        <v>2863132</v>
      </c>
      <c r="E28" s="9">
        <v>18500128</v>
      </c>
      <c r="F28" s="9">
        <v>3799349</v>
      </c>
      <c r="G28" s="9"/>
      <c r="H28" s="9">
        <f>Table1[[#This Row],[Electricity 
meters
smart in
smart 
mode]]+Table1[[#This Row],[Electricity 
meters
smart in
traditional mode]]</f>
        <v>3799349</v>
      </c>
      <c r="I28" s="9">
        <v>21985359</v>
      </c>
      <c r="J28" s="9">
        <f t="shared" si="0"/>
        <v>6662481</v>
      </c>
      <c r="K28" s="9"/>
      <c r="L28" s="9">
        <f>Table1[[#This Row],[Gas meters
total smart meters]]+Table1[[#This Row],[Electricity meters
total smart meters]]</f>
        <v>6662481</v>
      </c>
      <c r="M28" s="9">
        <f>Table1[[#This Row],[Gas meters
non-smart]]+Table1[[#This Row],[Electricity meters
non-smart]]</f>
        <v>40485487</v>
      </c>
      <c r="N28" s="9">
        <f t="shared" si="1"/>
        <v>47147968</v>
      </c>
      <c r="O28" s="26"/>
    </row>
    <row r="29" spans="1:15" s="93" customFormat="1" ht="17.149999999999999" customHeight="1" x14ac:dyDescent="0.35">
      <c r="A29" s="82" t="s">
        <v>106</v>
      </c>
      <c r="B29" s="9">
        <v>3284119</v>
      </c>
      <c r="C29" s="9"/>
      <c r="D29" s="9">
        <f>Table1[[#This Row],[Gas meters
smart in
smart mode]]+Table1[[#This Row],[Gas meters
smart in
traditional mode]]</f>
        <v>3284119</v>
      </c>
      <c r="E29" s="9">
        <v>17851025</v>
      </c>
      <c r="F29" s="9">
        <v>4306175</v>
      </c>
      <c r="G29" s="9"/>
      <c r="H29" s="9">
        <f>Table1[[#This Row],[Electricity 
meters
smart in
smart 
mode]]+Table1[[#This Row],[Electricity 
meters
smart in
traditional mode]]</f>
        <v>4306175</v>
      </c>
      <c r="I29" s="9">
        <v>21197581</v>
      </c>
      <c r="J29" s="9">
        <f t="shared" si="0"/>
        <v>7590294</v>
      </c>
      <c r="K29" s="9"/>
      <c r="L29" s="9">
        <f>Table1[[#This Row],[Gas meters
total smart meters]]+Table1[[#This Row],[Electricity meters
total smart meters]]</f>
        <v>7590294</v>
      </c>
      <c r="M29" s="9">
        <f>Table1[[#This Row],[Gas meters
non-smart]]+Table1[[#This Row],[Electricity meters
non-smart]]</f>
        <v>39048606</v>
      </c>
      <c r="N29" s="9">
        <f t="shared" si="1"/>
        <v>46638900</v>
      </c>
      <c r="O29" s="26"/>
    </row>
    <row r="30" spans="1:15" s="93" customFormat="1" ht="17.149999999999999" customHeight="1" x14ac:dyDescent="0.35">
      <c r="A30" s="82" t="s">
        <v>107</v>
      </c>
      <c r="B30" s="9">
        <v>3753303</v>
      </c>
      <c r="C30" s="9"/>
      <c r="D30" s="9">
        <f>Table1[[#This Row],[Gas meters
smart in
smart mode]]+Table1[[#This Row],[Gas meters
smart in
traditional mode]]</f>
        <v>3753303</v>
      </c>
      <c r="E30" s="9">
        <v>17529114</v>
      </c>
      <c r="F30" s="9">
        <v>5009188</v>
      </c>
      <c r="G30" s="9"/>
      <c r="H30" s="9">
        <f>Table1[[#This Row],[Electricity 
meters
smart in
smart 
mode]]+Table1[[#This Row],[Electricity 
meters
smart in
traditional mode]]</f>
        <v>5009188</v>
      </c>
      <c r="I30" s="9">
        <v>20676394</v>
      </c>
      <c r="J30" s="9">
        <f t="shared" si="0"/>
        <v>8762491</v>
      </c>
      <c r="K30" s="9"/>
      <c r="L30" s="9">
        <f>Table1[[#This Row],[Gas meters
total smart meters]]+Table1[[#This Row],[Electricity meters
total smart meters]]</f>
        <v>8762491</v>
      </c>
      <c r="M30" s="9">
        <f>Table1[[#This Row],[Gas meters
non-smart]]+Table1[[#This Row],[Electricity meters
non-smart]]</f>
        <v>38205508</v>
      </c>
      <c r="N30" s="9">
        <f t="shared" si="1"/>
        <v>46967999</v>
      </c>
      <c r="O30" s="26" t="s">
        <v>108</v>
      </c>
    </row>
    <row r="31" spans="1:15" s="93" customFormat="1" ht="22.4" customHeight="1" x14ac:dyDescent="0.35">
      <c r="A31" s="82" t="s">
        <v>109</v>
      </c>
      <c r="B31" s="9">
        <v>4189869</v>
      </c>
      <c r="C31" s="9"/>
      <c r="D31" s="9">
        <f>Table1[[#This Row],[Gas meters
smart in
smart mode]]+Table1[[#This Row],[Gas meters
smart in
traditional mode]]</f>
        <v>4189869</v>
      </c>
      <c r="E31" s="9">
        <v>17234249</v>
      </c>
      <c r="F31" s="9">
        <v>5599628</v>
      </c>
      <c r="G31" s="9"/>
      <c r="H31" s="9">
        <f>Table1[[#This Row],[Electricity 
meters
smart in
smart 
mode]]+Table1[[#This Row],[Electricity 
meters
smart in
traditional mode]]</f>
        <v>5599628</v>
      </c>
      <c r="I31" s="9">
        <v>20188355</v>
      </c>
      <c r="J31" s="9">
        <f t="shared" si="0"/>
        <v>9789497</v>
      </c>
      <c r="K31" s="9"/>
      <c r="L31" s="9">
        <f>Table1[[#This Row],[Gas meters
total smart meters]]+Table1[[#This Row],[Electricity meters
total smart meters]]</f>
        <v>9789497</v>
      </c>
      <c r="M31" s="9">
        <f>Table1[[#This Row],[Gas meters
non-smart]]+Table1[[#This Row],[Electricity meters
non-smart]]</f>
        <v>37422604</v>
      </c>
      <c r="N31" s="9">
        <f t="shared" si="1"/>
        <v>47212101</v>
      </c>
      <c r="O31" s="26" t="s">
        <v>110</v>
      </c>
    </row>
    <row r="32" spans="1:15" s="93" customFormat="1" ht="17.149999999999999" customHeight="1" x14ac:dyDescent="0.35">
      <c r="A32" s="82" t="s">
        <v>111</v>
      </c>
      <c r="B32" s="9">
        <v>4578464</v>
      </c>
      <c r="C32" s="9"/>
      <c r="D32" s="9">
        <f>Table1[[#This Row],[Gas meters
smart in
smart mode]]+Table1[[#This Row],[Gas meters
smart in
traditional mode]]</f>
        <v>4578464</v>
      </c>
      <c r="E32" s="9">
        <v>16642965</v>
      </c>
      <c r="F32" s="9">
        <v>6137997</v>
      </c>
      <c r="G32" s="9"/>
      <c r="H32" s="9">
        <f>Table1[[#This Row],[Electricity 
meters
smart in
smart 
mode]]+Table1[[#This Row],[Electricity 
meters
smart in
traditional mode]]</f>
        <v>6137997</v>
      </c>
      <c r="I32" s="9">
        <v>19434593</v>
      </c>
      <c r="J32" s="9">
        <f t="shared" si="0"/>
        <v>10716461</v>
      </c>
      <c r="K32" s="9"/>
      <c r="L32" s="9">
        <f>Table1[[#This Row],[Gas meters
total smart meters]]+Table1[[#This Row],[Electricity meters
total smart meters]]</f>
        <v>10716461</v>
      </c>
      <c r="M32" s="9">
        <f>Table1[[#This Row],[Gas meters
non-smart]]+Table1[[#This Row],[Electricity meters
non-smart]]</f>
        <v>36077558</v>
      </c>
      <c r="N32" s="9">
        <f t="shared" si="1"/>
        <v>46794019</v>
      </c>
      <c r="O32" s="26"/>
    </row>
    <row r="33" spans="1:15" s="93" customFormat="1" ht="17.149999999999999" customHeight="1" x14ac:dyDescent="0.35">
      <c r="A33" s="82" t="s">
        <v>112</v>
      </c>
      <c r="B33" s="9">
        <v>4910018</v>
      </c>
      <c r="C33" s="9"/>
      <c r="D33" s="9">
        <f>Table1[[#This Row],[Gas meters
smart in
smart mode]]+Table1[[#This Row],[Gas meters
smart in
traditional mode]]</f>
        <v>4910018</v>
      </c>
      <c r="E33" s="9">
        <v>16082377</v>
      </c>
      <c r="F33" s="9">
        <v>6547243</v>
      </c>
      <c r="G33" s="9"/>
      <c r="H33" s="9">
        <f>Table1[[#This Row],[Electricity 
meters
smart in
smart 
mode]]+Table1[[#This Row],[Electricity 
meters
smart in
traditional mode]]</f>
        <v>6547243</v>
      </c>
      <c r="I33" s="9">
        <v>18771766</v>
      </c>
      <c r="J33" s="9">
        <f t="shared" si="0"/>
        <v>11457261</v>
      </c>
      <c r="K33" s="9"/>
      <c r="L33" s="9">
        <f>Table1[[#This Row],[Gas meters
total smart meters]]+Table1[[#This Row],[Electricity meters
total smart meters]]</f>
        <v>11457261</v>
      </c>
      <c r="M33" s="9">
        <f>Table1[[#This Row],[Gas meters
non-smart]]+Table1[[#This Row],[Electricity meters
non-smart]]</f>
        <v>34854143</v>
      </c>
      <c r="N33" s="9">
        <f t="shared" si="1"/>
        <v>46311404</v>
      </c>
      <c r="O33" s="26"/>
    </row>
    <row r="34" spans="1:15" s="93" customFormat="1" ht="17.149999999999999" customHeight="1" x14ac:dyDescent="0.35">
      <c r="A34" s="82" t="s">
        <v>113</v>
      </c>
      <c r="B34" s="9">
        <v>5266181</v>
      </c>
      <c r="C34" s="9">
        <v>687942</v>
      </c>
      <c r="D34" s="9">
        <f>Table1[[#This Row],[Gas meters
smart in
smart mode]]+Table1[[#This Row],[Gas meters
smart in
traditional mode]]</f>
        <v>5954123</v>
      </c>
      <c r="E34" s="9">
        <v>15445560</v>
      </c>
      <c r="F34" s="9">
        <v>7027058</v>
      </c>
      <c r="G34" s="9">
        <v>913408</v>
      </c>
      <c r="H34" s="9">
        <f>Table1[[#This Row],[Electricity 
meters
smart in
smart 
mode]]+Table1[[#This Row],[Electricity 
meters
smart in
traditional mode]]</f>
        <v>7940466</v>
      </c>
      <c r="I34" s="9">
        <v>17922870</v>
      </c>
      <c r="J34" s="9">
        <f t="shared" si="0"/>
        <v>12293239</v>
      </c>
      <c r="K34" s="9">
        <f>C34+G34</f>
        <v>1601350</v>
      </c>
      <c r="L34" s="9">
        <f>Table1[[#This Row],[Gas meters
total smart meters]]+Table1[[#This Row],[Electricity meters
total smart meters]]</f>
        <v>13894589</v>
      </c>
      <c r="M34" s="9">
        <f>Table1[[#This Row],[Gas meters
non-smart]]+Table1[[#This Row],[Electricity meters
non-smart]]</f>
        <v>33368430</v>
      </c>
      <c r="N34" s="9">
        <f t="shared" si="1"/>
        <v>47263019</v>
      </c>
      <c r="O34" s="26" t="s">
        <v>114</v>
      </c>
    </row>
    <row r="35" spans="1:15" s="93" customFormat="1" ht="22.4" customHeight="1" x14ac:dyDescent="0.35">
      <c r="A35" s="82" t="s">
        <v>115</v>
      </c>
      <c r="B35" s="9">
        <v>5515114</v>
      </c>
      <c r="C35" s="9">
        <v>822164</v>
      </c>
      <c r="D35" s="9">
        <f>Table1[[#This Row],[Gas meters
smart in
smart mode]]+Table1[[#This Row],[Gas meters
smart in
traditional mode]]</f>
        <v>6337278</v>
      </c>
      <c r="E35" s="9">
        <v>14953399</v>
      </c>
      <c r="F35" s="9">
        <v>7325328</v>
      </c>
      <c r="G35" s="9">
        <v>1150502</v>
      </c>
      <c r="H35" s="9">
        <f>Table1[[#This Row],[Electricity 
meters
smart in
smart 
mode]]+Table1[[#This Row],[Electricity 
meters
smart in
traditional mode]]</f>
        <v>8475830</v>
      </c>
      <c r="I35" s="9">
        <v>17265694</v>
      </c>
      <c r="J35" s="9">
        <f t="shared" si="0"/>
        <v>12840442</v>
      </c>
      <c r="K35" s="9">
        <f t="shared" ref="K35:K45" si="2">C35+G35</f>
        <v>1972666</v>
      </c>
      <c r="L35" s="9">
        <f>Table1[[#This Row],[Gas meters
total smart meters]]+Table1[[#This Row],[Electricity meters
total smart meters]]</f>
        <v>14813108</v>
      </c>
      <c r="M35" s="9">
        <f>Table1[[#This Row],[Gas meters
non-smart]]+Table1[[#This Row],[Electricity meters
non-smart]]</f>
        <v>32219093</v>
      </c>
      <c r="N35" s="9">
        <f t="shared" si="1"/>
        <v>47032201</v>
      </c>
      <c r="O35" s="26" t="s">
        <v>116</v>
      </c>
    </row>
    <row r="36" spans="1:15" s="93" customFormat="1" ht="17.149999999999999" customHeight="1" x14ac:dyDescent="0.35">
      <c r="A36" s="82" t="s">
        <v>117</v>
      </c>
      <c r="B36" s="9">
        <v>5742799</v>
      </c>
      <c r="C36" s="9">
        <v>1004675</v>
      </c>
      <c r="D36" s="9">
        <f>Table1[[#This Row],[Gas meters
smart in
smart mode]]+Table1[[#This Row],[Gas meters
smart in
traditional mode]]</f>
        <v>6747474</v>
      </c>
      <c r="E36" s="9">
        <v>14496277</v>
      </c>
      <c r="F36" s="9">
        <v>7654779</v>
      </c>
      <c r="G36" s="9">
        <v>1370965</v>
      </c>
      <c r="H36" s="9">
        <f>Table1[[#This Row],[Electricity 
meters
smart in
smart 
mode]]+Table1[[#This Row],[Electricity 
meters
smart in
traditional mode]]</f>
        <v>9025744</v>
      </c>
      <c r="I36" s="9">
        <v>16667334</v>
      </c>
      <c r="J36" s="9">
        <f t="shared" si="0"/>
        <v>13397578</v>
      </c>
      <c r="K36" s="9">
        <f t="shared" si="2"/>
        <v>2375640</v>
      </c>
      <c r="L36" s="9">
        <f>Table1[[#This Row],[Gas meters
total smart meters]]+Table1[[#This Row],[Electricity meters
total smart meters]]</f>
        <v>15773218</v>
      </c>
      <c r="M36" s="9">
        <f>Table1[[#This Row],[Gas meters
non-smart]]+Table1[[#This Row],[Electricity meters
non-smart]]</f>
        <v>31163611</v>
      </c>
      <c r="N36" s="9">
        <f t="shared" si="1"/>
        <v>46936829</v>
      </c>
      <c r="O36" s="26"/>
    </row>
    <row r="37" spans="1:15" s="93" customFormat="1" ht="17.149999999999999" customHeight="1" x14ac:dyDescent="0.35">
      <c r="A37" s="82" t="s">
        <v>118</v>
      </c>
      <c r="B37" s="10">
        <v>5995365</v>
      </c>
      <c r="C37" s="10">
        <v>1194248</v>
      </c>
      <c r="D37" s="10">
        <f>Table1[[#This Row],[Gas meters
smart in
smart mode]]+Table1[[#This Row],[Gas meters
smart in
traditional mode]]</f>
        <v>7189613</v>
      </c>
      <c r="E37" s="10">
        <v>14015676</v>
      </c>
      <c r="F37" s="10">
        <v>8017974</v>
      </c>
      <c r="G37" s="10">
        <v>1653253</v>
      </c>
      <c r="H37" s="10">
        <f>Table1[[#This Row],[Electricity 
meters
smart in
smart 
mode]]+Table1[[#This Row],[Electricity 
meters
smart in
traditional mode]]</f>
        <v>9671227</v>
      </c>
      <c r="I37" s="10">
        <v>16002566</v>
      </c>
      <c r="J37" s="9">
        <f t="shared" si="0"/>
        <v>14013339</v>
      </c>
      <c r="K37" s="9">
        <f t="shared" si="2"/>
        <v>2847501</v>
      </c>
      <c r="L37" s="9">
        <f>Table1[[#This Row],[Gas meters
total smart meters]]+Table1[[#This Row],[Electricity meters
total smart meters]]</f>
        <v>16860840</v>
      </c>
      <c r="M37" s="10">
        <f>Table1[[#This Row],[Gas meters
non-smart]]+Table1[[#This Row],[Electricity meters
non-smart]]</f>
        <v>30018242</v>
      </c>
      <c r="N37" s="9">
        <f t="shared" si="1"/>
        <v>46879082</v>
      </c>
      <c r="O37" s="26"/>
    </row>
    <row r="38" spans="1:15" s="93" customFormat="1" ht="17.149999999999999" customHeight="1" x14ac:dyDescent="0.35">
      <c r="A38" s="82" t="s">
        <v>119</v>
      </c>
      <c r="B38" s="10">
        <v>6294285</v>
      </c>
      <c r="C38" s="10">
        <v>1495786</v>
      </c>
      <c r="D38" s="10">
        <f>Table1[[#This Row],[Gas meters
smart in
smart mode]]+Table1[[#This Row],[Gas meters
smart in
traditional mode]]</f>
        <v>7790071</v>
      </c>
      <c r="E38" s="10">
        <v>14023880</v>
      </c>
      <c r="F38" s="10">
        <v>8431865</v>
      </c>
      <c r="G38" s="10">
        <v>1989202</v>
      </c>
      <c r="H38" s="10">
        <f>Table1[[#This Row],[Electricity 
meters
smart in
smart 
mode]]+Table1[[#This Row],[Electricity 
meters
smart in
traditional mode]]</f>
        <v>10421067</v>
      </c>
      <c r="I38" s="10">
        <v>16073174</v>
      </c>
      <c r="J38" s="9">
        <f t="shared" si="0"/>
        <v>14726150</v>
      </c>
      <c r="K38" s="9">
        <f t="shared" si="2"/>
        <v>3484988</v>
      </c>
      <c r="L38" s="9">
        <f>Table1[[#This Row],[Gas meters
total smart meters]]+Table1[[#This Row],[Electricity meters
total smart meters]]</f>
        <v>18211138</v>
      </c>
      <c r="M38" s="10">
        <f>Table1[[#This Row],[Gas meters
non-smart]]+Table1[[#This Row],[Electricity meters
non-smart]]</f>
        <v>30097054</v>
      </c>
      <c r="N38" s="9">
        <f t="shared" si="1"/>
        <v>48308192</v>
      </c>
      <c r="O38" s="26" t="s">
        <v>120</v>
      </c>
    </row>
    <row r="39" spans="1:15" s="93" customFormat="1" ht="22.4" customHeight="1" x14ac:dyDescent="0.35">
      <c r="A39" s="82" t="s">
        <v>121</v>
      </c>
      <c r="B39" s="10">
        <v>6585917</v>
      </c>
      <c r="C39" s="10">
        <v>1667483</v>
      </c>
      <c r="D39" s="10">
        <f>Table1[[#This Row],[Gas meters
smart in
smart mode]]+Table1[[#This Row],[Gas meters
smart in
traditional mode]]</f>
        <v>8253400</v>
      </c>
      <c r="E39" s="10">
        <v>13867910</v>
      </c>
      <c r="F39" s="10">
        <v>8932589</v>
      </c>
      <c r="G39" s="10">
        <v>2028510</v>
      </c>
      <c r="H39" s="10">
        <f>Table1[[#This Row],[Electricity 
meters
smart in
smart 
mode]]+Table1[[#This Row],[Electricity 
meters
smart in
traditional mode]]</f>
        <v>10961099</v>
      </c>
      <c r="I39" s="10">
        <v>15593200</v>
      </c>
      <c r="J39" s="9">
        <f t="shared" si="0"/>
        <v>15518506</v>
      </c>
      <c r="K39" s="10">
        <f t="shared" si="2"/>
        <v>3695993</v>
      </c>
      <c r="L39" s="10">
        <f>Table1[[#This Row],[Gas meters
total smart meters]]+Table1[[#This Row],[Electricity meters
total smart meters]]</f>
        <v>19214499</v>
      </c>
      <c r="M39" s="10">
        <f>Table1[[#This Row],[Gas meters
non-smart]]+Table1[[#This Row],[Electricity meters
non-smart]]</f>
        <v>29461110</v>
      </c>
      <c r="N39" s="9">
        <f t="shared" si="1"/>
        <v>48675609</v>
      </c>
      <c r="O39" s="26" t="s">
        <v>122</v>
      </c>
    </row>
    <row r="40" spans="1:15" s="93" customFormat="1" ht="17.149999999999999" customHeight="1" x14ac:dyDescent="0.35">
      <c r="A40" s="82" t="s">
        <v>123</v>
      </c>
      <c r="B40" s="10">
        <v>6623632</v>
      </c>
      <c r="C40" s="10">
        <v>1622086</v>
      </c>
      <c r="D40" s="10">
        <f>Table1[[#This Row],[Gas meters
smart in
smart mode]]+Table1[[#This Row],[Gas meters
smart in
traditional mode]]</f>
        <v>8245718</v>
      </c>
      <c r="E40" s="10">
        <v>13691730</v>
      </c>
      <c r="F40" s="10">
        <v>8953977</v>
      </c>
      <c r="G40" s="10">
        <v>2009973</v>
      </c>
      <c r="H40" s="10">
        <f>Table1[[#This Row],[Electricity 
meters
smart in
smart 
mode]]+Table1[[#This Row],[Electricity 
meters
smart in
traditional mode]]</f>
        <v>10963950</v>
      </c>
      <c r="I40" s="10">
        <v>15536534</v>
      </c>
      <c r="J40" s="9">
        <f t="shared" si="0"/>
        <v>15577609</v>
      </c>
      <c r="K40" s="10">
        <f t="shared" si="2"/>
        <v>3632059</v>
      </c>
      <c r="L40" s="10">
        <f>Table1[[#This Row],[Gas meters
total smart meters]]+Table1[[#This Row],[Electricity meters
total smart meters]]</f>
        <v>19209668</v>
      </c>
      <c r="M40" s="10">
        <f>Table1[[#This Row],[Gas meters
non-smart]]+Table1[[#This Row],[Electricity meters
non-smart]]</f>
        <v>29228264</v>
      </c>
      <c r="N40" s="9">
        <f t="shared" si="1"/>
        <v>48437932</v>
      </c>
      <c r="O40" s="26"/>
    </row>
    <row r="41" spans="1:15" s="93" customFormat="1" ht="17.149999999999999" customHeight="1" x14ac:dyDescent="0.35">
      <c r="A41" s="82" t="s">
        <v>124</v>
      </c>
      <c r="B41" s="10">
        <v>6885507</v>
      </c>
      <c r="C41" s="10">
        <v>1674516</v>
      </c>
      <c r="D41" s="10">
        <f>Table1[[#This Row],[Gas meters
smart in
smart mode]]+Table1[[#This Row],[Gas meters
smart in
traditional mode]]</f>
        <v>8560023</v>
      </c>
      <c r="E41" s="10">
        <v>13411355</v>
      </c>
      <c r="F41" s="10">
        <v>9367496</v>
      </c>
      <c r="G41" s="10">
        <v>2022874</v>
      </c>
      <c r="H41" s="10">
        <f>Table1[[#This Row],[Electricity 
meters
smart in
smart 
mode]]+Table1[[#This Row],[Electricity 
meters
smart in
traditional mode]]</f>
        <v>11390370</v>
      </c>
      <c r="I41" s="10">
        <v>15132341</v>
      </c>
      <c r="J41" s="9">
        <f t="shared" si="0"/>
        <v>16253003</v>
      </c>
      <c r="K41" s="10">
        <f t="shared" si="2"/>
        <v>3697390</v>
      </c>
      <c r="L41" s="10">
        <f>Table1[[#This Row],[Gas meters
total smart meters]]+Table1[[#This Row],[Electricity meters
total smart meters]]</f>
        <v>19950393</v>
      </c>
      <c r="M41" s="10">
        <f>Table1[[#This Row],[Gas meters
non-smart]]+Table1[[#This Row],[Electricity meters
non-smart]]</f>
        <v>28543696</v>
      </c>
      <c r="N41" s="9">
        <f t="shared" si="1"/>
        <v>48494089</v>
      </c>
      <c r="O41" s="26"/>
    </row>
    <row r="42" spans="1:15" s="93" customFormat="1" ht="17.149999999999999" customHeight="1" x14ac:dyDescent="0.35">
      <c r="A42" s="82" t="s">
        <v>125</v>
      </c>
      <c r="B42" s="10">
        <v>7227534</v>
      </c>
      <c r="C42" s="10">
        <v>1847951</v>
      </c>
      <c r="D42" s="10">
        <f>Table1[[#This Row],[Gas meters
smart in
smart mode]]+Table1[[#This Row],[Gas meters
smart in
traditional mode]]</f>
        <v>9075485</v>
      </c>
      <c r="E42" s="10">
        <v>13222177</v>
      </c>
      <c r="F42" s="10">
        <v>9884841</v>
      </c>
      <c r="G42" s="10">
        <v>2118166</v>
      </c>
      <c r="H42" s="10">
        <f>Table1[[#This Row],[Electricity 
meters
smart in
smart 
mode]]+Table1[[#This Row],[Electricity 
meters
smart in
traditional mode]]</f>
        <v>12003007</v>
      </c>
      <c r="I42" s="10">
        <v>14852091</v>
      </c>
      <c r="J42" s="9">
        <f t="shared" si="0"/>
        <v>17112375</v>
      </c>
      <c r="K42" s="10">
        <f t="shared" si="2"/>
        <v>3966117</v>
      </c>
      <c r="L42" s="10">
        <f>Table1[[#This Row],[Gas meters
total smart meters]]+Table1[[#This Row],[Electricity meters
total smart meters]]</f>
        <v>21078492</v>
      </c>
      <c r="M42" s="10">
        <f>Table1[[#This Row],[Gas meters
non-smart]]+Table1[[#This Row],[Electricity meters
non-smart]]</f>
        <v>28074268</v>
      </c>
      <c r="N42" s="9">
        <f t="shared" si="1"/>
        <v>49152760</v>
      </c>
      <c r="O42" s="26" t="s">
        <v>126</v>
      </c>
    </row>
    <row r="43" spans="1:15" s="93" customFormat="1" ht="22.4" customHeight="1" x14ac:dyDescent="0.35">
      <c r="A43" s="82" t="s">
        <v>127</v>
      </c>
      <c r="B43" s="10">
        <v>7492053</v>
      </c>
      <c r="C43" s="10">
        <v>1807674</v>
      </c>
      <c r="D43" s="10">
        <f>Table1[[#This Row],[Gas meters
smart in
smart mode]]+Table1[[#This Row],[Gas meters
smart in
traditional mode]]</f>
        <v>9299727</v>
      </c>
      <c r="E43" s="10">
        <v>12694537</v>
      </c>
      <c r="F43" s="10">
        <v>10318212</v>
      </c>
      <c r="G43" s="10">
        <v>2040020</v>
      </c>
      <c r="H43" s="10">
        <f>Table1[[#This Row],[Electricity 
meters
smart in
smart 
mode]]+Table1[[#This Row],[Electricity 
meters
smart in
traditional mode]]</f>
        <v>12358232</v>
      </c>
      <c r="I43" s="10">
        <v>14097011</v>
      </c>
      <c r="J43" s="9">
        <f t="shared" si="0"/>
        <v>17810265</v>
      </c>
      <c r="K43" s="10">
        <f t="shared" si="2"/>
        <v>3847694</v>
      </c>
      <c r="L43" s="10">
        <f>Table1[[#This Row],[Gas meters
total smart meters]]+Table1[[#This Row],[Electricity meters
total smart meters]]</f>
        <v>21657959</v>
      </c>
      <c r="M43" s="10">
        <f>Table1[[#This Row],[Gas meters
non-smart]]+Table1[[#This Row],[Electricity meters
non-smart]]</f>
        <v>26791548</v>
      </c>
      <c r="N43" s="9">
        <f t="shared" si="1"/>
        <v>48449507</v>
      </c>
      <c r="O43" s="26"/>
    </row>
    <row r="44" spans="1:15" s="93" customFormat="1" ht="16.5" customHeight="1" x14ac:dyDescent="0.35">
      <c r="A44" s="82" t="s">
        <v>128</v>
      </c>
      <c r="B44" s="10">
        <v>7765924</v>
      </c>
      <c r="C44" s="10">
        <v>1875256</v>
      </c>
      <c r="D44" s="10">
        <f>Table1[[#This Row],[Gas meters
smart in
smart mode]]+Table1[[#This Row],[Gas meters
smart in
traditional mode]]</f>
        <v>9641180</v>
      </c>
      <c r="E44" s="10">
        <v>12479909</v>
      </c>
      <c r="F44" s="10">
        <v>10838574</v>
      </c>
      <c r="G44" s="10">
        <v>2126942</v>
      </c>
      <c r="H44" s="10">
        <f>Table1[[#This Row],[Electricity 
meters
smart in
smart 
mode]]+Table1[[#This Row],[Electricity 
meters
smart in
traditional mode]]</f>
        <v>12965516</v>
      </c>
      <c r="I44" s="10">
        <v>13698565</v>
      </c>
      <c r="J44" s="9">
        <f t="shared" si="0"/>
        <v>18604498</v>
      </c>
      <c r="K44" s="10">
        <f t="shared" si="2"/>
        <v>4002198</v>
      </c>
      <c r="L44" s="10">
        <f>Table1[[#This Row],[Gas meters
total smart meters]]+Table1[[#This Row],[Electricity meters
total smart meters]]</f>
        <v>22606696</v>
      </c>
      <c r="M44" s="10">
        <f>Table1[[#This Row],[Gas meters
non-smart]]+Table1[[#This Row],[Electricity meters
non-smart]]</f>
        <v>26178474</v>
      </c>
      <c r="N44" s="9">
        <f t="shared" si="1"/>
        <v>48785170</v>
      </c>
      <c r="O44" s="26"/>
    </row>
    <row r="45" spans="1:15" s="93" customFormat="1" ht="16.5" customHeight="1" x14ac:dyDescent="0.35">
      <c r="A45" s="82" t="s">
        <v>129</v>
      </c>
      <c r="B45" s="10">
        <v>8129806</v>
      </c>
      <c r="C45" s="10">
        <v>2010876</v>
      </c>
      <c r="D45" s="10">
        <f>Table1[[#This Row],[Gas meters
smart in
smart mode]]+Table1[[#This Row],[Gas meters
smart in
traditional mode]]</f>
        <v>10140682</v>
      </c>
      <c r="E45" s="10">
        <v>12081010</v>
      </c>
      <c r="F45" s="10">
        <v>11362116</v>
      </c>
      <c r="G45" s="10">
        <v>2184441</v>
      </c>
      <c r="H45" s="10">
        <f>Table1[[#This Row],[Electricity 
meters
smart in
smart 
mode]]+Table1[[#This Row],[Electricity 
meters
smart in
traditional mode]]</f>
        <v>13546557</v>
      </c>
      <c r="I45" s="10">
        <v>13289775</v>
      </c>
      <c r="J45" s="9">
        <f t="shared" si="0"/>
        <v>19491922</v>
      </c>
      <c r="K45" s="10">
        <f t="shared" si="2"/>
        <v>4195317</v>
      </c>
      <c r="L45" s="10">
        <f>Table1[[#This Row],[Gas meters
total smart meters]]+Table1[[#This Row],[Electricity meters
total smart meters]]</f>
        <v>23687239</v>
      </c>
      <c r="M45" s="10">
        <f>Table1[[#This Row],[Gas meters
non-smart]]+Table1[[#This Row],[Electricity meters
non-smart]]</f>
        <v>25370785</v>
      </c>
      <c r="N45" s="9">
        <f t="shared" si="1"/>
        <v>49058024</v>
      </c>
      <c r="O45" s="26" t="s">
        <v>130</v>
      </c>
    </row>
    <row r="46" spans="1:15" s="93" customFormat="1" ht="16.5" customHeight="1" x14ac:dyDescent="0.35">
      <c r="A46" s="82" t="s">
        <v>131</v>
      </c>
      <c r="B46" s="10">
        <v>9164751</v>
      </c>
      <c r="C46" s="10">
        <v>1968329</v>
      </c>
      <c r="D46" s="10">
        <f>Table1[[#This Row],[Gas meters
smart in
smart mode]]+Table1[[#This Row],[Gas meters
smart in
traditional mode]]</f>
        <v>11133080</v>
      </c>
      <c r="E46" s="10">
        <v>12526982</v>
      </c>
      <c r="F46" s="10">
        <v>12688315</v>
      </c>
      <c r="G46" s="10">
        <v>2119559</v>
      </c>
      <c r="H46" s="10">
        <f>Table1[[#This Row],[Electricity 
meters
smart in
smart 
mode]]+Table1[[#This Row],[Electricity 
meters
smart in
traditional mode]]</f>
        <v>14807874</v>
      </c>
      <c r="I46" s="10">
        <v>13766041</v>
      </c>
      <c r="J46" s="9">
        <f t="shared" si="0"/>
        <v>21853066</v>
      </c>
      <c r="K46" s="10">
        <f t="shared" ref="K46" si="3">C46+G46</f>
        <v>4087888</v>
      </c>
      <c r="L46" s="10">
        <f>Table1[[#This Row],[Gas meters
total smart meters]]+Table1[[#This Row],[Electricity meters
total smart meters]]</f>
        <v>25940954</v>
      </c>
      <c r="M46" s="10">
        <f>Table1[[#This Row],[Gas meters
non-smart]]+Table1[[#This Row],[Electricity meters
non-smart]]</f>
        <v>26293023</v>
      </c>
      <c r="N46" s="9">
        <f t="shared" si="1"/>
        <v>52233977</v>
      </c>
      <c r="O46" s="26" t="s">
        <v>132</v>
      </c>
    </row>
    <row r="47" spans="1:15" s="93" customFormat="1" ht="22.4" customHeight="1" x14ac:dyDescent="0.35">
      <c r="A47" s="82" t="s">
        <v>133</v>
      </c>
      <c r="B47" s="9">
        <v>9716697</v>
      </c>
      <c r="C47" s="9">
        <v>1841739</v>
      </c>
      <c r="D47" s="9">
        <f>Table1[[#This Row],[Gas meters
smart in
smart mode]]+Table1[[#This Row],[Gas meters
smart in
traditional mode]]</f>
        <v>11558436</v>
      </c>
      <c r="E47" s="9">
        <v>12176299</v>
      </c>
      <c r="F47" s="9">
        <v>13689569</v>
      </c>
      <c r="G47" s="9">
        <v>1655389</v>
      </c>
      <c r="H47" s="9">
        <f>Table1[[#This Row],[Electricity 
meters
smart in
smart 
mode]]+Table1[[#This Row],[Electricity 
meters
smart in
traditional mode]]</f>
        <v>15344958</v>
      </c>
      <c r="I47" s="9">
        <v>13406319</v>
      </c>
      <c r="J47" s="9">
        <f t="shared" si="0"/>
        <v>23406266</v>
      </c>
      <c r="K47" s="10">
        <f t="shared" ref="K47" si="4">C47+G47</f>
        <v>3497128</v>
      </c>
      <c r="L47" s="10">
        <f>Table1[[#This Row],[Gas meters
total smart meters]]+Table1[[#This Row],[Electricity meters
total smart meters]]</f>
        <v>26903394</v>
      </c>
      <c r="M47" s="10">
        <f>Table1[[#This Row],[Gas meters
non-smart]]+Table1[[#This Row],[Electricity meters
non-smart]]</f>
        <v>25582618</v>
      </c>
      <c r="N47" s="9">
        <f t="shared" si="1"/>
        <v>52486012</v>
      </c>
      <c r="O47" s="55"/>
    </row>
    <row r="48" spans="1:15" s="93" customFormat="1" ht="16.5" customHeight="1" x14ac:dyDescent="0.35">
      <c r="A48" s="82" t="s">
        <v>134</v>
      </c>
      <c r="B48" s="9">
        <v>9883692</v>
      </c>
      <c r="C48" s="9">
        <v>1983479</v>
      </c>
      <c r="D48" s="9">
        <f>Table1[[#This Row],[Gas meters
smart in
smart mode]]+Table1[[#This Row],[Gas meters
smart in
traditional mode]]</f>
        <v>11867171</v>
      </c>
      <c r="E48" s="9">
        <v>11874596</v>
      </c>
      <c r="F48" s="9">
        <v>13973050</v>
      </c>
      <c r="G48" s="9">
        <v>1730072</v>
      </c>
      <c r="H48" s="9">
        <f>Table1[[#This Row],[Electricity 
meters
smart in
smart 
mode]]+Table1[[#This Row],[Electricity 
meters
smart in
traditional mode]]</f>
        <v>15703122</v>
      </c>
      <c r="I48" s="9">
        <v>13029841</v>
      </c>
      <c r="J48" s="9">
        <f t="shared" si="0"/>
        <v>23856742</v>
      </c>
      <c r="K48" s="10">
        <f t="shared" ref="K48" si="5">C48+G48</f>
        <v>3713551</v>
      </c>
      <c r="L48" s="10">
        <f>Table1[[#This Row],[Gas meters
total smart meters]]+Table1[[#This Row],[Electricity meters
total smart meters]]</f>
        <v>27570293</v>
      </c>
      <c r="M48" s="10">
        <f>Table1[[#This Row],[Gas meters
non-smart]]+Table1[[#This Row],[Electricity meters
non-smart]]</f>
        <v>24904437</v>
      </c>
      <c r="N48" s="9">
        <f t="shared" si="1"/>
        <v>52474730</v>
      </c>
      <c r="O48" s="57"/>
    </row>
    <row r="49" spans="1:15" s="93" customFormat="1" ht="17.149999999999999" customHeight="1" x14ac:dyDescent="0.35">
      <c r="A49" s="58" t="s">
        <v>135</v>
      </c>
      <c r="B49" s="9">
        <v>10276050</v>
      </c>
      <c r="C49" s="9">
        <v>1962239</v>
      </c>
      <c r="D49" s="9">
        <f>Table1[[#This Row],[Gas meters
smart in
smart mode]]+Table1[[#This Row],[Gas meters
smart in
traditional mode]]</f>
        <v>12238289</v>
      </c>
      <c r="E49" s="9">
        <v>11590809</v>
      </c>
      <c r="F49" s="9">
        <v>14464391</v>
      </c>
      <c r="G49" s="9">
        <v>1749444</v>
      </c>
      <c r="H49" s="9">
        <f>Table1[[#This Row],[Electricity 
meters
smart in
smart 
mode]]+Table1[[#This Row],[Electricity 
meters
smart in
traditional mode]]</f>
        <v>16213835</v>
      </c>
      <c r="I49" s="9">
        <v>12660156</v>
      </c>
      <c r="J49" s="9">
        <f t="shared" si="0"/>
        <v>24740441</v>
      </c>
      <c r="K49" s="10">
        <f t="shared" ref="K49" si="6">C49+G49</f>
        <v>3711683</v>
      </c>
      <c r="L49" s="10">
        <f>Table1[[#This Row],[Gas meters
total smart meters]]+Table1[[#This Row],[Electricity meters
total smart meters]]</f>
        <v>28452124</v>
      </c>
      <c r="M49" s="10">
        <f>Table1[[#This Row],[Gas meters
non-smart]]+Table1[[#This Row],[Electricity meters
non-smart]]</f>
        <v>24250965</v>
      </c>
      <c r="N49" s="9">
        <f t="shared" si="1"/>
        <v>52703089</v>
      </c>
      <c r="O49" s="55"/>
    </row>
    <row r="50" spans="1:15" s="93" customFormat="1" ht="17.149999999999999" customHeight="1" x14ac:dyDescent="0.35">
      <c r="A50" s="58" t="s">
        <v>136</v>
      </c>
      <c r="B50" s="9">
        <v>11015223</v>
      </c>
      <c r="C50" s="9">
        <v>1592060</v>
      </c>
      <c r="D50" s="9">
        <f>Table1[[#This Row],[Gas meters
smart in
smart mode]]+Table1[[#This Row],[Gas meters
smart in
traditional mode]]</f>
        <v>12607283</v>
      </c>
      <c r="E50" s="9">
        <v>11285320</v>
      </c>
      <c r="F50" s="9">
        <v>15199791</v>
      </c>
      <c r="G50" s="9">
        <v>1523433</v>
      </c>
      <c r="H50" s="9">
        <f>Table1[[#This Row],[Electricity 
meters
smart in
smart 
mode]]+Table1[[#This Row],[Electricity 
meters
smart in
traditional mode]]</f>
        <v>16723224</v>
      </c>
      <c r="I50" s="9">
        <v>12222663</v>
      </c>
      <c r="J50" s="9">
        <f t="shared" si="0"/>
        <v>26215014</v>
      </c>
      <c r="K50" s="10">
        <f t="shared" ref="K50" si="7">C50+G50</f>
        <v>3115493</v>
      </c>
      <c r="L50" s="10">
        <f>Table1[[#This Row],[Gas meters
total smart meters]]+Table1[[#This Row],[Electricity meters
total smart meters]]</f>
        <v>29330507</v>
      </c>
      <c r="M50" s="10">
        <f>Table1[[#This Row],[Gas meters
non-smart]]+Table1[[#This Row],[Electricity meters
non-smart]]</f>
        <v>23507983</v>
      </c>
      <c r="N50" s="9">
        <f t="shared" si="1"/>
        <v>52838490</v>
      </c>
      <c r="O50" s="55"/>
    </row>
    <row r="51" spans="1:15" s="93" customFormat="1" ht="22.4" customHeight="1" x14ac:dyDescent="0.35">
      <c r="A51" s="82" t="s">
        <v>137</v>
      </c>
      <c r="B51" s="9">
        <v>11382078</v>
      </c>
      <c r="C51" s="9">
        <v>1655794</v>
      </c>
      <c r="D51" s="9">
        <f>Table1[[#This Row],[Gas meters
smart in
smart mode]]+Table1[[#This Row],[Gas meters
smart in
traditional mode]]</f>
        <v>13037872</v>
      </c>
      <c r="E51" s="9">
        <v>11011310</v>
      </c>
      <c r="F51" s="9">
        <v>16015467</v>
      </c>
      <c r="G51" s="9">
        <v>1290985</v>
      </c>
      <c r="H51" s="9">
        <f>Table1[[#This Row],[Electricity 
meters
smart in
smart 
mode]]+Table1[[#This Row],[Electricity 
meters
smart in
traditional mode]]</f>
        <v>17306452</v>
      </c>
      <c r="I51" s="9">
        <v>11869790</v>
      </c>
      <c r="J51" s="9">
        <f t="shared" si="0"/>
        <v>27397545</v>
      </c>
      <c r="K51" s="10">
        <f t="shared" ref="K51" si="8">C51+G51</f>
        <v>2946779</v>
      </c>
      <c r="L51" s="10">
        <f>Table1[[#This Row],[Gas meters
total smart meters]]+Table1[[#This Row],[Electricity meters
total smart meters]]</f>
        <v>30344324</v>
      </c>
      <c r="M51" s="10">
        <f>Table1[[#This Row],[Gas meters
non-smart]]+Table1[[#This Row],[Electricity meters
non-smart]]</f>
        <v>22881100</v>
      </c>
      <c r="N51" s="9">
        <f t="shared" si="1"/>
        <v>53225424</v>
      </c>
      <c r="O51" s="55"/>
    </row>
    <row r="52" spans="1:15" s="93" customFormat="1" ht="17.149999999999999" customHeight="1" x14ac:dyDescent="0.35">
      <c r="A52" s="82" t="s">
        <v>138</v>
      </c>
      <c r="B52" s="9">
        <v>11807519</v>
      </c>
      <c r="C52" s="9">
        <v>1511626</v>
      </c>
      <c r="D52" s="9">
        <f>Table1[[#This Row],[Gas meters
smart in
smart mode]]+Table1[[#This Row],[Gas meters
smart in
traditional mode]]</f>
        <v>13319145</v>
      </c>
      <c r="E52" s="9">
        <v>10703002</v>
      </c>
      <c r="F52" s="9">
        <v>16534388</v>
      </c>
      <c r="G52" s="9">
        <v>1192816</v>
      </c>
      <c r="H52" s="9">
        <f>Table1[[#This Row],[Electricity 
meters
smart in
smart 
mode]]+Table1[[#This Row],[Electricity 
meters
smart in
traditional mode]]</f>
        <v>17727204</v>
      </c>
      <c r="I52" s="9">
        <v>11439730</v>
      </c>
      <c r="J52" s="9">
        <f t="shared" si="0"/>
        <v>28341907</v>
      </c>
      <c r="K52" s="10">
        <f t="shared" ref="K52" si="9">C52+G52</f>
        <v>2704442</v>
      </c>
      <c r="L52" s="10">
        <f>Table1[[#This Row],[Gas meters
total smart meters]]+Table1[[#This Row],[Electricity meters
total smart meters]]</f>
        <v>31046349</v>
      </c>
      <c r="M52" s="10">
        <f>Table1[[#This Row],[Gas meters
non-smart]]+Table1[[#This Row],[Electricity meters
non-smart]]</f>
        <v>22142732</v>
      </c>
      <c r="N52" s="9">
        <f t="shared" si="1"/>
        <v>53189081</v>
      </c>
      <c r="O52" s="55"/>
    </row>
    <row r="53" spans="1:15" ht="17.149999999999999" customHeight="1" x14ac:dyDescent="0.35">
      <c r="A53" s="82" t="s">
        <v>139</v>
      </c>
      <c r="B53" s="9" t="s">
        <v>140</v>
      </c>
      <c r="C53" s="9" t="s">
        <v>140</v>
      </c>
      <c r="D53" s="9">
        <v>13624515</v>
      </c>
      <c r="E53" s="9">
        <v>10502925</v>
      </c>
      <c r="F53" s="9" t="s">
        <v>140</v>
      </c>
      <c r="G53" s="9" t="s">
        <v>140</v>
      </c>
      <c r="H53" s="9">
        <v>18216350</v>
      </c>
      <c r="I53" s="9">
        <v>10952505</v>
      </c>
      <c r="J53" s="9" t="s">
        <v>140</v>
      </c>
      <c r="K53" s="10" t="s">
        <v>140</v>
      </c>
      <c r="L53" s="10">
        <f>Table1[[#This Row],[Gas meters
total smart meters]]+Table1[[#This Row],[Electricity meters
total smart meters]]</f>
        <v>31840865</v>
      </c>
      <c r="M53" s="10">
        <f>Table1[[#This Row],[Gas meters
non-smart]]+Table1[[#This Row],[Electricity meters
non-smart]]</f>
        <v>21455430</v>
      </c>
      <c r="N53" s="10">
        <f>SUM(L53:M53)</f>
        <v>53296295</v>
      </c>
      <c r="O53" s="55" t="s">
        <v>141</v>
      </c>
    </row>
  </sheetData>
  <phoneticPr fontId="15" type="noConversion"/>
  <pageMargins left="0.7" right="0.7" top="0.75" bottom="0.75" header="0.3" footer="0.3"/>
  <pageSetup paperSize="9" scale="74" fitToWidth="0" fitToHeight="0" orientation="portrait" verticalDpi="4" r:id="rId1"/>
  <ignoredErrors>
    <ignoredError sqref="N9 J9 J10:K52 H53 N10:N53 J53:K53 D53:E5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E54"/>
  <sheetViews>
    <sheetView showGridLines="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1796875" defaultRowHeight="17.149999999999999" customHeight="1" x14ac:dyDescent="0.35"/>
  <cols>
    <col min="1" max="1" width="12.453125" style="84" customWidth="1"/>
    <col min="2" max="4" width="14.7265625" style="84" customWidth="1"/>
    <col min="5" max="5" width="41.26953125" style="82" customWidth="1"/>
    <col min="6" max="16384" width="9.1796875" style="84"/>
  </cols>
  <sheetData>
    <row r="1" spans="1:5" ht="25.5" customHeight="1" x14ac:dyDescent="0.35">
      <c r="A1" s="83" t="s">
        <v>142</v>
      </c>
      <c r="B1" s="6"/>
      <c r="C1" s="6"/>
      <c r="D1" s="6"/>
    </row>
    <row r="2" spans="1:5" ht="17.149999999999999" customHeight="1" x14ac:dyDescent="0.35">
      <c r="A2" s="25" t="s">
        <v>62</v>
      </c>
      <c r="B2" s="30"/>
      <c r="C2" s="95"/>
      <c r="D2" s="95"/>
      <c r="E2" s="96"/>
    </row>
    <row r="3" spans="1:5" ht="17.149999999999999" customHeight="1" x14ac:dyDescent="0.35">
      <c r="A3" s="25" t="s">
        <v>31</v>
      </c>
      <c r="B3" s="30"/>
      <c r="C3" s="95"/>
      <c r="D3" s="95"/>
      <c r="E3" s="96"/>
    </row>
    <row r="4" spans="1:5" s="32" customFormat="1" ht="17.149999999999999" customHeight="1" x14ac:dyDescent="0.35">
      <c r="A4" s="25" t="s">
        <v>64</v>
      </c>
      <c r="B4" s="31"/>
      <c r="C4" s="30"/>
      <c r="D4" s="7"/>
      <c r="E4" s="7"/>
    </row>
    <row r="5" spans="1:5" ht="17.149999999999999" customHeight="1" x14ac:dyDescent="0.35">
      <c r="A5" s="25" t="s">
        <v>65</v>
      </c>
      <c r="B5" s="30"/>
      <c r="C5" s="95"/>
      <c r="D5" s="95"/>
      <c r="E5" s="96"/>
    </row>
    <row r="6" spans="1:5" ht="17.149999999999999" customHeight="1" x14ac:dyDescent="0.35">
      <c r="A6" s="28" t="s">
        <v>66</v>
      </c>
      <c r="B6" s="28"/>
      <c r="C6" s="97"/>
      <c r="D6" s="97"/>
      <c r="E6" s="98"/>
    </row>
    <row r="7" spans="1:5" ht="34.4" customHeight="1" x14ac:dyDescent="0.35">
      <c r="A7" s="100" t="s">
        <v>67</v>
      </c>
      <c r="B7" s="101" t="s">
        <v>143</v>
      </c>
      <c r="C7" s="102" t="s">
        <v>144</v>
      </c>
      <c r="D7" s="102" t="s">
        <v>145</v>
      </c>
      <c r="E7" s="100" t="s">
        <v>22</v>
      </c>
    </row>
    <row r="8" spans="1:5" ht="17.149999999999999" customHeight="1" x14ac:dyDescent="0.35">
      <c r="A8" s="82" t="s">
        <v>146</v>
      </c>
      <c r="B8" s="10">
        <v>18975</v>
      </c>
      <c r="C8" s="10">
        <v>59446</v>
      </c>
      <c r="D8" s="10">
        <f t="shared" ref="D8:D35" si="0">B8+C8</f>
        <v>78421</v>
      </c>
      <c r="E8" s="103" t="s">
        <v>147</v>
      </c>
    </row>
    <row r="9" spans="1:5" ht="17.149999999999999" customHeight="1" x14ac:dyDescent="0.35">
      <c r="A9" s="82" t="s">
        <v>81</v>
      </c>
      <c r="B9" s="10">
        <v>32</v>
      </c>
      <c r="C9" s="10">
        <v>36</v>
      </c>
      <c r="D9" s="10">
        <f t="shared" si="0"/>
        <v>68</v>
      </c>
      <c r="E9" s="103"/>
    </row>
    <row r="10" spans="1:5" ht="17.149999999999999" customHeight="1" x14ac:dyDescent="0.35">
      <c r="A10" s="82" t="s">
        <v>82</v>
      </c>
      <c r="B10" s="10">
        <v>1570</v>
      </c>
      <c r="C10" s="10">
        <v>1671</v>
      </c>
      <c r="D10" s="10">
        <f t="shared" si="0"/>
        <v>3241</v>
      </c>
      <c r="E10" s="103"/>
    </row>
    <row r="11" spans="1:5" ht="22.4" customHeight="1" x14ac:dyDescent="0.35">
      <c r="A11" s="82" t="s">
        <v>83</v>
      </c>
      <c r="B11" s="10">
        <v>10963</v>
      </c>
      <c r="C11" s="10">
        <v>12678</v>
      </c>
      <c r="D11" s="10">
        <f t="shared" si="0"/>
        <v>23641</v>
      </c>
      <c r="E11" s="103"/>
    </row>
    <row r="12" spans="1:5" ht="17.149999999999999" customHeight="1" x14ac:dyDescent="0.35">
      <c r="A12" s="82" t="s">
        <v>84</v>
      </c>
      <c r="B12" s="10">
        <v>35130</v>
      </c>
      <c r="C12" s="10">
        <v>45456</v>
      </c>
      <c r="D12" s="10">
        <f t="shared" si="0"/>
        <v>80586</v>
      </c>
      <c r="E12" s="103"/>
    </row>
    <row r="13" spans="1:5" ht="17.149999999999999" customHeight="1" x14ac:dyDescent="0.35">
      <c r="A13" s="82" t="s">
        <v>85</v>
      </c>
      <c r="B13" s="10">
        <v>35190</v>
      </c>
      <c r="C13" s="10">
        <v>57632</v>
      </c>
      <c r="D13" s="10">
        <f t="shared" si="0"/>
        <v>92822</v>
      </c>
      <c r="E13" s="103"/>
    </row>
    <row r="14" spans="1:5" ht="17.149999999999999" customHeight="1" x14ac:dyDescent="0.35">
      <c r="A14" s="82" t="s">
        <v>86</v>
      </c>
      <c r="B14" s="10">
        <v>39730</v>
      </c>
      <c r="C14" s="10">
        <v>55603</v>
      </c>
      <c r="D14" s="10">
        <f t="shared" si="0"/>
        <v>95333</v>
      </c>
      <c r="E14" s="103"/>
    </row>
    <row r="15" spans="1:5" ht="22.4" customHeight="1" x14ac:dyDescent="0.35">
      <c r="A15" s="82" t="s">
        <v>88</v>
      </c>
      <c r="B15" s="10">
        <v>37485</v>
      </c>
      <c r="C15" s="10">
        <v>61164</v>
      </c>
      <c r="D15" s="10">
        <f t="shared" si="0"/>
        <v>98649</v>
      </c>
      <c r="E15" s="103"/>
    </row>
    <row r="16" spans="1:5" ht="17.149999999999999" customHeight="1" x14ac:dyDescent="0.35">
      <c r="A16" s="82" t="s">
        <v>89</v>
      </c>
      <c r="B16" s="10">
        <v>37130</v>
      </c>
      <c r="C16" s="10">
        <v>60216</v>
      </c>
      <c r="D16" s="10">
        <f t="shared" si="0"/>
        <v>97346</v>
      </c>
      <c r="E16" s="103"/>
    </row>
    <row r="17" spans="1:5" ht="17.149999999999999" customHeight="1" x14ac:dyDescent="0.35">
      <c r="A17" s="82" t="s">
        <v>148</v>
      </c>
      <c r="B17" s="10">
        <v>53780</v>
      </c>
      <c r="C17" s="10">
        <v>76227</v>
      </c>
      <c r="D17" s="10">
        <f t="shared" si="0"/>
        <v>130007</v>
      </c>
      <c r="E17" s="103"/>
    </row>
    <row r="18" spans="1:5" ht="17.149999999999999" customHeight="1" x14ac:dyDescent="0.35">
      <c r="A18" s="82" t="s">
        <v>91</v>
      </c>
      <c r="B18" s="10">
        <v>60999</v>
      </c>
      <c r="C18" s="10">
        <v>82081</v>
      </c>
      <c r="D18" s="10">
        <f t="shared" si="0"/>
        <v>143080</v>
      </c>
      <c r="E18" s="103"/>
    </row>
    <row r="19" spans="1:5" ht="22.4" customHeight="1" x14ac:dyDescent="0.35">
      <c r="A19" s="82" t="s">
        <v>92</v>
      </c>
      <c r="B19" s="10">
        <v>85457</v>
      </c>
      <c r="C19" s="10">
        <v>126515</v>
      </c>
      <c r="D19" s="10">
        <f t="shared" si="0"/>
        <v>211972</v>
      </c>
      <c r="E19" s="103" t="s">
        <v>93</v>
      </c>
    </row>
    <row r="20" spans="1:5" ht="17.149999999999999" customHeight="1" x14ac:dyDescent="0.35">
      <c r="A20" s="82" t="s">
        <v>94</v>
      </c>
      <c r="B20" s="10">
        <v>112267</v>
      </c>
      <c r="C20" s="10">
        <v>160543</v>
      </c>
      <c r="D20" s="10">
        <f t="shared" si="0"/>
        <v>272810</v>
      </c>
      <c r="E20" s="103"/>
    </row>
    <row r="21" spans="1:5" ht="17.149999999999999" customHeight="1" x14ac:dyDescent="0.35">
      <c r="A21" s="82" t="s">
        <v>95</v>
      </c>
      <c r="B21" s="10">
        <v>138225</v>
      </c>
      <c r="C21" s="10">
        <v>197911</v>
      </c>
      <c r="D21" s="10">
        <f t="shared" si="0"/>
        <v>336136</v>
      </c>
      <c r="E21" s="103"/>
    </row>
    <row r="22" spans="1:5" ht="17.149999999999999" customHeight="1" x14ac:dyDescent="0.35">
      <c r="A22" s="82" t="s">
        <v>96</v>
      </c>
      <c r="B22" s="10">
        <v>169283</v>
      </c>
      <c r="C22" s="10">
        <v>233400</v>
      </c>
      <c r="D22" s="10">
        <f t="shared" si="0"/>
        <v>402683</v>
      </c>
      <c r="E22" s="103"/>
    </row>
    <row r="23" spans="1:5" ht="22.4" customHeight="1" x14ac:dyDescent="0.35">
      <c r="A23" s="82" t="s">
        <v>97</v>
      </c>
      <c r="B23" s="10">
        <v>233371</v>
      </c>
      <c r="C23" s="10">
        <v>306842</v>
      </c>
      <c r="D23" s="10">
        <f t="shared" si="0"/>
        <v>540213</v>
      </c>
      <c r="E23" s="103" t="s">
        <v>98</v>
      </c>
    </row>
    <row r="24" spans="1:5" ht="17.149999999999999" customHeight="1" x14ac:dyDescent="0.35">
      <c r="A24" s="82" t="s">
        <v>99</v>
      </c>
      <c r="B24" s="10">
        <v>268356</v>
      </c>
      <c r="C24" s="10">
        <v>354641</v>
      </c>
      <c r="D24" s="10">
        <f t="shared" si="0"/>
        <v>622997</v>
      </c>
      <c r="E24" s="103" t="s">
        <v>100</v>
      </c>
    </row>
    <row r="25" spans="1:5" s="93" customFormat="1" ht="17.149999999999999" customHeight="1" x14ac:dyDescent="0.35">
      <c r="A25" s="82" t="s">
        <v>101</v>
      </c>
      <c r="B25" s="10">
        <v>353711</v>
      </c>
      <c r="C25" s="10">
        <v>461304</v>
      </c>
      <c r="D25" s="10">
        <f t="shared" si="0"/>
        <v>815015</v>
      </c>
      <c r="E25" s="103"/>
    </row>
    <row r="26" spans="1:5" s="93" customFormat="1" ht="17.149999999999999" customHeight="1" x14ac:dyDescent="0.35">
      <c r="A26" s="82" t="s">
        <v>102</v>
      </c>
      <c r="B26" s="10">
        <v>409784</v>
      </c>
      <c r="C26" s="10">
        <v>525776</v>
      </c>
      <c r="D26" s="10">
        <f t="shared" si="0"/>
        <v>935560</v>
      </c>
      <c r="E26" s="103" t="s">
        <v>103</v>
      </c>
    </row>
    <row r="27" spans="1:5" s="93" customFormat="1" ht="22.4" customHeight="1" x14ac:dyDescent="0.35">
      <c r="A27" s="82" t="s">
        <v>104</v>
      </c>
      <c r="B27" s="10">
        <v>446454</v>
      </c>
      <c r="C27" s="10">
        <v>581680</v>
      </c>
      <c r="D27" s="10">
        <f t="shared" si="0"/>
        <v>1028134</v>
      </c>
      <c r="E27" s="103"/>
    </row>
    <row r="28" spans="1:5" s="93" customFormat="1" ht="17.149999999999999" customHeight="1" x14ac:dyDescent="0.35">
      <c r="A28" s="82" t="s">
        <v>105</v>
      </c>
      <c r="B28" s="10">
        <v>461168</v>
      </c>
      <c r="C28" s="10">
        <v>598064</v>
      </c>
      <c r="D28" s="10">
        <f t="shared" si="0"/>
        <v>1059232</v>
      </c>
      <c r="E28" s="103"/>
    </row>
    <row r="29" spans="1:5" s="93" customFormat="1" ht="17.149999999999999" customHeight="1" x14ac:dyDescent="0.35">
      <c r="A29" s="82" t="s">
        <v>106</v>
      </c>
      <c r="B29" s="10">
        <v>517423</v>
      </c>
      <c r="C29" s="10">
        <v>664924</v>
      </c>
      <c r="D29" s="10">
        <f t="shared" si="0"/>
        <v>1182347</v>
      </c>
      <c r="E29" s="103"/>
    </row>
    <row r="30" spans="1:5" s="93" customFormat="1" ht="17.149999999999999" customHeight="1" x14ac:dyDescent="0.35">
      <c r="A30" s="82" t="s">
        <v>107</v>
      </c>
      <c r="B30" s="10">
        <v>577420</v>
      </c>
      <c r="C30" s="10">
        <v>741547</v>
      </c>
      <c r="D30" s="10">
        <f t="shared" si="0"/>
        <v>1318967</v>
      </c>
      <c r="E30" s="103" t="s">
        <v>108</v>
      </c>
    </row>
    <row r="31" spans="1:5" s="93" customFormat="1" ht="22.4" customHeight="1" x14ac:dyDescent="0.35">
      <c r="A31" s="82" t="s">
        <v>109</v>
      </c>
      <c r="B31" s="10">
        <v>546109</v>
      </c>
      <c r="C31" s="10">
        <v>708652</v>
      </c>
      <c r="D31" s="10">
        <f t="shared" si="0"/>
        <v>1254761</v>
      </c>
      <c r="E31" s="103" t="s">
        <v>110</v>
      </c>
    </row>
    <row r="32" spans="1:5" s="93" customFormat="1" ht="17.149999999999999" customHeight="1" x14ac:dyDescent="0.35">
      <c r="A32" s="82" t="s">
        <v>111</v>
      </c>
      <c r="B32" s="10">
        <v>560848</v>
      </c>
      <c r="C32" s="10">
        <v>707374</v>
      </c>
      <c r="D32" s="10">
        <f t="shared" si="0"/>
        <v>1268222</v>
      </c>
      <c r="E32" s="103"/>
    </row>
    <row r="33" spans="1:5" s="93" customFormat="1" ht="17.149999999999999" customHeight="1" x14ac:dyDescent="0.35">
      <c r="A33" s="82" t="s">
        <v>112</v>
      </c>
      <c r="B33" s="10">
        <v>513014</v>
      </c>
      <c r="C33" s="10">
        <v>632575</v>
      </c>
      <c r="D33" s="10">
        <f t="shared" si="0"/>
        <v>1145589</v>
      </c>
      <c r="E33" s="103"/>
    </row>
    <row r="34" spans="1:5" s="93" customFormat="1" ht="17.149999999999999" customHeight="1" x14ac:dyDescent="0.35">
      <c r="A34" s="82" t="s">
        <v>113</v>
      </c>
      <c r="B34" s="10">
        <v>506494</v>
      </c>
      <c r="C34" s="10">
        <v>619726</v>
      </c>
      <c r="D34" s="10">
        <f t="shared" si="0"/>
        <v>1126220</v>
      </c>
      <c r="E34" s="103" t="s">
        <v>149</v>
      </c>
    </row>
    <row r="35" spans="1:5" s="93" customFormat="1" ht="22.4" customHeight="1" x14ac:dyDescent="0.35">
      <c r="A35" s="82" t="s">
        <v>115</v>
      </c>
      <c r="B35" s="10">
        <v>475106</v>
      </c>
      <c r="C35" s="10">
        <v>573654</v>
      </c>
      <c r="D35" s="10">
        <f t="shared" si="0"/>
        <v>1048760</v>
      </c>
      <c r="E35" s="103" t="s">
        <v>116</v>
      </c>
    </row>
    <row r="36" spans="1:5" s="93" customFormat="1" ht="17.149999999999999" customHeight="1" x14ac:dyDescent="0.35">
      <c r="A36" s="82" t="s">
        <v>117</v>
      </c>
      <c r="B36" s="10">
        <v>473901</v>
      </c>
      <c r="C36" s="10">
        <v>554940</v>
      </c>
      <c r="D36" s="10">
        <f t="shared" ref="D36:D45" si="1">B36+C36</f>
        <v>1028841</v>
      </c>
      <c r="E36" s="103"/>
    </row>
    <row r="37" spans="1:5" s="93" customFormat="1" ht="17.149999999999999" customHeight="1" x14ac:dyDescent="0.35">
      <c r="A37" s="82" t="s">
        <v>118</v>
      </c>
      <c r="B37" s="10">
        <v>486658</v>
      </c>
      <c r="C37" s="10">
        <v>600361</v>
      </c>
      <c r="D37" s="10">
        <f t="shared" si="1"/>
        <v>1087019</v>
      </c>
      <c r="E37" s="103"/>
    </row>
    <row r="38" spans="1:5" s="93" customFormat="1" ht="17.149999999999999" customHeight="1" x14ac:dyDescent="0.35">
      <c r="A38" s="82" t="s">
        <v>119</v>
      </c>
      <c r="B38" s="10">
        <v>521723</v>
      </c>
      <c r="C38" s="10">
        <v>654875</v>
      </c>
      <c r="D38" s="10">
        <f t="shared" si="1"/>
        <v>1176598</v>
      </c>
      <c r="E38" s="103" t="s">
        <v>120</v>
      </c>
    </row>
    <row r="39" spans="1:5" s="93" customFormat="1" ht="22.4" customHeight="1" x14ac:dyDescent="0.35">
      <c r="A39" s="82" t="s">
        <v>121</v>
      </c>
      <c r="B39" s="10">
        <v>456607</v>
      </c>
      <c r="C39" s="10">
        <v>544126</v>
      </c>
      <c r="D39" s="10">
        <f t="shared" si="1"/>
        <v>1000733</v>
      </c>
      <c r="E39" s="103" t="s">
        <v>122</v>
      </c>
    </row>
    <row r="40" spans="1:5" s="93" customFormat="1" ht="17.149999999999999" customHeight="1" x14ac:dyDescent="0.35">
      <c r="A40" s="82" t="s">
        <v>123</v>
      </c>
      <c r="B40" s="10">
        <v>62484</v>
      </c>
      <c r="C40" s="10">
        <v>80108</v>
      </c>
      <c r="D40" s="10">
        <f t="shared" si="1"/>
        <v>142592</v>
      </c>
      <c r="E40" s="103"/>
    </row>
    <row r="41" spans="1:5" s="93" customFormat="1" ht="17.149999999999999" customHeight="1" x14ac:dyDescent="0.35">
      <c r="A41" s="82" t="s">
        <v>124</v>
      </c>
      <c r="B41" s="10">
        <v>384482</v>
      </c>
      <c r="C41" s="10">
        <v>488899</v>
      </c>
      <c r="D41" s="10">
        <f t="shared" si="1"/>
        <v>873381</v>
      </c>
      <c r="E41" s="103" t="s">
        <v>150</v>
      </c>
    </row>
    <row r="42" spans="1:5" s="93" customFormat="1" ht="17.149999999999999" customHeight="1" x14ac:dyDescent="0.35">
      <c r="A42" s="82" t="s">
        <v>125</v>
      </c>
      <c r="B42" s="10">
        <v>430702</v>
      </c>
      <c r="C42" s="10">
        <v>560930</v>
      </c>
      <c r="D42" s="10">
        <f t="shared" si="1"/>
        <v>991632</v>
      </c>
      <c r="E42" s="103"/>
    </row>
    <row r="43" spans="1:5" s="93" customFormat="1" ht="22.4" customHeight="1" x14ac:dyDescent="0.35">
      <c r="A43" s="82" t="s">
        <v>127</v>
      </c>
      <c r="B43" s="10">
        <v>329224</v>
      </c>
      <c r="C43" s="10">
        <v>435799</v>
      </c>
      <c r="D43" s="10">
        <f t="shared" si="1"/>
        <v>765023</v>
      </c>
      <c r="E43" s="103"/>
    </row>
    <row r="44" spans="1:5" s="93" customFormat="1" ht="16.5" customHeight="1" x14ac:dyDescent="0.35">
      <c r="A44" s="82" t="s">
        <v>128</v>
      </c>
      <c r="B44" s="10">
        <v>431215</v>
      </c>
      <c r="C44" s="10">
        <v>570822</v>
      </c>
      <c r="D44" s="10">
        <f t="shared" si="1"/>
        <v>1002037</v>
      </c>
      <c r="E44" s="103"/>
    </row>
    <row r="45" spans="1:5" s="93" customFormat="1" ht="16.5" customHeight="1" x14ac:dyDescent="0.35">
      <c r="A45" s="82" t="s">
        <v>129</v>
      </c>
      <c r="B45" s="10">
        <v>382515</v>
      </c>
      <c r="C45" s="10">
        <v>518212</v>
      </c>
      <c r="D45" s="10">
        <f t="shared" si="1"/>
        <v>900727</v>
      </c>
      <c r="E45" s="103" t="s">
        <v>130</v>
      </c>
    </row>
    <row r="46" spans="1:5" s="93" customFormat="1" ht="16.5" customHeight="1" x14ac:dyDescent="0.35">
      <c r="A46" s="82" t="s">
        <v>131</v>
      </c>
      <c r="B46" s="10">
        <v>365834</v>
      </c>
      <c r="C46" s="10">
        <v>491679</v>
      </c>
      <c r="D46" s="10">
        <f>Table2[[#This Row],[Gas]]+Table2[[#This Row],[Electricity]]</f>
        <v>857513</v>
      </c>
      <c r="E46" s="103"/>
    </row>
    <row r="47" spans="1:5" s="93" customFormat="1" ht="22.4" customHeight="1" x14ac:dyDescent="0.35">
      <c r="A47" s="82" t="s">
        <v>133</v>
      </c>
      <c r="B47" s="10">
        <v>389455</v>
      </c>
      <c r="C47" s="10">
        <v>508031</v>
      </c>
      <c r="D47" s="10">
        <f>Table2[[#This Row],[Gas]]+Table2[[#This Row],[Electricity]]</f>
        <v>897486</v>
      </c>
      <c r="E47" s="103" t="s">
        <v>151</v>
      </c>
    </row>
    <row r="48" spans="1:5" s="93" customFormat="1" ht="17.149999999999999" customHeight="1" x14ac:dyDescent="0.35">
      <c r="A48" s="82" t="s">
        <v>134</v>
      </c>
      <c r="B48" s="10">
        <v>363121</v>
      </c>
      <c r="C48" s="10">
        <v>477608</v>
      </c>
      <c r="D48" s="10">
        <f>Table2[[#This Row],[Gas]]+Table2[[#This Row],[Electricity]]</f>
        <v>840729</v>
      </c>
      <c r="E48" s="61"/>
    </row>
    <row r="49" spans="1:5" s="93" customFormat="1" ht="17.149999999999999" customHeight="1" x14ac:dyDescent="0.35">
      <c r="A49" s="82" t="s">
        <v>135</v>
      </c>
      <c r="B49" s="10">
        <v>369946</v>
      </c>
      <c r="C49" s="10">
        <v>504572</v>
      </c>
      <c r="D49" s="10">
        <f>Table2[[#This Row],[Gas]]+Table2[[#This Row],[Electricity]]</f>
        <v>874518</v>
      </c>
      <c r="E49" s="61"/>
    </row>
    <row r="50" spans="1:5" s="93" customFormat="1" ht="17.149999999999999" customHeight="1" x14ac:dyDescent="0.35">
      <c r="A50" s="82" t="s">
        <v>136</v>
      </c>
      <c r="B50" s="10">
        <v>398956</v>
      </c>
      <c r="C50" s="10">
        <v>516631</v>
      </c>
      <c r="D50" s="10">
        <f>Table2[[#This Row],[Gas]]+Table2[[#This Row],[Electricity]]</f>
        <v>915587</v>
      </c>
      <c r="E50" s="61"/>
    </row>
    <row r="51" spans="1:5" s="93" customFormat="1" ht="22.4" customHeight="1" x14ac:dyDescent="0.35">
      <c r="A51" s="82" t="s">
        <v>137</v>
      </c>
      <c r="B51" s="10">
        <v>369336</v>
      </c>
      <c r="C51" s="10">
        <v>489715</v>
      </c>
      <c r="D51" s="10">
        <f>Table2[[#This Row],[Gas]]+Table2[[#This Row],[Electricity]]</f>
        <v>859051</v>
      </c>
      <c r="E51" s="61"/>
    </row>
    <row r="52" spans="1:5" s="93" customFormat="1" ht="17.149999999999999" customHeight="1" x14ac:dyDescent="0.35">
      <c r="A52" s="82" t="s">
        <v>138</v>
      </c>
      <c r="B52" s="10">
        <v>338102</v>
      </c>
      <c r="C52" s="10">
        <v>461737</v>
      </c>
      <c r="D52" s="10">
        <f>Table2[[#This Row],[Gas]]+Table2[[#This Row],[Electricity]]</f>
        <v>799839</v>
      </c>
      <c r="E52" s="61"/>
    </row>
    <row r="53" spans="1:5" s="93" customFormat="1" ht="17.149999999999999" customHeight="1" x14ac:dyDescent="0.35">
      <c r="A53" s="104" t="s">
        <v>139</v>
      </c>
      <c r="B53" s="62">
        <v>347734</v>
      </c>
      <c r="C53" s="62">
        <v>470163</v>
      </c>
      <c r="D53" s="62">
        <f>Table2[[#This Row],[Gas]]+Table2[[#This Row],[Electricity]]</f>
        <v>817897</v>
      </c>
      <c r="E53" s="63"/>
    </row>
    <row r="54" spans="1:5" s="93" customFormat="1" ht="17.149999999999999" customHeight="1" x14ac:dyDescent="0.35">
      <c r="A54" s="82" t="s">
        <v>80</v>
      </c>
      <c r="B54" s="10">
        <f>SUM(B8:B53)</f>
        <v>13607469</v>
      </c>
      <c r="C54" s="10">
        <f>SUM(C8:C53)</f>
        <v>17636546</v>
      </c>
      <c r="D54" s="10">
        <f>SUM(D8:D53)</f>
        <v>31244015</v>
      </c>
      <c r="E54" s="61"/>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R53"/>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B9" sqref="B9"/>
    </sheetView>
  </sheetViews>
  <sheetFormatPr defaultColWidth="9.1796875" defaultRowHeight="17.149999999999999" customHeight="1" x14ac:dyDescent="0.35"/>
  <cols>
    <col min="1" max="1" width="13.26953125" style="84" customWidth="1"/>
    <col min="2" max="2" width="13.26953125" style="6" customWidth="1"/>
    <col min="3" max="4" width="12.81640625" style="6" customWidth="1"/>
    <col min="5" max="5" width="12" style="6" customWidth="1"/>
    <col min="6" max="6" width="11.81640625" style="6" customWidth="1"/>
    <col min="7" max="7" width="21" style="6" customWidth="1"/>
    <col min="8" max="9" width="13.1796875" style="6" customWidth="1"/>
    <col min="10" max="10" width="12" style="6" customWidth="1"/>
    <col min="11" max="11" width="12.54296875" style="6" customWidth="1"/>
    <col min="12" max="12" width="17.54296875" style="6" customWidth="1"/>
    <col min="13" max="14" width="12.453125" style="6" customWidth="1"/>
    <col min="15" max="15" width="11.81640625" style="6" customWidth="1"/>
    <col min="16" max="16" width="13.26953125" style="6" customWidth="1"/>
    <col min="17" max="17" width="14.54296875" style="6" customWidth="1"/>
    <col min="18" max="18" width="63.54296875" style="6" customWidth="1"/>
    <col min="19" max="16384" width="9.1796875" style="84"/>
  </cols>
  <sheetData>
    <row r="1" spans="1:18" ht="25.5" customHeight="1" x14ac:dyDescent="0.35">
      <c r="A1" s="83" t="s">
        <v>152</v>
      </c>
    </row>
    <row r="2" spans="1:18" ht="17.149999999999999" customHeight="1" x14ac:dyDescent="0.35">
      <c r="A2" s="25" t="s">
        <v>62</v>
      </c>
    </row>
    <row r="3" spans="1:18" ht="17.149999999999999" customHeight="1" x14ac:dyDescent="0.35">
      <c r="A3" s="25" t="s">
        <v>31</v>
      </c>
    </row>
    <row r="4" spans="1:18" s="32" customFormat="1" ht="17.149999999999999" customHeight="1" x14ac:dyDescent="0.35">
      <c r="A4" s="25" t="s">
        <v>64</v>
      </c>
      <c r="B4" s="31"/>
      <c r="C4" s="30"/>
      <c r="D4" s="30"/>
      <c r="E4" s="7"/>
      <c r="F4" s="7"/>
      <c r="G4" s="8"/>
    </row>
    <row r="5" spans="1:18" ht="17.149999999999999" customHeight="1" x14ac:dyDescent="0.35">
      <c r="A5" s="25" t="s">
        <v>153</v>
      </c>
    </row>
    <row r="6" spans="1:18" ht="17.149999999999999" customHeight="1" x14ac:dyDescent="0.35">
      <c r="A6" s="25" t="s">
        <v>65</v>
      </c>
    </row>
    <row r="7" spans="1:18" ht="17.149999999999999" customHeight="1" x14ac:dyDescent="0.35">
      <c r="A7" s="28" t="s">
        <v>66</v>
      </c>
      <c r="B7" s="28"/>
      <c r="C7" s="97"/>
      <c r="D7" s="97"/>
    </row>
    <row r="8" spans="1:18" ht="77.25" customHeight="1" x14ac:dyDescent="0.35">
      <c r="A8" s="100" t="s">
        <v>67</v>
      </c>
      <c r="B8" s="102" t="s">
        <v>68</v>
      </c>
      <c r="C8" s="102" t="s">
        <v>69</v>
      </c>
      <c r="D8" s="102" t="s">
        <v>70</v>
      </c>
      <c r="E8" s="102" t="s">
        <v>154</v>
      </c>
      <c r="F8" s="102" t="s">
        <v>71</v>
      </c>
      <c r="G8" s="102" t="s">
        <v>155</v>
      </c>
      <c r="H8" s="102" t="s">
        <v>73</v>
      </c>
      <c r="I8" s="102" t="s">
        <v>74</v>
      </c>
      <c r="J8" s="102" t="s">
        <v>156</v>
      </c>
      <c r="K8" s="102" t="s">
        <v>157</v>
      </c>
      <c r="L8" s="102" t="s">
        <v>158</v>
      </c>
      <c r="M8" s="102" t="s">
        <v>159</v>
      </c>
      <c r="N8" s="106" t="s">
        <v>160</v>
      </c>
      <c r="O8" s="102" t="s">
        <v>161</v>
      </c>
      <c r="P8" s="102" t="s">
        <v>79</v>
      </c>
      <c r="Q8" s="101" t="s">
        <v>80</v>
      </c>
      <c r="R8" s="100" t="s">
        <v>22</v>
      </c>
    </row>
    <row r="9" spans="1:18" ht="17.149999999999999" customHeight="1" x14ac:dyDescent="0.35">
      <c r="A9" s="82" t="s">
        <v>81</v>
      </c>
      <c r="B9" s="37">
        <v>0</v>
      </c>
      <c r="C9" s="10"/>
      <c r="D9" s="10">
        <f>Table3[[#This Row],[Gas meters
smart in
smart mode]]+Table3[[#This Row],[Gas meters
smart in
traditional mode]]</f>
        <v>0</v>
      </c>
      <c r="E9" s="10">
        <v>10038</v>
      </c>
      <c r="F9" s="10">
        <v>553631</v>
      </c>
      <c r="G9" s="37">
        <v>0</v>
      </c>
      <c r="H9" s="10"/>
      <c r="I9" s="10">
        <f>Table3[[#This Row],[Electricity 
meters
smart in
smart mode]]+Table3[[#This Row],[Electricity 
meters
smart in
traditional mode]]</f>
        <v>0</v>
      </c>
      <c r="J9" s="10">
        <v>354969</v>
      </c>
      <c r="K9" s="10">
        <v>1771055</v>
      </c>
      <c r="L9" s="37">
        <f t="shared" ref="L9:L33" si="0">B9+G9</f>
        <v>0</v>
      </c>
      <c r="M9" s="10"/>
      <c r="N9" s="10">
        <f>Table3[[#This Row],[Gas meters
total smart meters]]+Table3[[#This Row],[Electricity meters
total smart meters]]</f>
        <v>0</v>
      </c>
      <c r="O9" s="10">
        <f t="shared" ref="O9:O21" si="1">E9+J9</f>
        <v>365007</v>
      </c>
      <c r="P9" s="10">
        <f t="shared" ref="P9:P22" si="2">F9+K9</f>
        <v>2324686</v>
      </c>
      <c r="Q9" s="10">
        <f>N9+O9+P9</f>
        <v>2689693</v>
      </c>
      <c r="R9" s="107"/>
    </row>
    <row r="10" spans="1:18" ht="17.149999999999999" customHeight="1" x14ac:dyDescent="0.35">
      <c r="A10" s="82" t="s">
        <v>82</v>
      </c>
      <c r="B10" s="37">
        <v>0</v>
      </c>
      <c r="C10" s="10"/>
      <c r="D10" s="10">
        <f>Table3[[#This Row],[Gas meters
smart in
smart mode]]+Table3[[#This Row],[Gas meters
smart in
traditional mode]]</f>
        <v>0</v>
      </c>
      <c r="E10" s="10">
        <v>9290</v>
      </c>
      <c r="F10" s="10">
        <v>559271</v>
      </c>
      <c r="G10" s="37">
        <v>0</v>
      </c>
      <c r="H10" s="10"/>
      <c r="I10" s="10">
        <f>Table3[[#This Row],[Electricity 
meters
smart in
smart mode]]+Table3[[#This Row],[Electricity 
meters
smart in
traditional mode]]</f>
        <v>0</v>
      </c>
      <c r="J10" s="10">
        <v>444943</v>
      </c>
      <c r="K10" s="10">
        <v>1864295</v>
      </c>
      <c r="L10" s="37">
        <f t="shared" si="0"/>
        <v>0</v>
      </c>
      <c r="M10" s="10"/>
      <c r="N10" s="10">
        <f>Table3[[#This Row],[Gas meters
total smart meters]]+Table3[[#This Row],[Electricity meters
total smart meters]]</f>
        <v>0</v>
      </c>
      <c r="O10" s="10">
        <f t="shared" si="1"/>
        <v>454233</v>
      </c>
      <c r="P10" s="10">
        <f t="shared" si="2"/>
        <v>2423566</v>
      </c>
      <c r="Q10" s="10">
        <f t="shared" ref="Q10:Q52" si="3">N10+O10+P10</f>
        <v>2877799</v>
      </c>
      <c r="R10" s="107"/>
    </row>
    <row r="11" spans="1:18" ht="22.4" customHeight="1" x14ac:dyDescent="0.35">
      <c r="A11" s="82" t="s">
        <v>83</v>
      </c>
      <c r="B11" s="37">
        <v>0</v>
      </c>
      <c r="C11" s="10"/>
      <c r="D11" s="10">
        <f>Table3[[#This Row],[Gas meters
smart in
smart mode]]+Table3[[#This Row],[Gas meters
smart in
traditional mode]]</f>
        <v>0</v>
      </c>
      <c r="E11" s="10">
        <v>10109</v>
      </c>
      <c r="F11" s="10">
        <v>536022</v>
      </c>
      <c r="G11" s="37">
        <v>0</v>
      </c>
      <c r="H11" s="10"/>
      <c r="I11" s="10">
        <f>Table3[[#This Row],[Electricity 
meters
smart in
smart mode]]+Table3[[#This Row],[Electricity 
meters
smart in
traditional mode]]</f>
        <v>0</v>
      </c>
      <c r="J11" s="10">
        <v>500960</v>
      </c>
      <c r="K11" s="10">
        <v>1832983</v>
      </c>
      <c r="L11" s="37">
        <f t="shared" si="0"/>
        <v>0</v>
      </c>
      <c r="M11" s="10"/>
      <c r="N11" s="10">
        <f>Table3[[#This Row],[Gas meters
total smart meters]]+Table3[[#This Row],[Electricity meters
total smart meters]]</f>
        <v>0</v>
      </c>
      <c r="O11" s="10">
        <f t="shared" si="1"/>
        <v>511069</v>
      </c>
      <c r="P11" s="10">
        <f t="shared" si="2"/>
        <v>2369005</v>
      </c>
      <c r="Q11" s="10">
        <f t="shared" si="3"/>
        <v>2880074</v>
      </c>
      <c r="R11" s="107"/>
    </row>
    <row r="12" spans="1:18" ht="17.149999999999999" customHeight="1" x14ac:dyDescent="0.35">
      <c r="A12" s="82" t="s">
        <v>84</v>
      </c>
      <c r="B12" s="37">
        <v>0</v>
      </c>
      <c r="C12" s="10"/>
      <c r="D12" s="10">
        <f>Table3[[#This Row],[Gas meters
smart in
smart mode]]+Table3[[#This Row],[Gas meters
smart in
traditional mode]]</f>
        <v>0</v>
      </c>
      <c r="E12" s="10">
        <v>10603</v>
      </c>
      <c r="F12" s="10">
        <v>507974</v>
      </c>
      <c r="G12" s="37">
        <v>0</v>
      </c>
      <c r="H12" s="10"/>
      <c r="I12" s="10">
        <f>Table3[[#This Row],[Electricity 
meters
smart in
smart mode]]+Table3[[#This Row],[Electricity 
meters
smart in
traditional mode]]</f>
        <v>0</v>
      </c>
      <c r="J12" s="10">
        <v>509436</v>
      </c>
      <c r="K12" s="10">
        <v>1790147</v>
      </c>
      <c r="L12" s="37">
        <f t="shared" si="0"/>
        <v>0</v>
      </c>
      <c r="M12" s="10"/>
      <c r="N12" s="10">
        <f>Table3[[#This Row],[Gas meters
total smart meters]]+Table3[[#This Row],[Electricity meters
total smart meters]]</f>
        <v>0</v>
      </c>
      <c r="O12" s="10">
        <f t="shared" si="1"/>
        <v>520039</v>
      </c>
      <c r="P12" s="10">
        <f t="shared" si="2"/>
        <v>2298121</v>
      </c>
      <c r="Q12" s="10">
        <f t="shared" si="3"/>
        <v>2818160</v>
      </c>
      <c r="R12" s="107"/>
    </row>
    <row r="13" spans="1:18" ht="17.149999999999999" customHeight="1" x14ac:dyDescent="0.35">
      <c r="A13" s="82" t="s">
        <v>85</v>
      </c>
      <c r="B13" s="37">
        <v>0</v>
      </c>
      <c r="C13" s="10"/>
      <c r="D13" s="10">
        <f>Table3[[#This Row],[Gas meters
smart in
smart mode]]+Table3[[#This Row],[Gas meters
smart in
traditional mode]]</f>
        <v>0</v>
      </c>
      <c r="E13" s="10">
        <v>10778</v>
      </c>
      <c r="F13" s="10">
        <v>488142</v>
      </c>
      <c r="G13" s="10">
        <v>946</v>
      </c>
      <c r="H13" s="10"/>
      <c r="I13" s="10">
        <f>Table3[[#This Row],[Electricity 
meters
smart in
smart mode]]+Table3[[#This Row],[Electricity 
meters
smart in
traditional mode]]</f>
        <v>946</v>
      </c>
      <c r="J13" s="10">
        <v>496810</v>
      </c>
      <c r="K13" s="10">
        <v>1819499</v>
      </c>
      <c r="L13" s="10">
        <f t="shared" si="0"/>
        <v>946</v>
      </c>
      <c r="M13" s="10"/>
      <c r="N13" s="10">
        <f>Table3[[#This Row],[Gas meters
total smart meters]]+Table3[[#This Row],[Electricity meters
total smart meters]]</f>
        <v>946</v>
      </c>
      <c r="O13" s="10">
        <f t="shared" si="1"/>
        <v>507588</v>
      </c>
      <c r="P13" s="10">
        <f t="shared" si="2"/>
        <v>2307641</v>
      </c>
      <c r="Q13" s="10">
        <f t="shared" si="3"/>
        <v>2816175</v>
      </c>
      <c r="R13" s="107"/>
    </row>
    <row r="14" spans="1:18" ht="17.149999999999999" customHeight="1" x14ac:dyDescent="0.35">
      <c r="A14" s="82" t="s">
        <v>86</v>
      </c>
      <c r="B14" s="37">
        <v>0</v>
      </c>
      <c r="C14" s="10"/>
      <c r="D14" s="10">
        <f>Table3[[#This Row],[Gas meters
smart in
smart mode]]+Table3[[#This Row],[Gas meters
smart in
traditional mode]]</f>
        <v>0</v>
      </c>
      <c r="E14" s="10">
        <v>10535</v>
      </c>
      <c r="F14" s="10">
        <v>482251</v>
      </c>
      <c r="G14" s="10">
        <v>3536</v>
      </c>
      <c r="H14" s="10"/>
      <c r="I14" s="10">
        <f>Table3[[#This Row],[Electricity 
meters
smart in
smart mode]]+Table3[[#This Row],[Electricity 
meters
smart in
traditional mode]]</f>
        <v>3536</v>
      </c>
      <c r="J14" s="10">
        <v>515107</v>
      </c>
      <c r="K14" s="10">
        <v>1824847</v>
      </c>
      <c r="L14" s="10">
        <f t="shared" si="0"/>
        <v>3536</v>
      </c>
      <c r="M14" s="10"/>
      <c r="N14" s="10">
        <f>Table3[[#This Row],[Gas meters
total smart meters]]+Table3[[#This Row],[Electricity meters
total smart meters]]</f>
        <v>3536</v>
      </c>
      <c r="O14" s="10">
        <f t="shared" si="1"/>
        <v>525642</v>
      </c>
      <c r="P14" s="10">
        <f t="shared" si="2"/>
        <v>2307098</v>
      </c>
      <c r="Q14" s="10">
        <f t="shared" si="3"/>
        <v>2836276</v>
      </c>
      <c r="R14" s="107" t="s">
        <v>87</v>
      </c>
    </row>
    <row r="15" spans="1:18" ht="22.4" customHeight="1" x14ac:dyDescent="0.35">
      <c r="A15" s="82" t="s">
        <v>88</v>
      </c>
      <c r="B15" s="37">
        <v>0</v>
      </c>
      <c r="C15" s="10"/>
      <c r="D15" s="10">
        <f>Table3[[#This Row],[Gas meters
smart in
smart mode]]+Table3[[#This Row],[Gas meters
smart in
traditional mode]]</f>
        <v>0</v>
      </c>
      <c r="E15" s="10">
        <v>10530</v>
      </c>
      <c r="F15" s="10">
        <v>480223</v>
      </c>
      <c r="G15" s="10">
        <v>4777</v>
      </c>
      <c r="H15" s="10"/>
      <c r="I15" s="10">
        <f>Table3[[#This Row],[Electricity 
meters
smart in
smart mode]]+Table3[[#This Row],[Electricity 
meters
smart in
traditional mode]]</f>
        <v>4777</v>
      </c>
      <c r="J15" s="10">
        <v>471484</v>
      </c>
      <c r="K15" s="10">
        <v>1782186</v>
      </c>
      <c r="L15" s="10">
        <f t="shared" si="0"/>
        <v>4777</v>
      </c>
      <c r="M15" s="10"/>
      <c r="N15" s="10">
        <f>Table3[[#This Row],[Gas meters
total smart meters]]+Table3[[#This Row],[Electricity meters
total smart meters]]</f>
        <v>4777</v>
      </c>
      <c r="O15" s="10">
        <f t="shared" si="1"/>
        <v>482014</v>
      </c>
      <c r="P15" s="10">
        <f t="shared" si="2"/>
        <v>2262409</v>
      </c>
      <c r="Q15" s="10">
        <f t="shared" si="3"/>
        <v>2749200</v>
      </c>
      <c r="R15" s="107"/>
    </row>
    <row r="16" spans="1:18" ht="17.149999999999999" customHeight="1" x14ac:dyDescent="0.35">
      <c r="A16" s="82" t="s">
        <v>89</v>
      </c>
      <c r="B16" s="37">
        <v>0</v>
      </c>
      <c r="C16" s="10"/>
      <c r="D16" s="10">
        <f>Table3[[#This Row],[Gas meters
smart in
smart mode]]+Table3[[#This Row],[Gas meters
smart in
traditional mode]]</f>
        <v>0</v>
      </c>
      <c r="E16" s="10">
        <v>10078</v>
      </c>
      <c r="F16" s="10">
        <v>484537</v>
      </c>
      <c r="G16" s="10">
        <v>6214</v>
      </c>
      <c r="H16" s="10"/>
      <c r="I16" s="10">
        <f>Table3[[#This Row],[Electricity 
meters
smart in
smart mode]]+Table3[[#This Row],[Electricity 
meters
smart in
traditional mode]]</f>
        <v>6214</v>
      </c>
      <c r="J16" s="10">
        <v>477395</v>
      </c>
      <c r="K16" s="10">
        <v>1763237</v>
      </c>
      <c r="L16" s="10">
        <f t="shared" si="0"/>
        <v>6214</v>
      </c>
      <c r="M16" s="10"/>
      <c r="N16" s="10">
        <f>Table3[[#This Row],[Gas meters
total smart meters]]+Table3[[#This Row],[Electricity meters
total smart meters]]</f>
        <v>6214</v>
      </c>
      <c r="O16" s="10">
        <f t="shared" si="1"/>
        <v>487473</v>
      </c>
      <c r="P16" s="10">
        <f t="shared" si="2"/>
        <v>2247774</v>
      </c>
      <c r="Q16" s="10">
        <f t="shared" si="3"/>
        <v>2741461</v>
      </c>
      <c r="R16" s="107"/>
    </row>
    <row r="17" spans="1:18" s="29" customFormat="1" ht="17.149999999999999" customHeight="1" x14ac:dyDescent="0.35">
      <c r="A17" s="82" t="s">
        <v>148</v>
      </c>
      <c r="B17" s="37">
        <v>0</v>
      </c>
      <c r="C17" s="10"/>
      <c r="D17" s="10">
        <f>Table3[[#This Row],[Gas meters
smart in
smart mode]]+Table3[[#This Row],[Gas meters
smart in
traditional mode]]</f>
        <v>0</v>
      </c>
      <c r="E17" s="10">
        <v>13224</v>
      </c>
      <c r="F17" s="10">
        <v>491553</v>
      </c>
      <c r="G17" s="10">
        <v>7211</v>
      </c>
      <c r="H17" s="10"/>
      <c r="I17" s="10">
        <f>Table3[[#This Row],[Electricity 
meters
smart in
smart mode]]+Table3[[#This Row],[Electricity 
meters
smart in
traditional mode]]</f>
        <v>7211</v>
      </c>
      <c r="J17" s="10">
        <v>494900</v>
      </c>
      <c r="K17" s="10">
        <v>1712572</v>
      </c>
      <c r="L17" s="10">
        <f t="shared" si="0"/>
        <v>7211</v>
      </c>
      <c r="M17" s="10"/>
      <c r="N17" s="10">
        <f>Table3[[#This Row],[Gas meters
total smart meters]]+Table3[[#This Row],[Electricity meters
total smart meters]]</f>
        <v>7211</v>
      </c>
      <c r="O17" s="10">
        <f t="shared" si="1"/>
        <v>508124</v>
      </c>
      <c r="P17" s="10">
        <f t="shared" si="2"/>
        <v>2204125</v>
      </c>
      <c r="Q17" s="10">
        <f t="shared" si="3"/>
        <v>2719460</v>
      </c>
      <c r="R17" s="107"/>
    </row>
    <row r="18" spans="1:18" s="29" customFormat="1" ht="17.149999999999999" customHeight="1" x14ac:dyDescent="0.35">
      <c r="A18" s="82" t="s">
        <v>91</v>
      </c>
      <c r="B18" s="10">
        <v>27</v>
      </c>
      <c r="C18" s="10"/>
      <c r="D18" s="10">
        <f>Table3[[#This Row],[Gas meters
smart in
smart mode]]+Table3[[#This Row],[Gas meters
smart in
traditional mode]]</f>
        <v>27</v>
      </c>
      <c r="E18" s="10">
        <v>15089</v>
      </c>
      <c r="F18" s="10">
        <v>487946</v>
      </c>
      <c r="G18" s="10">
        <v>7743</v>
      </c>
      <c r="H18" s="10"/>
      <c r="I18" s="10">
        <f>Table3[[#This Row],[Electricity 
meters
smart in
smart mode]]+Table3[[#This Row],[Electricity 
meters
smart in
traditional mode]]</f>
        <v>7743</v>
      </c>
      <c r="J18" s="10">
        <v>498719</v>
      </c>
      <c r="K18" s="10">
        <v>1709367</v>
      </c>
      <c r="L18" s="10">
        <f t="shared" si="0"/>
        <v>7770</v>
      </c>
      <c r="M18" s="10"/>
      <c r="N18" s="10">
        <f>Table3[[#This Row],[Gas meters
total smart meters]]+Table3[[#This Row],[Electricity meters
total smart meters]]</f>
        <v>7770</v>
      </c>
      <c r="O18" s="10">
        <f t="shared" si="1"/>
        <v>513808</v>
      </c>
      <c r="P18" s="10">
        <f t="shared" si="2"/>
        <v>2197313</v>
      </c>
      <c r="Q18" s="10">
        <f t="shared" si="3"/>
        <v>2718891</v>
      </c>
      <c r="R18" s="107"/>
    </row>
    <row r="19" spans="1:18" s="29" customFormat="1" ht="22.4" customHeight="1" x14ac:dyDescent="0.35">
      <c r="A19" s="82" t="s">
        <v>92</v>
      </c>
      <c r="B19" s="10">
        <v>95</v>
      </c>
      <c r="C19" s="10"/>
      <c r="D19" s="10">
        <f>Table3[[#This Row],[Gas meters
smart in
smart mode]]+Table3[[#This Row],[Gas meters
smart in
traditional mode]]</f>
        <v>95</v>
      </c>
      <c r="E19" s="10">
        <v>18587</v>
      </c>
      <c r="F19" s="10">
        <v>472710</v>
      </c>
      <c r="G19" s="10">
        <v>8331</v>
      </c>
      <c r="H19" s="10"/>
      <c r="I19" s="10">
        <f>Table3[[#This Row],[Electricity 
meters
smart in
smart mode]]+Table3[[#This Row],[Electricity 
meters
smart in
traditional mode]]</f>
        <v>8331</v>
      </c>
      <c r="J19" s="10">
        <v>509224</v>
      </c>
      <c r="K19" s="10">
        <v>1696853</v>
      </c>
      <c r="L19" s="10">
        <f t="shared" si="0"/>
        <v>8426</v>
      </c>
      <c r="M19" s="10"/>
      <c r="N19" s="10">
        <f>Table3[[#This Row],[Gas meters
total smart meters]]+Table3[[#This Row],[Electricity meters
total smart meters]]</f>
        <v>8426</v>
      </c>
      <c r="O19" s="10">
        <f t="shared" si="1"/>
        <v>527811</v>
      </c>
      <c r="P19" s="10">
        <f t="shared" si="2"/>
        <v>2169563</v>
      </c>
      <c r="Q19" s="10">
        <f t="shared" si="3"/>
        <v>2705800</v>
      </c>
      <c r="R19" s="107" t="s">
        <v>93</v>
      </c>
    </row>
    <row r="20" spans="1:18" s="29" customFormat="1" ht="17.149999999999999" customHeight="1" x14ac:dyDescent="0.35">
      <c r="A20" s="82" t="s">
        <v>94</v>
      </c>
      <c r="B20" s="10">
        <v>227</v>
      </c>
      <c r="C20" s="10"/>
      <c r="D20" s="10">
        <f>Table3[[#This Row],[Gas meters
smart in
smart mode]]+Table3[[#This Row],[Gas meters
smart in
traditional mode]]</f>
        <v>227</v>
      </c>
      <c r="E20" s="10">
        <v>20742</v>
      </c>
      <c r="F20" s="10">
        <v>464729</v>
      </c>
      <c r="G20" s="10">
        <v>9575</v>
      </c>
      <c r="H20" s="10"/>
      <c r="I20" s="10">
        <f>Table3[[#This Row],[Electricity 
meters
smart in
smart mode]]+Table3[[#This Row],[Electricity 
meters
smart in
traditional mode]]</f>
        <v>9575</v>
      </c>
      <c r="J20" s="10">
        <v>507897</v>
      </c>
      <c r="K20" s="10">
        <v>1709885</v>
      </c>
      <c r="L20" s="10">
        <f t="shared" si="0"/>
        <v>9802</v>
      </c>
      <c r="M20" s="10"/>
      <c r="N20" s="10">
        <f>Table3[[#This Row],[Gas meters
total smart meters]]+Table3[[#This Row],[Electricity meters
total smart meters]]</f>
        <v>9802</v>
      </c>
      <c r="O20" s="10">
        <f t="shared" si="1"/>
        <v>528639</v>
      </c>
      <c r="P20" s="10">
        <f t="shared" si="2"/>
        <v>2174614</v>
      </c>
      <c r="Q20" s="10">
        <f t="shared" si="3"/>
        <v>2713055</v>
      </c>
      <c r="R20" s="107"/>
    </row>
    <row r="21" spans="1:18" s="29" customFormat="1" ht="17.149999999999999" customHeight="1" x14ac:dyDescent="0.35">
      <c r="A21" s="82" t="s">
        <v>95</v>
      </c>
      <c r="B21" s="10">
        <v>438</v>
      </c>
      <c r="C21" s="10"/>
      <c r="D21" s="10">
        <f>Table3[[#This Row],[Gas meters
smart in
smart mode]]+Table3[[#This Row],[Gas meters
smart in
traditional mode]]</f>
        <v>438</v>
      </c>
      <c r="E21" s="10">
        <v>28498</v>
      </c>
      <c r="F21" s="10">
        <v>452597</v>
      </c>
      <c r="G21" s="10">
        <v>12023</v>
      </c>
      <c r="H21" s="10"/>
      <c r="I21" s="10">
        <f>Table3[[#This Row],[Electricity 
meters
smart in
smart mode]]+Table3[[#This Row],[Electricity 
meters
smart in
traditional mode]]</f>
        <v>12023</v>
      </c>
      <c r="J21" s="10">
        <v>508808</v>
      </c>
      <c r="K21" s="10">
        <v>1672772</v>
      </c>
      <c r="L21" s="10">
        <f t="shared" si="0"/>
        <v>12461</v>
      </c>
      <c r="M21" s="10"/>
      <c r="N21" s="10">
        <f>Table3[[#This Row],[Gas meters
total smart meters]]+Table3[[#This Row],[Electricity meters
total smart meters]]</f>
        <v>12461</v>
      </c>
      <c r="O21" s="10">
        <f t="shared" si="1"/>
        <v>537306</v>
      </c>
      <c r="P21" s="10">
        <f t="shared" si="2"/>
        <v>2125369</v>
      </c>
      <c r="Q21" s="10">
        <f t="shared" si="3"/>
        <v>2675136</v>
      </c>
      <c r="R21" s="107"/>
    </row>
    <row r="22" spans="1:18" s="29" customFormat="1" ht="17.149999999999999" customHeight="1" x14ac:dyDescent="0.35">
      <c r="A22" s="82" t="s">
        <v>96</v>
      </c>
      <c r="B22" s="10">
        <v>732</v>
      </c>
      <c r="C22" s="10"/>
      <c r="D22" s="10">
        <f>Table3[[#This Row],[Gas meters
smart in
smart mode]]+Table3[[#This Row],[Gas meters
smart in
traditional mode]]</f>
        <v>732</v>
      </c>
      <c r="E22" s="10">
        <v>36622</v>
      </c>
      <c r="F22" s="10">
        <v>433795</v>
      </c>
      <c r="G22" s="10">
        <v>14914</v>
      </c>
      <c r="H22" s="10"/>
      <c r="I22" s="10">
        <f>Table3[[#This Row],[Electricity 
meters
smart in
smart mode]]+Table3[[#This Row],[Electricity 
meters
smart in
traditional mode]]</f>
        <v>14914</v>
      </c>
      <c r="J22" s="10">
        <v>473677</v>
      </c>
      <c r="K22" s="10">
        <v>1662092</v>
      </c>
      <c r="L22" s="10">
        <f t="shared" si="0"/>
        <v>15646</v>
      </c>
      <c r="M22" s="10"/>
      <c r="N22" s="10">
        <f>Table3[[#This Row],[Gas meters
total smart meters]]+Table3[[#This Row],[Electricity meters
total smart meters]]</f>
        <v>15646</v>
      </c>
      <c r="O22" s="10">
        <f t="shared" ref="O22:O33" si="4">E22+J22</f>
        <v>510299</v>
      </c>
      <c r="P22" s="10">
        <f t="shared" si="2"/>
        <v>2095887</v>
      </c>
      <c r="Q22" s="10">
        <f t="shared" si="3"/>
        <v>2621832</v>
      </c>
      <c r="R22" s="107"/>
    </row>
    <row r="23" spans="1:18" s="29" customFormat="1" ht="22.4" customHeight="1" x14ac:dyDescent="0.35">
      <c r="A23" s="82" t="s">
        <v>97</v>
      </c>
      <c r="B23" s="10">
        <v>928</v>
      </c>
      <c r="C23" s="10"/>
      <c r="D23" s="10">
        <f>Table3[[#This Row],[Gas meters
smart in
smart mode]]+Table3[[#This Row],[Gas meters
smart in
traditional mode]]</f>
        <v>928</v>
      </c>
      <c r="E23" s="10">
        <v>43416</v>
      </c>
      <c r="F23" s="10">
        <v>420271</v>
      </c>
      <c r="G23" s="10">
        <v>18140</v>
      </c>
      <c r="H23" s="10"/>
      <c r="I23" s="10">
        <f>Table3[[#This Row],[Electricity 
meters
smart in
smart mode]]+Table3[[#This Row],[Electricity 
meters
smart in
traditional mode]]</f>
        <v>18140</v>
      </c>
      <c r="J23" s="10">
        <v>506830</v>
      </c>
      <c r="K23" s="10">
        <v>1630752</v>
      </c>
      <c r="L23" s="10">
        <f t="shared" si="0"/>
        <v>19068</v>
      </c>
      <c r="M23" s="10"/>
      <c r="N23" s="10">
        <f>Table3[[#This Row],[Gas meters
total smart meters]]+Table3[[#This Row],[Electricity meters
total smart meters]]</f>
        <v>19068</v>
      </c>
      <c r="O23" s="10">
        <f t="shared" si="4"/>
        <v>550246</v>
      </c>
      <c r="P23" s="10">
        <f t="shared" ref="P23:P33" si="5">F23+K23</f>
        <v>2051023</v>
      </c>
      <c r="Q23" s="10">
        <f t="shared" si="3"/>
        <v>2620337</v>
      </c>
      <c r="R23" s="107" t="s">
        <v>98</v>
      </c>
    </row>
    <row r="24" spans="1:18" s="29" customFormat="1" ht="17.149999999999999" customHeight="1" x14ac:dyDescent="0.35">
      <c r="A24" s="82" t="s">
        <v>99</v>
      </c>
      <c r="B24" s="10">
        <v>1134</v>
      </c>
      <c r="C24" s="10"/>
      <c r="D24" s="10">
        <f>Table3[[#This Row],[Gas meters
smart in
smart mode]]+Table3[[#This Row],[Gas meters
smart in
traditional mode]]</f>
        <v>1134</v>
      </c>
      <c r="E24" s="10">
        <v>47130</v>
      </c>
      <c r="F24" s="10">
        <v>420117</v>
      </c>
      <c r="G24" s="10">
        <v>22466</v>
      </c>
      <c r="H24" s="10"/>
      <c r="I24" s="10">
        <f>Table3[[#This Row],[Electricity 
meters
smart in
smart mode]]+Table3[[#This Row],[Electricity 
meters
smart in
traditional mode]]</f>
        <v>22466</v>
      </c>
      <c r="J24" s="10">
        <v>506304</v>
      </c>
      <c r="K24" s="10">
        <v>1659163</v>
      </c>
      <c r="L24" s="10">
        <f t="shared" si="0"/>
        <v>23600</v>
      </c>
      <c r="M24" s="10"/>
      <c r="N24" s="10">
        <f>Table3[[#This Row],[Gas meters
total smart meters]]+Table3[[#This Row],[Electricity meters
total smart meters]]</f>
        <v>23600</v>
      </c>
      <c r="O24" s="10">
        <f t="shared" si="4"/>
        <v>553434</v>
      </c>
      <c r="P24" s="10">
        <f t="shared" si="5"/>
        <v>2079280</v>
      </c>
      <c r="Q24" s="10">
        <f t="shared" si="3"/>
        <v>2656314</v>
      </c>
      <c r="R24" s="107" t="s">
        <v>100</v>
      </c>
    </row>
    <row r="25" spans="1:18" s="93" customFormat="1" ht="17.149999999999999" customHeight="1" x14ac:dyDescent="0.35">
      <c r="A25" s="82" t="s">
        <v>101</v>
      </c>
      <c r="B25" s="10">
        <v>1370</v>
      </c>
      <c r="C25" s="10"/>
      <c r="D25" s="10">
        <f>Table3[[#This Row],[Gas meters
smart in
smart mode]]+Table3[[#This Row],[Gas meters
smart in
traditional mode]]</f>
        <v>1370</v>
      </c>
      <c r="E25" s="10">
        <v>46537</v>
      </c>
      <c r="F25" s="10">
        <v>417299</v>
      </c>
      <c r="G25" s="10">
        <v>27373</v>
      </c>
      <c r="H25" s="10"/>
      <c r="I25" s="10">
        <f>Table3[[#This Row],[Electricity 
meters
smart in
smart mode]]+Table3[[#This Row],[Electricity 
meters
smart in
traditional mode]]</f>
        <v>27373</v>
      </c>
      <c r="J25" s="10">
        <v>488088</v>
      </c>
      <c r="K25" s="10">
        <v>1605549</v>
      </c>
      <c r="L25" s="10">
        <f t="shared" si="0"/>
        <v>28743</v>
      </c>
      <c r="M25" s="10"/>
      <c r="N25" s="10">
        <f>Table3[[#This Row],[Gas meters
total smart meters]]+Table3[[#This Row],[Electricity meters
total smart meters]]</f>
        <v>28743</v>
      </c>
      <c r="O25" s="10">
        <f t="shared" si="4"/>
        <v>534625</v>
      </c>
      <c r="P25" s="10">
        <f t="shared" si="5"/>
        <v>2022848</v>
      </c>
      <c r="Q25" s="10">
        <f t="shared" si="3"/>
        <v>2586216</v>
      </c>
      <c r="R25" s="107"/>
    </row>
    <row r="26" spans="1:18" s="93" customFormat="1" ht="17.149999999999999" customHeight="1" x14ac:dyDescent="0.35">
      <c r="A26" s="82" t="s">
        <v>102</v>
      </c>
      <c r="B26" s="10">
        <v>1545</v>
      </c>
      <c r="C26" s="10"/>
      <c r="D26" s="10">
        <f>Table3[[#This Row],[Gas meters
smart in
smart mode]]+Table3[[#This Row],[Gas meters
smart in
traditional mode]]</f>
        <v>1545</v>
      </c>
      <c r="E26" s="10">
        <v>50314</v>
      </c>
      <c r="F26" s="10">
        <v>406541</v>
      </c>
      <c r="G26" s="10">
        <v>32252</v>
      </c>
      <c r="H26" s="10"/>
      <c r="I26" s="10">
        <f>Table3[[#This Row],[Electricity 
meters
smart in
smart mode]]+Table3[[#This Row],[Electricity 
meters
smart in
traditional mode]]</f>
        <v>32252</v>
      </c>
      <c r="J26" s="10">
        <v>498756</v>
      </c>
      <c r="K26" s="10">
        <v>1589466</v>
      </c>
      <c r="L26" s="10">
        <f t="shared" si="0"/>
        <v>33797</v>
      </c>
      <c r="M26" s="10"/>
      <c r="N26" s="10">
        <f>Table3[[#This Row],[Gas meters
total smart meters]]+Table3[[#This Row],[Electricity meters
total smart meters]]</f>
        <v>33797</v>
      </c>
      <c r="O26" s="10">
        <f t="shared" si="4"/>
        <v>549070</v>
      </c>
      <c r="P26" s="10">
        <f t="shared" si="5"/>
        <v>1996007</v>
      </c>
      <c r="Q26" s="10">
        <f t="shared" si="3"/>
        <v>2578874</v>
      </c>
      <c r="R26" s="107" t="s">
        <v>103</v>
      </c>
    </row>
    <row r="27" spans="1:18" s="93" customFormat="1" ht="22.4" customHeight="1" x14ac:dyDescent="0.35">
      <c r="A27" s="82" t="s">
        <v>104</v>
      </c>
      <c r="B27" s="10">
        <v>1768</v>
      </c>
      <c r="C27" s="10"/>
      <c r="D27" s="10">
        <f>Table3[[#This Row],[Gas meters
smart in
smart mode]]+Table3[[#This Row],[Gas meters
smart in
traditional mode]]</f>
        <v>1768</v>
      </c>
      <c r="E27" s="10">
        <v>54295</v>
      </c>
      <c r="F27" s="9">
        <v>397035</v>
      </c>
      <c r="G27" s="10">
        <v>36672</v>
      </c>
      <c r="H27" s="10"/>
      <c r="I27" s="10">
        <f>Table3[[#This Row],[Electricity 
meters
smart in
smart mode]]+Table3[[#This Row],[Electricity 
meters
smart in
traditional mode]]</f>
        <v>36672</v>
      </c>
      <c r="J27" s="9">
        <v>497092</v>
      </c>
      <c r="K27" s="10">
        <v>1549754</v>
      </c>
      <c r="L27" s="10">
        <f t="shared" si="0"/>
        <v>38440</v>
      </c>
      <c r="M27" s="10"/>
      <c r="N27" s="10">
        <f>Table3[[#This Row],[Gas meters
total smart meters]]+Table3[[#This Row],[Electricity meters
total smart meters]]</f>
        <v>38440</v>
      </c>
      <c r="O27" s="10">
        <f t="shared" si="4"/>
        <v>551387</v>
      </c>
      <c r="P27" s="10">
        <f t="shared" si="5"/>
        <v>1946789</v>
      </c>
      <c r="Q27" s="10">
        <f t="shared" si="3"/>
        <v>2536616</v>
      </c>
      <c r="R27" s="107"/>
    </row>
    <row r="28" spans="1:18" s="93" customFormat="1" ht="17.149999999999999" customHeight="1" x14ac:dyDescent="0.35">
      <c r="A28" s="82" t="s">
        <v>105</v>
      </c>
      <c r="B28" s="10">
        <v>2021</v>
      </c>
      <c r="C28" s="10"/>
      <c r="D28" s="10">
        <f>Table3[[#This Row],[Gas meters
smart in
smart mode]]+Table3[[#This Row],[Gas meters
smart in
traditional mode]]</f>
        <v>2021</v>
      </c>
      <c r="E28" s="10">
        <v>53702</v>
      </c>
      <c r="F28" s="10">
        <v>382946</v>
      </c>
      <c r="G28" s="10">
        <v>40271</v>
      </c>
      <c r="H28" s="10"/>
      <c r="I28" s="10">
        <f>Table3[[#This Row],[Electricity 
meters
smart in
smart mode]]+Table3[[#This Row],[Electricity 
meters
smart in
traditional mode]]</f>
        <v>40271</v>
      </c>
      <c r="J28" s="10">
        <v>498456</v>
      </c>
      <c r="K28" s="10">
        <v>1527968</v>
      </c>
      <c r="L28" s="10">
        <f t="shared" si="0"/>
        <v>42292</v>
      </c>
      <c r="M28" s="10"/>
      <c r="N28" s="10">
        <f>Table3[[#This Row],[Gas meters
total smart meters]]+Table3[[#This Row],[Electricity meters
total smart meters]]</f>
        <v>42292</v>
      </c>
      <c r="O28" s="10">
        <f t="shared" si="4"/>
        <v>552158</v>
      </c>
      <c r="P28" s="10">
        <f t="shared" si="5"/>
        <v>1910914</v>
      </c>
      <c r="Q28" s="10">
        <f t="shared" si="3"/>
        <v>2505364</v>
      </c>
      <c r="R28" s="107"/>
    </row>
    <row r="29" spans="1:18" s="93" customFormat="1" ht="17.149999999999999" customHeight="1" x14ac:dyDescent="0.35">
      <c r="A29" s="82" t="s">
        <v>106</v>
      </c>
      <c r="B29" s="10">
        <v>2096</v>
      </c>
      <c r="C29" s="10"/>
      <c r="D29" s="10">
        <f>Table3[[#This Row],[Gas meters
smart in
smart mode]]+Table3[[#This Row],[Gas meters
smart in
traditional mode]]</f>
        <v>2096</v>
      </c>
      <c r="E29" s="10">
        <v>52906</v>
      </c>
      <c r="F29" s="10">
        <v>375435</v>
      </c>
      <c r="G29" s="10">
        <v>43888</v>
      </c>
      <c r="H29" s="10"/>
      <c r="I29" s="10">
        <f>Table3[[#This Row],[Electricity 
meters
smart in
smart mode]]+Table3[[#This Row],[Electricity 
meters
smart in
traditional mode]]</f>
        <v>43888</v>
      </c>
      <c r="J29" s="10">
        <v>500089</v>
      </c>
      <c r="K29" s="10">
        <v>1486995</v>
      </c>
      <c r="L29" s="10">
        <f t="shared" si="0"/>
        <v>45984</v>
      </c>
      <c r="M29" s="10"/>
      <c r="N29" s="10">
        <f>Table3[[#This Row],[Gas meters
total smart meters]]+Table3[[#This Row],[Electricity meters
total smart meters]]</f>
        <v>45984</v>
      </c>
      <c r="O29" s="10">
        <f t="shared" si="4"/>
        <v>552995</v>
      </c>
      <c r="P29" s="10">
        <f t="shared" si="5"/>
        <v>1862430</v>
      </c>
      <c r="Q29" s="10">
        <f t="shared" si="3"/>
        <v>2461409</v>
      </c>
      <c r="R29" s="107"/>
    </row>
    <row r="30" spans="1:18" s="93" customFormat="1" ht="17.149999999999999" customHeight="1" x14ac:dyDescent="0.35">
      <c r="A30" s="82" t="s">
        <v>107</v>
      </c>
      <c r="B30" s="10">
        <v>2334</v>
      </c>
      <c r="C30" s="10"/>
      <c r="D30" s="10">
        <f>Table3[[#This Row],[Gas meters
smart in
smart mode]]+Table3[[#This Row],[Gas meters
smart in
traditional mode]]</f>
        <v>2334</v>
      </c>
      <c r="E30" s="10">
        <v>59889</v>
      </c>
      <c r="F30" s="10">
        <v>353981</v>
      </c>
      <c r="G30" s="10">
        <v>49546</v>
      </c>
      <c r="H30" s="10"/>
      <c r="I30" s="10">
        <f>Table3[[#This Row],[Electricity 
meters
smart in
smart mode]]+Table3[[#This Row],[Electricity 
meters
smart in
traditional mode]]</f>
        <v>49546</v>
      </c>
      <c r="J30" s="10">
        <v>525219</v>
      </c>
      <c r="K30" s="10">
        <v>1422472</v>
      </c>
      <c r="L30" s="10">
        <f t="shared" si="0"/>
        <v>51880</v>
      </c>
      <c r="M30" s="10"/>
      <c r="N30" s="10">
        <f>Table3[[#This Row],[Gas meters
total smart meters]]+Table3[[#This Row],[Electricity meters
total smart meters]]</f>
        <v>51880</v>
      </c>
      <c r="O30" s="10">
        <f t="shared" si="4"/>
        <v>585108</v>
      </c>
      <c r="P30" s="10">
        <f t="shared" si="5"/>
        <v>1776453</v>
      </c>
      <c r="Q30" s="10">
        <f t="shared" si="3"/>
        <v>2413441</v>
      </c>
      <c r="R30" s="107" t="s">
        <v>108</v>
      </c>
    </row>
    <row r="31" spans="1:18" s="93" customFormat="1" ht="22.4" customHeight="1" x14ac:dyDescent="0.35">
      <c r="A31" s="82" t="s">
        <v>109</v>
      </c>
      <c r="B31" s="10">
        <v>2433</v>
      </c>
      <c r="C31" s="10"/>
      <c r="D31" s="10">
        <f>Table3[[#This Row],[Gas meters
smart in
smart mode]]+Table3[[#This Row],[Gas meters
smart in
traditional mode]]</f>
        <v>2433</v>
      </c>
      <c r="E31" s="10">
        <v>60193</v>
      </c>
      <c r="F31" s="10">
        <v>347030</v>
      </c>
      <c r="G31" s="10">
        <v>53546</v>
      </c>
      <c r="H31" s="10"/>
      <c r="I31" s="10">
        <f>Table3[[#This Row],[Electricity 
meters
smart in
smart mode]]+Table3[[#This Row],[Electricity 
meters
smart in
traditional mode]]</f>
        <v>53546</v>
      </c>
      <c r="J31" s="10">
        <v>513501</v>
      </c>
      <c r="K31" s="10">
        <v>1412164</v>
      </c>
      <c r="L31" s="10">
        <f t="shared" si="0"/>
        <v>55979</v>
      </c>
      <c r="M31" s="10"/>
      <c r="N31" s="10">
        <f>Table3[[#This Row],[Gas meters
total smart meters]]+Table3[[#This Row],[Electricity meters
total smart meters]]</f>
        <v>55979</v>
      </c>
      <c r="O31" s="10">
        <f t="shared" si="4"/>
        <v>573694</v>
      </c>
      <c r="P31" s="10">
        <f t="shared" si="5"/>
        <v>1759194</v>
      </c>
      <c r="Q31" s="10">
        <f t="shared" si="3"/>
        <v>2388867</v>
      </c>
      <c r="R31" s="107" t="s">
        <v>110</v>
      </c>
    </row>
    <row r="32" spans="1:18" s="93" customFormat="1" ht="17.149999999999999" customHeight="1" x14ac:dyDescent="0.35">
      <c r="A32" s="82" t="s">
        <v>111</v>
      </c>
      <c r="B32" s="10">
        <v>2896</v>
      </c>
      <c r="C32" s="10"/>
      <c r="D32" s="10">
        <f>Table3[[#This Row],[Gas meters
smart in
smart mode]]+Table3[[#This Row],[Gas meters
smart in
traditional mode]]</f>
        <v>2896</v>
      </c>
      <c r="E32" s="10">
        <v>66109</v>
      </c>
      <c r="F32" s="10">
        <v>333247</v>
      </c>
      <c r="G32" s="10">
        <v>57776</v>
      </c>
      <c r="H32" s="10"/>
      <c r="I32" s="10">
        <f>Table3[[#This Row],[Electricity 
meters
smart in
smart mode]]+Table3[[#This Row],[Electricity 
meters
smart in
traditional mode]]</f>
        <v>57776</v>
      </c>
      <c r="J32" s="10">
        <v>523349</v>
      </c>
      <c r="K32" s="10">
        <v>1393434</v>
      </c>
      <c r="L32" s="10">
        <f t="shared" si="0"/>
        <v>60672</v>
      </c>
      <c r="M32" s="10"/>
      <c r="N32" s="10">
        <f>Table3[[#This Row],[Gas meters
total smart meters]]+Table3[[#This Row],[Electricity meters
total smart meters]]</f>
        <v>60672</v>
      </c>
      <c r="O32" s="10">
        <f t="shared" si="4"/>
        <v>589458</v>
      </c>
      <c r="P32" s="10">
        <f t="shared" si="5"/>
        <v>1726681</v>
      </c>
      <c r="Q32" s="10">
        <f t="shared" si="3"/>
        <v>2376811</v>
      </c>
      <c r="R32" s="107"/>
    </row>
    <row r="33" spans="1:18" s="93" customFormat="1" ht="17.149999999999999" customHeight="1" x14ac:dyDescent="0.35">
      <c r="A33" s="82" t="s">
        <v>112</v>
      </c>
      <c r="B33" s="10">
        <v>3128</v>
      </c>
      <c r="C33" s="10"/>
      <c r="D33" s="10">
        <f>Table3[[#This Row],[Gas meters
smart in
smart mode]]+Table3[[#This Row],[Gas meters
smart in
traditional mode]]</f>
        <v>3128</v>
      </c>
      <c r="E33" s="10">
        <v>69824</v>
      </c>
      <c r="F33" s="10">
        <v>326669</v>
      </c>
      <c r="G33" s="10">
        <v>60176</v>
      </c>
      <c r="H33" s="10"/>
      <c r="I33" s="10">
        <f>Table3[[#This Row],[Electricity 
meters
smart in
smart mode]]+Table3[[#This Row],[Electricity 
meters
smart in
traditional mode]]</f>
        <v>60176</v>
      </c>
      <c r="J33" s="10">
        <v>536289</v>
      </c>
      <c r="K33" s="10">
        <v>1368392</v>
      </c>
      <c r="L33" s="10">
        <f t="shared" si="0"/>
        <v>63304</v>
      </c>
      <c r="M33" s="10"/>
      <c r="N33" s="10">
        <f>Table3[[#This Row],[Gas meters
total smart meters]]+Table3[[#This Row],[Electricity meters
total smart meters]]</f>
        <v>63304</v>
      </c>
      <c r="O33" s="10">
        <f t="shared" si="4"/>
        <v>606113</v>
      </c>
      <c r="P33" s="10">
        <f t="shared" si="5"/>
        <v>1695061</v>
      </c>
      <c r="Q33" s="10">
        <f t="shared" si="3"/>
        <v>2364478</v>
      </c>
      <c r="R33" s="107"/>
    </row>
    <row r="34" spans="1:18" s="93" customFormat="1" ht="17.149999999999999" customHeight="1" x14ac:dyDescent="0.35">
      <c r="A34" s="82" t="s">
        <v>113</v>
      </c>
      <c r="B34" s="10">
        <v>3497</v>
      </c>
      <c r="C34" s="10">
        <v>1633</v>
      </c>
      <c r="D34" s="10">
        <f>Table3[[#This Row],[Gas meters
smart in
smart mode]]+Table3[[#This Row],[Gas meters
smart in
traditional mode]]</f>
        <v>5130</v>
      </c>
      <c r="E34" s="10">
        <v>75817</v>
      </c>
      <c r="F34" s="10">
        <v>319930</v>
      </c>
      <c r="G34" s="10">
        <v>63993</v>
      </c>
      <c r="H34" s="10">
        <v>9826</v>
      </c>
      <c r="I34" s="10">
        <f>Table3[[#This Row],[Electricity 
meters
smart in
smart mode]]+Table3[[#This Row],[Electricity 
meters
smart in
traditional mode]]</f>
        <v>73819</v>
      </c>
      <c r="J34" s="10">
        <v>535317</v>
      </c>
      <c r="K34" s="10">
        <v>1353378</v>
      </c>
      <c r="L34" s="10">
        <f t="shared" ref="L34:L45" si="6">B34+G34</f>
        <v>67490</v>
      </c>
      <c r="M34" s="10">
        <f t="shared" ref="M34:M45" si="7">C34+H34</f>
        <v>11459</v>
      </c>
      <c r="N34" s="10">
        <f>Table3[[#This Row],[Gas meters
total smart meters]]+Table3[[#This Row],[Electricity meters
total smart meters]]</f>
        <v>78949</v>
      </c>
      <c r="O34" s="10">
        <f t="shared" ref="O34:O39" si="8">E34+J34</f>
        <v>611134</v>
      </c>
      <c r="P34" s="10">
        <f t="shared" ref="P34:P39" si="9">F34+K34</f>
        <v>1673308</v>
      </c>
      <c r="Q34" s="10">
        <f t="shared" si="3"/>
        <v>2363391</v>
      </c>
      <c r="R34" s="107" t="s">
        <v>114</v>
      </c>
    </row>
    <row r="35" spans="1:18" s="93" customFormat="1" ht="22.4" customHeight="1" x14ac:dyDescent="0.35">
      <c r="A35" s="82" t="s">
        <v>115</v>
      </c>
      <c r="B35" s="10">
        <v>3784</v>
      </c>
      <c r="C35" s="10">
        <v>2007</v>
      </c>
      <c r="D35" s="10">
        <f>Table3[[#This Row],[Gas meters
smart in
smart mode]]+Table3[[#This Row],[Gas meters
smart in
traditional mode]]</f>
        <v>5791</v>
      </c>
      <c r="E35" s="10">
        <v>81648</v>
      </c>
      <c r="F35" s="10">
        <v>323017</v>
      </c>
      <c r="G35" s="10">
        <v>65535</v>
      </c>
      <c r="H35" s="10">
        <v>12272</v>
      </c>
      <c r="I35" s="10">
        <f>Table3[[#This Row],[Electricity 
meters
smart in
smart mode]]+Table3[[#This Row],[Electricity 
meters
smart in
traditional mode]]</f>
        <v>77807</v>
      </c>
      <c r="J35" s="10">
        <v>561632</v>
      </c>
      <c r="K35" s="10">
        <v>1314367</v>
      </c>
      <c r="L35" s="10">
        <f t="shared" si="6"/>
        <v>69319</v>
      </c>
      <c r="M35" s="10">
        <f t="shared" si="7"/>
        <v>14279</v>
      </c>
      <c r="N35" s="10">
        <f>Table3[[#This Row],[Gas meters
total smart meters]]+Table3[[#This Row],[Electricity meters
total smart meters]]</f>
        <v>83598</v>
      </c>
      <c r="O35" s="10">
        <f t="shared" si="8"/>
        <v>643280</v>
      </c>
      <c r="P35" s="10">
        <f t="shared" si="9"/>
        <v>1637384</v>
      </c>
      <c r="Q35" s="10">
        <f t="shared" si="3"/>
        <v>2364262</v>
      </c>
      <c r="R35" s="107" t="s">
        <v>116</v>
      </c>
    </row>
    <row r="36" spans="1:18" s="93" customFormat="1" ht="17.149999999999999" customHeight="1" x14ac:dyDescent="0.35">
      <c r="A36" s="82" t="s">
        <v>117</v>
      </c>
      <c r="B36" s="10">
        <v>3763</v>
      </c>
      <c r="C36" s="10">
        <v>1810</v>
      </c>
      <c r="D36" s="10">
        <f>Table3[[#This Row],[Gas meters
smart in
smart mode]]+Table3[[#This Row],[Gas meters
smart in
traditional mode]]</f>
        <v>5573</v>
      </c>
      <c r="E36" s="10">
        <v>89184</v>
      </c>
      <c r="F36" s="10">
        <v>314220</v>
      </c>
      <c r="G36" s="10">
        <v>69195</v>
      </c>
      <c r="H36" s="10">
        <v>14126</v>
      </c>
      <c r="I36" s="10">
        <f>Table3[[#This Row],[Electricity 
meters
smart in
smart mode]]+Table3[[#This Row],[Electricity 
meters
smart in
traditional mode]]</f>
        <v>83321</v>
      </c>
      <c r="J36" s="10">
        <v>591893</v>
      </c>
      <c r="K36" s="10">
        <v>1209404</v>
      </c>
      <c r="L36" s="10">
        <f t="shared" si="6"/>
        <v>72958</v>
      </c>
      <c r="M36" s="10">
        <f t="shared" si="7"/>
        <v>15936</v>
      </c>
      <c r="N36" s="10">
        <f>Table3[[#This Row],[Gas meters
total smart meters]]+Table3[[#This Row],[Electricity meters
total smart meters]]</f>
        <v>88894</v>
      </c>
      <c r="O36" s="10">
        <f t="shared" si="8"/>
        <v>681077</v>
      </c>
      <c r="P36" s="10">
        <f t="shared" si="9"/>
        <v>1523624</v>
      </c>
      <c r="Q36" s="10">
        <f t="shared" si="3"/>
        <v>2293595</v>
      </c>
      <c r="R36" s="107"/>
    </row>
    <row r="37" spans="1:18" s="93" customFormat="1" ht="17.149999999999999" customHeight="1" x14ac:dyDescent="0.35">
      <c r="A37" s="82" t="s">
        <v>118</v>
      </c>
      <c r="B37" s="10">
        <v>4129</v>
      </c>
      <c r="C37" s="10">
        <v>2008</v>
      </c>
      <c r="D37" s="10">
        <f>Table3[[#This Row],[Gas meters
smart in
smart mode]]+Table3[[#This Row],[Gas meters
smart in
traditional mode]]</f>
        <v>6137</v>
      </c>
      <c r="E37" s="10">
        <v>90161</v>
      </c>
      <c r="F37" s="10">
        <v>297932</v>
      </c>
      <c r="G37" s="10">
        <v>76497</v>
      </c>
      <c r="H37" s="10">
        <v>15739</v>
      </c>
      <c r="I37" s="10">
        <f>Table3[[#This Row],[Electricity 
meters
smart in
smart mode]]+Table3[[#This Row],[Electricity 
meters
smart in
traditional mode]]</f>
        <v>92236</v>
      </c>
      <c r="J37" s="10">
        <v>577962</v>
      </c>
      <c r="K37" s="10">
        <v>1225915</v>
      </c>
      <c r="L37" s="10">
        <f t="shared" si="6"/>
        <v>80626</v>
      </c>
      <c r="M37" s="10">
        <f t="shared" si="7"/>
        <v>17747</v>
      </c>
      <c r="N37" s="10">
        <f>Table3[[#This Row],[Gas meters
total smart meters]]+Table3[[#This Row],[Electricity meters
total smart meters]]</f>
        <v>98373</v>
      </c>
      <c r="O37" s="10">
        <f t="shared" si="8"/>
        <v>668123</v>
      </c>
      <c r="P37" s="10">
        <f t="shared" si="9"/>
        <v>1523847</v>
      </c>
      <c r="Q37" s="10">
        <f t="shared" si="3"/>
        <v>2290343</v>
      </c>
      <c r="R37" s="107"/>
    </row>
    <row r="38" spans="1:18" s="93" customFormat="1" ht="17.149999999999999" customHeight="1" x14ac:dyDescent="0.35">
      <c r="A38" s="82" t="s">
        <v>119</v>
      </c>
      <c r="B38" s="10">
        <v>5580</v>
      </c>
      <c r="C38" s="10">
        <v>2117</v>
      </c>
      <c r="D38" s="10">
        <f>Table3[[#This Row],[Gas meters
smart in
smart mode]]+Table3[[#This Row],[Gas meters
smart in
traditional mode]]</f>
        <v>7697</v>
      </c>
      <c r="E38" s="10">
        <v>152019</v>
      </c>
      <c r="F38" s="10">
        <v>309391</v>
      </c>
      <c r="G38" s="10">
        <v>93322</v>
      </c>
      <c r="H38" s="10">
        <v>14780</v>
      </c>
      <c r="I38" s="10">
        <f>Table3[[#This Row],[Electricity 
meters
smart in
smart mode]]+Table3[[#This Row],[Electricity 
meters
smart in
traditional mode]]</f>
        <v>108102</v>
      </c>
      <c r="J38" s="10">
        <v>729227</v>
      </c>
      <c r="K38" s="10">
        <v>1317617</v>
      </c>
      <c r="L38" s="10">
        <f t="shared" si="6"/>
        <v>98902</v>
      </c>
      <c r="M38" s="10">
        <f t="shared" si="7"/>
        <v>16897</v>
      </c>
      <c r="N38" s="10">
        <f>Table3[[#This Row],[Gas meters
total smart meters]]+Table3[[#This Row],[Electricity meters
total smart meters]]</f>
        <v>115799</v>
      </c>
      <c r="O38" s="10">
        <f t="shared" si="8"/>
        <v>881246</v>
      </c>
      <c r="P38" s="10">
        <f t="shared" si="9"/>
        <v>1627008</v>
      </c>
      <c r="Q38" s="10">
        <f t="shared" si="3"/>
        <v>2624053</v>
      </c>
      <c r="R38" s="107" t="s">
        <v>120</v>
      </c>
    </row>
    <row r="39" spans="1:18" s="93" customFormat="1" ht="22.4" customHeight="1" x14ac:dyDescent="0.35">
      <c r="A39" s="82" t="s">
        <v>121</v>
      </c>
      <c r="B39" s="10">
        <v>5943</v>
      </c>
      <c r="C39" s="10">
        <v>2406</v>
      </c>
      <c r="D39" s="10">
        <f>Table3[[#This Row],[Gas meters
smart in
smart mode]]+Table3[[#This Row],[Gas meters
smart in
traditional mode]]</f>
        <v>8349</v>
      </c>
      <c r="E39" s="10">
        <v>157097</v>
      </c>
      <c r="F39" s="10">
        <v>307063</v>
      </c>
      <c r="G39" s="10">
        <v>100622</v>
      </c>
      <c r="H39" s="10">
        <v>16789</v>
      </c>
      <c r="I39" s="10">
        <f>Table3[[#This Row],[Electricity 
meters
smart in
smart mode]]+Table3[[#This Row],[Electricity 
meters
smart in
traditional mode]]</f>
        <v>117411</v>
      </c>
      <c r="J39" s="10">
        <v>732960</v>
      </c>
      <c r="K39" s="10">
        <v>1291950</v>
      </c>
      <c r="L39" s="10">
        <f t="shared" si="6"/>
        <v>106565</v>
      </c>
      <c r="M39" s="10">
        <f t="shared" si="7"/>
        <v>19195</v>
      </c>
      <c r="N39" s="10">
        <f>Table3[[#This Row],[Gas meters
total smart meters]]+Table3[[#This Row],[Electricity meters
total smart meters]]</f>
        <v>125760</v>
      </c>
      <c r="O39" s="10">
        <f t="shared" si="8"/>
        <v>890057</v>
      </c>
      <c r="P39" s="10">
        <f t="shared" si="9"/>
        <v>1599013</v>
      </c>
      <c r="Q39" s="10">
        <f t="shared" si="3"/>
        <v>2614830</v>
      </c>
      <c r="R39" s="107"/>
    </row>
    <row r="40" spans="1:18" s="93" customFormat="1" ht="17.149999999999999" customHeight="1" x14ac:dyDescent="0.35">
      <c r="A40" s="82" t="s">
        <v>123</v>
      </c>
      <c r="B40" s="10">
        <v>5801</v>
      </c>
      <c r="C40" s="10">
        <v>2428</v>
      </c>
      <c r="D40" s="10">
        <f>Table3[[#This Row],[Gas meters
smart in
smart mode]]+Table3[[#This Row],[Gas meters
smart in
traditional mode]]</f>
        <v>8229</v>
      </c>
      <c r="E40" s="10">
        <v>162641</v>
      </c>
      <c r="F40" s="10">
        <v>308953</v>
      </c>
      <c r="G40" s="10">
        <v>104910</v>
      </c>
      <c r="H40" s="10">
        <v>16803</v>
      </c>
      <c r="I40" s="10">
        <f>Table3[[#This Row],[Electricity 
meters
smart in
smart mode]]+Table3[[#This Row],[Electricity 
meters
smart in
traditional mode]]</f>
        <v>121713</v>
      </c>
      <c r="J40" s="10">
        <v>727130</v>
      </c>
      <c r="K40" s="10">
        <v>1283570</v>
      </c>
      <c r="L40" s="10">
        <f t="shared" si="6"/>
        <v>110711</v>
      </c>
      <c r="M40" s="10">
        <f t="shared" si="7"/>
        <v>19231</v>
      </c>
      <c r="N40" s="10">
        <f>Table3[[#This Row],[Gas meters
total smart meters]]+Table3[[#This Row],[Electricity meters
total smart meters]]</f>
        <v>129942</v>
      </c>
      <c r="O40" s="10">
        <f t="shared" ref="O40:P45" si="10">E40+J40</f>
        <v>889771</v>
      </c>
      <c r="P40" s="10">
        <f t="shared" si="10"/>
        <v>1592523</v>
      </c>
      <c r="Q40" s="10">
        <f t="shared" si="3"/>
        <v>2612236</v>
      </c>
      <c r="R40" s="107"/>
    </row>
    <row r="41" spans="1:18" s="93" customFormat="1" ht="17.149999999999999" customHeight="1" x14ac:dyDescent="0.35">
      <c r="A41" s="82" t="s">
        <v>124</v>
      </c>
      <c r="B41" s="10">
        <v>6189</v>
      </c>
      <c r="C41" s="10">
        <v>3820</v>
      </c>
      <c r="D41" s="10">
        <f>Table3[[#This Row],[Gas meters
smart in
smart mode]]+Table3[[#This Row],[Gas meters
smart in
traditional mode]]</f>
        <v>10009</v>
      </c>
      <c r="E41" s="10">
        <v>159450</v>
      </c>
      <c r="F41" s="10">
        <v>305917</v>
      </c>
      <c r="G41" s="10">
        <v>114664</v>
      </c>
      <c r="H41" s="10">
        <v>21167</v>
      </c>
      <c r="I41" s="10">
        <f>Table3[[#This Row],[Electricity 
meters
smart in
smart mode]]+Table3[[#This Row],[Electricity 
meters
smart in
traditional mode]]</f>
        <v>135831</v>
      </c>
      <c r="J41" s="10">
        <v>720357</v>
      </c>
      <c r="K41" s="10">
        <v>1257819</v>
      </c>
      <c r="L41" s="10">
        <f t="shared" si="6"/>
        <v>120853</v>
      </c>
      <c r="M41" s="10">
        <f t="shared" si="7"/>
        <v>24987</v>
      </c>
      <c r="N41" s="10">
        <f>Table3[[#This Row],[Gas meters
total smart meters]]+Table3[[#This Row],[Electricity meters
total smart meters]]</f>
        <v>145840</v>
      </c>
      <c r="O41" s="10">
        <f t="shared" si="10"/>
        <v>879807</v>
      </c>
      <c r="P41" s="10">
        <f t="shared" si="10"/>
        <v>1563736</v>
      </c>
      <c r="Q41" s="10">
        <f t="shared" si="3"/>
        <v>2589383</v>
      </c>
      <c r="R41" s="107"/>
    </row>
    <row r="42" spans="1:18" s="93" customFormat="1" ht="17.149999999999999" customHeight="1" x14ac:dyDescent="0.35">
      <c r="A42" s="82" t="s">
        <v>125</v>
      </c>
      <c r="B42" s="10">
        <v>6059</v>
      </c>
      <c r="C42" s="10">
        <v>4021</v>
      </c>
      <c r="D42" s="10">
        <f>Table3[[#This Row],[Gas meters
smart in
smart mode]]+Table3[[#This Row],[Gas meters
smart in
traditional mode]]</f>
        <v>10080</v>
      </c>
      <c r="E42" s="10">
        <v>143072</v>
      </c>
      <c r="F42" s="10">
        <v>317310</v>
      </c>
      <c r="G42" s="10">
        <v>126565</v>
      </c>
      <c r="H42" s="10">
        <v>24180</v>
      </c>
      <c r="I42" s="10">
        <f>Table3[[#This Row],[Electricity 
meters
smart in
smart mode]]+Table3[[#This Row],[Electricity 
meters
smart in
traditional mode]]</f>
        <v>150745</v>
      </c>
      <c r="J42" s="10">
        <v>753146</v>
      </c>
      <c r="K42" s="10">
        <v>1187461</v>
      </c>
      <c r="L42" s="10">
        <f t="shared" si="6"/>
        <v>132624</v>
      </c>
      <c r="M42" s="10">
        <f t="shared" si="7"/>
        <v>28201</v>
      </c>
      <c r="N42" s="10">
        <f>Table3[[#This Row],[Gas meters
total smart meters]]+Table3[[#This Row],[Electricity meters
total smart meters]]</f>
        <v>160825</v>
      </c>
      <c r="O42" s="10">
        <f t="shared" si="10"/>
        <v>896218</v>
      </c>
      <c r="P42" s="10">
        <f t="shared" si="10"/>
        <v>1504771</v>
      </c>
      <c r="Q42" s="10">
        <f t="shared" si="3"/>
        <v>2561814</v>
      </c>
      <c r="R42" s="107" t="s">
        <v>126</v>
      </c>
    </row>
    <row r="43" spans="1:18" s="93" customFormat="1" ht="22.4" customHeight="1" x14ac:dyDescent="0.35">
      <c r="A43" s="82" t="s">
        <v>127</v>
      </c>
      <c r="B43" s="10">
        <v>6905</v>
      </c>
      <c r="C43" s="10">
        <v>4570</v>
      </c>
      <c r="D43" s="10">
        <f>Table3[[#This Row],[Gas meters
smart in
smart mode]]+Table3[[#This Row],[Gas meters
smart in
traditional mode]]</f>
        <v>11475</v>
      </c>
      <c r="E43" s="10">
        <v>137706</v>
      </c>
      <c r="F43" s="10">
        <v>319102</v>
      </c>
      <c r="G43" s="10">
        <v>143303</v>
      </c>
      <c r="H43" s="10">
        <v>24917</v>
      </c>
      <c r="I43" s="10">
        <f>Table3[[#This Row],[Electricity 
meters
smart in
smart mode]]+Table3[[#This Row],[Electricity 
meters
smart in
traditional mode]]</f>
        <v>168220</v>
      </c>
      <c r="J43" s="10">
        <v>758510</v>
      </c>
      <c r="K43" s="10">
        <v>1155308</v>
      </c>
      <c r="L43" s="10">
        <f t="shared" si="6"/>
        <v>150208</v>
      </c>
      <c r="M43" s="10">
        <f t="shared" si="7"/>
        <v>29487</v>
      </c>
      <c r="N43" s="10">
        <f>Table3[[#This Row],[Gas meters
total smart meters]]+Table3[[#This Row],[Electricity meters
total smart meters]]</f>
        <v>179695</v>
      </c>
      <c r="O43" s="10">
        <f t="shared" si="10"/>
        <v>896216</v>
      </c>
      <c r="P43" s="10">
        <f t="shared" si="10"/>
        <v>1474410</v>
      </c>
      <c r="Q43" s="10">
        <f t="shared" si="3"/>
        <v>2550321</v>
      </c>
      <c r="R43" s="107"/>
    </row>
    <row r="44" spans="1:18" s="93" customFormat="1" ht="16.5" customHeight="1" x14ac:dyDescent="0.35">
      <c r="A44" s="82" t="s">
        <v>128</v>
      </c>
      <c r="B44" s="10">
        <v>8418</v>
      </c>
      <c r="C44" s="10">
        <v>4969</v>
      </c>
      <c r="D44" s="10">
        <f>Table3[[#This Row],[Gas meters
smart in
smart mode]]+Table3[[#This Row],[Gas meters
smart in
traditional mode]]</f>
        <v>13387</v>
      </c>
      <c r="E44" s="10">
        <v>140643</v>
      </c>
      <c r="F44" s="10">
        <v>310232</v>
      </c>
      <c r="G44" s="10">
        <v>158339</v>
      </c>
      <c r="H44" s="10">
        <v>32560</v>
      </c>
      <c r="I44" s="10">
        <f>Table3[[#This Row],[Electricity 
meters
smart in
smart mode]]+Table3[[#This Row],[Electricity 
meters
smart in
traditional mode]]</f>
        <v>190899</v>
      </c>
      <c r="J44" s="10">
        <v>759903</v>
      </c>
      <c r="K44" s="10">
        <v>1124460</v>
      </c>
      <c r="L44" s="10">
        <f t="shared" si="6"/>
        <v>166757</v>
      </c>
      <c r="M44" s="10">
        <f t="shared" si="7"/>
        <v>37529</v>
      </c>
      <c r="N44" s="10">
        <f>Table3[[#This Row],[Gas meters
total smart meters]]+Table3[[#This Row],[Electricity meters
total smart meters]]</f>
        <v>204286</v>
      </c>
      <c r="O44" s="10">
        <f t="shared" si="10"/>
        <v>900546</v>
      </c>
      <c r="P44" s="10">
        <f t="shared" si="10"/>
        <v>1434692</v>
      </c>
      <c r="Q44" s="10">
        <f t="shared" si="3"/>
        <v>2539524</v>
      </c>
      <c r="R44" s="107"/>
    </row>
    <row r="45" spans="1:18" s="93" customFormat="1" ht="16.5" customHeight="1" x14ac:dyDescent="0.35">
      <c r="A45" s="82" t="s">
        <v>129</v>
      </c>
      <c r="B45" s="9">
        <v>9272</v>
      </c>
      <c r="C45" s="9">
        <v>5903</v>
      </c>
      <c r="D45" s="9">
        <f>Table3[[#This Row],[Gas meters
smart in
smart mode]]+Table3[[#This Row],[Gas meters
smart in
traditional mode]]</f>
        <v>15175</v>
      </c>
      <c r="E45" s="9">
        <v>142337</v>
      </c>
      <c r="F45" s="9">
        <v>305292</v>
      </c>
      <c r="G45" s="9">
        <v>168968</v>
      </c>
      <c r="H45" s="9">
        <v>45664</v>
      </c>
      <c r="I45" s="9">
        <f>Table3[[#This Row],[Electricity 
meters
smart in
smart mode]]+Table3[[#This Row],[Electricity 
meters
smart in
traditional mode]]</f>
        <v>214632</v>
      </c>
      <c r="J45" s="9">
        <v>795479</v>
      </c>
      <c r="K45" s="9">
        <v>1073217</v>
      </c>
      <c r="L45" s="10">
        <f t="shared" si="6"/>
        <v>178240</v>
      </c>
      <c r="M45" s="10">
        <f t="shared" si="7"/>
        <v>51567</v>
      </c>
      <c r="N45" s="10">
        <f>Table3[[#This Row],[Gas meters
total smart meters]]+Table3[[#This Row],[Electricity meters
total smart meters]]</f>
        <v>229807</v>
      </c>
      <c r="O45" s="10">
        <f t="shared" si="10"/>
        <v>937816</v>
      </c>
      <c r="P45" s="10">
        <f t="shared" si="10"/>
        <v>1378509</v>
      </c>
      <c r="Q45" s="10">
        <f t="shared" si="3"/>
        <v>2546132</v>
      </c>
      <c r="R45" s="107" t="s">
        <v>130</v>
      </c>
    </row>
    <row r="46" spans="1:18" s="93" customFormat="1" ht="16.5" customHeight="1" x14ac:dyDescent="0.35">
      <c r="A46" s="82" t="s">
        <v>131</v>
      </c>
      <c r="B46" s="10">
        <v>11836</v>
      </c>
      <c r="C46" s="10">
        <v>4354</v>
      </c>
      <c r="D46" s="10">
        <f>Table3[[#This Row],[Gas meters
smart in
smart mode]]+Table3[[#This Row],[Gas meters
smart in
traditional mode]]</f>
        <v>16190</v>
      </c>
      <c r="E46" s="10">
        <v>143279</v>
      </c>
      <c r="F46" s="10">
        <v>309168</v>
      </c>
      <c r="G46" s="10">
        <v>208517</v>
      </c>
      <c r="H46" s="10">
        <v>25042</v>
      </c>
      <c r="I46" s="10">
        <f>Table3[[#This Row],[Electricity 
meters
smart in
smart mode]]+Table3[[#This Row],[Electricity 
meters
smart in
traditional mode]]</f>
        <v>233559</v>
      </c>
      <c r="J46" s="10">
        <v>786089</v>
      </c>
      <c r="K46" s="10">
        <v>1081302</v>
      </c>
      <c r="L46" s="10">
        <f t="shared" ref="L46" si="11">B46+G46</f>
        <v>220353</v>
      </c>
      <c r="M46" s="10">
        <f t="shared" ref="M46" si="12">C46+H46</f>
        <v>29396</v>
      </c>
      <c r="N46" s="10">
        <f>Table3[[#This Row],[Gas meters
total smart meters]]+Table3[[#This Row],[Electricity meters
total smart meters]]</f>
        <v>249749</v>
      </c>
      <c r="O46" s="10">
        <f t="shared" ref="O46" si="13">E46+J46</f>
        <v>929368</v>
      </c>
      <c r="P46" s="10">
        <f t="shared" ref="P46" si="14">F46+K46</f>
        <v>1390470</v>
      </c>
      <c r="Q46" s="10">
        <f t="shared" si="3"/>
        <v>2569587</v>
      </c>
      <c r="R46" s="26" t="s">
        <v>132</v>
      </c>
    </row>
    <row r="47" spans="1:18" s="93" customFormat="1" ht="22.4" customHeight="1" x14ac:dyDescent="0.35">
      <c r="A47" s="58" t="s">
        <v>133</v>
      </c>
      <c r="B47" s="9">
        <v>12538</v>
      </c>
      <c r="C47" s="9">
        <v>5602</v>
      </c>
      <c r="D47" s="9">
        <f>Table3[[#This Row],[Gas meters
smart in
smart mode]]+Table3[[#This Row],[Gas meters
smart in
traditional mode]]</f>
        <v>18140</v>
      </c>
      <c r="E47" s="9">
        <v>148898</v>
      </c>
      <c r="F47" s="9">
        <v>302923</v>
      </c>
      <c r="G47" s="9">
        <v>223588</v>
      </c>
      <c r="H47" s="9">
        <v>29089</v>
      </c>
      <c r="I47" s="9">
        <f>Table3[[#This Row],[Electricity 
meters
smart in
smart mode]]+Table3[[#This Row],[Electricity 
meters
smart in
traditional mode]]</f>
        <v>252677</v>
      </c>
      <c r="J47" s="9">
        <v>782987</v>
      </c>
      <c r="K47" s="9">
        <v>1067295</v>
      </c>
      <c r="L47" s="10">
        <f t="shared" ref="L47" si="15">B47+G47</f>
        <v>236126</v>
      </c>
      <c r="M47" s="10">
        <f t="shared" ref="M47" si="16">C47+H47</f>
        <v>34691</v>
      </c>
      <c r="N47" s="10">
        <f>Table3[[#This Row],[Gas meters
total smart meters]]+Table3[[#This Row],[Electricity meters
total smart meters]]</f>
        <v>270817</v>
      </c>
      <c r="O47" s="10">
        <f t="shared" ref="O47" si="17">E47+J47</f>
        <v>931885</v>
      </c>
      <c r="P47" s="10">
        <f t="shared" ref="P47" si="18">F47+K47</f>
        <v>1370218</v>
      </c>
      <c r="Q47" s="10">
        <f t="shared" si="3"/>
        <v>2572920</v>
      </c>
      <c r="R47" s="107"/>
    </row>
    <row r="48" spans="1:18" s="93" customFormat="1" ht="17.149999999999999" customHeight="1" x14ac:dyDescent="0.35">
      <c r="A48" s="82" t="s">
        <v>134</v>
      </c>
      <c r="B48" s="9">
        <v>16155</v>
      </c>
      <c r="C48" s="9">
        <v>10937</v>
      </c>
      <c r="D48" s="9">
        <f>Table3[[#This Row],[Gas meters
smart in
smart mode]]+Table3[[#This Row],[Gas meters
smart in
traditional mode]]</f>
        <v>27092</v>
      </c>
      <c r="E48" s="9">
        <v>154955</v>
      </c>
      <c r="F48" s="9">
        <v>297206</v>
      </c>
      <c r="G48" s="9">
        <v>258442</v>
      </c>
      <c r="H48" s="9">
        <v>36418</v>
      </c>
      <c r="I48" s="9">
        <f>Table3[[#This Row],[Electricity 
meters
smart in
smart mode]]+Table3[[#This Row],[Electricity 
meters
smart in
traditional mode]]</f>
        <v>294860</v>
      </c>
      <c r="J48" s="9">
        <v>769848</v>
      </c>
      <c r="K48" s="9">
        <v>1117635</v>
      </c>
      <c r="L48" s="10">
        <f t="shared" ref="L48" si="19">B48+G48</f>
        <v>274597</v>
      </c>
      <c r="M48" s="10">
        <f t="shared" ref="M48" si="20">C48+H48</f>
        <v>47355</v>
      </c>
      <c r="N48" s="10">
        <f>Table3[[#This Row],[Gas meters
total smart meters]]+Table3[[#This Row],[Electricity meters
total smart meters]]</f>
        <v>321952</v>
      </c>
      <c r="O48" s="10">
        <f t="shared" ref="O48" si="21">E48+J48</f>
        <v>924803</v>
      </c>
      <c r="P48" s="10">
        <f t="shared" ref="P48" si="22">F48+K48</f>
        <v>1414841</v>
      </c>
      <c r="Q48" s="10">
        <f t="shared" si="3"/>
        <v>2661596</v>
      </c>
      <c r="R48" s="107"/>
    </row>
    <row r="49" spans="1:18" s="93" customFormat="1" ht="17.149999999999999" customHeight="1" x14ac:dyDescent="0.35">
      <c r="A49" s="82" t="s">
        <v>135</v>
      </c>
      <c r="B49" s="9">
        <v>15808</v>
      </c>
      <c r="C49" s="9">
        <v>6346</v>
      </c>
      <c r="D49" s="9">
        <f>Table3[[#This Row],[Gas meters
smart in
smart mode]]+Table3[[#This Row],[Gas meters
smart in
traditional mode]]</f>
        <v>22154</v>
      </c>
      <c r="E49" s="9">
        <v>162815</v>
      </c>
      <c r="F49" s="9">
        <v>278867</v>
      </c>
      <c r="G49" s="9">
        <v>260921</v>
      </c>
      <c r="H49" s="9">
        <v>29518</v>
      </c>
      <c r="I49" s="9">
        <f>Table3[[#This Row],[Electricity 
meters
smart in
smart mode]]+Table3[[#This Row],[Electricity 
meters
smart in
traditional mode]]</f>
        <v>290439</v>
      </c>
      <c r="J49" s="9">
        <v>761558</v>
      </c>
      <c r="K49" s="9">
        <v>1029504</v>
      </c>
      <c r="L49" s="10">
        <f t="shared" ref="L49" si="23">B49+G49</f>
        <v>276729</v>
      </c>
      <c r="M49" s="10">
        <f t="shared" ref="M49" si="24">C49+H49</f>
        <v>35864</v>
      </c>
      <c r="N49" s="10">
        <f>Table3[[#This Row],[Gas meters
total smart meters]]+Table3[[#This Row],[Electricity meters
total smart meters]]</f>
        <v>312593</v>
      </c>
      <c r="O49" s="10">
        <f t="shared" ref="O49" si="25">E49+J49</f>
        <v>924373</v>
      </c>
      <c r="P49" s="10">
        <f t="shared" ref="P49" si="26">F49+K49</f>
        <v>1308371</v>
      </c>
      <c r="Q49" s="10">
        <f t="shared" si="3"/>
        <v>2545337</v>
      </c>
      <c r="R49" s="107"/>
    </row>
    <row r="50" spans="1:18" s="93" customFormat="1" ht="17.149999999999999" customHeight="1" x14ac:dyDescent="0.35">
      <c r="A50" s="82" t="s">
        <v>136</v>
      </c>
      <c r="B50" s="9">
        <v>17450</v>
      </c>
      <c r="C50" s="9">
        <v>7204</v>
      </c>
      <c r="D50" s="9">
        <f>Table3[[#This Row],[Gas meters
smart in
smart mode]]+Table3[[#This Row],[Gas meters
smart in
traditional mode]]</f>
        <v>24654</v>
      </c>
      <c r="E50" s="9">
        <v>161056</v>
      </c>
      <c r="F50" s="9">
        <v>277826</v>
      </c>
      <c r="G50" s="9">
        <v>282780</v>
      </c>
      <c r="H50" s="9">
        <v>26201</v>
      </c>
      <c r="I50" s="9">
        <f>Table3[[#This Row],[Electricity 
meters
smart in
smart mode]]+Table3[[#This Row],[Electricity 
meters
smart in
traditional mode]]</f>
        <v>308981</v>
      </c>
      <c r="J50" s="9">
        <v>753297</v>
      </c>
      <c r="K50" s="9">
        <v>986810</v>
      </c>
      <c r="L50" s="10">
        <f t="shared" ref="L50" si="27">B50+G50</f>
        <v>300230</v>
      </c>
      <c r="M50" s="10">
        <f t="shared" ref="M50" si="28">C50+H50</f>
        <v>33405</v>
      </c>
      <c r="N50" s="10">
        <f>Table3[[#This Row],[Gas meters
total smart meters]]+Table3[[#This Row],[Electricity meters
total smart meters]]</f>
        <v>333635</v>
      </c>
      <c r="O50" s="10">
        <f t="shared" ref="O50" si="29">E50+J50</f>
        <v>914353</v>
      </c>
      <c r="P50" s="10">
        <f t="shared" ref="P50" si="30">F50+K50</f>
        <v>1264636</v>
      </c>
      <c r="Q50" s="10">
        <f t="shared" si="3"/>
        <v>2512624</v>
      </c>
      <c r="R50" s="107"/>
    </row>
    <row r="51" spans="1:18" s="93" customFormat="1" ht="22.4" customHeight="1" x14ac:dyDescent="0.35">
      <c r="A51" s="82" t="s">
        <v>137</v>
      </c>
      <c r="B51" s="9">
        <v>19852</v>
      </c>
      <c r="C51" s="9">
        <v>7993</v>
      </c>
      <c r="D51" s="9">
        <f>Table3[[#This Row],[Gas meters
smart in
smart mode]]+Table3[[#This Row],[Gas meters
smart in
traditional mode]]</f>
        <v>27845</v>
      </c>
      <c r="E51" s="9">
        <v>165088</v>
      </c>
      <c r="F51" s="9">
        <v>267858</v>
      </c>
      <c r="G51" s="9">
        <v>312632</v>
      </c>
      <c r="H51" s="9">
        <v>25603</v>
      </c>
      <c r="I51" s="9">
        <f>Table3[[#This Row],[Electricity 
meters
smart in
smart mode]]+Table3[[#This Row],[Electricity 
meters
smart in
traditional mode]]</f>
        <v>338235</v>
      </c>
      <c r="J51" s="9">
        <v>747695</v>
      </c>
      <c r="K51" s="9">
        <v>969450</v>
      </c>
      <c r="L51" s="10">
        <f t="shared" ref="L51" si="31">B51+G51</f>
        <v>332484</v>
      </c>
      <c r="M51" s="10">
        <f t="shared" ref="M51" si="32">C51+H51</f>
        <v>33596</v>
      </c>
      <c r="N51" s="10">
        <f>Table3[[#This Row],[Gas meters
total smart meters]]+Table3[[#This Row],[Electricity meters
total smart meters]]</f>
        <v>366080</v>
      </c>
      <c r="O51" s="10">
        <f t="shared" ref="O51" si="33">E51+J51</f>
        <v>912783</v>
      </c>
      <c r="P51" s="10">
        <f t="shared" ref="P51" si="34">F51+K51</f>
        <v>1237308</v>
      </c>
      <c r="Q51" s="10">
        <f t="shared" si="3"/>
        <v>2516171</v>
      </c>
      <c r="R51" s="107"/>
    </row>
    <row r="52" spans="1:18" s="93" customFormat="1" ht="17.149999999999999" customHeight="1" x14ac:dyDescent="0.35">
      <c r="A52" s="82" t="s">
        <v>138</v>
      </c>
      <c r="B52" s="9">
        <v>19237</v>
      </c>
      <c r="C52" s="9">
        <v>10101</v>
      </c>
      <c r="D52" s="9">
        <f>Table3[[#This Row],[Gas meters
smart in
smart mode]]+Table3[[#This Row],[Gas meters
smart in
traditional mode]]</f>
        <v>29338</v>
      </c>
      <c r="E52" s="9">
        <v>163474</v>
      </c>
      <c r="F52" s="9">
        <v>257392</v>
      </c>
      <c r="G52" s="9">
        <v>329158</v>
      </c>
      <c r="H52" s="9">
        <v>33309</v>
      </c>
      <c r="I52" s="9">
        <f>Table3[[#This Row],[Electricity 
meters
smart in
smart mode]]+Table3[[#This Row],[Electricity 
meters
smart in
traditional mode]]</f>
        <v>362467</v>
      </c>
      <c r="J52" s="9">
        <v>739028</v>
      </c>
      <c r="K52" s="9">
        <v>952332</v>
      </c>
      <c r="L52" s="10">
        <f t="shared" ref="L52" si="35">B52+G52</f>
        <v>348395</v>
      </c>
      <c r="M52" s="10">
        <f t="shared" ref="M52" si="36">C52+H52</f>
        <v>43410</v>
      </c>
      <c r="N52" s="10">
        <f>Table3[[#This Row],[Gas meters
total smart meters]]+Table3[[#This Row],[Electricity meters
total smart meters]]</f>
        <v>391805</v>
      </c>
      <c r="O52" s="10">
        <f t="shared" ref="O52" si="37">E52+J52</f>
        <v>902502</v>
      </c>
      <c r="P52" s="10">
        <f t="shared" ref="P52" si="38">F52+K52</f>
        <v>1209724</v>
      </c>
      <c r="Q52" s="10">
        <f t="shared" si="3"/>
        <v>2504031</v>
      </c>
      <c r="R52" s="107"/>
    </row>
    <row r="53" spans="1:18" s="93" customFormat="1" ht="17.149999999999999" customHeight="1" x14ac:dyDescent="0.35">
      <c r="A53" s="82" t="s">
        <v>139</v>
      </c>
      <c r="B53" s="9">
        <v>21014</v>
      </c>
      <c r="C53" s="9">
        <v>10662</v>
      </c>
      <c r="D53" s="9">
        <v>31676</v>
      </c>
      <c r="E53" s="9">
        <v>156713</v>
      </c>
      <c r="F53" s="9">
        <v>245675</v>
      </c>
      <c r="G53" s="9">
        <v>357179</v>
      </c>
      <c r="H53" s="9">
        <v>29854</v>
      </c>
      <c r="I53" s="9">
        <v>387033</v>
      </c>
      <c r="J53" s="9">
        <v>722837</v>
      </c>
      <c r="K53" s="9">
        <v>912709</v>
      </c>
      <c r="L53" s="10">
        <f t="shared" ref="L53" si="39">B53+G53</f>
        <v>378193</v>
      </c>
      <c r="M53" s="10">
        <f t="shared" ref="M53" si="40">C53+H53</f>
        <v>40516</v>
      </c>
      <c r="N53" s="10">
        <f>Table3[[#This Row],[Gas meters
total smart meters]]+Table3[[#This Row],[Electricity meters
total smart meters]]</f>
        <v>418709</v>
      </c>
      <c r="O53" s="10">
        <f t="shared" ref="O53" si="41">E53+J53</f>
        <v>879550</v>
      </c>
      <c r="P53" s="10">
        <f t="shared" ref="P53" si="42">F53+K53</f>
        <v>1158384</v>
      </c>
      <c r="Q53" s="10">
        <f>N53+O53+P53</f>
        <v>2456643</v>
      </c>
      <c r="R53" s="55"/>
    </row>
  </sheetData>
  <phoneticPr fontId="15" type="noConversion"/>
  <pageMargins left="0.7" right="0.7" top="0.75" bottom="0.75" header="0.3" footer="0.3"/>
  <pageSetup paperSize="9" scale="74" fitToWidth="0" fitToHeight="0" orientation="portrait" verticalDpi="4" r:id="rId1"/>
  <ignoredErrors>
    <ignoredError sqref="Q9:Q52 D53 I53"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I54"/>
  <sheetViews>
    <sheetView showGridLines="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1796875" defaultRowHeight="17.149999999999999" customHeight="1" x14ac:dyDescent="0.35"/>
  <cols>
    <col min="1" max="1" width="13.26953125" style="84" customWidth="1"/>
    <col min="2" max="3" width="10.1796875" style="84" customWidth="1"/>
    <col min="4" max="4" width="17.26953125" style="84" customWidth="1"/>
    <col min="5" max="5" width="11" style="84" customWidth="1"/>
    <col min="6" max="6" width="18.1796875" style="84" customWidth="1"/>
    <col min="7" max="7" width="9.81640625" style="84" customWidth="1"/>
    <col min="8" max="8" width="11.453125" style="84" customWidth="1"/>
    <col min="9" max="9" width="62.54296875" style="84" customWidth="1"/>
    <col min="10" max="16384" width="9.1796875" style="84"/>
  </cols>
  <sheetData>
    <row r="1" spans="1:9" ht="25.5" customHeight="1" x14ac:dyDescent="0.35">
      <c r="A1" s="83" t="s">
        <v>162</v>
      </c>
    </row>
    <row r="2" spans="1:9" ht="17.149999999999999" customHeight="1" x14ac:dyDescent="0.35">
      <c r="A2" s="25" t="s">
        <v>62</v>
      </c>
    </row>
    <row r="3" spans="1:9" ht="17.149999999999999" customHeight="1" x14ac:dyDescent="0.35">
      <c r="A3" s="25" t="s">
        <v>163</v>
      </c>
    </row>
    <row r="4" spans="1:9" s="32" customFormat="1" ht="17.149999999999999" customHeight="1" x14ac:dyDescent="0.35">
      <c r="A4" s="25" t="s">
        <v>64</v>
      </c>
      <c r="B4" s="31"/>
      <c r="C4" s="30"/>
      <c r="D4" s="7"/>
      <c r="E4" s="7"/>
      <c r="F4" s="8"/>
    </row>
    <row r="5" spans="1:9" ht="17.149999999999999" customHeight="1" x14ac:dyDescent="0.35">
      <c r="A5" s="25" t="s">
        <v>65</v>
      </c>
    </row>
    <row r="6" spans="1:9" ht="17.149999999999999" customHeight="1" x14ac:dyDescent="0.35">
      <c r="A6" s="28" t="s">
        <v>66</v>
      </c>
      <c r="B6" s="28"/>
      <c r="C6" s="97"/>
    </row>
    <row r="7" spans="1:9" ht="61.5" customHeight="1" x14ac:dyDescent="0.35">
      <c r="A7" s="100" t="s">
        <v>67</v>
      </c>
      <c r="B7" s="106" t="s">
        <v>164</v>
      </c>
      <c r="C7" s="106" t="s">
        <v>165</v>
      </c>
      <c r="D7" s="106" t="s">
        <v>166</v>
      </c>
      <c r="E7" s="106" t="s">
        <v>167</v>
      </c>
      <c r="F7" s="106" t="s">
        <v>168</v>
      </c>
      <c r="G7" s="106" t="s">
        <v>169</v>
      </c>
      <c r="H7" s="106" t="s">
        <v>170</v>
      </c>
      <c r="I7" s="100" t="s">
        <v>22</v>
      </c>
    </row>
    <row r="8" spans="1:9" ht="17.149999999999999" customHeight="1" x14ac:dyDescent="0.35">
      <c r="A8" s="82" t="s">
        <v>146</v>
      </c>
      <c r="B8" s="37">
        <v>0</v>
      </c>
      <c r="C8" s="10">
        <v>9865</v>
      </c>
      <c r="D8" s="37">
        <v>0</v>
      </c>
      <c r="E8" s="10">
        <v>320499</v>
      </c>
      <c r="F8" s="37">
        <f t="shared" ref="F8:F37" si="0">B8+D8</f>
        <v>0</v>
      </c>
      <c r="G8" s="10">
        <f t="shared" ref="G8:G37" si="1">C8+E8</f>
        <v>330364</v>
      </c>
      <c r="H8" s="10">
        <f>F8+G8</f>
        <v>330364</v>
      </c>
      <c r="I8" s="103" t="s">
        <v>171</v>
      </c>
    </row>
    <row r="9" spans="1:9" ht="17.149999999999999" customHeight="1" x14ac:dyDescent="0.35">
      <c r="A9" s="82" t="s">
        <v>81</v>
      </c>
      <c r="B9" s="37">
        <v>0</v>
      </c>
      <c r="C9" s="10">
        <v>186</v>
      </c>
      <c r="D9" s="37">
        <v>0</v>
      </c>
      <c r="E9" s="10">
        <v>35455</v>
      </c>
      <c r="F9" s="37">
        <f t="shared" si="0"/>
        <v>0</v>
      </c>
      <c r="G9" s="10">
        <f t="shared" si="1"/>
        <v>35641</v>
      </c>
      <c r="H9" s="10">
        <f t="shared" ref="H9:H37" si="2">F9+G9</f>
        <v>35641</v>
      </c>
      <c r="I9" s="105"/>
    </row>
    <row r="10" spans="1:9" ht="17.149999999999999" customHeight="1" x14ac:dyDescent="0.35">
      <c r="A10" s="82" t="s">
        <v>82</v>
      </c>
      <c r="B10" s="37">
        <v>0</v>
      </c>
      <c r="C10" s="10">
        <v>144</v>
      </c>
      <c r="D10" s="37">
        <v>0</v>
      </c>
      <c r="E10" s="10">
        <v>35834</v>
      </c>
      <c r="F10" s="37">
        <f t="shared" si="0"/>
        <v>0</v>
      </c>
      <c r="G10" s="10">
        <f t="shared" si="1"/>
        <v>35978</v>
      </c>
      <c r="H10" s="10">
        <f t="shared" si="2"/>
        <v>35978</v>
      </c>
      <c r="I10" s="105"/>
    </row>
    <row r="11" spans="1:9" ht="22.4" customHeight="1" x14ac:dyDescent="0.35">
      <c r="A11" s="82" t="s">
        <v>83</v>
      </c>
      <c r="B11" s="37">
        <v>0</v>
      </c>
      <c r="C11" s="10">
        <v>1321</v>
      </c>
      <c r="D11" s="37">
        <v>0</v>
      </c>
      <c r="E11" s="10">
        <v>32529</v>
      </c>
      <c r="F11" s="37">
        <f t="shared" si="0"/>
        <v>0</v>
      </c>
      <c r="G11" s="10">
        <f t="shared" si="1"/>
        <v>33850</v>
      </c>
      <c r="H11" s="10">
        <f t="shared" si="2"/>
        <v>33850</v>
      </c>
      <c r="I11" s="105"/>
    </row>
    <row r="12" spans="1:9" ht="17.149999999999999" customHeight="1" x14ac:dyDescent="0.35">
      <c r="A12" s="82" t="s">
        <v>84</v>
      </c>
      <c r="B12" s="37">
        <v>0</v>
      </c>
      <c r="C12" s="10">
        <v>290</v>
      </c>
      <c r="D12" s="37">
        <v>0</v>
      </c>
      <c r="E12" s="10">
        <v>28722</v>
      </c>
      <c r="F12" s="37">
        <f t="shared" si="0"/>
        <v>0</v>
      </c>
      <c r="G12" s="10">
        <f t="shared" si="1"/>
        <v>29012</v>
      </c>
      <c r="H12" s="10">
        <f t="shared" si="2"/>
        <v>29012</v>
      </c>
      <c r="I12" s="105"/>
    </row>
    <row r="13" spans="1:9" ht="17.149999999999999" customHeight="1" x14ac:dyDescent="0.35">
      <c r="A13" s="82" t="s">
        <v>85</v>
      </c>
      <c r="B13" s="37">
        <v>0</v>
      </c>
      <c r="C13" s="10">
        <v>60</v>
      </c>
      <c r="D13" s="10">
        <v>946</v>
      </c>
      <c r="E13" s="10">
        <v>24189</v>
      </c>
      <c r="F13" s="10">
        <f t="shared" si="0"/>
        <v>946</v>
      </c>
      <c r="G13" s="10">
        <f t="shared" si="1"/>
        <v>24249</v>
      </c>
      <c r="H13" s="10">
        <f t="shared" si="2"/>
        <v>25195</v>
      </c>
      <c r="I13" s="105"/>
    </row>
    <row r="14" spans="1:9" ht="17.149999999999999" customHeight="1" x14ac:dyDescent="0.35">
      <c r="A14" s="82" t="s">
        <v>86</v>
      </c>
      <c r="B14" s="37">
        <v>0</v>
      </c>
      <c r="C14" s="10">
        <v>184</v>
      </c>
      <c r="D14" s="10">
        <v>2590</v>
      </c>
      <c r="E14" s="10">
        <v>28300</v>
      </c>
      <c r="F14" s="10">
        <f t="shared" si="0"/>
        <v>2590</v>
      </c>
      <c r="G14" s="10">
        <f t="shared" si="1"/>
        <v>28484</v>
      </c>
      <c r="H14" s="10">
        <f t="shared" si="2"/>
        <v>31074</v>
      </c>
      <c r="I14" s="105" t="s">
        <v>87</v>
      </c>
    </row>
    <row r="15" spans="1:9" ht="22.4" customHeight="1" x14ac:dyDescent="0.35">
      <c r="A15" s="82" t="s">
        <v>88</v>
      </c>
      <c r="B15" s="37">
        <v>0</v>
      </c>
      <c r="C15" s="10">
        <v>24</v>
      </c>
      <c r="D15" s="10">
        <v>2175</v>
      </c>
      <c r="E15" s="10">
        <v>17332</v>
      </c>
      <c r="F15" s="10">
        <f t="shared" si="0"/>
        <v>2175</v>
      </c>
      <c r="G15" s="10">
        <f t="shared" si="1"/>
        <v>17356</v>
      </c>
      <c r="H15" s="10">
        <f t="shared" si="2"/>
        <v>19531</v>
      </c>
      <c r="I15" s="105"/>
    </row>
    <row r="16" spans="1:9" ht="17.149999999999999" customHeight="1" x14ac:dyDescent="0.35">
      <c r="A16" s="82" t="s">
        <v>89</v>
      </c>
      <c r="B16" s="37">
        <v>0</v>
      </c>
      <c r="C16" s="10">
        <v>59</v>
      </c>
      <c r="D16" s="10">
        <v>1445</v>
      </c>
      <c r="E16" s="10">
        <v>10152</v>
      </c>
      <c r="F16" s="10">
        <f t="shared" si="0"/>
        <v>1445</v>
      </c>
      <c r="G16" s="10">
        <f t="shared" si="1"/>
        <v>10211</v>
      </c>
      <c r="H16" s="10">
        <f t="shared" si="2"/>
        <v>11656</v>
      </c>
      <c r="I16" s="105"/>
    </row>
    <row r="17" spans="1:9" ht="17.149999999999999" customHeight="1" x14ac:dyDescent="0.35">
      <c r="A17" s="82" t="s">
        <v>148</v>
      </c>
      <c r="B17" s="37">
        <v>0</v>
      </c>
      <c r="C17" s="10">
        <v>647</v>
      </c>
      <c r="D17" s="10">
        <v>714</v>
      </c>
      <c r="E17" s="10">
        <v>14700</v>
      </c>
      <c r="F17" s="10">
        <f t="shared" si="0"/>
        <v>714</v>
      </c>
      <c r="G17" s="10">
        <f t="shared" si="1"/>
        <v>15347</v>
      </c>
      <c r="H17" s="10">
        <f t="shared" si="2"/>
        <v>16061</v>
      </c>
      <c r="I17" s="105"/>
    </row>
    <row r="18" spans="1:9" ht="17.149999999999999" customHeight="1" x14ac:dyDescent="0.35">
      <c r="A18" s="82" t="s">
        <v>91</v>
      </c>
      <c r="B18" s="10">
        <v>30</v>
      </c>
      <c r="C18" s="10">
        <v>1786</v>
      </c>
      <c r="D18" s="10">
        <v>1214</v>
      </c>
      <c r="E18" s="10">
        <v>15955</v>
      </c>
      <c r="F18" s="10">
        <f t="shared" si="0"/>
        <v>1244</v>
      </c>
      <c r="G18" s="10">
        <f t="shared" si="1"/>
        <v>17741</v>
      </c>
      <c r="H18" s="10">
        <f t="shared" si="2"/>
        <v>18985</v>
      </c>
      <c r="I18" s="105"/>
    </row>
    <row r="19" spans="1:9" s="29" customFormat="1" ht="22.4" customHeight="1" x14ac:dyDescent="0.35">
      <c r="A19" s="82" t="s">
        <v>92</v>
      </c>
      <c r="B19" s="10">
        <v>72</v>
      </c>
      <c r="C19" s="10">
        <v>2497</v>
      </c>
      <c r="D19" s="10">
        <v>1369</v>
      </c>
      <c r="E19" s="10">
        <v>11534</v>
      </c>
      <c r="F19" s="10">
        <f t="shared" si="0"/>
        <v>1441</v>
      </c>
      <c r="G19" s="10">
        <f t="shared" si="1"/>
        <v>14031</v>
      </c>
      <c r="H19" s="10">
        <f t="shared" si="2"/>
        <v>15472</v>
      </c>
      <c r="I19" s="105" t="s">
        <v>93</v>
      </c>
    </row>
    <row r="20" spans="1:9" s="29" customFormat="1" ht="17.149999999999999" customHeight="1" x14ac:dyDescent="0.35">
      <c r="A20" s="82" t="s">
        <v>94</v>
      </c>
      <c r="B20" s="10">
        <v>129</v>
      </c>
      <c r="C20" s="10">
        <v>4323</v>
      </c>
      <c r="D20" s="10">
        <v>2137</v>
      </c>
      <c r="E20" s="10">
        <v>12073</v>
      </c>
      <c r="F20" s="10">
        <f t="shared" si="0"/>
        <v>2266</v>
      </c>
      <c r="G20" s="10">
        <f t="shared" si="1"/>
        <v>16396</v>
      </c>
      <c r="H20" s="10">
        <f t="shared" si="2"/>
        <v>18662</v>
      </c>
      <c r="I20" s="105"/>
    </row>
    <row r="21" spans="1:9" s="29" customFormat="1" ht="17.149999999999999" customHeight="1" x14ac:dyDescent="0.35">
      <c r="A21" s="82" t="s">
        <v>95</v>
      </c>
      <c r="B21" s="10">
        <v>202</v>
      </c>
      <c r="C21" s="10">
        <v>6018</v>
      </c>
      <c r="D21" s="10">
        <v>2767</v>
      </c>
      <c r="E21" s="10">
        <v>13888</v>
      </c>
      <c r="F21" s="10">
        <f t="shared" si="0"/>
        <v>2969</v>
      </c>
      <c r="G21" s="10">
        <f t="shared" si="1"/>
        <v>19906</v>
      </c>
      <c r="H21" s="10">
        <f t="shared" si="2"/>
        <v>22875</v>
      </c>
      <c r="I21" s="105"/>
    </row>
    <row r="22" spans="1:9" s="29" customFormat="1" ht="17.149999999999999" customHeight="1" x14ac:dyDescent="0.35">
      <c r="A22" s="82" t="s">
        <v>96</v>
      </c>
      <c r="B22" s="10">
        <v>257</v>
      </c>
      <c r="C22" s="10">
        <v>8071</v>
      </c>
      <c r="D22" s="10">
        <v>3347</v>
      </c>
      <c r="E22" s="10">
        <v>13832</v>
      </c>
      <c r="F22" s="10">
        <f t="shared" si="0"/>
        <v>3604</v>
      </c>
      <c r="G22" s="10">
        <f t="shared" si="1"/>
        <v>21903</v>
      </c>
      <c r="H22" s="10">
        <f t="shared" si="2"/>
        <v>25507</v>
      </c>
      <c r="I22" s="105"/>
    </row>
    <row r="23" spans="1:9" s="29" customFormat="1" ht="22.4" customHeight="1" x14ac:dyDescent="0.35">
      <c r="A23" s="82" t="s">
        <v>97</v>
      </c>
      <c r="B23" s="10">
        <v>187</v>
      </c>
      <c r="C23" s="10">
        <v>5948</v>
      </c>
      <c r="D23" s="10">
        <v>3725</v>
      </c>
      <c r="E23" s="10">
        <v>9015</v>
      </c>
      <c r="F23" s="10">
        <f t="shared" si="0"/>
        <v>3912</v>
      </c>
      <c r="G23" s="10">
        <f t="shared" si="1"/>
        <v>14963</v>
      </c>
      <c r="H23" s="10">
        <f t="shared" si="2"/>
        <v>18875</v>
      </c>
      <c r="I23" s="105" t="s">
        <v>98</v>
      </c>
    </row>
    <row r="24" spans="1:9" s="29" customFormat="1" ht="17.149999999999999" customHeight="1" x14ac:dyDescent="0.35">
      <c r="A24" s="82" t="s">
        <v>99</v>
      </c>
      <c r="B24" s="10">
        <v>247</v>
      </c>
      <c r="C24" s="10">
        <v>3185</v>
      </c>
      <c r="D24" s="10">
        <v>5170</v>
      </c>
      <c r="E24" s="10">
        <v>7865</v>
      </c>
      <c r="F24" s="10">
        <f t="shared" si="0"/>
        <v>5417</v>
      </c>
      <c r="G24" s="10">
        <f t="shared" si="1"/>
        <v>11050</v>
      </c>
      <c r="H24" s="10">
        <f t="shared" si="2"/>
        <v>16467</v>
      </c>
      <c r="I24" s="105" t="s">
        <v>100</v>
      </c>
    </row>
    <row r="25" spans="1:9" s="93" customFormat="1" ht="17.149999999999999" customHeight="1" x14ac:dyDescent="0.35">
      <c r="A25" s="82" t="s">
        <v>101</v>
      </c>
      <c r="B25" s="10">
        <v>264</v>
      </c>
      <c r="C25" s="10">
        <v>2797</v>
      </c>
      <c r="D25" s="10">
        <v>5545</v>
      </c>
      <c r="E25" s="10">
        <v>4972</v>
      </c>
      <c r="F25" s="10">
        <f t="shared" si="0"/>
        <v>5809</v>
      </c>
      <c r="G25" s="10">
        <f t="shared" si="1"/>
        <v>7769</v>
      </c>
      <c r="H25" s="10">
        <f t="shared" si="2"/>
        <v>13578</v>
      </c>
      <c r="I25" s="105"/>
    </row>
    <row r="26" spans="1:9" s="93" customFormat="1" ht="17.149999999999999" customHeight="1" x14ac:dyDescent="0.35">
      <c r="A26" s="82" t="s">
        <v>102</v>
      </c>
      <c r="B26" s="10">
        <v>228</v>
      </c>
      <c r="C26" s="10">
        <v>2557</v>
      </c>
      <c r="D26" s="10">
        <v>4764</v>
      </c>
      <c r="E26" s="10">
        <v>5716</v>
      </c>
      <c r="F26" s="10">
        <f t="shared" si="0"/>
        <v>4992</v>
      </c>
      <c r="G26" s="10">
        <f t="shared" si="1"/>
        <v>8273</v>
      </c>
      <c r="H26" s="10">
        <f t="shared" si="2"/>
        <v>13265</v>
      </c>
      <c r="I26" s="105" t="s">
        <v>103</v>
      </c>
    </row>
    <row r="27" spans="1:9" s="93" customFormat="1" ht="22.4" customHeight="1" x14ac:dyDescent="0.35">
      <c r="A27" s="82" t="s">
        <v>104</v>
      </c>
      <c r="B27" s="10">
        <v>353</v>
      </c>
      <c r="C27" s="10">
        <v>3105</v>
      </c>
      <c r="D27" s="10">
        <v>4906</v>
      </c>
      <c r="E27" s="10">
        <v>5385</v>
      </c>
      <c r="F27" s="10">
        <f t="shared" si="0"/>
        <v>5259</v>
      </c>
      <c r="G27" s="10">
        <f t="shared" si="1"/>
        <v>8490</v>
      </c>
      <c r="H27" s="10">
        <f t="shared" si="2"/>
        <v>13749</v>
      </c>
      <c r="I27" s="105"/>
    </row>
    <row r="28" spans="1:9" s="93" customFormat="1" ht="17.149999999999999" customHeight="1" x14ac:dyDescent="0.35">
      <c r="A28" s="82" t="s">
        <v>105</v>
      </c>
      <c r="B28" s="10">
        <v>290</v>
      </c>
      <c r="C28" s="10">
        <v>3185</v>
      </c>
      <c r="D28" s="10">
        <v>5029</v>
      </c>
      <c r="E28" s="10">
        <v>5307</v>
      </c>
      <c r="F28" s="10">
        <f t="shared" si="0"/>
        <v>5319</v>
      </c>
      <c r="G28" s="10">
        <f t="shared" si="1"/>
        <v>8492</v>
      </c>
      <c r="H28" s="10">
        <f t="shared" si="2"/>
        <v>13811</v>
      </c>
      <c r="I28" s="105"/>
    </row>
    <row r="29" spans="1:9" s="93" customFormat="1" ht="17.149999999999999" customHeight="1" x14ac:dyDescent="0.35">
      <c r="A29" s="82" t="s">
        <v>106</v>
      </c>
      <c r="B29" s="10">
        <v>213</v>
      </c>
      <c r="C29" s="10">
        <v>2565</v>
      </c>
      <c r="D29" s="10">
        <v>4636</v>
      </c>
      <c r="E29" s="10">
        <v>8248</v>
      </c>
      <c r="F29" s="10">
        <f t="shared" si="0"/>
        <v>4849</v>
      </c>
      <c r="G29" s="10">
        <f t="shared" si="1"/>
        <v>10813</v>
      </c>
      <c r="H29" s="10">
        <f t="shared" si="2"/>
        <v>15662</v>
      </c>
      <c r="I29" s="105"/>
    </row>
    <row r="30" spans="1:9" s="93" customFormat="1" ht="17.149999999999999" customHeight="1" x14ac:dyDescent="0.35">
      <c r="A30" s="82" t="s">
        <v>107</v>
      </c>
      <c r="B30" s="10">
        <v>276</v>
      </c>
      <c r="C30" s="10">
        <v>2329</v>
      </c>
      <c r="D30" s="10">
        <v>6344</v>
      </c>
      <c r="E30" s="10">
        <v>7825</v>
      </c>
      <c r="F30" s="10">
        <f t="shared" si="0"/>
        <v>6620</v>
      </c>
      <c r="G30" s="10">
        <f t="shared" si="1"/>
        <v>10154</v>
      </c>
      <c r="H30" s="10">
        <f t="shared" si="2"/>
        <v>16774</v>
      </c>
      <c r="I30" s="105" t="s">
        <v>108</v>
      </c>
    </row>
    <row r="31" spans="1:9" s="93" customFormat="1" ht="22.4" customHeight="1" x14ac:dyDescent="0.35">
      <c r="A31" s="82" t="s">
        <v>109</v>
      </c>
      <c r="B31" s="10">
        <v>241</v>
      </c>
      <c r="C31" s="10">
        <v>2521</v>
      </c>
      <c r="D31" s="10">
        <v>5439</v>
      </c>
      <c r="E31" s="10">
        <v>9114</v>
      </c>
      <c r="F31" s="10">
        <f t="shared" si="0"/>
        <v>5680</v>
      </c>
      <c r="G31" s="10">
        <f t="shared" si="1"/>
        <v>11635</v>
      </c>
      <c r="H31" s="10">
        <f t="shared" si="2"/>
        <v>17315</v>
      </c>
      <c r="I31" s="105" t="s">
        <v>110</v>
      </c>
    </row>
    <row r="32" spans="1:9" s="93" customFormat="1" ht="17.149999999999999" customHeight="1" x14ac:dyDescent="0.35">
      <c r="A32" s="82" t="s">
        <v>111</v>
      </c>
      <c r="B32" s="10">
        <v>411</v>
      </c>
      <c r="C32" s="10">
        <v>3097</v>
      </c>
      <c r="D32" s="10">
        <v>4897</v>
      </c>
      <c r="E32" s="10">
        <v>9033</v>
      </c>
      <c r="F32" s="10">
        <f t="shared" si="0"/>
        <v>5308</v>
      </c>
      <c r="G32" s="10">
        <f t="shared" si="1"/>
        <v>12130</v>
      </c>
      <c r="H32" s="10">
        <f t="shared" si="2"/>
        <v>17438</v>
      </c>
      <c r="I32" s="105"/>
    </row>
    <row r="33" spans="1:9" s="93" customFormat="1" ht="17.149999999999999" customHeight="1" x14ac:dyDescent="0.35">
      <c r="A33" s="82" t="s">
        <v>112</v>
      </c>
      <c r="B33" s="10">
        <v>323</v>
      </c>
      <c r="C33" s="10">
        <v>5781</v>
      </c>
      <c r="D33" s="10">
        <v>4026</v>
      </c>
      <c r="E33" s="10">
        <v>9179</v>
      </c>
      <c r="F33" s="10">
        <f t="shared" si="0"/>
        <v>4349</v>
      </c>
      <c r="G33" s="10">
        <f t="shared" si="1"/>
        <v>14960</v>
      </c>
      <c r="H33" s="10">
        <f t="shared" si="2"/>
        <v>19309</v>
      </c>
      <c r="I33" s="105"/>
    </row>
    <row r="34" spans="1:9" s="93" customFormat="1" ht="17.149999999999999" customHeight="1" x14ac:dyDescent="0.35">
      <c r="A34" s="82" t="s">
        <v>113</v>
      </c>
      <c r="B34" s="10">
        <v>492</v>
      </c>
      <c r="C34" s="10">
        <v>6000</v>
      </c>
      <c r="D34" s="10">
        <v>4938</v>
      </c>
      <c r="E34" s="10">
        <v>12455</v>
      </c>
      <c r="F34" s="10">
        <f t="shared" si="0"/>
        <v>5430</v>
      </c>
      <c r="G34" s="10">
        <f t="shared" si="1"/>
        <v>18455</v>
      </c>
      <c r="H34" s="10">
        <f t="shared" si="2"/>
        <v>23885</v>
      </c>
      <c r="I34" s="105" t="s">
        <v>149</v>
      </c>
    </row>
    <row r="35" spans="1:9" s="93" customFormat="1" ht="22.4" customHeight="1" x14ac:dyDescent="0.35">
      <c r="A35" s="82" t="s">
        <v>115</v>
      </c>
      <c r="B35" s="10">
        <v>397</v>
      </c>
      <c r="C35" s="10">
        <v>3159</v>
      </c>
      <c r="D35" s="10">
        <v>3993</v>
      </c>
      <c r="E35" s="10">
        <v>10981</v>
      </c>
      <c r="F35" s="10">
        <f t="shared" si="0"/>
        <v>4390</v>
      </c>
      <c r="G35" s="10">
        <f t="shared" si="1"/>
        <v>14140</v>
      </c>
      <c r="H35" s="10">
        <f t="shared" si="2"/>
        <v>18530</v>
      </c>
      <c r="I35" s="105" t="s">
        <v>116</v>
      </c>
    </row>
    <row r="36" spans="1:9" s="93" customFormat="1" ht="17.149999999999999" customHeight="1" x14ac:dyDescent="0.35">
      <c r="A36" s="82" t="s">
        <v>117</v>
      </c>
      <c r="B36" s="10">
        <v>341</v>
      </c>
      <c r="C36" s="10">
        <v>3042</v>
      </c>
      <c r="D36" s="10">
        <v>5373</v>
      </c>
      <c r="E36" s="10">
        <v>13519</v>
      </c>
      <c r="F36" s="10">
        <f t="shared" si="0"/>
        <v>5714</v>
      </c>
      <c r="G36" s="10">
        <f t="shared" si="1"/>
        <v>16561</v>
      </c>
      <c r="H36" s="10">
        <f t="shared" si="2"/>
        <v>22275</v>
      </c>
      <c r="I36" s="105"/>
    </row>
    <row r="37" spans="1:9" s="93" customFormat="1" ht="17.149999999999999" customHeight="1" x14ac:dyDescent="0.35">
      <c r="A37" s="82" t="s">
        <v>118</v>
      </c>
      <c r="B37" s="10">
        <v>400</v>
      </c>
      <c r="C37" s="10">
        <v>2531</v>
      </c>
      <c r="D37" s="10">
        <v>6216</v>
      </c>
      <c r="E37" s="10">
        <v>11699</v>
      </c>
      <c r="F37" s="10">
        <f t="shared" si="0"/>
        <v>6616</v>
      </c>
      <c r="G37" s="10">
        <f t="shared" si="1"/>
        <v>14230</v>
      </c>
      <c r="H37" s="10">
        <f t="shared" si="2"/>
        <v>20846</v>
      </c>
      <c r="I37" s="105"/>
    </row>
    <row r="38" spans="1:9" s="93" customFormat="1" ht="17.149999999999999" customHeight="1" x14ac:dyDescent="0.35">
      <c r="A38" s="82" t="s">
        <v>119</v>
      </c>
      <c r="B38" s="10">
        <v>365</v>
      </c>
      <c r="C38" s="10">
        <v>7747</v>
      </c>
      <c r="D38" s="10">
        <v>11774</v>
      </c>
      <c r="E38" s="10">
        <v>12087</v>
      </c>
      <c r="F38" s="10">
        <f t="shared" ref="F38:G45" si="3">B38+D38</f>
        <v>12139</v>
      </c>
      <c r="G38" s="10">
        <f t="shared" si="3"/>
        <v>19834</v>
      </c>
      <c r="H38" s="10">
        <f t="shared" ref="H38:H45" si="4">F38+G38</f>
        <v>31973</v>
      </c>
      <c r="I38" s="105" t="s">
        <v>120</v>
      </c>
    </row>
    <row r="39" spans="1:9" s="93" customFormat="1" ht="22.4" customHeight="1" x14ac:dyDescent="0.35">
      <c r="A39" s="82" t="s">
        <v>121</v>
      </c>
      <c r="B39" s="10">
        <v>536</v>
      </c>
      <c r="C39" s="10">
        <v>3993</v>
      </c>
      <c r="D39" s="10">
        <v>11028</v>
      </c>
      <c r="E39" s="10">
        <v>6459</v>
      </c>
      <c r="F39" s="10">
        <f t="shared" si="3"/>
        <v>11564</v>
      </c>
      <c r="G39" s="10">
        <f t="shared" si="3"/>
        <v>10452</v>
      </c>
      <c r="H39" s="10">
        <f t="shared" si="4"/>
        <v>22016</v>
      </c>
      <c r="I39" s="105"/>
    </row>
    <row r="40" spans="1:9" s="93" customFormat="1" ht="17.149999999999999" customHeight="1" x14ac:dyDescent="0.35">
      <c r="A40" s="82" t="s">
        <v>123</v>
      </c>
      <c r="B40" s="10">
        <v>54</v>
      </c>
      <c r="C40" s="10">
        <v>192</v>
      </c>
      <c r="D40" s="10">
        <v>1094</v>
      </c>
      <c r="E40" s="10">
        <v>725</v>
      </c>
      <c r="F40" s="10">
        <f t="shared" si="3"/>
        <v>1148</v>
      </c>
      <c r="G40" s="10">
        <f t="shared" si="3"/>
        <v>917</v>
      </c>
      <c r="H40" s="10">
        <f t="shared" si="4"/>
        <v>2065</v>
      </c>
      <c r="I40" s="110"/>
    </row>
    <row r="41" spans="1:9" s="93" customFormat="1" ht="17.149999999999999" customHeight="1" x14ac:dyDescent="0.35">
      <c r="A41" s="82" t="s">
        <v>124</v>
      </c>
      <c r="B41" s="10">
        <v>501</v>
      </c>
      <c r="C41" s="10">
        <v>1808</v>
      </c>
      <c r="D41" s="10">
        <v>13261</v>
      </c>
      <c r="E41" s="10">
        <v>5023</v>
      </c>
      <c r="F41" s="10">
        <f t="shared" si="3"/>
        <v>13762</v>
      </c>
      <c r="G41" s="10">
        <f t="shared" si="3"/>
        <v>6831</v>
      </c>
      <c r="H41" s="10">
        <f t="shared" si="4"/>
        <v>20593</v>
      </c>
      <c r="I41" s="110"/>
    </row>
    <row r="42" spans="1:9" s="93" customFormat="1" ht="17.149999999999999" customHeight="1" x14ac:dyDescent="0.35">
      <c r="A42" s="82" t="s">
        <v>125</v>
      </c>
      <c r="B42" s="10">
        <v>636</v>
      </c>
      <c r="C42" s="10">
        <v>1811</v>
      </c>
      <c r="D42" s="10">
        <v>18052</v>
      </c>
      <c r="E42" s="10">
        <v>7796</v>
      </c>
      <c r="F42" s="10">
        <f t="shared" si="3"/>
        <v>18688</v>
      </c>
      <c r="G42" s="10">
        <f t="shared" si="3"/>
        <v>9607</v>
      </c>
      <c r="H42" s="10">
        <f t="shared" si="4"/>
        <v>28295</v>
      </c>
      <c r="I42" s="110" t="s">
        <v>150</v>
      </c>
    </row>
    <row r="43" spans="1:9" s="93" customFormat="1" ht="22.4" customHeight="1" x14ac:dyDescent="0.35">
      <c r="A43" s="82" t="s">
        <v>127</v>
      </c>
      <c r="B43" s="10">
        <v>903</v>
      </c>
      <c r="C43" s="10">
        <v>1996</v>
      </c>
      <c r="D43" s="10">
        <v>17008</v>
      </c>
      <c r="E43" s="10">
        <v>5251</v>
      </c>
      <c r="F43" s="10">
        <f t="shared" si="3"/>
        <v>17911</v>
      </c>
      <c r="G43" s="10">
        <f t="shared" si="3"/>
        <v>7247</v>
      </c>
      <c r="H43" s="10">
        <f t="shared" si="4"/>
        <v>25158</v>
      </c>
      <c r="I43" s="110"/>
    </row>
    <row r="44" spans="1:9" s="93" customFormat="1" ht="16.5" customHeight="1" x14ac:dyDescent="0.35">
      <c r="A44" s="82" t="s">
        <v>128</v>
      </c>
      <c r="B44" s="10">
        <v>1211</v>
      </c>
      <c r="C44" s="10">
        <v>4928</v>
      </c>
      <c r="D44" s="10">
        <v>21318</v>
      </c>
      <c r="E44" s="10">
        <v>5603</v>
      </c>
      <c r="F44" s="10">
        <f t="shared" si="3"/>
        <v>22529</v>
      </c>
      <c r="G44" s="10">
        <f t="shared" si="3"/>
        <v>10531</v>
      </c>
      <c r="H44" s="10">
        <f t="shared" si="4"/>
        <v>33060</v>
      </c>
      <c r="I44" s="110"/>
    </row>
    <row r="45" spans="1:9" s="93" customFormat="1" ht="16.5" customHeight="1" x14ac:dyDescent="0.35">
      <c r="A45" s="82" t="s">
        <v>129</v>
      </c>
      <c r="B45" s="10">
        <v>1424</v>
      </c>
      <c r="C45" s="10">
        <v>2405</v>
      </c>
      <c r="D45" s="10">
        <v>23739</v>
      </c>
      <c r="E45" s="10">
        <v>3452</v>
      </c>
      <c r="F45" s="10">
        <f t="shared" si="3"/>
        <v>25163</v>
      </c>
      <c r="G45" s="10">
        <f t="shared" si="3"/>
        <v>5857</v>
      </c>
      <c r="H45" s="10">
        <f t="shared" si="4"/>
        <v>31020</v>
      </c>
      <c r="I45" s="110" t="s">
        <v>130</v>
      </c>
    </row>
    <row r="46" spans="1:9" s="93" customFormat="1" ht="16.5" customHeight="1" x14ac:dyDescent="0.35">
      <c r="A46" s="82" t="s">
        <v>131</v>
      </c>
      <c r="B46" s="10">
        <v>985</v>
      </c>
      <c r="C46" s="10">
        <v>2182</v>
      </c>
      <c r="D46" s="10">
        <v>18582</v>
      </c>
      <c r="E46" s="10">
        <v>3164</v>
      </c>
      <c r="F46" s="10">
        <f t="shared" ref="F46" si="5">B46+D46</f>
        <v>19567</v>
      </c>
      <c r="G46" s="10">
        <f t="shared" ref="G46" si="6">C46+E46</f>
        <v>5346</v>
      </c>
      <c r="H46" s="10">
        <f t="shared" ref="H46" si="7">F46+G46</f>
        <v>24913</v>
      </c>
      <c r="I46" s="110"/>
    </row>
    <row r="47" spans="1:9" s="93" customFormat="1" ht="22.4" customHeight="1" x14ac:dyDescent="0.35">
      <c r="A47" s="82" t="s">
        <v>133</v>
      </c>
      <c r="B47" s="10">
        <v>1269</v>
      </c>
      <c r="C47" s="10">
        <v>2412</v>
      </c>
      <c r="D47" s="10">
        <v>19518</v>
      </c>
      <c r="E47" s="10">
        <v>2921</v>
      </c>
      <c r="F47" s="10">
        <f>Table4[[#This Row],[Gas
smart 
meters]]+Table4[[#This Row],[Electricity
smart 
meters]]</f>
        <v>20787</v>
      </c>
      <c r="G47" s="10">
        <f>Table4[[#This Row],[Gas
advanced 
meters]]+Table4[[#This Row],[Electricity
advanced 
meters]]</f>
        <v>5333</v>
      </c>
      <c r="H47" s="10">
        <f t="shared" ref="H47" si="8">F47+G47</f>
        <v>26120</v>
      </c>
      <c r="I47" s="110" t="s">
        <v>151</v>
      </c>
    </row>
    <row r="48" spans="1:9" s="93" customFormat="1" ht="17.149999999999999" customHeight="1" x14ac:dyDescent="0.35">
      <c r="A48" s="82" t="s">
        <v>134</v>
      </c>
      <c r="B48" s="10">
        <v>2425</v>
      </c>
      <c r="C48" s="10">
        <v>2993</v>
      </c>
      <c r="D48" s="10">
        <v>20008</v>
      </c>
      <c r="E48" s="10">
        <v>3132</v>
      </c>
      <c r="F48" s="10">
        <f>Table4[[#This Row],[Gas
smart 
meters]]+Table4[[#This Row],[Electricity
smart 
meters]]</f>
        <v>22433</v>
      </c>
      <c r="G48" s="10">
        <f>Table4[[#This Row],[Gas
advanced 
meters]]+Table4[[#This Row],[Electricity
advanced 
meters]]</f>
        <v>6125</v>
      </c>
      <c r="H48" s="10">
        <f t="shared" ref="H48" si="9">F48+G48</f>
        <v>28558</v>
      </c>
      <c r="I48" s="110"/>
    </row>
    <row r="49" spans="1:9" s="93" customFormat="1" ht="17.149999999999999" customHeight="1" x14ac:dyDescent="0.35">
      <c r="A49" s="82" t="s">
        <v>135</v>
      </c>
      <c r="B49" s="10">
        <v>2502</v>
      </c>
      <c r="C49" s="10">
        <v>2739</v>
      </c>
      <c r="D49" s="10">
        <v>21799</v>
      </c>
      <c r="E49" s="10">
        <v>2704</v>
      </c>
      <c r="F49" s="10">
        <f>Table4[[#This Row],[Gas
smart 
meters]]+Table4[[#This Row],[Electricity
smart 
meters]]</f>
        <v>24301</v>
      </c>
      <c r="G49" s="10">
        <f>Table4[[#This Row],[Gas
advanced 
meters]]+Table4[[#This Row],[Electricity
advanced 
meters]]</f>
        <v>5443</v>
      </c>
      <c r="H49" s="10">
        <f t="shared" ref="H49" si="10">F49+G49</f>
        <v>29744</v>
      </c>
      <c r="I49" s="110"/>
    </row>
    <row r="50" spans="1:9" s="93" customFormat="1" ht="17.149999999999999" customHeight="1" x14ac:dyDescent="0.35">
      <c r="A50" s="82" t="s">
        <v>136</v>
      </c>
      <c r="B50" s="10">
        <v>2607</v>
      </c>
      <c r="C50" s="10">
        <v>1787</v>
      </c>
      <c r="D50" s="10">
        <v>22783</v>
      </c>
      <c r="E50" s="10">
        <v>2517</v>
      </c>
      <c r="F50" s="10">
        <f>Table4[[#This Row],[Gas
smart 
meters]]+Table4[[#This Row],[Electricity
smart 
meters]]</f>
        <v>25390</v>
      </c>
      <c r="G50" s="10">
        <f>Table4[[#This Row],[Gas
advanced 
meters]]+Table4[[#This Row],[Electricity
advanced 
meters]]</f>
        <v>4304</v>
      </c>
      <c r="H50" s="10">
        <f t="shared" ref="H50" si="11">F50+G50</f>
        <v>29694</v>
      </c>
      <c r="I50" s="110"/>
    </row>
    <row r="51" spans="1:9" s="93" customFormat="1" ht="22.4" customHeight="1" x14ac:dyDescent="0.35">
      <c r="A51" s="82" t="s">
        <v>137</v>
      </c>
      <c r="B51" s="10">
        <v>3628</v>
      </c>
      <c r="C51" s="10">
        <v>3101</v>
      </c>
      <c r="D51" s="10">
        <v>28101</v>
      </c>
      <c r="E51" s="10">
        <v>2790</v>
      </c>
      <c r="F51" s="10">
        <f>Table4[[#This Row],[Gas
smart 
meters]]+Table4[[#This Row],[Electricity
smart 
meters]]</f>
        <v>31729</v>
      </c>
      <c r="G51" s="10">
        <f>Table4[[#This Row],[Gas
advanced 
meters]]+Table4[[#This Row],[Electricity
advanced 
meters]]</f>
        <v>5891</v>
      </c>
      <c r="H51" s="10">
        <f t="shared" ref="H51" si="12">F51+G51</f>
        <v>37620</v>
      </c>
      <c r="I51" s="82"/>
    </row>
    <row r="52" spans="1:9" s="93" customFormat="1" ht="17.149999999999999" customHeight="1" x14ac:dyDescent="0.35">
      <c r="A52" s="82" t="s">
        <v>138</v>
      </c>
      <c r="B52" s="10">
        <v>3208</v>
      </c>
      <c r="C52" s="10">
        <v>2013</v>
      </c>
      <c r="D52" s="10">
        <v>26174</v>
      </c>
      <c r="E52" s="10">
        <v>3273</v>
      </c>
      <c r="F52" s="10">
        <f>Table4[[#This Row],[Gas
smart 
meters]]+Table4[[#This Row],[Electricity
smart 
meters]]</f>
        <v>29382</v>
      </c>
      <c r="G52" s="10">
        <f>Table4[[#This Row],[Gas
advanced 
meters]]+Table4[[#This Row],[Electricity
advanced 
meters]]</f>
        <v>5286</v>
      </c>
      <c r="H52" s="10">
        <f t="shared" ref="H52" si="13">F52+G52</f>
        <v>34668</v>
      </c>
      <c r="I52" s="110"/>
    </row>
    <row r="53" spans="1:9" s="93" customFormat="1" ht="17.149999999999999" customHeight="1" x14ac:dyDescent="0.35">
      <c r="A53" s="104" t="s">
        <v>139</v>
      </c>
      <c r="B53" s="62">
        <v>2766</v>
      </c>
      <c r="C53" s="62">
        <v>1921</v>
      </c>
      <c r="D53" s="62">
        <v>27574</v>
      </c>
      <c r="E53" s="62">
        <v>4157</v>
      </c>
      <c r="F53" s="62">
        <v>30340</v>
      </c>
      <c r="G53" s="62">
        <v>6078</v>
      </c>
      <c r="H53" s="62">
        <f>Table4[[#This Row],[All 
smart 
meters]]+Table4[[#This Row],[All 
advanced 
meters]]</f>
        <v>36418</v>
      </c>
      <c r="I53" s="111"/>
    </row>
    <row r="54" spans="1:9" ht="17.149999999999999" customHeight="1" x14ac:dyDescent="0.35">
      <c r="A54" s="104" t="s">
        <v>80</v>
      </c>
      <c r="B54" s="62">
        <f>SUM(B8:B53)</f>
        <v>30373</v>
      </c>
      <c r="C54" s="62">
        <f t="shared" ref="C54:E54" si="14">SUM(C8:C53)</f>
        <v>131305</v>
      </c>
      <c r="D54" s="62">
        <f t="shared" si="14"/>
        <v>395518</v>
      </c>
      <c r="E54" s="62">
        <f t="shared" si="14"/>
        <v>816361</v>
      </c>
      <c r="F54" s="62">
        <f>Table4[[#This Row],[Gas
smart 
meters]]+Table4[[#This Row],[Electricity
smart 
meters]]</f>
        <v>425891</v>
      </c>
      <c r="G54" s="62">
        <f>Table4[[#This Row],[Gas
advanced 
meters]]+Table4[[#This Row],[Electricity
advanced 
meters]]</f>
        <v>947666</v>
      </c>
      <c r="H54" s="62">
        <f t="shared" ref="H54" si="15">F54+G54</f>
        <v>1373557</v>
      </c>
      <c r="I54" s="110"/>
    </row>
  </sheetData>
  <phoneticPr fontId="15" type="noConversion"/>
  <pageMargins left="0.7" right="0.7" top="0.75" bottom="0.75" header="0.3" footer="0.3"/>
  <pageSetup paperSize="9" scale="74" fitToWidth="0" fitToHeight="0" orientation="portrait" verticalDpi="4" r:id="rId1"/>
  <ignoredErrors>
    <ignoredError sqref="H53" formula="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W51"/>
  <sheetViews>
    <sheetView showGridLines="0" zoomScaleNormal="100" workbookViewId="0"/>
  </sheetViews>
  <sheetFormatPr defaultColWidth="9.1796875" defaultRowHeight="17.149999999999999" customHeight="1" x14ac:dyDescent="0.35"/>
  <cols>
    <col min="1" max="1" width="7.453125" style="84" customWidth="1"/>
    <col min="2" max="22" width="14.26953125" style="6" customWidth="1"/>
    <col min="23" max="23" width="61.453125" style="6" customWidth="1"/>
    <col min="24" max="16384" width="9.1796875" style="84"/>
  </cols>
  <sheetData>
    <row r="1" spans="1:23" ht="25.5" customHeight="1" x14ac:dyDescent="0.35">
      <c r="A1" s="83" t="s">
        <v>172</v>
      </c>
    </row>
    <row r="2" spans="1:23" ht="17.149999999999999" customHeight="1" x14ac:dyDescent="0.35">
      <c r="A2" s="25" t="s">
        <v>173</v>
      </c>
      <c r="R2" s="32"/>
      <c r="S2" s="32"/>
      <c r="T2" s="32"/>
      <c r="U2" s="32"/>
      <c r="V2" s="32"/>
      <c r="W2" s="32"/>
    </row>
    <row r="3" spans="1:23" s="32" customFormat="1" ht="17.149999999999999" customHeight="1" x14ac:dyDescent="0.35">
      <c r="A3" s="25" t="s">
        <v>64</v>
      </c>
      <c r="B3" s="31"/>
      <c r="C3" s="30"/>
      <c r="D3" s="7"/>
      <c r="E3" s="7"/>
      <c r="F3" s="8"/>
      <c r="Q3" s="112"/>
      <c r="R3" s="109"/>
      <c r="S3" s="109"/>
      <c r="T3" s="109"/>
      <c r="U3" s="109"/>
      <c r="V3" s="109"/>
      <c r="W3" s="109"/>
    </row>
    <row r="4" spans="1:23" ht="17.149999999999999" customHeight="1" x14ac:dyDescent="0.35">
      <c r="A4" s="25" t="s">
        <v>174</v>
      </c>
      <c r="Q4" s="112"/>
      <c r="R4" s="109"/>
      <c r="S4" s="109"/>
      <c r="T4" s="109"/>
      <c r="U4" s="109"/>
      <c r="V4" s="109"/>
      <c r="W4" s="109"/>
    </row>
    <row r="5" spans="1:23" ht="17.149999999999999" customHeight="1" x14ac:dyDescent="0.35">
      <c r="A5" s="25" t="s">
        <v>175</v>
      </c>
      <c r="F5" s="18"/>
      <c r="G5" s="18"/>
      <c r="H5" s="18"/>
      <c r="I5" s="18"/>
      <c r="J5" s="113"/>
    </row>
    <row r="6" spans="1:23" ht="17.149999999999999" customHeight="1" x14ac:dyDescent="0.35">
      <c r="A6" s="25" t="s">
        <v>65</v>
      </c>
      <c r="F6" s="18"/>
      <c r="G6" s="18"/>
      <c r="H6" s="18"/>
      <c r="I6" s="18"/>
      <c r="J6" s="113"/>
    </row>
    <row r="7" spans="1:23" ht="17.149999999999999" customHeight="1" x14ac:dyDescent="0.35">
      <c r="A7" s="28" t="s">
        <v>66</v>
      </c>
      <c r="B7" s="28"/>
      <c r="C7" s="97"/>
      <c r="F7" s="113"/>
      <c r="G7" s="113"/>
      <c r="H7" s="113"/>
      <c r="I7" s="18"/>
      <c r="J7" s="113"/>
      <c r="M7" s="94"/>
      <c r="O7" s="18"/>
    </row>
    <row r="8" spans="1:23" s="22" customFormat="1" ht="25.5" customHeight="1" x14ac:dyDescent="0.35">
      <c r="A8" s="114" t="s">
        <v>176</v>
      </c>
      <c r="O8" s="115"/>
    </row>
    <row r="9" spans="1:23" s="93" customFormat="1" ht="107.25" customHeight="1" x14ac:dyDescent="0.35">
      <c r="A9" s="100" t="s">
        <v>177</v>
      </c>
      <c r="B9" s="102" t="s">
        <v>178</v>
      </c>
      <c r="C9" s="102" t="s">
        <v>179</v>
      </c>
      <c r="D9" s="102" t="s">
        <v>180</v>
      </c>
      <c r="E9" s="102" t="s">
        <v>181</v>
      </c>
      <c r="F9" s="102" t="s">
        <v>182</v>
      </c>
      <c r="G9" s="102" t="s">
        <v>183</v>
      </c>
      <c r="H9" s="102" t="s">
        <v>184</v>
      </c>
      <c r="I9" s="102" t="s">
        <v>185</v>
      </c>
      <c r="J9" s="102" t="s">
        <v>186</v>
      </c>
      <c r="K9" s="102" t="s">
        <v>187</v>
      </c>
      <c r="L9" s="102" t="s">
        <v>188</v>
      </c>
      <c r="M9" s="102" t="s">
        <v>189</v>
      </c>
      <c r="N9" s="102" t="s">
        <v>190</v>
      </c>
      <c r="O9" s="102" t="s">
        <v>191</v>
      </c>
      <c r="P9" s="102" t="s">
        <v>192</v>
      </c>
      <c r="Q9" s="102" t="s">
        <v>193</v>
      </c>
      <c r="R9" s="102" t="s">
        <v>194</v>
      </c>
      <c r="S9" s="102" t="s">
        <v>195</v>
      </c>
      <c r="T9" s="102" t="s">
        <v>196</v>
      </c>
      <c r="U9" s="102" t="s">
        <v>197</v>
      </c>
      <c r="V9" s="102" t="s">
        <v>80</v>
      </c>
      <c r="W9" s="116" t="s">
        <v>22</v>
      </c>
    </row>
    <row r="10" spans="1:23" ht="17.149999999999999" customHeight="1" x14ac:dyDescent="0.35">
      <c r="A10" s="117">
        <v>2012</v>
      </c>
      <c r="B10" s="10">
        <v>1461</v>
      </c>
      <c r="C10" s="10"/>
      <c r="D10" s="10">
        <f>Table5a[[#This Row],[Large suppliers
gas meters
smart in
smart mode]]+Table5a[[#This Row],[Large suppliers
gas meters
smart in
traditional mode]]</f>
        <v>1461</v>
      </c>
      <c r="E10" s="10">
        <v>21550984</v>
      </c>
      <c r="F10" s="10">
        <v>1739</v>
      </c>
      <c r="G10" s="10"/>
      <c r="H10" s="10">
        <f>Table5a[[#This Row],[Large
suppliers
electricity 
meters
smart in
smart mode]]+Table5a[[#This Row],[Large 
suppliers
electricity 
meters
smart in
traditional mode]]</f>
        <v>1739</v>
      </c>
      <c r="I10" s="10">
        <v>26174965</v>
      </c>
      <c r="J10" s="10"/>
      <c r="K10" s="10"/>
      <c r="L10" s="10">
        <f>Table5a[[#This Row],[Small
suppliers
gas meters
smart in
smart mode]]+Table5a[[#This Row],[Small
suppliers
gas meters
smart in
traditional mode]]</f>
        <v>0</v>
      </c>
      <c r="M10" s="10"/>
      <c r="N10" s="10"/>
      <c r="O10" s="10"/>
      <c r="P10" s="10">
        <f>Table5a[[#This Row],[Small
suppliers
electricity 
meters
smart in
smart mode]]+Table5a[[#This Row],[Small 
suppliers
electricity 
meters
smart in
traditional mode]]</f>
        <v>0</v>
      </c>
      <c r="Q10" s="10"/>
      <c r="R10" s="10">
        <f t="shared" ref="R10:R20" si="0">SUM(B10,F10,J10,N10)</f>
        <v>3200</v>
      </c>
      <c r="S10" s="10"/>
      <c r="T10" s="10">
        <f>SUM(Table5a[[#This Row],[Large suppliers
gas meters
total smart]],Table5a[[#This Row],[Large suppliers
electricity meters
total smart]],Table5a[[#This Row],[Small suppliers
gas meters
total smart]],Table5a[[#This Row],[Small suppliers
electricity meters
total smart]])</f>
        <v>3200</v>
      </c>
      <c r="U10" s="10">
        <f t="shared" ref="U10:U21" si="1">SUM(E10,I10,M10,Q10)</f>
        <v>47725949</v>
      </c>
      <c r="V10" s="10">
        <f>Table5a[[#This Row],[All suppliers
total smart meters]]+Table5a[[#This Row],[All 
suppliers
non-smart]]</f>
        <v>47729149</v>
      </c>
      <c r="W10" s="26"/>
    </row>
    <row r="11" spans="1:23" ht="17.149999999999999" customHeight="1" x14ac:dyDescent="0.35">
      <c r="A11" s="117" t="s">
        <v>198</v>
      </c>
      <c r="B11" s="10">
        <v>101728</v>
      </c>
      <c r="C11" s="10"/>
      <c r="D11" s="10">
        <f>Table5a[[#This Row],[Large suppliers
gas meters
smart in
smart mode]]+Table5a[[#This Row],[Large suppliers
gas meters
smart in
traditional mode]]</f>
        <v>101728</v>
      </c>
      <c r="E11" s="10">
        <v>21513727</v>
      </c>
      <c r="F11" s="10">
        <v>163427</v>
      </c>
      <c r="G11" s="10"/>
      <c r="H11" s="10">
        <f>Table5a[[#This Row],[Large
suppliers
electricity 
meters
smart in
smart mode]]+Table5a[[#This Row],[Large 
suppliers
electricity 
meters
smart in
traditional mode]]</f>
        <v>163427</v>
      </c>
      <c r="I11" s="10">
        <v>25994868</v>
      </c>
      <c r="J11" s="10"/>
      <c r="K11" s="10"/>
      <c r="L11" s="10">
        <f>Table5a[[#This Row],[Small
suppliers
gas meters
smart in
smart mode]]+Table5a[[#This Row],[Small
suppliers
gas meters
smart in
traditional mode]]</f>
        <v>0</v>
      </c>
      <c r="M11" s="10"/>
      <c r="N11" s="10"/>
      <c r="O11" s="10"/>
      <c r="P11" s="10">
        <f>Table5a[[#This Row],[Small
suppliers
electricity 
meters
smart in
smart mode]]+Table5a[[#This Row],[Small 
suppliers
electricity 
meters
smart in
traditional mode]]</f>
        <v>0</v>
      </c>
      <c r="Q11" s="10"/>
      <c r="R11" s="10">
        <f t="shared" si="0"/>
        <v>265155</v>
      </c>
      <c r="S11" s="10"/>
      <c r="T11" s="10">
        <f>SUM(Table5a[[#This Row],[Large suppliers
gas meters
total smart]],Table5a[[#This Row],[Large suppliers
electricity meters
total smart]],Table5a[[#This Row],[Small suppliers
gas meters
total smart]],Table5a[[#This Row],[Small suppliers
electricity meters
total smart]])</f>
        <v>265155</v>
      </c>
      <c r="U11" s="10">
        <f t="shared" si="1"/>
        <v>47508595</v>
      </c>
      <c r="V11" s="10">
        <f>Table5a[[#This Row],[All suppliers
total smart meters]]+Table5a[[#This Row],[All 
suppliers
non-smart]]</f>
        <v>47773750</v>
      </c>
      <c r="W11" s="26" t="s">
        <v>87</v>
      </c>
    </row>
    <row r="12" spans="1:23" ht="17.149999999999999" customHeight="1" x14ac:dyDescent="0.35">
      <c r="A12" s="117">
        <v>2014</v>
      </c>
      <c r="B12" s="10">
        <v>270589</v>
      </c>
      <c r="C12" s="10"/>
      <c r="D12" s="10">
        <f>Table5a[[#This Row],[Large suppliers
gas meters
smart in
smart mode]]+Table5a[[#This Row],[Large suppliers
gas meters
smart in
traditional mode]]</f>
        <v>270589</v>
      </c>
      <c r="E12" s="10">
        <v>20564248</v>
      </c>
      <c r="F12" s="10">
        <v>400645</v>
      </c>
      <c r="G12" s="10"/>
      <c r="H12" s="10">
        <f>Table5a[[#This Row],[Large
suppliers
electricity 
meters
smart in
smart mode]]+Table5a[[#This Row],[Large 
suppliers
electricity 
meters
smart in
traditional mode]]</f>
        <v>400645</v>
      </c>
      <c r="I12" s="10">
        <v>24890373</v>
      </c>
      <c r="J12" s="10"/>
      <c r="K12" s="10"/>
      <c r="L12" s="10">
        <f>Table5a[[#This Row],[Small
suppliers
gas meters
smart in
smart mode]]+Table5a[[#This Row],[Small
suppliers
gas meters
smart in
traditional mode]]</f>
        <v>0</v>
      </c>
      <c r="M12" s="10"/>
      <c r="N12" s="10"/>
      <c r="O12" s="10"/>
      <c r="P12" s="10">
        <f>Table5a[[#This Row],[Small
suppliers
electricity 
meters
smart in
smart mode]]+Table5a[[#This Row],[Small 
suppliers
electricity 
meters
smart in
traditional mode]]</f>
        <v>0</v>
      </c>
      <c r="Q12" s="10"/>
      <c r="R12" s="10">
        <f t="shared" si="0"/>
        <v>671234</v>
      </c>
      <c r="S12" s="10"/>
      <c r="T12" s="10">
        <f>SUM(Table5a[[#This Row],[Large suppliers
gas meters
total smart]],Table5a[[#This Row],[Large suppliers
electricity meters
total smart]],Table5a[[#This Row],[Small suppliers
gas meters
total smart]],Table5a[[#This Row],[Small suppliers
electricity meters
total smart]])</f>
        <v>671234</v>
      </c>
      <c r="U12" s="10">
        <f t="shared" si="1"/>
        <v>45454621</v>
      </c>
      <c r="V12" s="10">
        <f>Table5a[[#This Row],[All suppliers
total smart meters]]+Table5a[[#This Row],[All 
suppliers
non-smart]]</f>
        <v>46125855</v>
      </c>
      <c r="W12" s="26"/>
    </row>
    <row r="13" spans="1:23" ht="17.149999999999999" customHeight="1" x14ac:dyDescent="0.35">
      <c r="A13" s="117" t="s">
        <v>199</v>
      </c>
      <c r="B13" s="10">
        <v>763341</v>
      </c>
      <c r="C13" s="10"/>
      <c r="D13" s="10">
        <f>Table5a[[#This Row],[Large suppliers
gas meters
smart in
smart mode]]+Table5a[[#This Row],[Large suppliers
gas meters
smart in
traditional mode]]</f>
        <v>763341</v>
      </c>
      <c r="E13" s="10">
        <v>20726526</v>
      </c>
      <c r="F13" s="10">
        <v>1118564</v>
      </c>
      <c r="G13" s="10"/>
      <c r="H13" s="10">
        <f>Table5a[[#This Row],[Large
suppliers
electricity 
meters
smart in
smart mode]]+Table5a[[#This Row],[Large 
suppliers
electricity 
meters
smart in
traditional mode]]</f>
        <v>1118564</v>
      </c>
      <c r="I13" s="10">
        <v>24923979</v>
      </c>
      <c r="J13" s="10">
        <v>206886</v>
      </c>
      <c r="K13" s="10"/>
      <c r="L13" s="10">
        <f>Table5a[[#This Row],[Small
suppliers
gas meters
smart in
smart mode]]+Table5a[[#This Row],[Small
suppliers
gas meters
smart in
traditional mode]]</f>
        <v>206886</v>
      </c>
      <c r="M13" s="10">
        <v>951080</v>
      </c>
      <c r="N13" s="10">
        <v>231690</v>
      </c>
      <c r="O13" s="10"/>
      <c r="P13" s="10">
        <f>Table5a[[#This Row],[Small
suppliers
electricity 
meters
smart in
smart mode]]+Table5a[[#This Row],[Small 
suppliers
electricity 
meters
smart in
traditional mode]]</f>
        <v>231690</v>
      </c>
      <c r="Q13" s="10">
        <v>1228977</v>
      </c>
      <c r="R13" s="10">
        <f t="shared" si="0"/>
        <v>2320481</v>
      </c>
      <c r="S13" s="10"/>
      <c r="T13" s="10">
        <f>SUM(Table5a[[#This Row],[Large suppliers
gas meters
total smart]],Table5a[[#This Row],[Large suppliers
electricity meters
total smart]],Table5a[[#This Row],[Small suppliers
gas meters
total smart]],Table5a[[#This Row],[Small suppliers
electricity meters
total smart]])</f>
        <v>2320481</v>
      </c>
      <c r="U13" s="10">
        <f t="shared" si="1"/>
        <v>47830562</v>
      </c>
      <c r="V13" s="10">
        <f>Table5a[[#This Row],[All suppliers
total smart meters]]+Table5a[[#This Row],[All 
suppliers
non-smart]]</f>
        <v>50151043</v>
      </c>
      <c r="W13" s="26" t="s">
        <v>93</v>
      </c>
    </row>
    <row r="14" spans="1:23" ht="17.149999999999999" customHeight="1" x14ac:dyDescent="0.35">
      <c r="A14" s="117" t="s">
        <v>200</v>
      </c>
      <c r="B14" s="10">
        <v>2069121</v>
      </c>
      <c r="C14" s="10"/>
      <c r="D14" s="10">
        <f>Table5a[[#This Row],[Large suppliers
gas meters
smart in
smart mode]]+Table5a[[#This Row],[Large suppliers
gas meters
smart in
traditional mode]]</f>
        <v>2069121</v>
      </c>
      <c r="E14" s="10">
        <v>19847570</v>
      </c>
      <c r="F14" s="10">
        <v>2794169</v>
      </c>
      <c r="G14" s="10"/>
      <c r="H14" s="10">
        <f>Table5a[[#This Row],[Large
suppliers
electricity 
meters
smart in
smart mode]]+Table5a[[#This Row],[Large 
suppliers
electricity 
meters
smart in
traditional mode]]</f>
        <v>2794169</v>
      </c>
      <c r="I14" s="10">
        <v>23591156</v>
      </c>
      <c r="J14" s="10">
        <v>35420</v>
      </c>
      <c r="K14" s="10"/>
      <c r="L14" s="10">
        <f>Table5a[[#This Row],[Small
suppliers
gas meters
smart in
smart mode]]+Table5a[[#This Row],[Small
suppliers
gas meters
smart in
traditional mode]]</f>
        <v>35420</v>
      </c>
      <c r="M14" s="10">
        <v>937603</v>
      </c>
      <c r="N14" s="10">
        <v>48272</v>
      </c>
      <c r="O14" s="10"/>
      <c r="P14" s="10">
        <f>Table5a[[#This Row],[Small
suppliers
electricity 
meters
smart in
smart mode]]+Table5a[[#This Row],[Small 
suppliers
electricity 
meters
smart in
traditional mode]]</f>
        <v>48272</v>
      </c>
      <c r="Q14" s="10">
        <v>1222055</v>
      </c>
      <c r="R14" s="10">
        <f t="shared" si="0"/>
        <v>4946982</v>
      </c>
      <c r="S14" s="10"/>
      <c r="T14" s="10">
        <f>SUM(Table5a[[#This Row],[Large suppliers
gas meters
total smart]],Table5a[[#This Row],[Large suppliers
electricity meters
total smart]],Table5a[[#This Row],[Small suppliers
gas meters
total smart]],Table5a[[#This Row],[Small suppliers
electricity meters
total smart]])</f>
        <v>4946982</v>
      </c>
      <c r="U14" s="9">
        <f>SUM(E14,I14,M14,Q14)</f>
        <v>45598384</v>
      </c>
      <c r="V14" s="10">
        <f>Table5a[[#This Row],[All suppliers
total smart meters]]+Table5a[[#This Row],[All 
suppliers
non-smart]]</f>
        <v>50545366</v>
      </c>
      <c r="W14" s="26" t="s">
        <v>201</v>
      </c>
    </row>
    <row r="15" spans="1:23" ht="17.149999999999999" customHeight="1" x14ac:dyDescent="0.35">
      <c r="A15" s="117" t="s">
        <v>202</v>
      </c>
      <c r="B15" s="10">
        <v>3753303</v>
      </c>
      <c r="C15" s="10"/>
      <c r="D15" s="10">
        <f>Table5a[[#This Row],[Large suppliers
gas meters
smart in
smart mode]]+Table5a[[#This Row],[Large suppliers
gas meters
smart in
traditional mode]]</f>
        <v>3753303</v>
      </c>
      <c r="E15" s="10">
        <v>17529114</v>
      </c>
      <c r="F15" s="10">
        <v>5009188</v>
      </c>
      <c r="G15" s="10"/>
      <c r="H15" s="10">
        <f>Table5a[[#This Row],[Large
suppliers
electricity 
meters
smart in
smart mode]]+Table5a[[#This Row],[Large 
suppliers
electricity 
meters
smart in
traditional mode]]</f>
        <v>5009188</v>
      </c>
      <c r="I15" s="10">
        <v>20676394</v>
      </c>
      <c r="J15" s="10">
        <v>89955</v>
      </c>
      <c r="K15" s="10"/>
      <c r="L15" s="10">
        <f>Table5a[[#This Row],[Small
suppliers
gas meters
smart in
smart mode]]+Table5a[[#This Row],[Small
suppliers
gas meters
smart in
traditional mode]]</f>
        <v>89955</v>
      </c>
      <c r="M15" s="10">
        <v>1493479</v>
      </c>
      <c r="N15" s="10">
        <v>123248</v>
      </c>
      <c r="O15" s="10"/>
      <c r="P15" s="10">
        <f>Table5a[[#This Row],[Small
suppliers
electricity 
meters
smart in
smart mode]]+Table5a[[#This Row],[Small 
suppliers
electricity 
meters
smart in
traditional mode]]</f>
        <v>123248</v>
      </c>
      <c r="Q15" s="10">
        <v>1883830</v>
      </c>
      <c r="R15" s="10">
        <f t="shared" si="0"/>
        <v>8975694</v>
      </c>
      <c r="S15" s="10"/>
      <c r="T15" s="10">
        <f>SUM(Table5a[[#This Row],[Large suppliers
gas meters
total smart]],Table5a[[#This Row],[Large suppliers
electricity meters
total smart]],Table5a[[#This Row],[Small suppliers
gas meters
total smart]],Table5a[[#This Row],[Small suppliers
electricity meters
total smart]])</f>
        <v>8975694</v>
      </c>
      <c r="U15" s="10">
        <f t="shared" si="1"/>
        <v>41582817</v>
      </c>
      <c r="V15" s="10">
        <f>Table5a[[#This Row],[All suppliers
total smart meters]]+Table5a[[#This Row],[All 
suppliers
non-smart]]</f>
        <v>50558511</v>
      </c>
      <c r="W15" s="26" t="s">
        <v>108</v>
      </c>
    </row>
    <row r="16" spans="1:23" ht="17.149999999999999" customHeight="1" x14ac:dyDescent="0.35">
      <c r="A16" s="117" t="s">
        <v>203</v>
      </c>
      <c r="B16" s="10">
        <f>Table1!$B$34</f>
        <v>5266181</v>
      </c>
      <c r="C16" s="10">
        <f>Table1!$C$34</f>
        <v>687942</v>
      </c>
      <c r="D16" s="10">
        <f>Table5a[[#This Row],[Large suppliers
gas meters
smart in
smart mode]]+Table5a[[#This Row],[Large suppliers
gas meters
smart in
traditional mode]]</f>
        <v>5954123</v>
      </c>
      <c r="E16" s="10">
        <f>Table1!$E$34</f>
        <v>15445560</v>
      </c>
      <c r="F16" s="10">
        <f>Table1!$F$34</f>
        <v>7027058</v>
      </c>
      <c r="G16" s="10">
        <f>Table1!$G$34</f>
        <v>913408</v>
      </c>
      <c r="H16" s="10">
        <f>Table5a[[#This Row],[Large
suppliers
electricity 
meters
smart in
smart mode]]+Table5a[[#This Row],[Large 
suppliers
electricity 
meters
smart in
traditional mode]]</f>
        <v>7940466</v>
      </c>
      <c r="I16" s="10">
        <f>Table1!$I$34</f>
        <v>17922870</v>
      </c>
      <c r="J16" s="10">
        <v>155348</v>
      </c>
      <c r="K16" s="10">
        <v>104158</v>
      </c>
      <c r="L16" s="10">
        <f>Table5a[[#This Row],[Small
suppliers
gas meters
smart in
smart mode]]+Table5a[[#This Row],[Small
suppliers
gas meters
smart in
traditional mode]]</f>
        <v>259506</v>
      </c>
      <c r="M16" s="10">
        <v>1448016</v>
      </c>
      <c r="N16" s="10">
        <v>197500</v>
      </c>
      <c r="O16" s="10">
        <v>161909</v>
      </c>
      <c r="P16" s="10">
        <f>Table5a[[#This Row],[Small
suppliers
electricity 
meters
smart in
smart mode]]+Table5a[[#This Row],[Small 
suppliers
electricity 
meters
smart in
traditional mode]]</f>
        <v>359409</v>
      </c>
      <c r="Q16" s="10">
        <v>1705458</v>
      </c>
      <c r="R16" s="10">
        <f t="shared" si="0"/>
        <v>12646087</v>
      </c>
      <c r="S16" s="10">
        <f>SUM(C16,G16,K16,O16)</f>
        <v>1867417</v>
      </c>
      <c r="T16" s="10">
        <f>SUM(Table5a[[#This Row],[Large suppliers
gas meters
total smart]],Table5a[[#This Row],[Large suppliers
electricity meters
total smart]],Table5a[[#This Row],[Small suppliers
gas meters
total smart]],Table5a[[#This Row],[Small suppliers
electricity meters
total smart]])</f>
        <v>14513504</v>
      </c>
      <c r="U16" s="10">
        <f t="shared" si="1"/>
        <v>36521904</v>
      </c>
      <c r="V16" s="10">
        <f>Table5a[[#This Row],[All suppliers
total smart meters]]+Table5a[[#This Row],[All 
suppliers
non-smart]]</f>
        <v>51035408</v>
      </c>
      <c r="W16" s="26" t="s">
        <v>204</v>
      </c>
    </row>
    <row r="17" spans="1:23" ht="17.149999999999999" customHeight="1" x14ac:dyDescent="0.35">
      <c r="A17" s="117" t="s">
        <v>205</v>
      </c>
      <c r="B17" s="10">
        <f>Table1!$B$38</f>
        <v>6294285</v>
      </c>
      <c r="C17" s="10">
        <f>Table1!$C$38</f>
        <v>1495786</v>
      </c>
      <c r="D17" s="10">
        <f>Table5a[[#This Row],[Large suppliers
gas meters
smart in
smart mode]]+Table5a[[#This Row],[Large suppliers
gas meters
smart in
traditional mode]]</f>
        <v>7790071</v>
      </c>
      <c r="E17" s="10">
        <f>Table1!$E$38</f>
        <v>14023880</v>
      </c>
      <c r="F17" s="10">
        <f>Table1!$F$38</f>
        <v>8431865</v>
      </c>
      <c r="G17" s="10">
        <f>Table1!$G$38</f>
        <v>1989202</v>
      </c>
      <c r="H17" s="10">
        <f>Table5a[[#This Row],[Large
suppliers
electricity 
meters
smart in
smart mode]]+Table5a[[#This Row],[Large 
suppliers
electricity 
meters
smart in
traditional mode]]</f>
        <v>10421067</v>
      </c>
      <c r="I17" s="10">
        <f>Table1!$I$38</f>
        <v>16073174</v>
      </c>
      <c r="J17" s="10">
        <v>203832</v>
      </c>
      <c r="K17" s="10">
        <v>195792</v>
      </c>
      <c r="L17" s="10">
        <f>Table5a[[#This Row],[Small
suppliers
gas meters
smart in
smart mode]]+Table5a[[#This Row],[Small
suppliers
gas meters
smart in
traditional mode]]</f>
        <v>399624</v>
      </c>
      <c r="M17" s="10">
        <v>1207004</v>
      </c>
      <c r="N17" s="10">
        <v>265459</v>
      </c>
      <c r="O17" s="10">
        <v>287648</v>
      </c>
      <c r="P17" s="10">
        <f>Table5a[[#This Row],[Small
suppliers
electricity 
meters
smart in
smart mode]]+Table5a[[#This Row],[Small 
suppliers
electricity 
meters
smart in
traditional mode]]</f>
        <v>553107</v>
      </c>
      <c r="Q17" s="10">
        <v>1376819</v>
      </c>
      <c r="R17" s="10">
        <f t="shared" si="0"/>
        <v>15195441</v>
      </c>
      <c r="S17" s="10">
        <f>SUM(C17,G17,K17,O17)</f>
        <v>3968428</v>
      </c>
      <c r="T17" s="10">
        <f>SUM(Table5a[[#This Row],[Large suppliers
gas meters
total smart]],Table5a[[#This Row],[Large suppliers
electricity meters
total smart]],Table5a[[#This Row],[Small suppliers
gas meters
total smart]],Table5a[[#This Row],[Small suppliers
electricity meters
total smart]])</f>
        <v>19163869</v>
      </c>
      <c r="U17" s="10">
        <f t="shared" si="1"/>
        <v>32680877</v>
      </c>
      <c r="V17" s="10">
        <f>Table5a[[#This Row],[All suppliers
total smart meters]]+Table5a[[#This Row],[All 
suppliers
non-smart]]</f>
        <v>51844746</v>
      </c>
      <c r="W17" s="26" t="s">
        <v>206</v>
      </c>
    </row>
    <row r="18" spans="1:23" ht="17.149999999999999" customHeight="1" x14ac:dyDescent="0.35">
      <c r="A18" s="117" t="s">
        <v>207</v>
      </c>
      <c r="B18" s="10">
        <f>Table1!$B$42</f>
        <v>7227534</v>
      </c>
      <c r="C18" s="10">
        <f>Table1!$C$42</f>
        <v>1847951</v>
      </c>
      <c r="D18" s="10">
        <f>Table5a[[#This Row],[Large suppliers
gas meters
smart in
smart mode]]+Table5a[[#This Row],[Large suppliers
gas meters
smart in
traditional mode]]</f>
        <v>9075485</v>
      </c>
      <c r="E18" s="10">
        <f>Table1!$E$42</f>
        <v>13222177</v>
      </c>
      <c r="F18" s="10">
        <f>Table1!$F$42</f>
        <v>9884841</v>
      </c>
      <c r="G18" s="10">
        <f>Table1!$G$42</f>
        <v>2118166</v>
      </c>
      <c r="H18" s="10">
        <f>Table5a[[#This Row],[Large
suppliers
electricity 
meters
smart in
smart mode]]+Table5a[[#This Row],[Large 
suppliers
electricity 
meters
smart in
traditional mode]]</f>
        <v>12003007</v>
      </c>
      <c r="I18" s="10">
        <f>Table1!$I$42</f>
        <v>14852091</v>
      </c>
      <c r="J18" s="10">
        <v>216165</v>
      </c>
      <c r="K18" s="10">
        <v>237495</v>
      </c>
      <c r="L18" s="10">
        <f>Table5a[[#This Row],[Small
suppliers
gas meters
smart in
smart mode]]+Table5a[[#This Row],[Small
suppliers
gas meters
smart in
traditional mode]]</f>
        <v>453660</v>
      </c>
      <c r="M18" s="10">
        <v>1000539</v>
      </c>
      <c r="N18" s="10">
        <v>305328</v>
      </c>
      <c r="O18" s="10">
        <v>332870</v>
      </c>
      <c r="P18" s="10">
        <f>Table5a[[#This Row],[Small
suppliers
electricity 
meters
smart in
smart mode]]+Table5a[[#This Row],[Small 
suppliers
electricity 
meters
smart in
traditional mode]]</f>
        <v>638198</v>
      </c>
      <c r="Q18" s="10">
        <v>1191903</v>
      </c>
      <c r="R18" s="10">
        <f t="shared" si="0"/>
        <v>17633868</v>
      </c>
      <c r="S18" s="10">
        <f>SUM(C18,G18,K18,O18)</f>
        <v>4536482</v>
      </c>
      <c r="T18" s="10">
        <f>SUM(Table5a[[#This Row],[Large suppliers
gas meters
total smart]],Table5a[[#This Row],[Large suppliers
electricity meters
total smart]],Table5a[[#This Row],[Small suppliers
gas meters
total smart]],Table5a[[#This Row],[Small suppliers
electricity meters
total smart]])</f>
        <v>22170350</v>
      </c>
      <c r="U18" s="10">
        <f t="shared" si="1"/>
        <v>30266710</v>
      </c>
      <c r="V18" s="10">
        <f>Table5a[[#This Row],[All suppliers
total smart meters]]+Table5a[[#This Row],[All 
suppliers
non-smart]]</f>
        <v>52437060</v>
      </c>
      <c r="W18" s="26" t="s">
        <v>208</v>
      </c>
    </row>
    <row r="19" spans="1:23" ht="17.149999999999999" customHeight="1" x14ac:dyDescent="0.35">
      <c r="A19" s="117" t="s">
        <v>209</v>
      </c>
      <c r="B19" s="10">
        <f>Table1!$B$46</f>
        <v>9164751</v>
      </c>
      <c r="C19" s="10">
        <f>Table1!$C$46</f>
        <v>1968329</v>
      </c>
      <c r="D19" s="10">
        <f>Table5a[[#This Row],[Large suppliers
gas meters
smart in
smart mode]]+Table5a[[#This Row],[Large suppliers
gas meters
smart in
traditional mode]]</f>
        <v>11133080</v>
      </c>
      <c r="E19" s="10">
        <f>Table1!$E$46</f>
        <v>12526982</v>
      </c>
      <c r="F19" s="10">
        <f>Table1!$F$46</f>
        <v>12688315</v>
      </c>
      <c r="G19" s="10">
        <f>Table1!$G$46</f>
        <v>2119559</v>
      </c>
      <c r="H19" s="10">
        <f>Table5a[[#This Row],[Large
suppliers
electricity 
meters
smart in
smart mode]]+Table5a[[#This Row],[Large 
suppliers
electricity 
meters
smart in
traditional mode]]</f>
        <v>14807874</v>
      </c>
      <c r="I19" s="10">
        <f>Table1!$I$46</f>
        <v>13766041</v>
      </c>
      <c r="J19" s="10">
        <v>45273</v>
      </c>
      <c r="K19" s="10">
        <v>25342</v>
      </c>
      <c r="L19" s="10">
        <f>Table5a[[#This Row],[Small
suppliers
gas meters
smart in
smart mode]]+Table5a[[#This Row],[Small
suppliers
gas meters
smart in
traditional mode]]</f>
        <v>70615</v>
      </c>
      <c r="M19" s="10">
        <v>126712</v>
      </c>
      <c r="N19" s="10">
        <v>91530</v>
      </c>
      <c r="O19" s="10">
        <v>31515</v>
      </c>
      <c r="P19" s="10">
        <f>Table5a[[#This Row],[Small
suppliers
electricity 
meters
smart in
smart mode]]+Table5a[[#This Row],[Small 
suppliers
electricity 
meters
smart in
traditional mode]]</f>
        <v>123045</v>
      </c>
      <c r="Q19" s="10">
        <v>168501</v>
      </c>
      <c r="R19" s="10">
        <f t="shared" si="0"/>
        <v>21989869</v>
      </c>
      <c r="S19" s="10">
        <f>SUM(C19,G19,K19,O19)</f>
        <v>4144745</v>
      </c>
      <c r="T19" s="10">
        <f>SUM(Table5a[[#This Row],[Large suppliers
gas meters
total smart]],Table5a[[#This Row],[Large suppliers
electricity meters
total smart]],Table5a[[#This Row],[Small suppliers
gas meters
total smart]],Table5a[[#This Row],[Small suppliers
electricity meters
total smart]])</f>
        <v>26134614</v>
      </c>
      <c r="U19" s="10">
        <f t="shared" si="1"/>
        <v>26588236</v>
      </c>
      <c r="V19" s="10">
        <f>Table5a[[#This Row],[All suppliers
total smart meters]]+Table5a[[#This Row],[All 
suppliers
non-smart]]</f>
        <v>52722850</v>
      </c>
      <c r="W19" s="26" t="s">
        <v>210</v>
      </c>
    </row>
    <row r="20" spans="1:23" s="118" customFormat="1" ht="17.149999999999999" customHeight="1" x14ac:dyDescent="0.35">
      <c r="A20" s="56" t="s">
        <v>211</v>
      </c>
      <c r="B20" s="9">
        <f>Table1!$B$50</f>
        <v>11015223</v>
      </c>
      <c r="C20" s="9">
        <f>Table1!$C$50</f>
        <v>1592060</v>
      </c>
      <c r="D20" s="10">
        <f>Table5a[[#This Row],[Large suppliers
gas meters
smart in
smart mode]]+Table5a[[#This Row],[Large suppliers
gas meters
smart in
traditional mode]]</f>
        <v>12607283</v>
      </c>
      <c r="E20" s="10">
        <f>Table1!$E$50</f>
        <v>11285320</v>
      </c>
      <c r="F20" s="10">
        <f>Table1!$F$50</f>
        <v>15199791</v>
      </c>
      <c r="G20" s="10">
        <f>Table1!$G$50</f>
        <v>1523433</v>
      </c>
      <c r="H20" s="10">
        <f>Table5a[[#This Row],[Large
suppliers
electricity 
meters
smart in
smart mode]]+Table5a[[#This Row],[Large 
suppliers
electricity 
meters
smart in
traditional mode]]</f>
        <v>16723224</v>
      </c>
      <c r="I20" s="10">
        <f>Table1!$I$50</f>
        <v>12222663</v>
      </c>
      <c r="J20" s="9">
        <v>80792</v>
      </c>
      <c r="K20" s="9">
        <v>7654</v>
      </c>
      <c r="L20" s="9">
        <f>Table5a[[#This Row],[Small
suppliers
gas meters
smart in
smart mode]]+Table5a[[#This Row],[Small
suppliers
gas meters
smart in
traditional mode]]</f>
        <v>88446</v>
      </c>
      <c r="M20" s="9">
        <v>110802</v>
      </c>
      <c r="N20" s="9">
        <v>140272</v>
      </c>
      <c r="O20" s="9">
        <v>13027</v>
      </c>
      <c r="P20" s="9">
        <f>Table5a[[#This Row],[Small
suppliers
electricity 
meters
smart in
smart mode]]+Table5a[[#This Row],[Small 
suppliers
electricity 
meters
smart in
traditional mode]]</f>
        <v>153299</v>
      </c>
      <c r="Q20" s="9">
        <v>152654</v>
      </c>
      <c r="R20" s="9">
        <f t="shared" si="0"/>
        <v>26436078</v>
      </c>
      <c r="S20" s="9">
        <f>SUM(C20,G20,K20,O20)</f>
        <v>3136174</v>
      </c>
      <c r="T20" s="9">
        <f>SUM(Table5a[[#This Row],[Large suppliers
gas meters
total smart]],Table5a[[#This Row],[Large suppliers
electricity meters
total smart]],Table5a[[#This Row],[Small suppliers
gas meters
total smart]],Table5a[[#This Row],[Small suppliers
electricity meters
total smart]])</f>
        <v>29572252</v>
      </c>
      <c r="U20" s="9">
        <f t="shared" si="1"/>
        <v>23771439</v>
      </c>
      <c r="V20" s="10">
        <f>Table5a[[#This Row],[All suppliers
total smart meters]]+Table5a[[#This Row],[All 
suppliers
non-smart]]</f>
        <v>53343691</v>
      </c>
      <c r="W20" s="55"/>
    </row>
    <row r="21" spans="1:23" s="118" customFormat="1" ht="17.149999999999999" customHeight="1" x14ac:dyDescent="0.35">
      <c r="A21" s="64">
        <v>2023</v>
      </c>
      <c r="B21" s="10" t="s">
        <v>140</v>
      </c>
      <c r="C21" s="10" t="s">
        <v>140</v>
      </c>
      <c r="D21" s="10">
        <f>Table1!D53</f>
        <v>13624515</v>
      </c>
      <c r="E21" s="10">
        <f>Table1!$E$53</f>
        <v>10502925</v>
      </c>
      <c r="F21" s="10" t="s">
        <v>140</v>
      </c>
      <c r="G21" s="10" t="s">
        <v>140</v>
      </c>
      <c r="H21" s="10">
        <f>Table1!H53</f>
        <v>18216350</v>
      </c>
      <c r="I21" s="10">
        <f>Table1!$I$53</f>
        <v>10952505</v>
      </c>
      <c r="J21" s="9">
        <v>80792</v>
      </c>
      <c r="K21" s="9">
        <v>7654</v>
      </c>
      <c r="L21" s="9">
        <f>Table5a[[#This Row],[Small
suppliers
gas meters
smart in
smart mode]]+Table5a[[#This Row],[Small
suppliers
gas meters
smart in
traditional mode]]</f>
        <v>88446</v>
      </c>
      <c r="M21" s="9">
        <v>110802</v>
      </c>
      <c r="N21" s="9">
        <v>140272</v>
      </c>
      <c r="O21" s="9">
        <v>13027</v>
      </c>
      <c r="P21" s="9">
        <f>Table5a[[#This Row],[Small
suppliers
electricity 
meters
smart in
smart mode]]+Table5a[[#This Row],[Small 
suppliers
electricity 
meters
smart in
traditional mode]]</f>
        <v>153299</v>
      </c>
      <c r="Q21" s="9">
        <v>152654</v>
      </c>
      <c r="R21" s="10" t="s">
        <v>140</v>
      </c>
      <c r="S21" s="10" t="s">
        <v>140</v>
      </c>
      <c r="T21" s="9">
        <f>SUM(Table5a[[#This Row],[Large suppliers
gas meters
total smart]],Table5a[[#This Row],[Large suppliers
electricity meters
total smart]],Table5a[[#This Row],[Small suppliers
gas meters
total smart]],Table5a[[#This Row],[Small suppliers
electricity meters
total smart]])</f>
        <v>32082610</v>
      </c>
      <c r="U21" s="9">
        <f t="shared" si="1"/>
        <v>21718886</v>
      </c>
      <c r="V21" s="10">
        <f>Table5a[[#This Row],[All suppliers
total smart meters]]+Table5a[[#This Row],[All 
suppliers
non-smart]]</f>
        <v>53801496</v>
      </c>
      <c r="W21" s="55" t="s">
        <v>212</v>
      </c>
    </row>
    <row r="22" spans="1:23" s="118" customFormat="1" ht="17.149999999999999" customHeight="1" x14ac:dyDescent="0.35">
      <c r="A22" s="64"/>
      <c r="B22" s="9"/>
      <c r="C22" s="9"/>
      <c r="D22" s="53"/>
      <c r="E22" s="9"/>
      <c r="F22" s="9"/>
      <c r="G22" s="9"/>
      <c r="H22" s="9"/>
      <c r="I22" s="9"/>
      <c r="J22" s="9"/>
      <c r="K22" s="9"/>
      <c r="L22" s="9"/>
      <c r="M22" s="119"/>
      <c r="N22" s="9"/>
      <c r="O22" s="120"/>
      <c r="P22" s="9"/>
      <c r="Q22" s="9">
        <f>SUM(J21:Q21)/V21</f>
        <v>1.3883368596293308E-2</v>
      </c>
      <c r="R22" s="121"/>
      <c r="S22" s="121"/>
      <c r="T22" s="121"/>
      <c r="U22" s="121"/>
      <c r="V22" s="121"/>
      <c r="W22" s="121"/>
    </row>
    <row r="23" spans="1:23" ht="25.5" customHeight="1" x14ac:dyDescent="0.35">
      <c r="A23" s="114" t="s">
        <v>213</v>
      </c>
      <c r="H23" s="9"/>
      <c r="I23" s="9"/>
      <c r="J23" s="9"/>
      <c r="K23" s="113"/>
      <c r="M23" s="108"/>
      <c r="N23" s="60"/>
      <c r="O23" s="17"/>
      <c r="P23" s="17"/>
      <c r="Q23" s="17"/>
      <c r="R23" s="122"/>
      <c r="S23" s="122"/>
      <c r="T23" s="18"/>
      <c r="U23" s="123"/>
      <c r="V23" s="123"/>
      <c r="W23" s="122"/>
    </row>
    <row r="24" spans="1:23" ht="93" customHeight="1" x14ac:dyDescent="0.35">
      <c r="A24" s="100" t="s">
        <v>177</v>
      </c>
      <c r="B24" s="124" t="s">
        <v>214</v>
      </c>
      <c r="C24" s="102" t="s">
        <v>179</v>
      </c>
      <c r="D24" s="102" t="s">
        <v>215</v>
      </c>
      <c r="E24" s="102" t="s">
        <v>181</v>
      </c>
      <c r="F24" s="106" t="s">
        <v>216</v>
      </c>
      <c r="G24" s="102" t="s">
        <v>217</v>
      </c>
      <c r="H24" s="102" t="s">
        <v>218</v>
      </c>
      <c r="I24" s="102" t="s">
        <v>219</v>
      </c>
      <c r="J24" s="106" t="s">
        <v>220</v>
      </c>
      <c r="K24" s="102" t="s">
        <v>221</v>
      </c>
      <c r="L24" s="102" t="s">
        <v>222</v>
      </c>
      <c r="M24" s="102" t="s">
        <v>223</v>
      </c>
      <c r="N24" s="106" t="s">
        <v>224</v>
      </c>
      <c r="O24" s="102" t="s">
        <v>225</v>
      </c>
      <c r="P24" s="106" t="s">
        <v>226</v>
      </c>
      <c r="Q24" s="102" t="s">
        <v>227</v>
      </c>
      <c r="R24" s="106" t="s">
        <v>228</v>
      </c>
      <c r="S24" s="102" t="s">
        <v>229</v>
      </c>
      <c r="T24" s="106" t="s">
        <v>230</v>
      </c>
      <c r="U24" s="102" t="s">
        <v>231</v>
      </c>
      <c r="V24" s="102" t="s">
        <v>80</v>
      </c>
      <c r="W24" s="116" t="s">
        <v>22</v>
      </c>
    </row>
    <row r="25" spans="1:23" ht="17.149999999999999" customHeight="1" x14ac:dyDescent="0.35">
      <c r="A25" s="117">
        <v>2012</v>
      </c>
      <c r="B25" s="10">
        <v>9290</v>
      </c>
      <c r="C25" s="10"/>
      <c r="D25" s="10">
        <f>Table5b[[#This Row],[Large suppliers
gas meters
smart and advanced]]+Table5b[[#This Row],[Large suppliers
gas meters
smart in
traditional mode]]</f>
        <v>9290</v>
      </c>
      <c r="E25" s="10">
        <v>559271</v>
      </c>
      <c r="F25" s="10">
        <v>444943</v>
      </c>
      <c r="G25" s="10"/>
      <c r="H25" s="10">
        <f>Table5b[[#This Row],[Large suppliers
electricity meters
smart and advanced]]+Table5b[[#This Row],[Large suppliers
electricity meters
smart in
traditional mode]]</f>
        <v>444943</v>
      </c>
      <c r="I25" s="10">
        <v>1864295</v>
      </c>
      <c r="J25" s="10"/>
      <c r="K25" s="10"/>
      <c r="L25" s="10">
        <f>Table5b[[#This Row],[Small
suppliers
gas meters
smart and
advanced]]+Table5b[[#This Row],[Small suppliers
gas meters
smart in
traditional mode]]</f>
        <v>0</v>
      </c>
      <c r="M25" s="10"/>
      <c r="N25" s="10"/>
      <c r="O25" s="10"/>
      <c r="P25" s="10">
        <f>Table5b[[#This Row],[Small suppliers
electricity meters
smart and advanced]]+Table5b[[#This Row],[Small suppliers
electricity meters
smart in
traditional mode]]</f>
        <v>0</v>
      </c>
      <c r="Q25" s="10"/>
      <c r="R25" s="10">
        <f>Table5b[[#This Row],[Large suppliers
gas meters
smart and advanced]]+Table5b[[#This Row],[Large suppliers
electricity meters
smart and advanced]]+Table5b[[#This Row],[Small
suppliers
gas meters
smart and
advanced]]+Table5b[[#This Row],[Small suppliers
electricity meters
smart and advanced]]</f>
        <v>454233</v>
      </c>
      <c r="S25" s="10"/>
      <c r="T25"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454233</v>
      </c>
      <c r="U25" s="10">
        <f t="shared" ref="U25:U36" si="2">SUM(E25,I25,M25,Q25)</f>
        <v>2423566</v>
      </c>
      <c r="V25" s="10">
        <f t="shared" ref="V25:V36" si="3">SUM(T25:U25)</f>
        <v>2877799</v>
      </c>
      <c r="W25" s="26"/>
    </row>
    <row r="26" spans="1:23" ht="17.149999999999999" customHeight="1" x14ac:dyDescent="0.35">
      <c r="A26" s="117" t="s">
        <v>198</v>
      </c>
      <c r="B26" s="10">
        <v>10535</v>
      </c>
      <c r="C26" s="10"/>
      <c r="D26" s="10">
        <f>Table5b[[#This Row],[Large suppliers
gas meters
smart and advanced]]+Table5b[[#This Row],[Large suppliers
gas meters
smart in
traditional mode]]</f>
        <v>10535</v>
      </c>
      <c r="E26" s="10">
        <v>482251</v>
      </c>
      <c r="F26" s="10">
        <v>518643</v>
      </c>
      <c r="G26" s="10"/>
      <c r="H26" s="10">
        <f>Table5b[[#This Row],[Large suppliers
electricity meters
smart and advanced]]+Table5b[[#This Row],[Large suppliers
electricity meters
smart in
traditional mode]]</f>
        <v>518643</v>
      </c>
      <c r="I26" s="10">
        <v>1824847</v>
      </c>
      <c r="J26" s="10"/>
      <c r="K26" s="10"/>
      <c r="L26" s="10">
        <f>Table5b[[#This Row],[Small
suppliers
gas meters
smart and
advanced]]+Table5b[[#This Row],[Small suppliers
gas meters
smart in
traditional mode]]</f>
        <v>0</v>
      </c>
      <c r="M26" s="10"/>
      <c r="N26" s="10"/>
      <c r="O26" s="10"/>
      <c r="P26" s="10">
        <f>Table5b[[#This Row],[Small suppliers
electricity meters
smart and advanced]]+Table5b[[#This Row],[Small suppliers
electricity meters
smart in
traditional mode]]</f>
        <v>0</v>
      </c>
      <c r="Q26" s="10"/>
      <c r="R26" s="10">
        <f>Table5b[[#This Row],[Large suppliers
gas meters
smart and advanced]]+Table5b[[#This Row],[Large suppliers
electricity meters
smart and advanced]]+Table5b[[#This Row],[Small
suppliers
gas meters
smart and
advanced]]+Table5b[[#This Row],[Small suppliers
electricity meters
smart and advanced]]</f>
        <v>529178</v>
      </c>
      <c r="S26" s="10"/>
      <c r="T26"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529178</v>
      </c>
      <c r="U26" s="10">
        <f t="shared" si="2"/>
        <v>2307098</v>
      </c>
      <c r="V26" s="10">
        <f t="shared" si="3"/>
        <v>2836276</v>
      </c>
      <c r="W26" s="26" t="s">
        <v>87</v>
      </c>
    </row>
    <row r="27" spans="1:23" ht="17.149999999999999" customHeight="1" x14ac:dyDescent="0.35">
      <c r="A27" s="117">
        <v>2014</v>
      </c>
      <c r="B27" s="10">
        <v>15116</v>
      </c>
      <c r="C27" s="10"/>
      <c r="D27" s="10">
        <f>Table5b[[#This Row],[Large suppliers
gas meters
smart and advanced]]+Table5b[[#This Row],[Large suppliers
gas meters
smart in
traditional mode]]</f>
        <v>15116</v>
      </c>
      <c r="E27" s="10">
        <v>487946</v>
      </c>
      <c r="F27" s="10">
        <v>506462</v>
      </c>
      <c r="G27" s="10"/>
      <c r="H27" s="10">
        <f>Table5b[[#This Row],[Large suppliers
electricity meters
smart and advanced]]+Table5b[[#This Row],[Large suppliers
electricity meters
smart in
traditional mode]]</f>
        <v>506462</v>
      </c>
      <c r="I27" s="10">
        <v>1709367</v>
      </c>
      <c r="J27" s="10"/>
      <c r="K27" s="10"/>
      <c r="L27" s="10">
        <f>Table5b[[#This Row],[Small
suppliers
gas meters
smart and
advanced]]+Table5b[[#This Row],[Small suppliers
gas meters
smart in
traditional mode]]</f>
        <v>0</v>
      </c>
      <c r="M27" s="10"/>
      <c r="N27" s="10"/>
      <c r="O27" s="10"/>
      <c r="P27" s="10">
        <f>Table5b[[#This Row],[Small suppliers
electricity meters
smart and advanced]]+Table5b[[#This Row],[Small suppliers
electricity meters
smart in
traditional mode]]</f>
        <v>0</v>
      </c>
      <c r="Q27" s="10"/>
      <c r="R27" s="10">
        <f>Table5b[[#This Row],[Large suppliers
gas meters
smart and advanced]]+Table5b[[#This Row],[Large suppliers
electricity meters
smart and advanced]]+Table5b[[#This Row],[Small
suppliers
gas meters
smart and
advanced]]+Table5b[[#This Row],[Small suppliers
electricity meters
smart and advanced]]</f>
        <v>521578</v>
      </c>
      <c r="S27" s="10"/>
      <c r="T27"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521578</v>
      </c>
      <c r="U27" s="10">
        <f t="shared" si="2"/>
        <v>2197313</v>
      </c>
      <c r="V27" s="10">
        <f t="shared" si="3"/>
        <v>2718891</v>
      </c>
      <c r="W27" s="26"/>
    </row>
    <row r="28" spans="1:23" ht="17.149999999999999" customHeight="1" x14ac:dyDescent="0.35">
      <c r="A28" s="117" t="s">
        <v>199</v>
      </c>
      <c r="B28" s="10">
        <v>37354</v>
      </c>
      <c r="C28" s="10"/>
      <c r="D28" s="10">
        <f>Table5b[[#This Row],[Large suppliers
gas meters
smart and advanced]]+Table5b[[#This Row],[Large suppliers
gas meters
smart in
traditional mode]]</f>
        <v>37354</v>
      </c>
      <c r="E28" s="10">
        <v>433795</v>
      </c>
      <c r="F28" s="10">
        <v>488591</v>
      </c>
      <c r="G28" s="10"/>
      <c r="H28" s="10">
        <f>Table5b[[#This Row],[Large suppliers
electricity meters
smart and advanced]]+Table5b[[#This Row],[Large suppliers
electricity meters
smart in
traditional mode]]</f>
        <v>488591</v>
      </c>
      <c r="I28" s="10">
        <v>1662092</v>
      </c>
      <c r="J28" s="10">
        <v>135496</v>
      </c>
      <c r="K28" s="10"/>
      <c r="L28" s="10">
        <f>Table5b[[#This Row],[Small
suppliers
gas meters
smart and
advanced]]+Table5b[[#This Row],[Small suppliers
gas meters
smart in
traditional mode]]</f>
        <v>135496</v>
      </c>
      <c r="M28" s="10">
        <v>188626</v>
      </c>
      <c r="N28" s="10">
        <v>149458</v>
      </c>
      <c r="O28" s="10"/>
      <c r="P28" s="10">
        <f>Table5b[[#This Row],[Small suppliers
electricity meters
smart and advanced]]+Table5b[[#This Row],[Small suppliers
electricity meters
smart in
traditional mode]]</f>
        <v>149458</v>
      </c>
      <c r="Q28" s="10">
        <v>238111</v>
      </c>
      <c r="R28" s="10">
        <f>Table5b[[#This Row],[Large suppliers
gas meters
smart and advanced]]+Table5b[[#This Row],[Large suppliers
electricity meters
smart and advanced]]+Table5b[[#This Row],[Small
suppliers
gas meters
smart and
advanced]]+Table5b[[#This Row],[Small suppliers
electricity meters
smart and advanced]]</f>
        <v>810899</v>
      </c>
      <c r="S28" s="10"/>
      <c r="T28"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810899</v>
      </c>
      <c r="U28" s="10">
        <f t="shared" si="2"/>
        <v>2522624</v>
      </c>
      <c r="V28" s="10">
        <f t="shared" si="3"/>
        <v>3333523</v>
      </c>
      <c r="W28" s="26" t="s">
        <v>93</v>
      </c>
    </row>
    <row r="29" spans="1:23" ht="17.149999999999999" customHeight="1" x14ac:dyDescent="0.35">
      <c r="A29" s="117" t="s">
        <v>200</v>
      </c>
      <c r="B29" s="10">
        <v>51859</v>
      </c>
      <c r="C29" s="10"/>
      <c r="D29" s="10">
        <f>Table5b[[#This Row],[Large suppliers
gas meters
smart and advanced]]+Table5b[[#This Row],[Large suppliers
gas meters
smart in
traditional mode]]</f>
        <v>51859</v>
      </c>
      <c r="E29" s="10">
        <v>406541</v>
      </c>
      <c r="F29" s="10">
        <v>531008</v>
      </c>
      <c r="G29" s="10"/>
      <c r="H29" s="10">
        <f>Table5b[[#This Row],[Large suppliers
electricity meters
smart and advanced]]+Table5b[[#This Row],[Large suppliers
electricity meters
smart in
traditional mode]]</f>
        <v>531008</v>
      </c>
      <c r="I29" s="10">
        <v>1589466</v>
      </c>
      <c r="J29" s="10">
        <v>155998</v>
      </c>
      <c r="K29" s="10"/>
      <c r="L29" s="10">
        <f>Table5b[[#This Row],[Small
suppliers
gas meters
smart and
advanced]]+Table5b[[#This Row],[Small suppliers
gas meters
smart in
traditional mode]]</f>
        <v>155998</v>
      </c>
      <c r="M29" s="10">
        <v>189838</v>
      </c>
      <c r="N29" s="10">
        <v>184690</v>
      </c>
      <c r="O29" s="10"/>
      <c r="P29" s="10">
        <f>Table5b[[#This Row],[Small suppliers
electricity meters
smart and advanced]]+Table5b[[#This Row],[Small suppliers
electricity meters
smart in
traditional mode]]</f>
        <v>184690</v>
      </c>
      <c r="Q29" s="10">
        <v>235647</v>
      </c>
      <c r="R29" s="10">
        <f>Table5b[[#This Row],[Large suppliers
gas meters
smart and advanced]]+Table5b[[#This Row],[Large suppliers
electricity meters
smart and advanced]]+Table5b[[#This Row],[Small
suppliers
gas meters
smart and
advanced]]+Table5b[[#This Row],[Small suppliers
electricity meters
smart and advanced]]</f>
        <v>923555</v>
      </c>
      <c r="S29" s="10"/>
      <c r="T29"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923555</v>
      </c>
      <c r="U29" s="10">
        <f t="shared" si="2"/>
        <v>2421492</v>
      </c>
      <c r="V29" s="10">
        <f t="shared" si="3"/>
        <v>3345047</v>
      </c>
      <c r="W29" s="26" t="s">
        <v>201</v>
      </c>
    </row>
    <row r="30" spans="1:23" ht="17.149999999999999" customHeight="1" x14ac:dyDescent="0.35">
      <c r="A30" s="117" t="s">
        <v>202</v>
      </c>
      <c r="B30" s="10">
        <v>62223</v>
      </c>
      <c r="C30" s="10"/>
      <c r="D30" s="10">
        <f>Table5b[[#This Row],[Large suppliers
gas meters
smart and advanced]]+Table5b[[#This Row],[Large suppliers
gas meters
smart in
traditional mode]]</f>
        <v>62223</v>
      </c>
      <c r="E30" s="10">
        <v>353981</v>
      </c>
      <c r="F30" s="10">
        <v>574765</v>
      </c>
      <c r="G30" s="10"/>
      <c r="H30" s="10">
        <f>Table5b[[#This Row],[Large suppliers
electricity meters
smart and advanced]]+Table5b[[#This Row],[Large suppliers
electricity meters
smart in
traditional mode]]</f>
        <v>574765</v>
      </c>
      <c r="I30" s="10">
        <v>1422472</v>
      </c>
      <c r="J30" s="10">
        <v>195601</v>
      </c>
      <c r="K30" s="10"/>
      <c r="L30" s="10">
        <f>Table5b[[#This Row],[Small
suppliers
gas meters
smart and
advanced]]+Table5b[[#This Row],[Small suppliers
gas meters
smart in
traditional mode]]</f>
        <v>195601</v>
      </c>
      <c r="M30" s="10">
        <v>211909</v>
      </c>
      <c r="N30" s="10">
        <v>227991</v>
      </c>
      <c r="O30" s="10"/>
      <c r="P30" s="10">
        <f>Table5b[[#This Row],[Small suppliers
electricity meters
smart and advanced]]+Table5b[[#This Row],[Small suppliers
electricity meters
smart in
traditional mode]]</f>
        <v>227991</v>
      </c>
      <c r="Q30" s="10">
        <v>281932</v>
      </c>
      <c r="R30" s="10">
        <f>Table5b[[#This Row],[Large suppliers
gas meters
smart and advanced]]+Table5b[[#This Row],[Large suppliers
electricity meters
smart and advanced]]+Table5b[[#This Row],[Small
suppliers
gas meters
smart and
advanced]]+Table5b[[#This Row],[Small suppliers
electricity meters
smart and advanced]]</f>
        <v>1060580</v>
      </c>
      <c r="S30" s="10"/>
      <c r="T30"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1060580</v>
      </c>
      <c r="U30" s="10">
        <f t="shared" si="2"/>
        <v>2270294</v>
      </c>
      <c r="V30" s="10">
        <f t="shared" si="3"/>
        <v>3330874</v>
      </c>
      <c r="W30" s="26" t="s">
        <v>108</v>
      </c>
    </row>
    <row r="31" spans="1:23" ht="17.149999999999999" customHeight="1" x14ac:dyDescent="0.35">
      <c r="A31" s="117" t="s">
        <v>203</v>
      </c>
      <c r="B31" s="10">
        <f>Table3!$B$34+Table3!$E$34</f>
        <v>79314</v>
      </c>
      <c r="C31" s="10">
        <f>Table3!$C$34</f>
        <v>1633</v>
      </c>
      <c r="D31" s="10">
        <f>Table5b[[#This Row],[Large suppliers
gas meters
smart and advanced]]+Table5b[[#This Row],[Large suppliers
gas meters
smart in
traditional mode]]</f>
        <v>80947</v>
      </c>
      <c r="E31" s="10">
        <f>Table3!$F$34</f>
        <v>319930</v>
      </c>
      <c r="F31" s="10">
        <f>Table3!$G$34+Table3!$J$34</f>
        <v>599310</v>
      </c>
      <c r="G31" s="10">
        <f>Table3!$H$34</f>
        <v>9826</v>
      </c>
      <c r="H31" s="10">
        <f>Table5b[[#This Row],[Large suppliers
electricity meters
smart and advanced]]+Table5b[[#This Row],[Large suppliers
electricity meters
smart in
traditional mode]]</f>
        <v>609136</v>
      </c>
      <c r="I31" s="10">
        <f>Table3!$K$34</f>
        <v>1353378</v>
      </c>
      <c r="J31" s="10">
        <v>182453</v>
      </c>
      <c r="K31" s="10">
        <v>846</v>
      </c>
      <c r="L31" s="10">
        <f>Table5b[[#This Row],[Small
suppliers
gas meters
smart and
advanced]]+Table5b[[#This Row],[Small suppliers
gas meters
smart in
traditional mode]]</f>
        <v>183299</v>
      </c>
      <c r="M31" s="10">
        <v>158330</v>
      </c>
      <c r="N31" s="10">
        <v>256384</v>
      </c>
      <c r="O31" s="10">
        <v>4782</v>
      </c>
      <c r="P31" s="10">
        <f>Table5b[[#This Row],[Small suppliers
electricity meters
smart and advanced]]+Table5b[[#This Row],[Small suppliers
electricity meters
smart in
traditional mode]]</f>
        <v>261166</v>
      </c>
      <c r="Q31" s="10">
        <v>259972</v>
      </c>
      <c r="R31" s="10">
        <f>Table5b[[#This Row],[Large suppliers
gas meters
smart and advanced]]+Table5b[[#This Row],[Large suppliers
electricity meters
smart and advanced]]+Table5b[[#This Row],[Small
suppliers
gas meters
smart and
advanced]]+Table5b[[#This Row],[Small suppliers
electricity meters
smart and advanced]]</f>
        <v>1117461</v>
      </c>
      <c r="S31" s="10">
        <f>SUM(C31,G31,K31,O31)</f>
        <v>17087</v>
      </c>
      <c r="T31"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1134548</v>
      </c>
      <c r="U31" s="10">
        <f t="shared" si="2"/>
        <v>2091610</v>
      </c>
      <c r="V31" s="10">
        <f t="shared" si="3"/>
        <v>3226158</v>
      </c>
      <c r="W31" s="26" t="s">
        <v>204</v>
      </c>
    </row>
    <row r="32" spans="1:23" ht="17.149999999999999" customHeight="1" x14ac:dyDescent="0.35">
      <c r="A32" s="117" t="s">
        <v>205</v>
      </c>
      <c r="B32" s="10">
        <f>Table3!$B$38+Table3!$E$38</f>
        <v>157599</v>
      </c>
      <c r="C32" s="10">
        <f>Table3!$C$38</f>
        <v>2117</v>
      </c>
      <c r="D32" s="10">
        <f>Table5b[[#This Row],[Large suppliers
gas meters
smart and advanced]]+Table5b[[#This Row],[Large suppliers
gas meters
smart in
traditional mode]]</f>
        <v>159716</v>
      </c>
      <c r="E32" s="10">
        <f>Table3!$F$38</f>
        <v>309391</v>
      </c>
      <c r="F32" s="10">
        <f>Table3!$G$38+Table3!$J$38</f>
        <v>822549</v>
      </c>
      <c r="G32" s="10">
        <f>Table3!$H$38</f>
        <v>14780</v>
      </c>
      <c r="H32" s="10">
        <f>Table5b[[#This Row],[Large suppliers
electricity meters
smart and advanced]]+Table5b[[#This Row],[Large suppliers
electricity meters
smart in
traditional mode]]</f>
        <v>837329</v>
      </c>
      <c r="I32" s="10">
        <f>Table3!$K$38</f>
        <v>1317617</v>
      </c>
      <c r="J32" s="10">
        <v>162293</v>
      </c>
      <c r="K32" s="10">
        <v>684</v>
      </c>
      <c r="L32" s="10">
        <f>Table5b[[#This Row],[Small
suppliers
gas meters
smart and
advanced]]+Table5b[[#This Row],[Small suppliers
gas meters
smart in
traditional mode]]</f>
        <v>162977</v>
      </c>
      <c r="M32" s="10">
        <v>122380</v>
      </c>
      <c r="N32" s="10">
        <v>148086</v>
      </c>
      <c r="O32" s="10">
        <v>4708</v>
      </c>
      <c r="P32" s="10">
        <f>Table5b[[#This Row],[Small suppliers
electricity meters
smart and advanced]]+Table5b[[#This Row],[Small suppliers
electricity meters
smart in
traditional mode]]</f>
        <v>152794</v>
      </c>
      <c r="Q32" s="10">
        <v>137918</v>
      </c>
      <c r="R32" s="10">
        <f>Table5b[[#This Row],[Large suppliers
gas meters
smart and advanced]]+Table5b[[#This Row],[Large suppliers
electricity meters
smart and advanced]]+Table5b[[#This Row],[Small
suppliers
gas meters
smart and
advanced]]+Table5b[[#This Row],[Small suppliers
electricity meters
smart and advanced]]</f>
        <v>1290527</v>
      </c>
      <c r="S32" s="10">
        <f>SUM(C32,G32,K32,O32)</f>
        <v>22289</v>
      </c>
      <c r="T32"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1312816</v>
      </c>
      <c r="U32" s="10">
        <f t="shared" si="2"/>
        <v>1887306</v>
      </c>
      <c r="V32" s="10">
        <f t="shared" si="3"/>
        <v>3200122</v>
      </c>
      <c r="W32" s="26" t="s">
        <v>206</v>
      </c>
    </row>
    <row r="33" spans="1:23" ht="17.149999999999999" customHeight="1" x14ac:dyDescent="0.35">
      <c r="A33" s="117" t="s">
        <v>207</v>
      </c>
      <c r="B33" s="10">
        <f>Table3!$B$42+Table3!$E$42</f>
        <v>149131</v>
      </c>
      <c r="C33" s="10">
        <f>Table3!$C$42</f>
        <v>4021</v>
      </c>
      <c r="D33" s="10">
        <f>Table5b[[#This Row],[Large suppliers
gas meters
smart and advanced]]+Table5b[[#This Row],[Large suppliers
gas meters
smart in
traditional mode]]</f>
        <v>153152</v>
      </c>
      <c r="E33" s="10">
        <f>Table3!$F$42</f>
        <v>317310</v>
      </c>
      <c r="F33" s="10">
        <f>Table3!$G$42+Table3!$J$42</f>
        <v>879711</v>
      </c>
      <c r="G33" s="10">
        <f>Table3!$H$42</f>
        <v>24180</v>
      </c>
      <c r="H33" s="10">
        <f>Table5b[[#This Row],[Large suppliers
electricity meters
smart and advanced]]+Table5b[[#This Row],[Large suppliers
electricity meters
smart in
traditional mode]]</f>
        <v>903891</v>
      </c>
      <c r="I33" s="10">
        <f>Table3!$K$42</f>
        <v>1187461</v>
      </c>
      <c r="J33" s="10">
        <v>213387</v>
      </c>
      <c r="K33" s="10">
        <v>2229</v>
      </c>
      <c r="L33" s="10">
        <f>Table5b[[#This Row],[Small
suppliers
gas meters
smart and
advanced]]+Table5b[[#This Row],[Small suppliers
gas meters
smart in
traditional mode]]</f>
        <v>215616</v>
      </c>
      <c r="M33" s="10">
        <v>146951</v>
      </c>
      <c r="N33" s="10">
        <v>195384</v>
      </c>
      <c r="O33" s="10">
        <v>7481</v>
      </c>
      <c r="P33" s="10">
        <f>Table5b[[#This Row],[Small suppliers
electricity meters
smart and advanced]]+Table5b[[#This Row],[Small suppliers
electricity meters
smart in
traditional mode]]</f>
        <v>202865</v>
      </c>
      <c r="Q33" s="10">
        <v>154932</v>
      </c>
      <c r="R33" s="10">
        <f>Table5b[[#This Row],[Large suppliers
gas meters
smart and advanced]]+Table5b[[#This Row],[Large suppliers
electricity meters
smart and advanced]]+Table5b[[#This Row],[Small
suppliers
gas meters
smart and
advanced]]+Table5b[[#This Row],[Small suppliers
electricity meters
smart and advanced]]</f>
        <v>1437613</v>
      </c>
      <c r="S33" s="10">
        <f>SUM(C33,G33,K33,O33)</f>
        <v>37911</v>
      </c>
      <c r="T33"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1475524</v>
      </c>
      <c r="U33" s="10">
        <f t="shared" si="2"/>
        <v>1806654</v>
      </c>
      <c r="V33" s="10">
        <f t="shared" si="3"/>
        <v>3282178</v>
      </c>
      <c r="W33" s="26" t="s">
        <v>208</v>
      </c>
    </row>
    <row r="34" spans="1:23" ht="17.149999999999999" customHeight="1" x14ac:dyDescent="0.35">
      <c r="A34" s="117" t="s">
        <v>209</v>
      </c>
      <c r="B34" s="10">
        <f>Table3!$B$46+Table3!$E$46</f>
        <v>155115</v>
      </c>
      <c r="C34" s="10">
        <f>Table3!$C$46</f>
        <v>4354</v>
      </c>
      <c r="D34" s="10">
        <f>Table5b[[#This Row],[Large suppliers
gas meters
smart and advanced]]+Table5b[[#This Row],[Large suppliers
gas meters
smart in
traditional mode]]</f>
        <v>159469</v>
      </c>
      <c r="E34" s="10">
        <f>Table3!$F$46</f>
        <v>309168</v>
      </c>
      <c r="F34" s="10">
        <f>Table3!$G$46+Table3!$J$46</f>
        <v>994606</v>
      </c>
      <c r="G34" s="10">
        <f>Table3!$H$46</f>
        <v>25042</v>
      </c>
      <c r="H34" s="10">
        <f>Table5b[[#This Row],[Large suppliers
electricity meters
smart and advanced]]+Table5b[[#This Row],[Large suppliers
electricity meters
smart in
traditional mode]]</f>
        <v>1019648</v>
      </c>
      <c r="I34" s="10">
        <f>Table3!$K$46</f>
        <v>1081302</v>
      </c>
      <c r="J34" s="10">
        <v>216414</v>
      </c>
      <c r="K34" s="10">
        <v>1748</v>
      </c>
      <c r="L34" s="10">
        <f>Table5b[[#This Row],[Small
suppliers
gas meters
smart and
advanced]]+Table5b[[#This Row],[Small suppliers
gas meters
smart in
traditional mode]]</f>
        <v>218162</v>
      </c>
      <c r="M34" s="10">
        <v>126583</v>
      </c>
      <c r="N34" s="10">
        <v>228743</v>
      </c>
      <c r="O34" s="10">
        <v>8037</v>
      </c>
      <c r="P34" s="10">
        <f>Table5b[[#This Row],[Small suppliers
electricity meters
smart and advanced]]+Table5b[[#This Row],[Small suppliers
electricity meters
smart in
traditional mode]]</f>
        <v>236780</v>
      </c>
      <c r="Q34" s="10">
        <v>179372</v>
      </c>
      <c r="R34" s="10">
        <f>Table5b[[#This Row],[Large suppliers
gas meters
smart and advanced]]+Table5b[[#This Row],[Large suppliers
electricity meters
smart and advanced]]+Table5b[[#This Row],[Small
suppliers
gas meters
smart and
advanced]]+Table5b[[#This Row],[Small suppliers
electricity meters
smart and advanced]]</f>
        <v>1594878</v>
      </c>
      <c r="S34" s="10">
        <f>SUM(C34,G34,K34,O34)</f>
        <v>39181</v>
      </c>
      <c r="T34"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1634059</v>
      </c>
      <c r="U34" s="10">
        <f t="shared" si="2"/>
        <v>1696425</v>
      </c>
      <c r="V34" s="10">
        <f t="shared" si="3"/>
        <v>3330484</v>
      </c>
      <c r="W34" s="26" t="s">
        <v>210</v>
      </c>
    </row>
    <row r="35" spans="1:23" ht="17.149999999999999" customHeight="1" x14ac:dyDescent="0.35">
      <c r="A35" s="117" t="s">
        <v>211</v>
      </c>
      <c r="B35" s="10">
        <f>Table3!$B$50+Table3!$E$50</f>
        <v>178506</v>
      </c>
      <c r="C35" s="10">
        <f>Table3!$C$50</f>
        <v>7204</v>
      </c>
      <c r="D35" s="10">
        <f>Table5b[[#This Row],[Large suppliers
gas meters
smart and advanced]]+Table5b[[#This Row],[Large suppliers
gas meters
smart in
traditional mode]]</f>
        <v>185710</v>
      </c>
      <c r="E35" s="10">
        <f>Table3!$F$50</f>
        <v>277826</v>
      </c>
      <c r="F35" s="10">
        <f>Table3!$G$50+Table3!$J$50</f>
        <v>1036077</v>
      </c>
      <c r="G35" s="10">
        <f>Table3!$H$50</f>
        <v>26201</v>
      </c>
      <c r="H35" s="10">
        <f>Table5b[[#This Row],[Large suppliers
electricity meters
smart and advanced]]+Table5b[[#This Row],[Large suppliers
electricity meters
smart in
traditional mode]]</f>
        <v>1062278</v>
      </c>
      <c r="I35" s="10">
        <f>Table3!$K$50</f>
        <v>986810</v>
      </c>
      <c r="J35" s="10">
        <v>218451</v>
      </c>
      <c r="K35" s="10">
        <v>2042</v>
      </c>
      <c r="L35" s="10">
        <f>Table5b[[#This Row],[Small
suppliers
gas meters
smart and
advanced]]+Table5b[[#This Row],[Small suppliers
gas meters
smart in
traditional mode]]</f>
        <v>220493</v>
      </c>
      <c r="M35" s="10">
        <v>123192</v>
      </c>
      <c r="N35" s="10">
        <v>268410</v>
      </c>
      <c r="O35" s="10">
        <v>9157</v>
      </c>
      <c r="P35" s="10">
        <f>Table5b[[#This Row],[Small suppliers
electricity meters
smart and advanced]]+Table5b[[#This Row],[Small suppliers
electricity meters
smart in
traditional mode]]</f>
        <v>277567</v>
      </c>
      <c r="Q35" s="10">
        <v>197948</v>
      </c>
      <c r="R35" s="10">
        <f>Table5b[[#This Row],[Large suppliers
gas meters
smart and advanced]]+Table5b[[#This Row],[Large suppliers
electricity meters
smart and advanced]]+Table5b[[#This Row],[Small
suppliers
gas meters
smart and
advanced]]+Table5b[[#This Row],[Small suppliers
electricity meters
smart and advanced]]</f>
        <v>1701444</v>
      </c>
      <c r="S35" s="10">
        <f>SUM(C35,G35,K35,O35)</f>
        <v>44604</v>
      </c>
      <c r="T35"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1746048</v>
      </c>
      <c r="U35" s="10">
        <f t="shared" si="2"/>
        <v>1585776</v>
      </c>
      <c r="V35" s="10">
        <f t="shared" si="3"/>
        <v>3331824</v>
      </c>
      <c r="W35" s="55"/>
    </row>
    <row r="36" spans="1:23" ht="17.149999999999999" customHeight="1" x14ac:dyDescent="0.35">
      <c r="A36" s="64">
        <v>2023</v>
      </c>
      <c r="B36" s="10">
        <f>Table3!B53+Table3!E53</f>
        <v>177727</v>
      </c>
      <c r="C36" s="10">
        <f>Table3!C53</f>
        <v>10662</v>
      </c>
      <c r="D36" s="10">
        <f>Table3!D53+Table3!E53</f>
        <v>188389</v>
      </c>
      <c r="E36" s="10">
        <f>Table3!$F$53</f>
        <v>245675</v>
      </c>
      <c r="F36" s="10">
        <f>Table3!G53+Table3!J53</f>
        <v>1080016</v>
      </c>
      <c r="G36" s="10">
        <f>Table3!H53</f>
        <v>29854</v>
      </c>
      <c r="H36" s="10">
        <f>Table3!I53+Table3!J53</f>
        <v>1109870</v>
      </c>
      <c r="I36" s="10">
        <f>Table3!$K$53</f>
        <v>912709</v>
      </c>
      <c r="J36" s="10">
        <v>218451</v>
      </c>
      <c r="K36" s="10">
        <v>2042</v>
      </c>
      <c r="L36" s="10">
        <f>Table5b[[#This Row],[Small
suppliers
gas meters
smart and
advanced]]+Table5b[[#This Row],[Small suppliers
gas meters
smart in
traditional mode]]</f>
        <v>220493</v>
      </c>
      <c r="M36" s="10">
        <v>123192</v>
      </c>
      <c r="N36" s="10">
        <v>268410</v>
      </c>
      <c r="O36" s="10">
        <v>9157</v>
      </c>
      <c r="P36" s="10">
        <f>Table5b[[#This Row],[Small suppliers
electricity meters
smart and advanced]]+Table5b[[#This Row],[Small suppliers
electricity meters
smart in
traditional mode]]</f>
        <v>277567</v>
      </c>
      <c r="Q36" s="10">
        <v>197948</v>
      </c>
      <c r="R36" s="10">
        <f>Table5b[[#This Row],[Large suppliers
gas meters
smart and advanced]]+Table5b[[#This Row],[Large suppliers
electricity meters
smart and advanced]]+Table5b[[#This Row],[Small
suppliers
gas meters
smart and
advanced]]+Table5b[[#This Row],[Small suppliers
electricity meters
smart and advanced]]</f>
        <v>1744604</v>
      </c>
      <c r="S36" s="10">
        <f>Table5b[[#This Row],[Large suppliers
gas meters
smart in
traditional mode]]+Table5b[[#This Row],[Large suppliers
electricity meters
smart in
traditional mode]]+Table5b[[#This Row],[Small suppliers
gas meters
smart in
traditional mode]]+Table5b[[#This Row],[Small suppliers
electricity meters
smart in
traditional mode]]</f>
        <v>51715</v>
      </c>
      <c r="T36" s="10">
        <f>SUM(Table5b[[#This Row],[Large suppliers
gas meters
total smart and advanced]],Table5b[[#This Row],[Large suppliers
electricity meters
total smart and advanced]],Table5b[[#This Row],[Small suppliers
gas meters
total smart and advanced]],Table5b[[#This Row],[Small
suppliers
electricity meters
smart and
advanced]])</f>
        <v>1796319</v>
      </c>
      <c r="U36" s="10">
        <f t="shared" si="2"/>
        <v>1479524</v>
      </c>
      <c r="V36" s="9">
        <f t="shared" si="3"/>
        <v>3275843</v>
      </c>
      <c r="W36" s="55"/>
    </row>
    <row r="37" spans="1:23" ht="17.149999999999999" customHeight="1" x14ac:dyDescent="0.35">
      <c r="A37" s="117"/>
      <c r="B37" s="65"/>
      <c r="C37" s="65"/>
      <c r="D37" s="65"/>
      <c r="E37" s="105"/>
      <c r="F37" s="65"/>
      <c r="G37" s="65"/>
      <c r="H37" s="65"/>
      <c r="I37" s="65"/>
      <c r="J37" s="65"/>
      <c r="K37" s="105"/>
      <c r="L37" s="65"/>
      <c r="M37" s="65"/>
      <c r="N37" s="65"/>
      <c r="O37" s="65"/>
      <c r="P37" s="65"/>
      <c r="Q37" s="65"/>
      <c r="R37" s="65"/>
      <c r="S37" s="65"/>
      <c r="T37" s="65"/>
      <c r="U37" s="65"/>
      <c r="V37" s="65"/>
      <c r="W37" s="65"/>
    </row>
    <row r="38" spans="1:23" ht="25.5" customHeight="1" x14ac:dyDescent="0.35">
      <c r="A38" s="114" t="s">
        <v>232</v>
      </c>
      <c r="D38" s="92"/>
      <c r="H38" s="92"/>
      <c r="L38" s="125"/>
      <c r="M38" s="19"/>
      <c r="N38" s="84"/>
      <c r="O38" s="66"/>
      <c r="P38" s="126"/>
      <c r="Q38" s="18"/>
      <c r="R38" s="27"/>
      <c r="S38" s="59"/>
      <c r="T38" s="27"/>
      <c r="U38" s="59"/>
      <c r="V38" s="59"/>
      <c r="W38" s="27"/>
    </row>
    <row r="39" spans="1:23" ht="106.5" customHeight="1" x14ac:dyDescent="0.35">
      <c r="A39" s="89" t="s">
        <v>177</v>
      </c>
      <c r="B39" s="127" t="s">
        <v>233</v>
      </c>
      <c r="C39" s="90" t="s">
        <v>179</v>
      </c>
      <c r="D39" s="102" t="s">
        <v>215</v>
      </c>
      <c r="E39" s="90" t="s">
        <v>181</v>
      </c>
      <c r="F39" s="127" t="s">
        <v>216</v>
      </c>
      <c r="G39" s="90" t="s">
        <v>217</v>
      </c>
      <c r="H39" s="102" t="s">
        <v>218</v>
      </c>
      <c r="I39" s="90" t="s">
        <v>234</v>
      </c>
      <c r="J39" s="127" t="s">
        <v>235</v>
      </c>
      <c r="K39" s="90" t="s">
        <v>221</v>
      </c>
      <c r="L39" s="102" t="s">
        <v>222</v>
      </c>
      <c r="M39" s="90" t="s">
        <v>223</v>
      </c>
      <c r="N39" s="127" t="s">
        <v>224</v>
      </c>
      <c r="O39" s="90" t="s">
        <v>225</v>
      </c>
      <c r="P39" s="106" t="s">
        <v>226</v>
      </c>
      <c r="Q39" s="90" t="s">
        <v>227</v>
      </c>
      <c r="R39" s="127" t="s">
        <v>228</v>
      </c>
      <c r="S39" s="90" t="s">
        <v>229</v>
      </c>
      <c r="T39" s="106" t="s">
        <v>230</v>
      </c>
      <c r="U39" s="90" t="s">
        <v>231</v>
      </c>
      <c r="V39" s="90" t="s">
        <v>80</v>
      </c>
      <c r="W39" s="116" t="s">
        <v>22</v>
      </c>
    </row>
    <row r="40" spans="1:23" ht="17.149999999999999" customHeight="1" x14ac:dyDescent="0.35">
      <c r="A40" s="117">
        <v>2012</v>
      </c>
      <c r="B40" s="10">
        <f t="shared" ref="B40:B50" si="4">B10+B25</f>
        <v>10751</v>
      </c>
      <c r="C40" s="10"/>
      <c r="D40" s="10">
        <f t="shared" ref="D40:D51" si="5">D10+D25</f>
        <v>10751</v>
      </c>
      <c r="E40" s="10">
        <f t="shared" ref="E40:F50" si="6">E10+E25</f>
        <v>22110255</v>
      </c>
      <c r="F40" s="10">
        <f t="shared" si="6"/>
        <v>446682</v>
      </c>
      <c r="G40" s="10"/>
      <c r="H40" s="10">
        <f t="shared" ref="H40:H51" si="7">H10+H25</f>
        <v>446682</v>
      </c>
      <c r="I40" s="10">
        <f t="shared" ref="I40:I51" si="8">I10+I25</f>
        <v>28039260</v>
      </c>
      <c r="J40" s="10"/>
      <c r="K40" s="10"/>
      <c r="L40" s="10">
        <f t="shared" ref="L40:L51" si="9">L10+L25</f>
        <v>0</v>
      </c>
      <c r="M40" s="10"/>
      <c r="N40" s="10"/>
      <c r="O40" s="10"/>
      <c r="P40" s="10">
        <f t="shared" ref="P40:P51" si="10">P10+P25</f>
        <v>0</v>
      </c>
      <c r="Q40" s="10"/>
      <c r="R40" s="10">
        <f t="shared" ref="R40:R50" si="11">R10+R25</f>
        <v>457433</v>
      </c>
      <c r="S40" s="10"/>
      <c r="T40" s="10">
        <f t="shared" ref="T40:T51" si="12">T10+T25</f>
        <v>457433</v>
      </c>
      <c r="U40" s="10">
        <f t="shared" ref="U40:V51" si="13">U10+U25</f>
        <v>50149515</v>
      </c>
      <c r="V40" s="10">
        <f t="shared" si="13"/>
        <v>50606948</v>
      </c>
      <c r="W40" s="26"/>
    </row>
    <row r="41" spans="1:23" ht="17.149999999999999" customHeight="1" x14ac:dyDescent="0.35">
      <c r="A41" s="117" t="s">
        <v>198</v>
      </c>
      <c r="B41" s="10">
        <f t="shared" si="4"/>
        <v>112263</v>
      </c>
      <c r="C41" s="10"/>
      <c r="D41" s="10">
        <f t="shared" si="5"/>
        <v>112263</v>
      </c>
      <c r="E41" s="10">
        <f t="shared" si="6"/>
        <v>21995978</v>
      </c>
      <c r="F41" s="10">
        <f t="shared" si="6"/>
        <v>682070</v>
      </c>
      <c r="G41" s="10"/>
      <c r="H41" s="10">
        <f t="shared" si="7"/>
        <v>682070</v>
      </c>
      <c r="I41" s="10">
        <f t="shared" si="8"/>
        <v>27819715</v>
      </c>
      <c r="J41" s="10"/>
      <c r="K41" s="10"/>
      <c r="L41" s="10">
        <f t="shared" si="9"/>
        <v>0</v>
      </c>
      <c r="M41" s="10"/>
      <c r="N41" s="10"/>
      <c r="O41" s="10"/>
      <c r="P41" s="10">
        <f t="shared" si="10"/>
        <v>0</v>
      </c>
      <c r="Q41" s="10"/>
      <c r="R41" s="10">
        <f t="shared" si="11"/>
        <v>794333</v>
      </c>
      <c r="S41" s="10"/>
      <c r="T41" s="10">
        <f t="shared" si="12"/>
        <v>794333</v>
      </c>
      <c r="U41" s="10">
        <f t="shared" si="13"/>
        <v>49815693</v>
      </c>
      <c r="V41" s="10">
        <f t="shared" si="13"/>
        <v>50610026</v>
      </c>
      <c r="W41" s="26" t="s">
        <v>87</v>
      </c>
    </row>
    <row r="42" spans="1:23" ht="17.149999999999999" customHeight="1" x14ac:dyDescent="0.35">
      <c r="A42" s="117">
        <v>2014</v>
      </c>
      <c r="B42" s="10">
        <f t="shared" si="4"/>
        <v>285705</v>
      </c>
      <c r="C42" s="10"/>
      <c r="D42" s="10">
        <f t="shared" si="5"/>
        <v>285705</v>
      </c>
      <c r="E42" s="10">
        <f t="shared" si="6"/>
        <v>21052194</v>
      </c>
      <c r="F42" s="10">
        <f t="shared" si="6"/>
        <v>907107</v>
      </c>
      <c r="G42" s="10"/>
      <c r="H42" s="10">
        <f t="shared" si="7"/>
        <v>907107</v>
      </c>
      <c r="I42" s="10">
        <f t="shared" si="8"/>
        <v>26599740</v>
      </c>
      <c r="J42" s="10"/>
      <c r="K42" s="10"/>
      <c r="L42" s="10">
        <f t="shared" si="9"/>
        <v>0</v>
      </c>
      <c r="M42" s="10"/>
      <c r="N42" s="10"/>
      <c r="O42" s="10"/>
      <c r="P42" s="10">
        <f t="shared" si="10"/>
        <v>0</v>
      </c>
      <c r="Q42" s="10"/>
      <c r="R42" s="10">
        <f t="shared" si="11"/>
        <v>1192812</v>
      </c>
      <c r="S42" s="10"/>
      <c r="T42" s="10">
        <f t="shared" si="12"/>
        <v>1192812</v>
      </c>
      <c r="U42" s="10">
        <f t="shared" si="13"/>
        <v>47651934</v>
      </c>
      <c r="V42" s="10">
        <f t="shared" si="13"/>
        <v>48844746</v>
      </c>
      <c r="W42" s="26"/>
    </row>
    <row r="43" spans="1:23" ht="17.149999999999999" customHeight="1" x14ac:dyDescent="0.35">
      <c r="A43" s="117" t="s">
        <v>199</v>
      </c>
      <c r="B43" s="10">
        <f t="shared" si="4"/>
        <v>800695</v>
      </c>
      <c r="C43" s="10"/>
      <c r="D43" s="10">
        <f t="shared" si="5"/>
        <v>800695</v>
      </c>
      <c r="E43" s="10">
        <f t="shared" si="6"/>
        <v>21160321</v>
      </c>
      <c r="F43" s="10">
        <f t="shared" si="6"/>
        <v>1607155</v>
      </c>
      <c r="G43" s="10"/>
      <c r="H43" s="10">
        <f t="shared" si="7"/>
        <v>1607155</v>
      </c>
      <c r="I43" s="10">
        <f t="shared" si="8"/>
        <v>26586071</v>
      </c>
      <c r="J43" s="10">
        <f t="shared" ref="J43:J51" si="14">J13+J28</f>
        <v>342382</v>
      </c>
      <c r="K43" s="10"/>
      <c r="L43" s="10">
        <f t="shared" si="9"/>
        <v>342382</v>
      </c>
      <c r="M43" s="10">
        <f t="shared" ref="M43:N51" si="15">M13+M28</f>
        <v>1139706</v>
      </c>
      <c r="N43" s="10">
        <f t="shared" si="15"/>
        <v>381148</v>
      </c>
      <c r="O43" s="10"/>
      <c r="P43" s="10">
        <f t="shared" si="10"/>
        <v>381148</v>
      </c>
      <c r="Q43" s="10">
        <f t="shared" ref="Q43:Q51" si="16">Q13+Q28</f>
        <v>1467088</v>
      </c>
      <c r="R43" s="10">
        <f t="shared" si="11"/>
        <v>3131380</v>
      </c>
      <c r="S43" s="10"/>
      <c r="T43" s="10">
        <f t="shared" si="12"/>
        <v>3131380</v>
      </c>
      <c r="U43" s="10">
        <f t="shared" si="13"/>
        <v>50353186</v>
      </c>
      <c r="V43" s="10">
        <f t="shared" si="13"/>
        <v>53484566</v>
      </c>
      <c r="W43" s="26" t="s">
        <v>93</v>
      </c>
    </row>
    <row r="44" spans="1:23" ht="17.149999999999999" customHeight="1" x14ac:dyDescent="0.35">
      <c r="A44" s="117" t="s">
        <v>200</v>
      </c>
      <c r="B44" s="10">
        <f t="shared" si="4"/>
        <v>2120980</v>
      </c>
      <c r="C44" s="10"/>
      <c r="D44" s="10">
        <f t="shared" si="5"/>
        <v>2120980</v>
      </c>
      <c r="E44" s="10">
        <f t="shared" si="6"/>
        <v>20254111</v>
      </c>
      <c r="F44" s="10">
        <f t="shared" si="6"/>
        <v>3325177</v>
      </c>
      <c r="G44" s="10"/>
      <c r="H44" s="10">
        <f t="shared" si="7"/>
        <v>3325177</v>
      </c>
      <c r="I44" s="10">
        <f t="shared" si="8"/>
        <v>25180622</v>
      </c>
      <c r="J44" s="10">
        <f t="shared" si="14"/>
        <v>191418</v>
      </c>
      <c r="K44" s="10"/>
      <c r="L44" s="10">
        <f t="shared" si="9"/>
        <v>191418</v>
      </c>
      <c r="M44" s="10">
        <f t="shared" si="15"/>
        <v>1127441</v>
      </c>
      <c r="N44" s="10">
        <f t="shared" si="15"/>
        <v>232962</v>
      </c>
      <c r="O44" s="10"/>
      <c r="P44" s="10">
        <f t="shared" si="10"/>
        <v>232962</v>
      </c>
      <c r="Q44" s="10">
        <f t="shared" si="16"/>
        <v>1457702</v>
      </c>
      <c r="R44" s="10">
        <f t="shared" si="11"/>
        <v>5870537</v>
      </c>
      <c r="S44" s="10"/>
      <c r="T44" s="10">
        <f t="shared" si="12"/>
        <v>5870537</v>
      </c>
      <c r="U44" s="10">
        <f>U14+U29</f>
        <v>48019876</v>
      </c>
      <c r="V44" s="10">
        <f t="shared" si="13"/>
        <v>53890413</v>
      </c>
      <c r="W44" s="26" t="s">
        <v>201</v>
      </c>
    </row>
    <row r="45" spans="1:23" ht="17.149999999999999" customHeight="1" x14ac:dyDescent="0.35">
      <c r="A45" s="117" t="s">
        <v>202</v>
      </c>
      <c r="B45" s="10">
        <f t="shared" si="4"/>
        <v>3815526</v>
      </c>
      <c r="C45" s="10"/>
      <c r="D45" s="10">
        <f t="shared" si="5"/>
        <v>3815526</v>
      </c>
      <c r="E45" s="10">
        <f t="shared" si="6"/>
        <v>17883095</v>
      </c>
      <c r="F45" s="10">
        <f t="shared" si="6"/>
        <v>5583953</v>
      </c>
      <c r="G45" s="10"/>
      <c r="H45" s="10">
        <f t="shared" si="7"/>
        <v>5583953</v>
      </c>
      <c r="I45" s="10">
        <f t="shared" si="8"/>
        <v>22098866</v>
      </c>
      <c r="J45" s="10">
        <f t="shared" si="14"/>
        <v>285556</v>
      </c>
      <c r="K45" s="10"/>
      <c r="L45" s="10">
        <f t="shared" si="9"/>
        <v>285556</v>
      </c>
      <c r="M45" s="10">
        <f t="shared" si="15"/>
        <v>1705388</v>
      </c>
      <c r="N45" s="10">
        <f t="shared" si="15"/>
        <v>351239</v>
      </c>
      <c r="O45" s="10"/>
      <c r="P45" s="10">
        <f t="shared" si="10"/>
        <v>351239</v>
      </c>
      <c r="Q45" s="10">
        <f t="shared" si="16"/>
        <v>2165762</v>
      </c>
      <c r="R45" s="10">
        <f t="shared" si="11"/>
        <v>10036274</v>
      </c>
      <c r="S45" s="10"/>
      <c r="T45" s="10">
        <f t="shared" si="12"/>
        <v>10036274</v>
      </c>
      <c r="U45" s="10">
        <f t="shared" si="13"/>
        <v>43853111</v>
      </c>
      <c r="V45" s="10">
        <f t="shared" si="13"/>
        <v>53889385</v>
      </c>
      <c r="W45" s="26" t="s">
        <v>108</v>
      </c>
    </row>
    <row r="46" spans="1:23" ht="17.149999999999999" customHeight="1" x14ac:dyDescent="0.35">
      <c r="A46" s="117" t="s">
        <v>203</v>
      </c>
      <c r="B46" s="10">
        <f t="shared" si="4"/>
        <v>5345495</v>
      </c>
      <c r="C46" s="10">
        <f t="shared" ref="C46:C50" si="17">C16+C31</f>
        <v>689575</v>
      </c>
      <c r="D46" s="10">
        <f t="shared" si="5"/>
        <v>6035070</v>
      </c>
      <c r="E46" s="10">
        <f t="shared" si="6"/>
        <v>15765490</v>
      </c>
      <c r="F46" s="10">
        <f t="shared" si="6"/>
        <v>7626368</v>
      </c>
      <c r="G46" s="10">
        <f>G16+G31</f>
        <v>923234</v>
      </c>
      <c r="H46" s="10">
        <f t="shared" si="7"/>
        <v>8549602</v>
      </c>
      <c r="I46" s="10">
        <f t="shared" si="8"/>
        <v>19276248</v>
      </c>
      <c r="J46" s="10">
        <f t="shared" si="14"/>
        <v>337801</v>
      </c>
      <c r="K46" s="10">
        <f t="shared" ref="K46:K51" si="18">K16+K31</f>
        <v>105004</v>
      </c>
      <c r="L46" s="10">
        <f t="shared" si="9"/>
        <v>442805</v>
      </c>
      <c r="M46" s="10">
        <f t="shared" si="15"/>
        <v>1606346</v>
      </c>
      <c r="N46" s="10">
        <f t="shared" si="15"/>
        <v>453884</v>
      </c>
      <c r="O46" s="10">
        <f t="shared" ref="O46:O51" si="19">O16+O31</f>
        <v>166691</v>
      </c>
      <c r="P46" s="10">
        <f t="shared" si="10"/>
        <v>620575</v>
      </c>
      <c r="Q46" s="10">
        <f t="shared" si="16"/>
        <v>1965430</v>
      </c>
      <c r="R46" s="10">
        <f t="shared" si="11"/>
        <v>13763548</v>
      </c>
      <c r="S46" s="10">
        <f>S16+S31</f>
        <v>1884504</v>
      </c>
      <c r="T46" s="10">
        <f t="shared" si="12"/>
        <v>15648052</v>
      </c>
      <c r="U46" s="10">
        <f t="shared" si="13"/>
        <v>38613514</v>
      </c>
      <c r="V46" s="10">
        <f t="shared" si="13"/>
        <v>54261566</v>
      </c>
      <c r="W46" s="26" t="s">
        <v>204</v>
      </c>
    </row>
    <row r="47" spans="1:23" ht="17.149999999999999" customHeight="1" x14ac:dyDescent="0.35">
      <c r="A47" s="117" t="s">
        <v>205</v>
      </c>
      <c r="B47" s="10">
        <f t="shared" si="4"/>
        <v>6451884</v>
      </c>
      <c r="C47" s="10">
        <f t="shared" si="17"/>
        <v>1497903</v>
      </c>
      <c r="D47" s="10">
        <f t="shared" si="5"/>
        <v>7949787</v>
      </c>
      <c r="E47" s="10">
        <f t="shared" si="6"/>
        <v>14333271</v>
      </c>
      <c r="F47" s="10">
        <f t="shared" si="6"/>
        <v>9254414</v>
      </c>
      <c r="G47" s="10">
        <f>G17+G32</f>
        <v>2003982</v>
      </c>
      <c r="H47" s="10">
        <f t="shared" si="7"/>
        <v>11258396</v>
      </c>
      <c r="I47" s="10">
        <f t="shared" si="8"/>
        <v>17390791</v>
      </c>
      <c r="J47" s="10">
        <f t="shared" si="14"/>
        <v>366125</v>
      </c>
      <c r="K47" s="10">
        <f t="shared" si="18"/>
        <v>196476</v>
      </c>
      <c r="L47" s="10">
        <f t="shared" si="9"/>
        <v>562601</v>
      </c>
      <c r="M47" s="10">
        <f t="shared" si="15"/>
        <v>1329384</v>
      </c>
      <c r="N47" s="10">
        <f t="shared" si="15"/>
        <v>413545</v>
      </c>
      <c r="O47" s="10">
        <f t="shared" si="19"/>
        <v>292356</v>
      </c>
      <c r="P47" s="10">
        <f t="shared" si="10"/>
        <v>705901</v>
      </c>
      <c r="Q47" s="10">
        <f t="shared" si="16"/>
        <v>1514737</v>
      </c>
      <c r="R47" s="10">
        <f t="shared" si="11"/>
        <v>16485968</v>
      </c>
      <c r="S47" s="10">
        <f>S17+S32</f>
        <v>3990717</v>
      </c>
      <c r="T47" s="10">
        <f t="shared" si="12"/>
        <v>20476685</v>
      </c>
      <c r="U47" s="10">
        <f t="shared" si="13"/>
        <v>34568183</v>
      </c>
      <c r="V47" s="10">
        <f t="shared" si="13"/>
        <v>55044868</v>
      </c>
      <c r="W47" s="26" t="s">
        <v>206</v>
      </c>
    </row>
    <row r="48" spans="1:23" ht="17.149999999999999" customHeight="1" x14ac:dyDescent="0.35">
      <c r="A48" s="117" t="s">
        <v>207</v>
      </c>
      <c r="B48" s="10">
        <f t="shared" si="4"/>
        <v>7376665</v>
      </c>
      <c r="C48" s="10">
        <f t="shared" si="17"/>
        <v>1851972</v>
      </c>
      <c r="D48" s="10">
        <f t="shared" si="5"/>
        <v>9228637</v>
      </c>
      <c r="E48" s="10">
        <f t="shared" si="6"/>
        <v>13539487</v>
      </c>
      <c r="F48" s="10">
        <f t="shared" si="6"/>
        <v>10764552</v>
      </c>
      <c r="G48" s="10">
        <f>G18+G33</f>
        <v>2142346</v>
      </c>
      <c r="H48" s="10">
        <f t="shared" si="7"/>
        <v>12906898</v>
      </c>
      <c r="I48" s="10">
        <f t="shared" si="8"/>
        <v>16039552</v>
      </c>
      <c r="J48" s="10">
        <f t="shared" si="14"/>
        <v>429552</v>
      </c>
      <c r="K48" s="10">
        <f t="shared" si="18"/>
        <v>239724</v>
      </c>
      <c r="L48" s="10">
        <f t="shared" si="9"/>
        <v>669276</v>
      </c>
      <c r="M48" s="10">
        <f t="shared" si="15"/>
        <v>1147490</v>
      </c>
      <c r="N48" s="10">
        <f t="shared" si="15"/>
        <v>500712</v>
      </c>
      <c r="O48" s="10">
        <f t="shared" si="19"/>
        <v>340351</v>
      </c>
      <c r="P48" s="10">
        <f t="shared" si="10"/>
        <v>841063</v>
      </c>
      <c r="Q48" s="10">
        <f t="shared" si="16"/>
        <v>1346835</v>
      </c>
      <c r="R48" s="10">
        <f t="shared" si="11"/>
        <v>19071481</v>
      </c>
      <c r="S48" s="10">
        <f>S18+S33</f>
        <v>4574393</v>
      </c>
      <c r="T48" s="10">
        <f t="shared" si="12"/>
        <v>23645874</v>
      </c>
      <c r="U48" s="10">
        <f t="shared" si="13"/>
        <v>32073364</v>
      </c>
      <c r="V48" s="10">
        <f t="shared" si="13"/>
        <v>55719238</v>
      </c>
      <c r="W48" s="26" t="s">
        <v>208</v>
      </c>
    </row>
    <row r="49" spans="1:23" ht="17.149999999999999" customHeight="1" x14ac:dyDescent="0.35">
      <c r="A49" s="117" t="s">
        <v>209</v>
      </c>
      <c r="B49" s="10">
        <f t="shared" si="4"/>
        <v>9319866</v>
      </c>
      <c r="C49" s="10">
        <f t="shared" si="17"/>
        <v>1972683</v>
      </c>
      <c r="D49" s="10">
        <f t="shared" si="5"/>
        <v>11292549</v>
      </c>
      <c r="E49" s="10">
        <f t="shared" si="6"/>
        <v>12836150</v>
      </c>
      <c r="F49" s="10">
        <f t="shared" si="6"/>
        <v>13682921</v>
      </c>
      <c r="G49" s="10">
        <f>G19+G34</f>
        <v>2144601</v>
      </c>
      <c r="H49" s="10">
        <f t="shared" si="7"/>
        <v>15827522</v>
      </c>
      <c r="I49" s="10">
        <f t="shared" si="8"/>
        <v>14847343</v>
      </c>
      <c r="J49" s="10">
        <f t="shared" si="14"/>
        <v>261687</v>
      </c>
      <c r="K49" s="10">
        <f t="shared" si="18"/>
        <v>27090</v>
      </c>
      <c r="L49" s="10">
        <f t="shared" si="9"/>
        <v>288777</v>
      </c>
      <c r="M49" s="10">
        <f t="shared" si="15"/>
        <v>253295</v>
      </c>
      <c r="N49" s="10">
        <f t="shared" si="15"/>
        <v>320273</v>
      </c>
      <c r="O49" s="10">
        <f t="shared" si="19"/>
        <v>39552</v>
      </c>
      <c r="P49" s="10">
        <f t="shared" si="10"/>
        <v>359825</v>
      </c>
      <c r="Q49" s="10">
        <f t="shared" si="16"/>
        <v>347873</v>
      </c>
      <c r="R49" s="10">
        <f t="shared" si="11"/>
        <v>23584747</v>
      </c>
      <c r="S49" s="10">
        <f>S19+S34</f>
        <v>4183926</v>
      </c>
      <c r="T49" s="10">
        <f t="shared" si="12"/>
        <v>27768673</v>
      </c>
      <c r="U49" s="10">
        <f t="shared" si="13"/>
        <v>28284661</v>
      </c>
      <c r="V49" s="10">
        <f t="shared" si="13"/>
        <v>56053334</v>
      </c>
      <c r="W49" s="26" t="s">
        <v>210</v>
      </c>
    </row>
    <row r="50" spans="1:23" ht="17.149999999999999" customHeight="1" x14ac:dyDescent="0.35">
      <c r="A50" s="117" t="s">
        <v>211</v>
      </c>
      <c r="B50" s="9">
        <f t="shared" si="4"/>
        <v>11193729</v>
      </c>
      <c r="C50" s="9">
        <f t="shared" si="17"/>
        <v>1599264</v>
      </c>
      <c r="D50" s="9">
        <f t="shared" si="5"/>
        <v>12792993</v>
      </c>
      <c r="E50" s="9">
        <f t="shared" si="6"/>
        <v>11563146</v>
      </c>
      <c r="F50" s="9">
        <f t="shared" si="6"/>
        <v>16235868</v>
      </c>
      <c r="G50" s="9">
        <f>G20+G35</f>
        <v>1549634</v>
      </c>
      <c r="H50" s="9">
        <f t="shared" si="7"/>
        <v>17785502</v>
      </c>
      <c r="I50" s="9">
        <f t="shared" si="8"/>
        <v>13209473</v>
      </c>
      <c r="J50" s="9">
        <f t="shared" si="14"/>
        <v>299243</v>
      </c>
      <c r="K50" s="9">
        <f t="shared" si="18"/>
        <v>9696</v>
      </c>
      <c r="L50" s="9">
        <f t="shared" si="9"/>
        <v>308939</v>
      </c>
      <c r="M50" s="9">
        <f t="shared" si="15"/>
        <v>233994</v>
      </c>
      <c r="N50" s="9">
        <f t="shared" si="15"/>
        <v>408682</v>
      </c>
      <c r="O50" s="9">
        <f t="shared" si="19"/>
        <v>22184</v>
      </c>
      <c r="P50" s="9">
        <f t="shared" si="10"/>
        <v>430866</v>
      </c>
      <c r="Q50" s="9">
        <f t="shared" si="16"/>
        <v>350602</v>
      </c>
      <c r="R50" s="9">
        <f t="shared" si="11"/>
        <v>28137522</v>
      </c>
      <c r="S50" s="9">
        <f>S20+S35</f>
        <v>3180778</v>
      </c>
      <c r="T50" s="9">
        <f t="shared" si="12"/>
        <v>31318300</v>
      </c>
      <c r="U50" s="9">
        <f t="shared" si="13"/>
        <v>25357215</v>
      </c>
      <c r="V50" s="9">
        <f t="shared" si="13"/>
        <v>56675515</v>
      </c>
      <c r="W50" s="55"/>
    </row>
    <row r="51" spans="1:23" s="118" customFormat="1" ht="17.149999999999999" customHeight="1" x14ac:dyDescent="0.35">
      <c r="A51" s="64">
        <v>2023</v>
      </c>
      <c r="B51" s="10" t="s">
        <v>140</v>
      </c>
      <c r="C51" s="10" t="s">
        <v>140</v>
      </c>
      <c r="D51" s="9">
        <f t="shared" si="5"/>
        <v>13812904</v>
      </c>
      <c r="E51" s="9">
        <f>E21+E36</f>
        <v>10748600</v>
      </c>
      <c r="F51" s="10" t="s">
        <v>140</v>
      </c>
      <c r="G51" s="10" t="s">
        <v>140</v>
      </c>
      <c r="H51" s="9">
        <f t="shared" si="7"/>
        <v>19326220</v>
      </c>
      <c r="I51" s="9">
        <f t="shared" si="8"/>
        <v>11865214</v>
      </c>
      <c r="J51" s="9">
        <f t="shared" si="14"/>
        <v>299243</v>
      </c>
      <c r="K51" s="9">
        <f t="shared" si="18"/>
        <v>9696</v>
      </c>
      <c r="L51" s="9">
        <f t="shared" si="9"/>
        <v>308939</v>
      </c>
      <c r="M51" s="9">
        <f t="shared" si="15"/>
        <v>233994</v>
      </c>
      <c r="N51" s="9">
        <f t="shared" si="15"/>
        <v>408682</v>
      </c>
      <c r="O51" s="9">
        <f t="shared" si="19"/>
        <v>22184</v>
      </c>
      <c r="P51" s="9">
        <f t="shared" si="10"/>
        <v>430866</v>
      </c>
      <c r="Q51" s="9">
        <f t="shared" si="16"/>
        <v>350602</v>
      </c>
      <c r="R51" s="9" t="s">
        <v>140</v>
      </c>
      <c r="S51" s="9" t="s">
        <v>140</v>
      </c>
      <c r="T51" s="9">
        <f t="shared" si="12"/>
        <v>33878929</v>
      </c>
      <c r="U51" s="9">
        <f t="shared" si="13"/>
        <v>23198410</v>
      </c>
      <c r="V51" s="9">
        <f t="shared" si="13"/>
        <v>57077339</v>
      </c>
      <c r="W51" s="55" t="s">
        <v>236</v>
      </c>
    </row>
  </sheetData>
  <phoneticPr fontId="15" type="noConversion"/>
  <pageMargins left="0.7" right="0.7" top="0.75" bottom="0.75" header="0.3" footer="0.3"/>
  <pageSetup paperSize="9" scale="74" fitToWidth="0" fitToHeight="0" orientation="portrait" verticalDpi="4" r:id="rId1"/>
  <ignoredErrors>
    <ignoredError sqref="A41 A43:A50 A26 A28:A35 A11 A13:A20" numberStoredAsText="1"/>
    <ignoredError sqref="D21 H21 H36 D36 S36 R21:S21 R51:S51" calculatedColumn="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56"/>
  <sheetViews>
    <sheetView showGridLines="0" workbookViewId="0"/>
  </sheetViews>
  <sheetFormatPr defaultColWidth="9.1796875" defaultRowHeight="17.149999999999999" customHeight="1" x14ac:dyDescent="0.35"/>
  <cols>
    <col min="1" max="1" width="13.26953125" style="84" customWidth="1"/>
    <col min="2" max="2" width="14.81640625" style="6" customWidth="1"/>
    <col min="3" max="3" width="17.453125" style="6" customWidth="1"/>
    <col min="4" max="4" width="20.54296875" style="6" customWidth="1"/>
    <col min="5" max="5" width="17.7265625" style="6" customWidth="1"/>
    <col min="6" max="6" width="19.54296875" style="6" customWidth="1"/>
    <col min="7" max="7" width="16.7265625" style="6" customWidth="1"/>
    <col min="8" max="8" width="19.7265625" style="6" customWidth="1"/>
    <col min="9" max="9" width="72.7265625" style="6" customWidth="1"/>
    <col min="10" max="16384" width="9.1796875" style="84"/>
  </cols>
  <sheetData>
    <row r="1" spans="1:9" ht="25.5" customHeight="1" x14ac:dyDescent="0.35">
      <c r="A1" s="83" t="s">
        <v>237</v>
      </c>
    </row>
    <row r="2" spans="1:9" ht="17.149999999999999" customHeight="1" x14ac:dyDescent="0.35">
      <c r="A2" s="25" t="s">
        <v>238</v>
      </c>
    </row>
    <row r="3" spans="1:9" s="32" customFormat="1" ht="17.149999999999999" customHeight="1" x14ac:dyDescent="0.35">
      <c r="A3" s="25" t="s">
        <v>64</v>
      </c>
      <c r="B3" s="31"/>
      <c r="C3" s="30"/>
      <c r="D3" s="7"/>
      <c r="E3" s="7"/>
      <c r="F3" s="8"/>
    </row>
    <row r="4" spans="1:9" ht="17.149999999999999" customHeight="1" x14ac:dyDescent="0.35">
      <c r="A4" s="25" t="s">
        <v>239</v>
      </c>
    </row>
    <row r="5" spans="1:9" ht="17.149999999999999" customHeight="1" x14ac:dyDescent="0.35">
      <c r="A5" s="25" t="s">
        <v>65</v>
      </c>
      <c r="E5" s="18"/>
      <c r="F5" s="18"/>
    </row>
    <row r="6" spans="1:9" ht="17.149999999999999" customHeight="1" x14ac:dyDescent="0.35">
      <c r="A6" s="28" t="s">
        <v>66</v>
      </c>
      <c r="B6" s="28"/>
      <c r="C6" s="97"/>
      <c r="E6" s="18"/>
      <c r="F6" s="18"/>
      <c r="G6" s="18"/>
    </row>
    <row r="7" spans="1:9" ht="25.5" customHeight="1" x14ac:dyDescent="0.35">
      <c r="A7" s="114" t="s">
        <v>240</v>
      </c>
    </row>
    <row r="8" spans="1:9" ht="31" customHeight="1" x14ac:dyDescent="0.35">
      <c r="A8" s="100" t="s">
        <v>177</v>
      </c>
      <c r="B8" s="106" t="s">
        <v>241</v>
      </c>
      <c r="C8" s="106" t="s">
        <v>242</v>
      </c>
      <c r="D8" s="106" t="s">
        <v>243</v>
      </c>
      <c r="E8" s="106" t="s">
        <v>244</v>
      </c>
      <c r="F8" s="106" t="s">
        <v>245</v>
      </c>
      <c r="G8" s="106" t="s">
        <v>246</v>
      </c>
      <c r="H8" s="101" t="s">
        <v>80</v>
      </c>
      <c r="I8" s="100" t="s">
        <v>22</v>
      </c>
    </row>
    <row r="9" spans="1:9" ht="17.149999999999999" customHeight="1" x14ac:dyDescent="0.35">
      <c r="A9" s="82" t="s">
        <v>146</v>
      </c>
      <c r="B9" s="10">
        <v>18975</v>
      </c>
      <c r="C9" s="10">
        <v>59446</v>
      </c>
      <c r="D9" s="10"/>
      <c r="E9" s="10"/>
      <c r="F9" s="10">
        <f t="shared" ref="F9:F19" si="0">B9+D9</f>
        <v>18975</v>
      </c>
      <c r="G9" s="10">
        <f t="shared" ref="G9:G19" si="1">C9+E9</f>
        <v>59446</v>
      </c>
      <c r="H9" s="10">
        <f>F9+G9</f>
        <v>78421</v>
      </c>
      <c r="I9" s="103" t="s">
        <v>247</v>
      </c>
    </row>
    <row r="10" spans="1:9" ht="17.149999999999999" customHeight="1" x14ac:dyDescent="0.35">
      <c r="A10" s="117" t="s">
        <v>248</v>
      </c>
      <c r="B10" s="10">
        <v>1602</v>
      </c>
      <c r="C10" s="10">
        <v>1707</v>
      </c>
      <c r="D10" s="10"/>
      <c r="E10" s="10"/>
      <c r="F10" s="10">
        <f t="shared" si="0"/>
        <v>1602</v>
      </c>
      <c r="G10" s="10">
        <f t="shared" si="1"/>
        <v>1707</v>
      </c>
      <c r="H10" s="10">
        <f>F10+G10</f>
        <v>3309</v>
      </c>
      <c r="I10" s="107" t="s">
        <v>249</v>
      </c>
    </row>
    <row r="11" spans="1:9" ht="17.149999999999999" customHeight="1" x14ac:dyDescent="0.35">
      <c r="A11" s="117" t="s">
        <v>198</v>
      </c>
      <c r="B11" s="10">
        <v>121013</v>
      </c>
      <c r="C11" s="10">
        <v>171369</v>
      </c>
      <c r="D11" s="10"/>
      <c r="E11" s="10"/>
      <c r="F11" s="10">
        <f t="shared" si="0"/>
        <v>121013</v>
      </c>
      <c r="G11" s="10">
        <f t="shared" si="1"/>
        <v>171369</v>
      </c>
      <c r="H11" s="10">
        <f t="shared" ref="H11:H17" si="2">F11+G11</f>
        <v>292382</v>
      </c>
      <c r="I11" s="107" t="s">
        <v>87</v>
      </c>
    </row>
    <row r="12" spans="1:9" ht="17.149999999999999" customHeight="1" x14ac:dyDescent="0.35">
      <c r="A12" s="117">
        <v>2014</v>
      </c>
      <c r="B12" s="10">
        <v>189394</v>
      </c>
      <c r="C12" s="10">
        <v>279688</v>
      </c>
      <c r="D12" s="10"/>
      <c r="E12" s="10"/>
      <c r="F12" s="10">
        <f t="shared" si="0"/>
        <v>189394</v>
      </c>
      <c r="G12" s="10">
        <f t="shared" si="1"/>
        <v>279688</v>
      </c>
      <c r="H12" s="10">
        <f t="shared" si="2"/>
        <v>469082</v>
      </c>
      <c r="I12" s="107"/>
    </row>
    <row r="13" spans="1:9" ht="17.149999999999999" customHeight="1" x14ac:dyDescent="0.35">
      <c r="A13" s="117" t="s">
        <v>199</v>
      </c>
      <c r="B13" s="10">
        <v>505232</v>
      </c>
      <c r="C13" s="10">
        <v>718369</v>
      </c>
      <c r="D13" s="10">
        <v>137450</v>
      </c>
      <c r="E13" s="10">
        <v>147508</v>
      </c>
      <c r="F13" s="10">
        <f t="shared" si="0"/>
        <v>642682</v>
      </c>
      <c r="G13" s="10">
        <f t="shared" si="1"/>
        <v>865877</v>
      </c>
      <c r="H13" s="10">
        <f t="shared" si="2"/>
        <v>1508559</v>
      </c>
      <c r="I13" s="107" t="s">
        <v>93</v>
      </c>
    </row>
    <row r="14" spans="1:9" ht="17.149999999999999" customHeight="1" x14ac:dyDescent="0.35">
      <c r="A14" s="117" t="s">
        <v>200</v>
      </c>
      <c r="B14" s="10">
        <v>1265222</v>
      </c>
      <c r="C14" s="10">
        <v>1648563</v>
      </c>
      <c r="D14" s="10">
        <v>4693</v>
      </c>
      <c r="E14" s="10">
        <v>6994</v>
      </c>
      <c r="F14" s="10">
        <f t="shared" si="0"/>
        <v>1269915</v>
      </c>
      <c r="G14" s="10">
        <f t="shared" si="1"/>
        <v>1655557</v>
      </c>
      <c r="H14" s="10">
        <f t="shared" si="2"/>
        <v>2925472</v>
      </c>
      <c r="I14" s="107" t="s">
        <v>201</v>
      </c>
    </row>
    <row r="15" spans="1:9" ht="17.149999999999999" customHeight="1" x14ac:dyDescent="0.35">
      <c r="A15" s="117" t="s">
        <v>202</v>
      </c>
      <c r="B15" s="10">
        <v>2002465</v>
      </c>
      <c r="C15" s="10">
        <v>2586215</v>
      </c>
      <c r="D15" s="10">
        <v>72544</v>
      </c>
      <c r="E15" s="10">
        <v>88565</v>
      </c>
      <c r="F15" s="10">
        <f t="shared" si="0"/>
        <v>2075009</v>
      </c>
      <c r="G15" s="10">
        <f t="shared" si="1"/>
        <v>2674780</v>
      </c>
      <c r="H15" s="10">
        <f t="shared" si="2"/>
        <v>4749789</v>
      </c>
      <c r="I15" s="107" t="s">
        <v>108</v>
      </c>
    </row>
    <row r="16" spans="1:9" ht="17.149999999999999" customHeight="1" x14ac:dyDescent="0.35">
      <c r="A16" s="117" t="s">
        <v>203</v>
      </c>
      <c r="B16" s="10">
        <v>2126465</v>
      </c>
      <c r="C16" s="10">
        <f>SUM(Table2!$C$31:$C$34)</f>
        <v>2668327</v>
      </c>
      <c r="D16" s="10">
        <v>86950</v>
      </c>
      <c r="E16" s="10">
        <v>107809</v>
      </c>
      <c r="F16" s="10">
        <f t="shared" si="0"/>
        <v>2213415</v>
      </c>
      <c r="G16" s="10">
        <f t="shared" si="1"/>
        <v>2776136</v>
      </c>
      <c r="H16" s="10">
        <f t="shared" si="2"/>
        <v>4989551</v>
      </c>
      <c r="I16" s="107" t="s">
        <v>250</v>
      </c>
    </row>
    <row r="17" spans="1:9" ht="17.149999999999999" customHeight="1" x14ac:dyDescent="0.35">
      <c r="A17" s="117" t="s">
        <v>205</v>
      </c>
      <c r="B17" s="10">
        <v>1957388</v>
      </c>
      <c r="C17" s="10">
        <f>SUM(Table2!$C$35:$C$38)</f>
        <v>2383830</v>
      </c>
      <c r="D17" s="10">
        <v>55047</v>
      </c>
      <c r="E17" s="10">
        <v>73718</v>
      </c>
      <c r="F17" s="10">
        <f t="shared" si="0"/>
        <v>2012435</v>
      </c>
      <c r="G17" s="10">
        <f t="shared" si="1"/>
        <v>2457548</v>
      </c>
      <c r="H17" s="10">
        <f t="shared" si="2"/>
        <v>4469983</v>
      </c>
      <c r="I17" s="107" t="s">
        <v>206</v>
      </c>
    </row>
    <row r="18" spans="1:9" ht="17.149999999999999" customHeight="1" x14ac:dyDescent="0.35">
      <c r="A18" s="117" t="s">
        <v>207</v>
      </c>
      <c r="B18" s="10">
        <v>1334275</v>
      </c>
      <c r="C18" s="10">
        <f>SUM(Table2!$C$39:$C$42)</f>
        <v>1674063</v>
      </c>
      <c r="D18" s="10">
        <v>53886</v>
      </c>
      <c r="E18" s="10">
        <v>80270</v>
      </c>
      <c r="F18" s="10">
        <f t="shared" si="0"/>
        <v>1388161</v>
      </c>
      <c r="G18" s="10">
        <f t="shared" si="1"/>
        <v>1754333</v>
      </c>
      <c r="H18" s="10">
        <f>F18+G18</f>
        <v>3142494</v>
      </c>
      <c r="I18" s="107" t="s">
        <v>251</v>
      </c>
    </row>
    <row r="19" spans="1:9" ht="17.149999999999999" customHeight="1" x14ac:dyDescent="0.35">
      <c r="A19" s="117" t="s">
        <v>209</v>
      </c>
      <c r="B19" s="10">
        <v>1508788</v>
      </c>
      <c r="C19" s="10">
        <f>SUM(Table2!$C$43:$C$46)</f>
        <v>2016512</v>
      </c>
      <c r="D19" s="10">
        <v>85342</v>
      </c>
      <c r="E19" s="10">
        <v>112758</v>
      </c>
      <c r="F19" s="10">
        <f t="shared" si="0"/>
        <v>1594130</v>
      </c>
      <c r="G19" s="10">
        <f t="shared" si="1"/>
        <v>2129270</v>
      </c>
      <c r="H19" s="10">
        <f>F19+G19</f>
        <v>3723400</v>
      </c>
      <c r="I19" s="107" t="s">
        <v>252</v>
      </c>
    </row>
    <row r="20" spans="1:9" ht="17.149999999999999" customHeight="1" x14ac:dyDescent="0.35">
      <c r="A20" s="117" t="s">
        <v>211</v>
      </c>
      <c r="B20" s="10">
        <f>SUM(Table2!$B$47:$B$50)</f>
        <v>1521478</v>
      </c>
      <c r="C20" s="10">
        <f>SUM(Table2!$C$47:$C$50)</f>
        <v>2006842</v>
      </c>
      <c r="D20" s="10">
        <v>18829</v>
      </c>
      <c r="E20" s="10">
        <v>29582</v>
      </c>
      <c r="F20" s="10">
        <f t="shared" ref="F20" si="3">B20+D20</f>
        <v>1540307</v>
      </c>
      <c r="G20" s="10">
        <f t="shared" ref="G20" si="4">C20+E20</f>
        <v>2036424</v>
      </c>
      <c r="H20" s="10">
        <f>F20+G20</f>
        <v>3576731</v>
      </c>
      <c r="I20" s="107" t="s">
        <v>151</v>
      </c>
    </row>
    <row r="21" spans="1:9" ht="17.149999999999999" customHeight="1" x14ac:dyDescent="0.35">
      <c r="A21" s="104">
        <v>2023</v>
      </c>
      <c r="B21" s="62">
        <f>SUM(Table2!$B$51:$B$53)</f>
        <v>1055172</v>
      </c>
      <c r="C21" s="62">
        <f>SUM(Table2!$C$51:$C$53)</f>
        <v>1421615</v>
      </c>
      <c r="D21" s="62"/>
      <c r="E21" s="62"/>
      <c r="F21" s="62">
        <f t="shared" ref="F21" si="5">B21+D21</f>
        <v>1055172</v>
      </c>
      <c r="G21" s="62">
        <f t="shared" ref="G21" si="6">C21+E21</f>
        <v>1421615</v>
      </c>
      <c r="H21" s="62">
        <f>F21+G21</f>
        <v>2476787</v>
      </c>
      <c r="I21" s="128"/>
    </row>
    <row r="22" spans="1:9" ht="17.149999999999999" customHeight="1" x14ac:dyDescent="0.35">
      <c r="A22" s="117" t="s">
        <v>80</v>
      </c>
      <c r="B22" s="62">
        <f>SUM($B$9:$B$21)</f>
        <v>13607469</v>
      </c>
      <c r="C22" s="62">
        <f>SUM($C$9:$C$21)</f>
        <v>17636546</v>
      </c>
      <c r="D22" s="62">
        <f>SUM($D$9:$D$21)</f>
        <v>514741</v>
      </c>
      <c r="E22" s="62">
        <f>SUM($E$9:$E$21)</f>
        <v>647204</v>
      </c>
      <c r="F22" s="62">
        <f>SUM($F$9:$F$21)</f>
        <v>14122210</v>
      </c>
      <c r="G22" s="62">
        <f>SUM($G$9:$G$21)</f>
        <v>18283750</v>
      </c>
      <c r="H22" s="62">
        <f>SUM($H$9:$H$21)</f>
        <v>32405960</v>
      </c>
      <c r="I22" s="107"/>
    </row>
    <row r="23" spans="1:9" ht="17.149999999999999" customHeight="1" x14ac:dyDescent="0.35">
      <c r="A23" s="117"/>
      <c r="B23" s="117"/>
      <c r="C23" s="117"/>
      <c r="D23" s="117"/>
      <c r="E23" s="117"/>
      <c r="F23" s="117"/>
      <c r="G23" s="117"/>
      <c r="H23" s="117"/>
      <c r="I23" s="117"/>
    </row>
    <row r="24" spans="1:9" ht="25.5" customHeight="1" x14ac:dyDescent="0.35">
      <c r="A24" s="114" t="s">
        <v>253</v>
      </c>
      <c r="B24" s="99"/>
      <c r="C24" s="99"/>
      <c r="D24" s="99"/>
      <c r="E24" s="99"/>
      <c r="F24" s="99"/>
      <c r="G24" s="99"/>
      <c r="H24" s="99"/>
      <c r="I24" s="99"/>
    </row>
    <row r="25" spans="1:9" ht="31" customHeight="1" x14ac:dyDescent="0.35">
      <c r="A25" s="100" t="s">
        <v>177</v>
      </c>
      <c r="B25" s="106" t="s">
        <v>241</v>
      </c>
      <c r="C25" s="106" t="s">
        <v>242</v>
      </c>
      <c r="D25" s="106" t="s">
        <v>243</v>
      </c>
      <c r="E25" s="106" t="s">
        <v>244</v>
      </c>
      <c r="F25" s="106" t="s">
        <v>245</v>
      </c>
      <c r="G25" s="106" t="s">
        <v>246</v>
      </c>
      <c r="H25" s="101" t="s">
        <v>80</v>
      </c>
      <c r="I25" s="100" t="s">
        <v>22</v>
      </c>
    </row>
    <row r="26" spans="1:9" ht="17.149999999999999" customHeight="1" x14ac:dyDescent="0.35">
      <c r="A26" s="82" t="s">
        <v>146</v>
      </c>
      <c r="B26" s="10">
        <v>9865</v>
      </c>
      <c r="C26" s="10">
        <v>320499</v>
      </c>
      <c r="D26" s="10"/>
      <c r="E26" s="10"/>
      <c r="F26" s="10">
        <f t="shared" ref="F26:F36" si="7">B26+D26</f>
        <v>9865</v>
      </c>
      <c r="G26" s="10">
        <f t="shared" ref="G26:G36" si="8">C26+E26</f>
        <v>320499</v>
      </c>
      <c r="H26" s="10">
        <f>F26+G26</f>
        <v>330364</v>
      </c>
      <c r="I26" s="103" t="s">
        <v>254</v>
      </c>
    </row>
    <row r="27" spans="1:9" ht="17.149999999999999" customHeight="1" x14ac:dyDescent="0.35">
      <c r="A27" s="117" t="s">
        <v>248</v>
      </c>
      <c r="B27" s="10">
        <v>330</v>
      </c>
      <c r="C27" s="10">
        <v>71289</v>
      </c>
      <c r="D27" s="10"/>
      <c r="E27" s="10"/>
      <c r="F27" s="10">
        <f t="shared" si="7"/>
        <v>330</v>
      </c>
      <c r="G27" s="10">
        <f t="shared" si="8"/>
        <v>71289</v>
      </c>
      <c r="H27" s="10">
        <f>F27+G27</f>
        <v>71619</v>
      </c>
      <c r="I27" s="107" t="s">
        <v>249</v>
      </c>
    </row>
    <row r="28" spans="1:9" ht="17.149999999999999" customHeight="1" x14ac:dyDescent="0.35">
      <c r="A28" s="117" t="s">
        <v>198</v>
      </c>
      <c r="B28" s="10">
        <v>1855</v>
      </c>
      <c r="C28" s="10">
        <v>117276</v>
      </c>
      <c r="D28" s="10"/>
      <c r="E28" s="10"/>
      <c r="F28" s="10">
        <f t="shared" si="7"/>
        <v>1855</v>
      </c>
      <c r="G28" s="10">
        <f t="shared" si="8"/>
        <v>117276</v>
      </c>
      <c r="H28" s="10">
        <f t="shared" ref="H28:H34" si="9">F28+G28</f>
        <v>119131</v>
      </c>
      <c r="I28" s="107" t="s">
        <v>87</v>
      </c>
    </row>
    <row r="29" spans="1:9" ht="17.149999999999999" customHeight="1" x14ac:dyDescent="0.35">
      <c r="A29" s="117">
        <v>2014</v>
      </c>
      <c r="B29" s="10">
        <v>2546</v>
      </c>
      <c r="C29" s="10">
        <v>63687</v>
      </c>
      <c r="D29" s="10"/>
      <c r="E29" s="10"/>
      <c r="F29" s="10">
        <f t="shared" si="7"/>
        <v>2546</v>
      </c>
      <c r="G29" s="10">
        <f t="shared" si="8"/>
        <v>63687</v>
      </c>
      <c r="H29" s="10">
        <f t="shared" si="9"/>
        <v>66233</v>
      </c>
      <c r="I29" s="107"/>
    </row>
    <row r="30" spans="1:9" ht="17.149999999999999" customHeight="1" x14ac:dyDescent="0.35">
      <c r="A30" s="117" t="s">
        <v>199</v>
      </c>
      <c r="B30" s="10">
        <v>21569</v>
      </c>
      <c r="C30" s="10">
        <v>60947</v>
      </c>
      <c r="D30" s="10">
        <v>30549</v>
      </c>
      <c r="E30" s="10">
        <v>31003</v>
      </c>
      <c r="F30" s="10">
        <f t="shared" si="7"/>
        <v>52118</v>
      </c>
      <c r="G30" s="10">
        <f t="shared" si="8"/>
        <v>91950</v>
      </c>
      <c r="H30" s="10">
        <f t="shared" si="9"/>
        <v>144068</v>
      </c>
      <c r="I30" s="107" t="s">
        <v>93</v>
      </c>
    </row>
    <row r="31" spans="1:9" ht="17.149999999999999" customHeight="1" x14ac:dyDescent="0.35">
      <c r="A31" s="117" t="s">
        <v>200</v>
      </c>
      <c r="B31" s="10">
        <v>15413</v>
      </c>
      <c r="C31" s="10">
        <v>46772</v>
      </c>
      <c r="D31" s="10">
        <v>33575</v>
      </c>
      <c r="E31" s="10">
        <v>31738</v>
      </c>
      <c r="F31" s="10">
        <f t="shared" si="7"/>
        <v>48988</v>
      </c>
      <c r="G31" s="10">
        <f t="shared" si="8"/>
        <v>78510</v>
      </c>
      <c r="H31" s="10">
        <f t="shared" si="9"/>
        <v>127498</v>
      </c>
      <c r="I31" s="107" t="s">
        <v>201</v>
      </c>
    </row>
    <row r="32" spans="1:9" ht="17.149999999999999" customHeight="1" x14ac:dyDescent="0.35">
      <c r="A32" s="117" t="s">
        <v>202</v>
      </c>
      <c r="B32" s="10">
        <v>12316</v>
      </c>
      <c r="C32" s="10">
        <v>47680</v>
      </c>
      <c r="D32" s="10">
        <v>51453</v>
      </c>
      <c r="E32" s="10">
        <v>36622</v>
      </c>
      <c r="F32" s="10">
        <f t="shared" si="7"/>
        <v>63769</v>
      </c>
      <c r="G32" s="10">
        <f t="shared" si="8"/>
        <v>84302</v>
      </c>
      <c r="H32" s="10">
        <f t="shared" si="9"/>
        <v>148071</v>
      </c>
      <c r="I32" s="107" t="s">
        <v>108</v>
      </c>
    </row>
    <row r="33" spans="1:9" ht="17.149999999999999" customHeight="1" x14ac:dyDescent="0.35">
      <c r="A33" s="117" t="s">
        <v>203</v>
      </c>
      <c r="B33" s="10">
        <f>SUM(Table4!$B$31:$C$34)</f>
        <v>18866</v>
      </c>
      <c r="C33" s="10">
        <f>SUM(Table4!$D$31:$E$34)</f>
        <v>59081</v>
      </c>
      <c r="D33" s="10">
        <v>33617</v>
      </c>
      <c r="E33" s="10">
        <v>33753</v>
      </c>
      <c r="F33" s="10">
        <f t="shared" si="7"/>
        <v>52483</v>
      </c>
      <c r="G33" s="10">
        <f t="shared" si="8"/>
        <v>92834</v>
      </c>
      <c r="H33" s="10">
        <f t="shared" si="9"/>
        <v>145317</v>
      </c>
      <c r="I33" s="107" t="s">
        <v>250</v>
      </c>
    </row>
    <row r="34" spans="1:9" ht="17.149999999999999" customHeight="1" x14ac:dyDescent="0.35">
      <c r="A34" s="117" t="s">
        <v>205</v>
      </c>
      <c r="B34" s="10">
        <f>SUM(Table4!$B$35:$C$38)</f>
        <v>17982</v>
      </c>
      <c r="C34" s="10">
        <f>SUM(Table4!$D$35:$E$38)</f>
        <v>75642</v>
      </c>
      <c r="D34" s="10">
        <v>13018</v>
      </c>
      <c r="E34" s="10">
        <v>14112</v>
      </c>
      <c r="F34" s="10">
        <f t="shared" si="7"/>
        <v>31000</v>
      </c>
      <c r="G34" s="10">
        <f t="shared" si="8"/>
        <v>89754</v>
      </c>
      <c r="H34" s="10">
        <f t="shared" si="9"/>
        <v>120754</v>
      </c>
      <c r="I34" s="107" t="s">
        <v>206</v>
      </c>
    </row>
    <row r="35" spans="1:9" ht="17.149999999999999" customHeight="1" x14ac:dyDescent="0.35">
      <c r="A35" s="117" t="s">
        <v>207</v>
      </c>
      <c r="B35" s="10">
        <f>SUM(Table4!$B$39:$C$42)</f>
        <v>9531</v>
      </c>
      <c r="C35" s="10">
        <f>SUM(Table4!$D$39:$E$42)</f>
        <v>63438</v>
      </c>
      <c r="D35" s="10">
        <v>13956</v>
      </c>
      <c r="E35" s="10">
        <v>11629</v>
      </c>
      <c r="F35" s="10">
        <f t="shared" si="7"/>
        <v>23487</v>
      </c>
      <c r="G35" s="10">
        <f t="shared" si="8"/>
        <v>75067</v>
      </c>
      <c r="H35" s="10">
        <f>F35+G35</f>
        <v>98554</v>
      </c>
      <c r="I35" s="107" t="s">
        <v>251</v>
      </c>
    </row>
    <row r="36" spans="1:9" ht="17.149999999999999" customHeight="1" x14ac:dyDescent="0.35">
      <c r="A36" s="117" t="s">
        <v>209</v>
      </c>
      <c r="B36" s="10">
        <f>SUM(Table4!$B$43:$C$46)</f>
        <v>16034</v>
      </c>
      <c r="C36" s="10">
        <f>SUM(Table4!$D$43:$E$46)</f>
        <v>98117</v>
      </c>
      <c r="D36" s="10">
        <v>12070</v>
      </c>
      <c r="E36" s="10">
        <v>19651</v>
      </c>
      <c r="F36" s="10">
        <f t="shared" si="7"/>
        <v>28104</v>
      </c>
      <c r="G36" s="10">
        <f t="shared" si="8"/>
        <v>117768</v>
      </c>
      <c r="H36" s="10">
        <f>F36+G36</f>
        <v>145872</v>
      </c>
      <c r="I36" s="107" t="s">
        <v>252</v>
      </c>
    </row>
    <row r="37" spans="1:9" ht="17.149999999999999" customHeight="1" x14ac:dyDescent="0.35">
      <c r="A37" s="117" t="s">
        <v>211</v>
      </c>
      <c r="B37" s="10">
        <f>SUM(Table4!$B$47:$C$50)</f>
        <v>18734</v>
      </c>
      <c r="C37" s="10">
        <f>SUM(Table4!$D$47:$E$50)</f>
        <v>95382</v>
      </c>
      <c r="D37" s="10">
        <v>9945</v>
      </c>
      <c r="E37" s="10">
        <v>20583</v>
      </c>
      <c r="F37" s="10">
        <f t="shared" ref="F37" si="10">B37+D37</f>
        <v>28679</v>
      </c>
      <c r="G37" s="10">
        <f t="shared" ref="G37" si="11">C37+E37</f>
        <v>115965</v>
      </c>
      <c r="H37" s="10">
        <f>F37+G37</f>
        <v>144644</v>
      </c>
      <c r="I37" s="107" t="s">
        <v>151</v>
      </c>
    </row>
    <row r="38" spans="1:9" ht="17.149999999999999" customHeight="1" x14ac:dyDescent="0.35">
      <c r="A38" s="104">
        <v>2023</v>
      </c>
      <c r="B38" s="62">
        <f>SUM(Table4!$B$51:$C$53)</f>
        <v>16637</v>
      </c>
      <c r="C38" s="62">
        <f>SUM(Table4!$D$51:$E$53)</f>
        <v>92069</v>
      </c>
      <c r="D38" s="62"/>
      <c r="E38" s="62"/>
      <c r="F38" s="62">
        <f t="shared" ref="F38" si="12">B38+D38</f>
        <v>16637</v>
      </c>
      <c r="G38" s="62">
        <f t="shared" ref="G38" si="13">C38+E38</f>
        <v>92069</v>
      </c>
      <c r="H38" s="62">
        <f>F38+G38</f>
        <v>108706</v>
      </c>
      <c r="I38" s="128"/>
    </row>
    <row r="39" spans="1:9" ht="17.149999999999999" customHeight="1" x14ac:dyDescent="0.35">
      <c r="A39" s="107" t="s">
        <v>80</v>
      </c>
      <c r="B39" s="10">
        <f>SUM(B26:B38)</f>
        <v>161678</v>
      </c>
      <c r="C39" s="10">
        <f t="shared" ref="C39:H39" si="14">SUM(C26:C38)</f>
        <v>1211879</v>
      </c>
      <c r="D39" s="10">
        <f t="shared" si="14"/>
        <v>198183</v>
      </c>
      <c r="E39" s="10">
        <f t="shared" si="14"/>
        <v>199091</v>
      </c>
      <c r="F39" s="10">
        <f t="shared" si="14"/>
        <v>359861</v>
      </c>
      <c r="G39" s="10">
        <f t="shared" si="14"/>
        <v>1410970</v>
      </c>
      <c r="H39" s="10">
        <f t="shared" si="14"/>
        <v>1770831</v>
      </c>
      <c r="I39" s="107"/>
    </row>
    <row r="40" spans="1:9" ht="17.149999999999999" customHeight="1" x14ac:dyDescent="0.35">
      <c r="A40" s="107"/>
      <c r="B40" s="10"/>
      <c r="C40" s="10"/>
      <c r="D40" s="10"/>
      <c r="E40" s="10"/>
      <c r="F40" s="10"/>
      <c r="G40" s="10"/>
      <c r="H40" s="10"/>
      <c r="I40" s="107"/>
    </row>
    <row r="41" spans="1:9" ht="25.5" customHeight="1" x14ac:dyDescent="0.35">
      <c r="A41" s="114" t="s">
        <v>255</v>
      </c>
      <c r="B41" s="99"/>
      <c r="C41" s="99"/>
      <c r="D41" s="99"/>
      <c r="E41" s="99"/>
      <c r="F41" s="99"/>
      <c r="G41" s="99"/>
      <c r="H41" s="99"/>
      <c r="I41" s="99"/>
    </row>
    <row r="42" spans="1:9" ht="31" customHeight="1" x14ac:dyDescent="0.35">
      <c r="A42" s="100" t="s">
        <v>177</v>
      </c>
      <c r="B42" s="106" t="s">
        <v>241</v>
      </c>
      <c r="C42" s="106" t="s">
        <v>242</v>
      </c>
      <c r="D42" s="106" t="s">
        <v>243</v>
      </c>
      <c r="E42" s="106" t="s">
        <v>244</v>
      </c>
      <c r="F42" s="106" t="s">
        <v>245</v>
      </c>
      <c r="G42" s="106" t="s">
        <v>246</v>
      </c>
      <c r="H42" s="101" t="s">
        <v>80</v>
      </c>
      <c r="I42" s="100" t="s">
        <v>22</v>
      </c>
    </row>
    <row r="43" spans="1:9" ht="17.149999999999999" customHeight="1" x14ac:dyDescent="0.35">
      <c r="A43" s="82" t="s">
        <v>146</v>
      </c>
      <c r="B43" s="10">
        <f>B26+B9</f>
        <v>28840</v>
      </c>
      <c r="C43" s="10">
        <f>C26+C9</f>
        <v>379945</v>
      </c>
      <c r="D43" s="10"/>
      <c r="E43" s="10"/>
      <c r="F43" s="10">
        <f t="shared" ref="F43:H55" si="15">F9+F26</f>
        <v>28840</v>
      </c>
      <c r="G43" s="10">
        <f t="shared" si="15"/>
        <v>379945</v>
      </c>
      <c r="H43" s="10">
        <f t="shared" si="15"/>
        <v>408785</v>
      </c>
      <c r="I43" s="103" t="s">
        <v>256</v>
      </c>
    </row>
    <row r="44" spans="1:9" ht="17.149999999999999" customHeight="1" x14ac:dyDescent="0.35">
      <c r="A44" s="117" t="s">
        <v>248</v>
      </c>
      <c r="B44" s="10">
        <f t="shared" ref="B44:C55" si="16">B10+B27</f>
        <v>1932</v>
      </c>
      <c r="C44" s="10">
        <f t="shared" si="16"/>
        <v>72996</v>
      </c>
      <c r="D44" s="10"/>
      <c r="E44" s="10"/>
      <c r="F44" s="10">
        <f t="shared" si="15"/>
        <v>1932</v>
      </c>
      <c r="G44" s="10">
        <f t="shared" si="15"/>
        <v>72996</v>
      </c>
      <c r="H44" s="10">
        <f t="shared" si="15"/>
        <v>74928</v>
      </c>
      <c r="I44" s="107" t="s">
        <v>249</v>
      </c>
    </row>
    <row r="45" spans="1:9" ht="17.149999999999999" customHeight="1" x14ac:dyDescent="0.35">
      <c r="A45" s="117" t="s">
        <v>198</v>
      </c>
      <c r="B45" s="10">
        <f t="shared" si="16"/>
        <v>122868</v>
      </c>
      <c r="C45" s="10">
        <f t="shared" si="16"/>
        <v>288645</v>
      </c>
      <c r="D45" s="10"/>
      <c r="E45" s="10"/>
      <c r="F45" s="10">
        <f t="shared" si="15"/>
        <v>122868</v>
      </c>
      <c r="G45" s="10">
        <f t="shared" si="15"/>
        <v>288645</v>
      </c>
      <c r="H45" s="10">
        <f t="shared" si="15"/>
        <v>411513</v>
      </c>
      <c r="I45" s="107" t="s">
        <v>87</v>
      </c>
    </row>
    <row r="46" spans="1:9" ht="17.149999999999999" customHeight="1" x14ac:dyDescent="0.35">
      <c r="A46" s="117">
        <v>2014</v>
      </c>
      <c r="B46" s="10">
        <f t="shared" si="16"/>
        <v>191940</v>
      </c>
      <c r="C46" s="10">
        <f t="shared" si="16"/>
        <v>343375</v>
      </c>
      <c r="D46" s="10"/>
      <c r="E46" s="10"/>
      <c r="F46" s="10">
        <f t="shared" si="15"/>
        <v>191940</v>
      </c>
      <c r="G46" s="10">
        <f t="shared" si="15"/>
        <v>343375</v>
      </c>
      <c r="H46" s="10">
        <f t="shared" si="15"/>
        <v>535315</v>
      </c>
      <c r="I46" s="107"/>
    </row>
    <row r="47" spans="1:9" ht="17.149999999999999" customHeight="1" x14ac:dyDescent="0.35">
      <c r="A47" s="117" t="s">
        <v>199</v>
      </c>
      <c r="B47" s="10">
        <f t="shared" si="16"/>
        <v>526801</v>
      </c>
      <c r="C47" s="10">
        <f t="shared" si="16"/>
        <v>779316</v>
      </c>
      <c r="D47" s="10">
        <f t="shared" ref="D47:E54" si="17">D13+D30</f>
        <v>167999</v>
      </c>
      <c r="E47" s="10">
        <f t="shared" si="17"/>
        <v>178511</v>
      </c>
      <c r="F47" s="10">
        <f t="shared" si="15"/>
        <v>694800</v>
      </c>
      <c r="G47" s="10">
        <f t="shared" si="15"/>
        <v>957827</v>
      </c>
      <c r="H47" s="10">
        <f t="shared" si="15"/>
        <v>1652627</v>
      </c>
      <c r="I47" s="107" t="s">
        <v>93</v>
      </c>
    </row>
    <row r="48" spans="1:9" ht="17.149999999999999" customHeight="1" x14ac:dyDescent="0.35">
      <c r="A48" s="117" t="s">
        <v>200</v>
      </c>
      <c r="B48" s="10">
        <f t="shared" si="16"/>
        <v>1280635</v>
      </c>
      <c r="C48" s="10">
        <f t="shared" si="16"/>
        <v>1695335</v>
      </c>
      <c r="D48" s="10">
        <f t="shared" si="17"/>
        <v>38268</v>
      </c>
      <c r="E48" s="10">
        <f t="shared" si="17"/>
        <v>38732</v>
      </c>
      <c r="F48" s="10">
        <f t="shared" si="15"/>
        <v>1318903</v>
      </c>
      <c r="G48" s="10">
        <f t="shared" si="15"/>
        <v>1734067</v>
      </c>
      <c r="H48" s="10">
        <f t="shared" si="15"/>
        <v>3052970</v>
      </c>
      <c r="I48" s="107" t="s">
        <v>201</v>
      </c>
    </row>
    <row r="49" spans="1:9" ht="17.149999999999999" customHeight="1" x14ac:dyDescent="0.35">
      <c r="A49" s="117" t="s">
        <v>202</v>
      </c>
      <c r="B49" s="10">
        <f t="shared" si="16"/>
        <v>2014781</v>
      </c>
      <c r="C49" s="10">
        <f t="shared" si="16"/>
        <v>2633895</v>
      </c>
      <c r="D49" s="10">
        <f t="shared" si="17"/>
        <v>123997</v>
      </c>
      <c r="E49" s="10">
        <f t="shared" si="17"/>
        <v>125187</v>
      </c>
      <c r="F49" s="10">
        <f t="shared" si="15"/>
        <v>2138778</v>
      </c>
      <c r="G49" s="10">
        <f t="shared" si="15"/>
        <v>2759082</v>
      </c>
      <c r="H49" s="10">
        <f t="shared" si="15"/>
        <v>4897860</v>
      </c>
      <c r="I49" s="107" t="s">
        <v>108</v>
      </c>
    </row>
    <row r="50" spans="1:9" ht="17.149999999999999" customHeight="1" x14ac:dyDescent="0.35">
      <c r="A50" s="117" t="s">
        <v>203</v>
      </c>
      <c r="B50" s="10">
        <f t="shared" si="16"/>
        <v>2145331</v>
      </c>
      <c r="C50" s="10">
        <f t="shared" si="16"/>
        <v>2727408</v>
      </c>
      <c r="D50" s="10">
        <f t="shared" si="17"/>
        <v>120567</v>
      </c>
      <c r="E50" s="10">
        <f t="shared" si="17"/>
        <v>141562</v>
      </c>
      <c r="F50" s="10">
        <f t="shared" si="15"/>
        <v>2265898</v>
      </c>
      <c r="G50" s="10">
        <f t="shared" si="15"/>
        <v>2868970</v>
      </c>
      <c r="H50" s="10">
        <f t="shared" si="15"/>
        <v>5134868</v>
      </c>
      <c r="I50" s="107" t="s">
        <v>250</v>
      </c>
    </row>
    <row r="51" spans="1:9" ht="17.149999999999999" customHeight="1" x14ac:dyDescent="0.35">
      <c r="A51" s="117" t="s">
        <v>205</v>
      </c>
      <c r="B51" s="10">
        <f t="shared" si="16"/>
        <v>1975370</v>
      </c>
      <c r="C51" s="10">
        <f t="shared" si="16"/>
        <v>2459472</v>
      </c>
      <c r="D51" s="10">
        <f t="shared" si="17"/>
        <v>68065</v>
      </c>
      <c r="E51" s="10">
        <f t="shared" si="17"/>
        <v>87830</v>
      </c>
      <c r="F51" s="10">
        <f t="shared" si="15"/>
        <v>2043435</v>
      </c>
      <c r="G51" s="10">
        <f t="shared" si="15"/>
        <v>2547302</v>
      </c>
      <c r="H51" s="10">
        <f t="shared" si="15"/>
        <v>4590737</v>
      </c>
      <c r="I51" s="107" t="s">
        <v>206</v>
      </c>
    </row>
    <row r="52" spans="1:9" ht="17.149999999999999" customHeight="1" x14ac:dyDescent="0.35">
      <c r="A52" s="117" t="s">
        <v>207</v>
      </c>
      <c r="B52" s="10">
        <f t="shared" si="16"/>
        <v>1343806</v>
      </c>
      <c r="C52" s="10">
        <f t="shared" si="16"/>
        <v>1737501</v>
      </c>
      <c r="D52" s="10">
        <f t="shared" si="17"/>
        <v>67842</v>
      </c>
      <c r="E52" s="10">
        <f t="shared" si="17"/>
        <v>91899</v>
      </c>
      <c r="F52" s="10">
        <f t="shared" si="15"/>
        <v>1411648</v>
      </c>
      <c r="G52" s="10">
        <f t="shared" si="15"/>
        <v>1829400</v>
      </c>
      <c r="H52" s="10">
        <f t="shared" si="15"/>
        <v>3241048</v>
      </c>
      <c r="I52" s="107" t="s">
        <v>251</v>
      </c>
    </row>
    <row r="53" spans="1:9" ht="17.149999999999999" customHeight="1" x14ac:dyDescent="0.35">
      <c r="A53" s="117" t="s">
        <v>209</v>
      </c>
      <c r="B53" s="10">
        <f t="shared" si="16"/>
        <v>1524822</v>
      </c>
      <c r="C53" s="10">
        <f t="shared" si="16"/>
        <v>2114629</v>
      </c>
      <c r="D53" s="10">
        <f t="shared" si="17"/>
        <v>97412</v>
      </c>
      <c r="E53" s="10">
        <f t="shared" si="17"/>
        <v>132409</v>
      </c>
      <c r="F53" s="10">
        <f t="shared" si="15"/>
        <v>1622234</v>
      </c>
      <c r="G53" s="10">
        <f t="shared" si="15"/>
        <v>2247038</v>
      </c>
      <c r="H53" s="10">
        <f t="shared" si="15"/>
        <v>3869272</v>
      </c>
      <c r="I53" s="107" t="s">
        <v>252</v>
      </c>
    </row>
    <row r="54" spans="1:9" ht="17.149999999999999" customHeight="1" x14ac:dyDescent="0.35">
      <c r="A54" s="117" t="s">
        <v>211</v>
      </c>
      <c r="B54" s="10">
        <f t="shared" si="16"/>
        <v>1540212</v>
      </c>
      <c r="C54" s="10">
        <f t="shared" si="16"/>
        <v>2102224</v>
      </c>
      <c r="D54" s="10">
        <f t="shared" si="17"/>
        <v>28774</v>
      </c>
      <c r="E54" s="10">
        <f t="shared" si="17"/>
        <v>50165</v>
      </c>
      <c r="F54" s="10">
        <f t="shared" si="15"/>
        <v>1568986</v>
      </c>
      <c r="G54" s="10">
        <f t="shared" si="15"/>
        <v>2152389</v>
      </c>
      <c r="H54" s="10">
        <f t="shared" si="15"/>
        <v>3721375</v>
      </c>
      <c r="I54" s="107" t="s">
        <v>151</v>
      </c>
    </row>
    <row r="55" spans="1:9" ht="17.149999999999999" customHeight="1" x14ac:dyDescent="0.35">
      <c r="A55" s="104">
        <v>2023</v>
      </c>
      <c r="B55" s="62">
        <f t="shared" si="16"/>
        <v>1071809</v>
      </c>
      <c r="C55" s="62">
        <f t="shared" si="16"/>
        <v>1513684</v>
      </c>
      <c r="D55" s="62"/>
      <c r="E55" s="62"/>
      <c r="F55" s="62">
        <f t="shared" si="15"/>
        <v>1071809</v>
      </c>
      <c r="G55" s="62">
        <f t="shared" si="15"/>
        <v>1513684</v>
      </c>
      <c r="H55" s="62">
        <f t="shared" si="15"/>
        <v>2585493</v>
      </c>
      <c r="I55" s="128"/>
    </row>
    <row r="56" spans="1:9" ht="17.149999999999999" customHeight="1" x14ac:dyDescent="0.35">
      <c r="A56" s="117" t="s">
        <v>80</v>
      </c>
      <c r="B56" s="10">
        <f t="shared" ref="B56:H56" si="18">SUM(B43:B55)</f>
        <v>13769147</v>
      </c>
      <c r="C56" s="10">
        <f t="shared" si="18"/>
        <v>18848425</v>
      </c>
      <c r="D56" s="10">
        <f t="shared" si="18"/>
        <v>712924</v>
      </c>
      <c r="E56" s="10">
        <f t="shared" si="18"/>
        <v>846295</v>
      </c>
      <c r="F56" s="10">
        <f t="shared" si="18"/>
        <v>14482071</v>
      </c>
      <c r="G56" s="10">
        <f t="shared" si="18"/>
        <v>19694720</v>
      </c>
      <c r="H56" s="10">
        <f t="shared" si="18"/>
        <v>34176791</v>
      </c>
      <c r="I56" s="107"/>
    </row>
  </sheetData>
  <phoneticPr fontId="15" type="noConversion"/>
  <pageMargins left="0.7" right="0.7" top="0.75" bottom="0.75" header="0.3" footer="0.3"/>
  <pageSetup paperSize="9" scale="74" fitToWidth="0" fitToHeight="0" orientation="portrait" verticalDpi="4" r:id="rId1"/>
  <ignoredErrors>
    <ignoredError sqref="A10:C11 A17:A20 A27:A36 A44:A54 A37 A16 A12:A15 C12:C15" numberStoredAsText="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9" ma:contentTypeDescription="Create a new excel document." ma:contentTypeScope="" ma:versionID="430084160d39cd3e7361d92a3c19e45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1e4836933462283fda03e88a80286018"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HFMR37X5V2JZ-1220936107-103339</_dlc_DocId>
    <TaxCatchAll xmlns="78f34e0d-c96b-42b2-99b8-77b844361183">
      <Value>4</Value>
    </TaxCatchAll>
    <_dlc_DocIdUrl xmlns="78f34e0d-c96b-42b2-99b8-77b844361183">
      <Url>https://beisgov.sharepoint.com/sites/SMIP-Benefits-199/_layouts/15/DocIdRedir.aspx?ID=HFMR37X5V2JZ-1220936107-103339</Url>
      <Description>HFMR37X5V2JZ-1220936107-103339</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_Flow_SignoffStatus xmlns="8c06df7e-f5df-4eef-bca1-5efbf40df90c" xsi:nil="true"/>
  </documentManagement>
</p:properties>
</file>

<file path=customXml/itemProps1.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2.xml><?xml version="1.0" encoding="utf-8"?>
<ds:datastoreItem xmlns:ds="http://schemas.openxmlformats.org/officeDocument/2006/customXml" ds:itemID="{3CF4D126-67E7-4A64-98FA-47F84B581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4.xml><?xml version="1.0" encoding="utf-8"?>
<ds:datastoreItem xmlns:ds="http://schemas.openxmlformats.org/officeDocument/2006/customXml" ds:itemID="{BA418B5F-A11A-4FC1-A16B-C7C596AC18D4}">
  <ds:schemaRefs>
    <ds:schemaRef ds:uri="http://schemas.microsoft.com/office/2006/documentManagement/types"/>
    <ds:schemaRef ds:uri="78f34e0d-c96b-42b2-99b8-77b844361183"/>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8c06df7e-f5df-4eef-bca1-5efbf40df9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(Energy Security)</cp:lastModifiedBy>
  <cp:revision/>
  <dcterms:created xsi:type="dcterms:W3CDTF">2016-05-05T14:07:14Z</dcterms:created>
  <dcterms:modified xsi:type="dcterms:W3CDTF">2023-11-28T11:54:10Z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d6a8688e-5f7c-4ae5-8735-403c1619af98</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