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2"/>
  </bookViews>
  <sheets>
    <sheet name="Residual Land Value - Option 1" sheetId="1" r:id="rId1"/>
    <sheet name="Com Sum Calc" sheetId="2" r:id="rId2"/>
    <sheet name="Cashflow - Option 1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<sst xmlns="http://schemas.openxmlformats.org/spreadsheetml/2006/main" count="79" uniqueCount="73">
  <si>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Unit Type</t>
  </si>
  <si>
    <t>OMV Houses for Sale:</t>
  </si>
  <si>
    <t>m2</t>
  </si>
  <si>
    <t>Appraisal Value of Affordable Homes:</t>
  </si>
  <si>
    <t>LESS</t>
  </si>
  <si>
    <t>Sub TOTAL GROSS VALUE</t>
  </si>
  <si>
    <t>Sub TOTAL COSTS</t>
  </si>
  <si>
    <t>Nr.</t>
  </si>
  <si>
    <t>Land</t>
  </si>
  <si>
    <t>CASHFLOW</t>
  </si>
  <si>
    <t>Expenditure:</t>
  </si>
  <si>
    <t>Open Market</t>
  </si>
  <si>
    <t>Affordables</t>
  </si>
  <si>
    <t>Income:</t>
  </si>
  <si>
    <t>D&amp;B + Costs</t>
  </si>
  <si>
    <t>SCHEME VIABILITY APPRAISAL</t>
  </si>
  <si>
    <t>GDV £</t>
  </si>
  <si>
    <t>RESIDUAL LAND VALUE</t>
  </si>
  <si>
    <t>Residential &amp; Commercial - Design &amp; Build Costs (inc Abnormals)</t>
  </si>
  <si>
    <t>£/m2</t>
  </si>
  <si>
    <t>Overheads &amp; Profit (say 6% on GDV for affordables)</t>
  </si>
  <si>
    <t xml:space="preserve">£/Unit </t>
  </si>
  <si>
    <t>Pathfinder</t>
  </si>
  <si>
    <t>Target Value</t>
  </si>
  <si>
    <t>per hectare</t>
  </si>
  <si>
    <t>hec</t>
  </si>
  <si>
    <t>OPTION base</t>
  </si>
  <si>
    <t>Total Income</t>
  </si>
  <si>
    <t>TOTAL BORROWED</t>
  </si>
  <si>
    <t>Interest</t>
  </si>
  <si>
    <t>Sum Interest</t>
  </si>
  <si>
    <t>Total Expenditure</t>
  </si>
  <si>
    <t>Net Borrowing</t>
  </si>
  <si>
    <t>Total Borrowed</t>
  </si>
  <si>
    <t>Land Acq Costs</t>
  </si>
  <si>
    <t>Overheads &amp; Profit (say 17.5% on GDV for private units)</t>
  </si>
  <si>
    <t>SDLT:</t>
  </si>
  <si>
    <t>Up to</t>
  </si>
  <si>
    <t> £         150,000 </t>
  </si>
  <si>
    <t>  £          -    </t>
  </si>
  <si>
    <t>next </t>
  </si>
  <si>
    <t> £         100,000 </t>
  </si>
  <si>
    <t>over </t>
  </si>
  <si>
    <t>Total</t>
  </si>
  <si>
    <t>Site Acquisition Costs (SDLT, Agents Fees &amp; Legal Fees 1.5%)</t>
  </si>
  <si>
    <t>Marketing &amp; Sales Costs (£600 legals per property plus 0.5% Agent Fees)</t>
  </si>
  <si>
    <t>3B6PB</t>
  </si>
  <si>
    <t>Marketing &amp; Sales Costs (£1,000 legals plus 2.5% GDV on private units)</t>
  </si>
  <si>
    <t xml:space="preserve">S106  Contributions </t>
  </si>
  <si>
    <t>Stanstead</t>
  </si>
  <si>
    <t>5Nr Dwellings Eastfield Stables, Elsenham Road, Stansted</t>
  </si>
  <si>
    <t>1st November 2023</t>
  </si>
  <si>
    <t>Finance Costs 7.5%</t>
  </si>
  <si>
    <t>Interest 7.5%</t>
  </si>
  <si>
    <t>3 homes for market sale 2 for affordable</t>
  </si>
  <si>
    <t>2BB</t>
  </si>
  <si>
    <t>3BB</t>
  </si>
  <si>
    <t>Total cost</t>
  </si>
  <si>
    <t>Total Cost</t>
  </si>
  <si>
    <t>with AH</t>
  </si>
  <si>
    <t>all MV</t>
  </si>
  <si>
    <t>Additional Developer cost</t>
  </si>
  <si>
    <t>Commuted Sum</t>
  </si>
  <si>
    <t>MV per home</t>
  </si>
  <si>
    <t>less AH fees at 7% of value</t>
  </si>
  <si>
    <t>Affordable Housing Contribution calculation:</t>
  </si>
  <si>
    <t>Total MV (2 homes)</t>
  </si>
  <si>
    <t>less AH value</t>
  </si>
  <si>
    <t>Commuted sum equals:</t>
  </si>
  <si>
    <t>MV of homes which are able to be sold on open market</t>
  </si>
  <si>
    <t>less value of them as affordable housing</t>
  </si>
  <si>
    <t>Less RP acquisition fees</t>
  </si>
  <si>
    <t>Less the additional cost to the developer ofthoes homes being opoen market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</si>
</sst>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.00"/>
    <numFmt numFmtId="173" formatCode="0.0"/>
    <numFmt numFmtId="174" formatCode="_-* #,##0_-;\-* #,##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£&quot;#,##0"/>
    <numFmt numFmtId="180" formatCode="0.0000"/>
    <numFmt numFmtId="181" formatCode="0.000"/>
    <numFmt numFmtId="182" formatCode="#,##0.000"/>
    <numFmt numFmtId="183" formatCode="_-&quot;£&quot;* #,##0_-;\-&quot;£&quot;* #,##0_-;_-&quot;£&quot;* &quot;-&quot;??_-;_-@_-"/>
    <numFmt numFmtId="184" formatCode="#,##0.00_);\(#,##0.00\);\-_)"/>
    <numFmt numFmtId="185" formatCode="#,##0.00_);[Red]\(#,##0.00\);\-_)"/>
    <numFmt numFmtId="186" formatCode="#,##0.000000_);\(#,##0.000000\)"/>
    <numFmt numFmtId="187" formatCode="&quot;£&quot;#,##0.00_);[Red]\(&quot;£&quot;#,##0.00\);&quot;£&quot;\-_)"/>
    <numFmt numFmtId="188" formatCode="&quot;£&quot;#,##0_);[Red]\(&quot;£&quot;#,##0\);&quot;£&quot;\-_)"/>
    <numFmt numFmtId="189" formatCode="#,##0_);[Red]\(#,##0\);\-_)"/>
    <numFmt numFmtId="190" formatCode="#,##0_ ;\-#,##0\ "/>
    <numFmt numFmtId="191" formatCode="0.0%"/>
    <numFmt numFmtId="192" formatCode="_-&quot;£&quot;* #,##0.000_-;\-&quot;£&quot;* #,##0.000_-;_-&quot;£&quot;* &quot;-&quot;??_-;_-@_-"/>
    <numFmt numFmtId="193" formatCode="_-&quot;£&quot;* #,##0.0000_-;\-&quot;£&quot;* #,##0.0000_-;_-&quot;£&quot;* &quot;-&quot;??_-;_-@_-"/>
    <numFmt numFmtId="194" formatCode="_-&quot;£&quot;* #,##0.0_-;\-&quot;£&quot;* #,##0.0_-;_-&quot;£&quot;* &quot;-&quot;??_-;_-@_-"/>
    <numFmt numFmtId="195" formatCode="\“\T\r\ue\”;\“\T\r\ue\”;\“\F\a\lse\”"/>
    <numFmt numFmtId="196" formatCode="&quot;£&quot;#,##0.0"/>
    <numFmt numFmtId="197" formatCode="&quot;£&quot;#,##0.0000"/>
  </numFmts>
  <fonts count="5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venir Book"/>
      <family val="2"/>
    </font>
    <font>
      <b/>
      <sz val="10"/>
      <name val="Avenir Book"/>
      <family val="2"/>
    </font>
    <font>
      <sz val="10"/>
      <name val="Avenir Book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venir Book"/>
      <family val="2"/>
    </font>
    <font>
      <sz val="10"/>
      <color indexed="10"/>
      <name val="Avenir Book"/>
      <family val="2"/>
    </font>
    <font>
      <sz val="10"/>
      <color indexed="10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venir Book"/>
      <family val="2"/>
    </font>
    <font>
      <sz val="10"/>
      <color rgb="FFFF0000"/>
      <name val="Avenir Book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9" fontId="5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52" fillId="0" borderId="0" xfId="0" applyNumberFormat="1" applyFont="1" applyBorder="1" applyAlignment="1">
      <alignment/>
    </xf>
    <xf numFmtId="172" fontId="52" fillId="0" borderId="0" xfId="0" applyNumberFormat="1" applyFont="1" applyAlignment="1">
      <alignment horizontal="right"/>
    </xf>
    <xf numFmtId="172" fontId="52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5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2" fillId="0" borderId="0" xfId="0" applyNumberFormat="1" applyFont="1" applyAlignment="1">
      <alignment/>
    </xf>
    <xf numFmtId="14" fontId="51" fillId="0" borderId="0" xfId="0" applyNumberFormat="1" applyFont="1" applyAlignment="1">
      <alignment horizontal="right"/>
    </xf>
    <xf numFmtId="183" fontId="6" fillId="0" borderId="0" xfId="45" applyNumberFormat="1" applyFont="1" applyAlignment="1">
      <alignment horizontal="right"/>
    </xf>
    <xf numFmtId="9" fontId="4" fillId="0" borderId="0" xfId="60" applyFont="1" applyAlignment="1">
      <alignment/>
    </xf>
    <xf numFmtId="8" fontId="5" fillId="0" borderId="0" xfId="0" applyNumberFormat="1" applyFont="1" applyAlignment="1">
      <alignment/>
    </xf>
    <xf numFmtId="0" fontId="5" fillId="32" borderId="0" xfId="0" applyFont="1" applyFill="1" applyAlignment="1">
      <alignment/>
    </xf>
    <xf numFmtId="172" fontId="5" fillId="32" borderId="0" xfId="0" applyNumberFormat="1" applyFont="1" applyFill="1" applyAlignment="1">
      <alignment/>
    </xf>
    <xf numFmtId="44" fontId="6" fillId="0" borderId="0" xfId="45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172" fontId="6" fillId="0" borderId="11" xfId="0" applyNumberFormat="1" applyFont="1" applyBorder="1" applyAlignment="1">
      <alignment wrapText="1"/>
    </xf>
    <xf numFmtId="172" fontId="6" fillId="0" borderId="12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52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44" fontId="7" fillId="0" borderId="0" xfId="45" applyFont="1" applyAlignment="1">
      <alignment/>
    </xf>
    <xf numFmtId="179" fontId="7" fillId="0" borderId="0" xfId="45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5</xdr:row>
      <xdr:rowOff>0</xdr:rowOff>
    </xdr:to>
    <xdr:pic>
      <xdr:nvPicPr>
        <xdr:cNvPr id="1" name="Content Placeholder 3"/>
        <xdr:cNvPicPr preferRelativeResize="1">
          <a:picLocks noChangeAspect="1"/>
        </xdr:cNvPicPr>
      </xdr:nvPicPr>
      <xdr:blipFill>
        <a:blip r:embed="rId1"/>
        <a:srcRect t="8590" b="8590"/>
        <a:stretch>
          <a:fillRect/>
        </a:stretch>
      </xdr:blipFill>
      <xdr:spPr>
        <a:xfrm>
          <a:off x="0" y="0"/>
          <a:ext cx="1209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4:M62"/>
  <sheetViews>
    <sheetView zoomScalePageLayoutView="0" workbookViewId="0" topLeftCell="A24">
      <selection activeCell="I49" sqref="I49"/>
    </sheetView>
  </sheetViews>
  <sheetFormatPr defaultColWidth="11.421875" defaultRowHeight="12.75"/>
  <cols>
    <col min="1" max="1" width="8.7109375" style="1" customWidth="1"/>
    <col min="2" max="2" width="12.7109375" style="1" bestFit="1" customWidth="1"/>
    <col min="3" max="3" width="11.8515625" style="6" customWidth="1"/>
    <col min="4" max="4" width="9.8515625" style="3" customWidth="1"/>
    <col min="5" max="5" width="15.28125" style="3" customWidth="1"/>
    <col min="6" max="7" width="15.7109375" style="3" customWidth="1"/>
    <col min="8" max="8" width="15.140625" style="3" customWidth="1"/>
    <col min="9" max="16384" width="11.421875" style="3" customWidth="1"/>
  </cols>
  <sheetData>
    <row r="1" ht="11.25"/>
    <row r="2" ht="11.25"/>
    <row r="3" ht="11.25"/>
    <row r="4" spans="1:3" s="2" customFormat="1" ht="12.75">
      <c r="A4" s="11"/>
      <c r="B4" s="7"/>
      <c r="C4" s="5"/>
    </row>
    <row r="5" spans="1:3" s="2" customFormat="1" ht="11.25">
      <c r="A5" s="7"/>
      <c r="B5" s="7"/>
      <c r="C5" s="5"/>
    </row>
    <row r="6" spans="1:7" s="2" customFormat="1" ht="12.75">
      <c r="A6" s="11" t="s">
        <v>15</v>
      </c>
      <c r="B6" s="11"/>
      <c r="C6" s="12"/>
      <c r="D6" s="13"/>
      <c r="E6" s="63" t="s">
        <v>50</v>
      </c>
      <c r="F6" s="13"/>
      <c r="G6" s="13"/>
    </row>
    <row r="7" spans="1:7" s="2" customFormat="1" ht="12.75">
      <c r="A7" s="11"/>
      <c r="B7" s="11"/>
      <c r="C7" s="12"/>
      <c r="D7" s="13"/>
      <c r="E7" s="15" t="s">
        <v>54</v>
      </c>
      <c r="F7" s="38"/>
      <c r="G7" s="13"/>
    </row>
    <row r="8" spans="1:7" s="2" customFormat="1" ht="12.75">
      <c r="A8" s="11" t="s">
        <v>1</v>
      </c>
      <c r="B8" s="11"/>
      <c r="C8" s="12"/>
      <c r="D8" s="13"/>
      <c r="E8" s="14" t="s">
        <v>51</v>
      </c>
      <c r="F8" s="13"/>
      <c r="G8" s="13"/>
    </row>
    <row r="9" spans="1:7" s="2" customFormat="1" ht="12.75">
      <c r="A9" s="11"/>
      <c r="B9" s="11"/>
      <c r="C9" s="12"/>
      <c r="D9" s="13"/>
      <c r="E9" s="13"/>
      <c r="F9" s="13"/>
      <c r="G9" s="13"/>
    </row>
    <row r="10" spans="1:7" s="2" customFormat="1" ht="12.75">
      <c r="A10" s="16" t="s">
        <v>7</v>
      </c>
      <c r="B10" s="16" t="s">
        <v>0</v>
      </c>
      <c r="C10" s="17" t="s">
        <v>2</v>
      </c>
      <c r="D10" s="18" t="s">
        <v>19</v>
      </c>
      <c r="E10" s="18" t="s">
        <v>21</v>
      </c>
      <c r="F10" s="18" t="s">
        <v>16</v>
      </c>
      <c r="G10" s="13"/>
    </row>
    <row r="11" spans="1:7" ht="12.75">
      <c r="A11" s="19"/>
      <c r="B11" s="19"/>
      <c r="C11" s="20"/>
      <c r="D11" s="19"/>
      <c r="E11" s="21"/>
      <c r="F11" s="22"/>
      <c r="G11" s="22"/>
    </row>
    <row r="12" spans="1:7" ht="12.75">
      <c r="A12">
        <v>3</v>
      </c>
      <c r="B12" s="61" t="s">
        <v>46</v>
      </c>
      <c r="C12" s="62">
        <v>229</v>
      </c>
      <c r="D12" s="25">
        <v>5450</v>
      </c>
      <c r="E12" s="26">
        <f>C12*D12</f>
        <v>1248050</v>
      </c>
      <c r="F12" s="25">
        <f aca="true" t="shared" si="0" ref="F12:F19">E12*A12</f>
        <v>3744150</v>
      </c>
      <c r="G12" s="22"/>
    </row>
    <row r="13" spans="1:7" ht="12.75">
      <c r="A13" s="19"/>
      <c r="B13" s="19"/>
      <c r="C13" s="24">
        <v>0</v>
      </c>
      <c r="D13" s="25">
        <v>0</v>
      </c>
      <c r="E13" s="26">
        <f aca="true" t="shared" si="1" ref="E13:E18">C13*10.7639*D13</f>
        <v>0</v>
      </c>
      <c r="F13" s="25">
        <f t="shared" si="0"/>
        <v>0</v>
      </c>
      <c r="G13" s="22"/>
    </row>
    <row r="14" spans="1:7" ht="12.75">
      <c r="A14" s="19"/>
      <c r="B14" s="19"/>
      <c r="C14" s="24">
        <v>0</v>
      </c>
      <c r="D14" s="25">
        <v>0</v>
      </c>
      <c r="E14" s="26">
        <f t="shared" si="1"/>
        <v>0</v>
      </c>
      <c r="F14" s="25">
        <f t="shared" si="0"/>
        <v>0</v>
      </c>
      <c r="G14" s="22"/>
    </row>
    <row r="15" spans="1:7" ht="12.75">
      <c r="A15" s="19"/>
      <c r="B15" s="19"/>
      <c r="C15" s="24">
        <v>0</v>
      </c>
      <c r="D15" s="25">
        <v>0</v>
      </c>
      <c r="E15" s="26">
        <f t="shared" si="1"/>
        <v>0</v>
      </c>
      <c r="F15" s="25">
        <f t="shared" si="0"/>
        <v>0</v>
      </c>
      <c r="G15" s="22"/>
    </row>
    <row r="16" spans="1:7" ht="12.75">
      <c r="A16" s="19"/>
      <c r="B16" s="19"/>
      <c r="C16" s="24">
        <v>0</v>
      </c>
      <c r="D16" s="25">
        <v>0</v>
      </c>
      <c r="E16" s="26">
        <f t="shared" si="1"/>
        <v>0</v>
      </c>
      <c r="F16" s="25">
        <f t="shared" si="0"/>
        <v>0</v>
      </c>
      <c r="G16" s="22"/>
    </row>
    <row r="17" spans="1:7" ht="12.75">
      <c r="A17" s="19"/>
      <c r="B17" s="19"/>
      <c r="C17" s="24">
        <v>0</v>
      </c>
      <c r="D17" s="25">
        <v>0</v>
      </c>
      <c r="E17" s="26">
        <f t="shared" si="1"/>
        <v>0</v>
      </c>
      <c r="F17" s="25">
        <f t="shared" si="0"/>
        <v>0</v>
      </c>
      <c r="G17" s="22"/>
    </row>
    <row r="18" spans="1:7" ht="12.75">
      <c r="A18" s="19"/>
      <c r="B18" s="19"/>
      <c r="C18" s="24">
        <v>0</v>
      </c>
      <c r="D18" s="25">
        <v>0</v>
      </c>
      <c r="E18" s="26">
        <f t="shared" si="1"/>
        <v>0</v>
      </c>
      <c r="F18" s="25">
        <f t="shared" si="0"/>
        <v>0</v>
      </c>
      <c r="G18" s="22"/>
    </row>
    <row r="19" spans="1:7" ht="12.75">
      <c r="A19" s="19"/>
      <c r="B19" s="19"/>
      <c r="C19" s="24">
        <v>0</v>
      </c>
      <c r="D19" s="25">
        <v>0</v>
      </c>
      <c r="E19" s="26">
        <f>C19*10.76*D19</f>
        <v>0</v>
      </c>
      <c r="F19" s="25">
        <f t="shared" si="0"/>
        <v>0</v>
      </c>
      <c r="G19" s="22"/>
    </row>
    <row r="20" spans="1:7" ht="12.75">
      <c r="A20" s="19"/>
      <c r="B20" s="19"/>
      <c r="C20" s="20"/>
      <c r="D20" s="28"/>
      <c r="E20" s="21"/>
      <c r="F20" s="28"/>
      <c r="G20" s="22"/>
    </row>
    <row r="21" spans="1:7" ht="12.75">
      <c r="A21" s="19"/>
      <c r="B21" s="19"/>
      <c r="C21" s="20"/>
      <c r="D21" s="28"/>
      <c r="E21" s="21"/>
      <c r="F21" s="28"/>
      <c r="G21" s="22"/>
    </row>
    <row r="22" spans="1:7" s="4" customFormat="1" ht="12.75">
      <c r="A22" s="16">
        <f>SUM(A12:A21)</f>
        <v>3</v>
      </c>
      <c r="B22" s="16"/>
      <c r="C22" s="17">
        <f>A12*C12+A13*C13+A14*C14+A15*C15+A16*C16+A17*C17+A18*C18</f>
        <v>687</v>
      </c>
      <c r="D22" s="18"/>
      <c r="E22" s="18"/>
      <c r="F22" s="29">
        <f>SUM(F12:F21)</f>
        <v>3744150</v>
      </c>
      <c r="G22" s="18"/>
    </row>
    <row r="23" spans="1:7" ht="12.75">
      <c r="A23" s="19"/>
      <c r="B23" s="19"/>
      <c r="C23" s="17"/>
      <c r="D23" s="22"/>
      <c r="E23" s="29"/>
      <c r="F23" s="22"/>
      <c r="G23" s="22"/>
    </row>
    <row r="24" spans="1:7" ht="12.75">
      <c r="A24" s="11" t="s">
        <v>3</v>
      </c>
      <c r="B24" s="19"/>
      <c r="C24" s="20"/>
      <c r="D24" s="22"/>
      <c r="E24" s="30"/>
      <c r="F24" s="22"/>
      <c r="G24" s="22"/>
    </row>
    <row r="25" spans="1:7" ht="12.75">
      <c r="A25" s="19"/>
      <c r="B25" s="19"/>
      <c r="C25" s="20"/>
      <c r="D25" s="22"/>
      <c r="E25" s="30"/>
      <c r="F25" s="22"/>
      <c r="G25" s="22"/>
    </row>
    <row r="26" spans="1:7" ht="12.75">
      <c r="A26" s="16" t="s">
        <v>7</v>
      </c>
      <c r="B26" s="16" t="s">
        <v>0</v>
      </c>
      <c r="C26" s="17" t="s">
        <v>2</v>
      </c>
      <c r="D26" s="18" t="s">
        <v>19</v>
      </c>
      <c r="E26" s="18" t="s">
        <v>21</v>
      </c>
      <c r="F26" s="18" t="s">
        <v>16</v>
      </c>
      <c r="G26" s="22"/>
    </row>
    <row r="27" spans="1:7" ht="12.75">
      <c r="A27" s="11"/>
      <c r="B27" s="19"/>
      <c r="C27" s="20"/>
      <c r="D27" s="19"/>
      <c r="E27" s="21"/>
      <c r="F27" s="22"/>
      <c r="G27" s="22"/>
    </row>
    <row r="28" spans="1:7" ht="12.75">
      <c r="A28" s="27">
        <v>1</v>
      </c>
      <c r="B28" s="23" t="s">
        <v>55</v>
      </c>
      <c r="C28" s="24">
        <v>70</v>
      </c>
      <c r="D28" s="25">
        <f>D12*50%</f>
        <v>2725</v>
      </c>
      <c r="E28" s="26">
        <f>C28*D28</f>
        <v>190750</v>
      </c>
      <c r="F28" s="26">
        <f>E28*A28</f>
        <v>190750</v>
      </c>
      <c r="G28" s="22"/>
    </row>
    <row r="29" spans="1:7" ht="12.75">
      <c r="A29" s="27">
        <v>1</v>
      </c>
      <c r="B29" s="23" t="s">
        <v>56</v>
      </c>
      <c r="C29" s="24">
        <v>86</v>
      </c>
      <c r="D29" s="25">
        <f>D12*50%</f>
        <v>2725</v>
      </c>
      <c r="E29" s="26">
        <f>C29*D29</f>
        <v>234350</v>
      </c>
      <c r="F29" s="26">
        <f>E29*A29</f>
        <v>234350</v>
      </c>
      <c r="G29" s="22"/>
    </row>
    <row r="30" spans="1:7" ht="12.75">
      <c r="A30" s="27"/>
      <c r="B30" s="23"/>
      <c r="C30" s="24">
        <v>0</v>
      </c>
      <c r="D30" s="25">
        <v>0</v>
      </c>
      <c r="E30" s="26">
        <f>C30*D30</f>
        <v>0</v>
      </c>
      <c r="F30" s="26">
        <f>E30*A30</f>
        <v>0</v>
      </c>
      <c r="G30" s="22"/>
    </row>
    <row r="31" spans="1:7" ht="12.75">
      <c r="A31" s="27"/>
      <c r="B31" s="23"/>
      <c r="C31" s="24">
        <v>0</v>
      </c>
      <c r="D31" s="25">
        <v>0</v>
      </c>
      <c r="E31" s="26">
        <f>C31*D31</f>
        <v>0</v>
      </c>
      <c r="F31" s="26">
        <f>E31*A31</f>
        <v>0</v>
      </c>
      <c r="G31" s="22"/>
    </row>
    <row r="32" spans="1:7" ht="12.75">
      <c r="A32" s="27"/>
      <c r="B32" s="23"/>
      <c r="C32" s="24">
        <v>0</v>
      </c>
      <c r="D32" s="25">
        <v>0</v>
      </c>
      <c r="E32" s="26">
        <f>C32*D32</f>
        <v>0</v>
      </c>
      <c r="F32" s="26">
        <f>E32*A32</f>
        <v>0</v>
      </c>
      <c r="G32" s="22"/>
    </row>
    <row r="33" spans="1:10" s="4" customFormat="1" ht="12.75">
      <c r="A33" s="16">
        <f>SUM(A28:A32)</f>
        <v>2</v>
      </c>
      <c r="B33" s="16"/>
      <c r="C33" s="17">
        <f>A29*C29+A31*C31+A32*C32+A28*C28+A30*C30</f>
        <v>156</v>
      </c>
      <c r="D33" s="18"/>
      <c r="E33" s="18"/>
      <c r="F33" s="29">
        <f>SUM(F28:F32)</f>
        <v>425100</v>
      </c>
      <c r="G33" s="18"/>
      <c r="H33" s="3"/>
      <c r="I33" s="3"/>
      <c r="J33" s="3"/>
    </row>
    <row r="34" spans="1:10" s="4" customFormat="1" ht="12.75">
      <c r="A34" s="16"/>
      <c r="B34" s="16"/>
      <c r="C34" s="17"/>
      <c r="D34" s="18"/>
      <c r="E34" s="29"/>
      <c r="F34" s="18"/>
      <c r="G34" s="18"/>
      <c r="H34" s="3"/>
      <c r="I34" s="3"/>
      <c r="J34" s="3"/>
    </row>
    <row r="35" spans="1:10" s="4" customFormat="1" ht="12.75">
      <c r="A35" s="16"/>
      <c r="B35" s="16"/>
      <c r="C35" s="17"/>
      <c r="D35" s="18"/>
      <c r="E35" s="29"/>
      <c r="F35" s="18"/>
      <c r="G35" s="18"/>
      <c r="H35" s="3"/>
      <c r="I35" s="3"/>
      <c r="J35" s="3"/>
    </row>
    <row r="36" spans="1:7" ht="12.75">
      <c r="A36" s="16" t="s">
        <v>5</v>
      </c>
      <c r="B36" s="19"/>
      <c r="C36" s="20"/>
      <c r="D36" s="22"/>
      <c r="E36" s="22"/>
      <c r="F36" s="31">
        <f>F22+F33</f>
        <v>4169250</v>
      </c>
      <c r="G36" s="22"/>
    </row>
    <row r="37" spans="1:7" ht="12.75">
      <c r="A37" s="19"/>
      <c r="B37" s="19"/>
      <c r="C37" s="20"/>
      <c r="D37" s="22"/>
      <c r="E37" s="22"/>
      <c r="F37" s="22"/>
      <c r="G37" s="22"/>
    </row>
    <row r="38" spans="1:13" ht="12.75">
      <c r="A38" s="16" t="s">
        <v>4</v>
      </c>
      <c r="B38" s="19"/>
      <c r="C38" s="20"/>
      <c r="D38" s="22"/>
      <c r="E38" s="22"/>
      <c r="F38" s="22"/>
      <c r="G38" s="22"/>
      <c r="K38" s="9"/>
      <c r="L38" s="9"/>
      <c r="M38" s="9"/>
    </row>
    <row r="39" spans="1:13" ht="12.75">
      <c r="A39" s="19"/>
      <c r="B39" s="19"/>
      <c r="C39" s="20"/>
      <c r="D39" s="22"/>
      <c r="E39" s="22"/>
      <c r="F39" s="22"/>
      <c r="G39" s="22"/>
      <c r="H39" s="9"/>
      <c r="K39" s="9"/>
      <c r="L39" s="9"/>
      <c r="M39" s="9"/>
    </row>
    <row r="40" spans="1:13" ht="12.75">
      <c r="A40" s="19" t="s">
        <v>18</v>
      </c>
      <c r="B40" s="19"/>
      <c r="C40" s="20"/>
      <c r="D40" s="22"/>
      <c r="E40" s="22"/>
      <c r="F40" s="32">
        <v>2907551</v>
      </c>
      <c r="G40" s="22"/>
      <c r="H40" s="9"/>
      <c r="J40" s="9"/>
      <c r="K40" s="9"/>
      <c r="L40" s="9"/>
      <c r="M40" s="9"/>
    </row>
    <row r="41" spans="1:13" ht="12.75">
      <c r="A41" s="19" t="s">
        <v>48</v>
      </c>
      <c r="B41" s="19"/>
      <c r="C41" s="19"/>
      <c r="D41" s="22"/>
      <c r="E41" s="22"/>
      <c r="F41" s="33">
        <v>50000</v>
      </c>
      <c r="G41" s="22"/>
      <c r="H41" s="9"/>
      <c r="I41" s="10"/>
      <c r="J41" s="9"/>
      <c r="K41" s="9"/>
      <c r="L41" s="9"/>
      <c r="M41" s="9"/>
    </row>
    <row r="42" spans="1:13" ht="12.75">
      <c r="A42" s="19" t="s">
        <v>45</v>
      </c>
      <c r="B42" s="19"/>
      <c r="C42" s="20"/>
      <c r="D42" s="22"/>
      <c r="E42" s="22"/>
      <c r="F42" s="33">
        <f>(A33*600)+(F33*0.5%)</f>
        <v>3325.5</v>
      </c>
      <c r="G42" s="22"/>
      <c r="H42" s="9"/>
      <c r="I42" s="9"/>
      <c r="J42" s="9"/>
      <c r="K42" s="9"/>
      <c r="L42" s="9"/>
      <c r="M42" s="9"/>
    </row>
    <row r="43" spans="1:13" ht="12.75">
      <c r="A43" s="19" t="s">
        <v>47</v>
      </c>
      <c r="B43" s="19"/>
      <c r="C43" s="20"/>
      <c r="D43" s="22"/>
      <c r="E43" s="22"/>
      <c r="F43" s="33">
        <f>SUM(F22*2.5%)+A22*1000</f>
        <v>96603.75</v>
      </c>
      <c r="G43" s="22"/>
      <c r="H43" s="9"/>
      <c r="I43" s="9"/>
      <c r="J43" s="9"/>
      <c r="K43" s="9"/>
      <c r="L43" s="9"/>
      <c r="M43" s="9"/>
    </row>
    <row r="44" spans="1:13" ht="12.75">
      <c r="A44" s="19" t="s">
        <v>44</v>
      </c>
      <c r="B44" s="19"/>
      <c r="C44" s="20"/>
      <c r="D44" s="22"/>
      <c r="E44" s="22"/>
      <c r="F44" s="33">
        <f>D62+(G55*1.5%)</f>
        <v>45270</v>
      </c>
      <c r="G44" s="22"/>
      <c r="H44" s="9"/>
      <c r="I44" s="9"/>
      <c r="J44" s="9"/>
      <c r="K44" s="9"/>
      <c r="L44" s="9"/>
      <c r="M44" s="9"/>
    </row>
    <row r="45" spans="1:13" ht="12.75">
      <c r="A45" s="19" t="s">
        <v>20</v>
      </c>
      <c r="B45" s="19"/>
      <c r="C45" s="20"/>
      <c r="D45" s="22"/>
      <c r="E45" s="22"/>
      <c r="F45" s="33">
        <f>F33*6%</f>
        <v>25506</v>
      </c>
      <c r="G45" s="22"/>
      <c r="H45" s="9"/>
      <c r="I45" s="9"/>
      <c r="J45" s="9"/>
      <c r="K45" s="9"/>
      <c r="L45" s="9"/>
      <c r="M45" s="9"/>
    </row>
    <row r="46" spans="1:13" ht="12.75">
      <c r="A46" s="19" t="s">
        <v>35</v>
      </c>
      <c r="B46" s="19"/>
      <c r="C46" s="20"/>
      <c r="D46" s="22"/>
      <c r="E46" s="22"/>
      <c r="F46" s="33">
        <f>F22*17.5%</f>
        <v>655226.25</v>
      </c>
      <c r="G46" s="22"/>
      <c r="H46" s="9"/>
      <c r="I46" s="9"/>
      <c r="J46" s="9"/>
      <c r="K46" s="9"/>
      <c r="L46" s="9"/>
      <c r="M46" s="9"/>
    </row>
    <row r="47" spans="1:13" ht="12.75">
      <c r="A47" s="19"/>
      <c r="B47" s="19"/>
      <c r="C47" s="20"/>
      <c r="D47" s="22"/>
      <c r="E47" s="22"/>
      <c r="F47" s="29">
        <f>SUM(F40:F46)</f>
        <v>3783482.5</v>
      </c>
      <c r="G47" s="22"/>
      <c r="H47" s="9"/>
      <c r="I47" s="9"/>
      <c r="J47" s="9"/>
      <c r="K47" s="9"/>
      <c r="L47" s="9"/>
      <c r="M47" s="9"/>
    </row>
    <row r="48" spans="1:13" ht="12.75">
      <c r="A48" s="19"/>
      <c r="B48" s="19"/>
      <c r="C48" s="20"/>
      <c r="D48" s="22"/>
      <c r="E48" s="22"/>
      <c r="F48" s="33"/>
      <c r="G48" s="22"/>
      <c r="H48" s="9"/>
      <c r="I48" s="9"/>
      <c r="J48" s="9"/>
      <c r="K48" s="9"/>
      <c r="L48" s="9"/>
      <c r="M48" s="9"/>
    </row>
    <row r="49" spans="1:13" ht="12.75">
      <c r="A49" s="19" t="s">
        <v>52</v>
      </c>
      <c r="B49" s="19"/>
      <c r="C49" s="20"/>
      <c r="D49" s="22"/>
      <c r="E49" s="22"/>
      <c r="F49" s="33">
        <f>'Cashflow - Option 1'!T22</f>
        <v>202956.11391356567</v>
      </c>
      <c r="G49" s="22"/>
      <c r="H49" s="9"/>
      <c r="I49" s="9"/>
      <c r="J49" s="9"/>
      <c r="K49" s="10"/>
      <c r="L49" s="10"/>
      <c r="M49" s="9"/>
    </row>
    <row r="50" spans="1:13" ht="12.75">
      <c r="A50" s="19"/>
      <c r="B50" s="19"/>
      <c r="C50" s="20"/>
      <c r="D50" s="22"/>
      <c r="E50" s="22"/>
      <c r="F50" s="22"/>
      <c r="G50" s="22"/>
      <c r="H50" s="9"/>
      <c r="I50" s="9"/>
      <c r="J50" s="10"/>
      <c r="K50" s="9"/>
      <c r="L50" s="9"/>
      <c r="M50" s="9"/>
    </row>
    <row r="51" spans="1:13" ht="12.75">
      <c r="A51" s="16" t="s">
        <v>6</v>
      </c>
      <c r="B51" s="19"/>
      <c r="C51" s="20"/>
      <c r="D51" s="22"/>
      <c r="E51" s="22"/>
      <c r="F51" s="31">
        <f>SUM(F47:F50)</f>
        <v>3986438.613913566</v>
      </c>
      <c r="G51" s="22"/>
      <c r="H51" s="9"/>
      <c r="I51" s="9"/>
      <c r="J51" s="9"/>
      <c r="K51" s="9"/>
      <c r="L51" s="9"/>
      <c r="M51" s="9"/>
    </row>
    <row r="52" spans="1:13" ht="12.75">
      <c r="A52" s="19"/>
      <c r="B52" s="19"/>
      <c r="C52" s="20"/>
      <c r="D52" s="22"/>
      <c r="E52" s="22"/>
      <c r="F52" s="22"/>
      <c r="G52" s="22"/>
      <c r="H52" s="9"/>
      <c r="I52" s="9"/>
      <c r="J52" s="9"/>
      <c r="K52" s="9"/>
      <c r="L52" s="9"/>
      <c r="M52" s="9"/>
    </row>
    <row r="53" spans="1:13" ht="12.75">
      <c r="A53" s="11" t="s">
        <v>17</v>
      </c>
      <c r="B53" s="19"/>
      <c r="C53" s="20"/>
      <c r="D53" s="22"/>
      <c r="E53" s="22"/>
      <c r="F53" s="22"/>
      <c r="G53" s="34">
        <f>F36-F51</f>
        <v>182811.38608643413</v>
      </c>
      <c r="H53" s="9"/>
      <c r="I53" s="9"/>
      <c r="J53" s="9"/>
      <c r="K53" s="9"/>
      <c r="L53" s="10"/>
      <c r="M53" s="9"/>
    </row>
    <row r="54" spans="1:13" ht="12.75">
      <c r="A54" s="19"/>
      <c r="B54" s="19"/>
      <c r="C54" s="20"/>
      <c r="D54" s="22"/>
      <c r="E54" s="22"/>
      <c r="F54" s="22"/>
      <c r="G54" s="22"/>
      <c r="H54" s="9"/>
      <c r="I54" s="9"/>
      <c r="J54" s="9"/>
      <c r="K54" s="9"/>
      <c r="L54" s="9"/>
      <c r="M54" s="9"/>
    </row>
    <row r="55" spans="1:10" ht="12.75">
      <c r="A55" s="11" t="s">
        <v>23</v>
      </c>
      <c r="B55" s="19"/>
      <c r="C55" s="20" t="s">
        <v>24</v>
      </c>
      <c r="D55" s="22" t="s">
        <v>25</v>
      </c>
      <c r="E55" s="22"/>
      <c r="F55" s="22"/>
      <c r="G55" s="34">
        <f>C56*D56</f>
        <v>858000</v>
      </c>
      <c r="H55" s="9"/>
      <c r="I55" s="9"/>
      <c r="J55" s="9"/>
    </row>
    <row r="56" spans="1:8" ht="12.75">
      <c r="A56" s="19"/>
      <c r="B56" s="19"/>
      <c r="C56" s="39">
        <v>440000</v>
      </c>
      <c r="D56" s="22">
        <v>1.95</v>
      </c>
      <c r="E56" s="22"/>
      <c r="F56" s="22"/>
      <c r="G56" s="22"/>
      <c r="H56" s="60"/>
    </row>
    <row r="57" spans="1:8" ht="12.75">
      <c r="A57" s="11"/>
      <c r="B57" s="19"/>
      <c r="C57" s="20"/>
      <c r="D57" s="32"/>
      <c r="E57" s="22"/>
      <c r="F57" s="22"/>
      <c r="G57" s="40">
        <f>G53/G55</f>
        <v>0.21306688355062253</v>
      </c>
      <c r="H57" s="9"/>
    </row>
    <row r="58" spans="1:7" ht="12.75">
      <c r="A58" s="53" t="s">
        <v>36</v>
      </c>
      <c r="B58" s="54"/>
      <c r="C58" s="54"/>
      <c r="D58" s="57">
        <f>G55</f>
        <v>858000</v>
      </c>
      <c r="E58" s="22"/>
      <c r="F58" s="22"/>
      <c r="G58" s="22"/>
    </row>
    <row r="59" spans="1:4" ht="12">
      <c r="A59" s="54" t="s">
        <v>37</v>
      </c>
      <c r="B59" s="54" t="s">
        <v>38</v>
      </c>
      <c r="C59" s="55">
        <v>0</v>
      </c>
      <c r="D59" s="56" t="s">
        <v>39</v>
      </c>
    </row>
    <row r="60" spans="1:4" ht="12">
      <c r="A60" s="54" t="s">
        <v>40</v>
      </c>
      <c r="B60" s="54" t="s">
        <v>41</v>
      </c>
      <c r="C60" s="55">
        <v>0.02</v>
      </c>
      <c r="D60" s="59">
        <v>2000</v>
      </c>
    </row>
    <row r="61" spans="1:4" ht="12">
      <c r="A61" s="54" t="s">
        <v>42</v>
      </c>
      <c r="B61" s="58">
        <v>250000</v>
      </c>
      <c r="C61" s="55">
        <v>0.05</v>
      </c>
      <c r="D61" s="59">
        <f>(D58-250000)*5%</f>
        <v>30400</v>
      </c>
    </row>
    <row r="62" spans="1:4" ht="12">
      <c r="A62" s="54"/>
      <c r="B62" s="54"/>
      <c r="C62" s="54" t="s">
        <v>43</v>
      </c>
      <c r="D62" s="57">
        <f>SUM(D60:D61)</f>
        <v>32400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3:D2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1.421875" style="0" customWidth="1"/>
    <col min="2" max="2" width="16.00390625" style="0" customWidth="1"/>
    <col min="3" max="3" width="18.140625" style="0" customWidth="1"/>
    <col min="4" max="16384" width="11.421875" style="0" customWidth="1"/>
  </cols>
  <sheetData>
    <row r="3" ht="12.75">
      <c r="B3" s="65" t="s">
        <v>65</v>
      </c>
    </row>
    <row r="5" spans="2:4" ht="12.75">
      <c r="B5" s="3"/>
      <c r="C5" s="3"/>
      <c r="D5" s="3"/>
    </row>
    <row r="6" spans="2:4" ht="12.75">
      <c r="B6" s="51">
        <v>1248050</v>
      </c>
      <c r="C6" s="3" t="s">
        <v>63</v>
      </c>
      <c r="D6" s="3"/>
    </row>
    <row r="7" spans="2:4" ht="12.75">
      <c r="B7" s="51">
        <v>2496100</v>
      </c>
      <c r="C7" s="3" t="s">
        <v>66</v>
      </c>
      <c r="D7" s="3"/>
    </row>
    <row r="8" spans="2:4" ht="12.75">
      <c r="B8" s="51">
        <v>425100</v>
      </c>
      <c r="C8" s="3" t="s">
        <v>67</v>
      </c>
      <c r="D8" s="3"/>
    </row>
    <row r="9" spans="2:4" ht="12.75">
      <c r="B9" s="51">
        <v>2071000</v>
      </c>
      <c r="C9" s="3"/>
      <c r="D9" s="3"/>
    </row>
    <row r="10" spans="2:4" ht="12.75">
      <c r="B10" s="51">
        <v>29757</v>
      </c>
      <c r="C10" s="3" t="s">
        <v>64</v>
      </c>
      <c r="D10" s="3"/>
    </row>
    <row r="11" spans="2:4" ht="12.75">
      <c r="B11" s="51">
        <v>5268480</v>
      </c>
      <c r="C11" s="3" t="s">
        <v>57</v>
      </c>
      <c r="D11" s="3" t="s">
        <v>60</v>
      </c>
    </row>
    <row r="12" spans="2:4" ht="12.75">
      <c r="B12" s="51">
        <v>3986438.61</v>
      </c>
      <c r="C12" s="3" t="s">
        <v>58</v>
      </c>
      <c r="D12" s="3" t="s">
        <v>59</v>
      </c>
    </row>
    <row r="13" spans="2:4" ht="12.75">
      <c r="B13" s="51">
        <v>1282041.39</v>
      </c>
      <c r="C13" s="3" t="s">
        <v>61</v>
      </c>
      <c r="D13" s="3"/>
    </row>
    <row r="14" spans="2:4" ht="12.75">
      <c r="B14" s="64">
        <v>759201.61</v>
      </c>
      <c r="C14" s="4" t="s">
        <v>62</v>
      </c>
      <c r="D14" s="4"/>
    </row>
    <row r="15" spans="2:4" ht="12.75">
      <c r="B15" s="3"/>
      <c r="C15" s="3"/>
      <c r="D15" s="3"/>
    </row>
    <row r="16" ht="12.75">
      <c r="C16" s="3" t="s">
        <v>68</v>
      </c>
    </row>
    <row r="17" ht="12.75">
      <c r="C17" s="3" t="s">
        <v>69</v>
      </c>
    </row>
    <row r="18" ht="12.75">
      <c r="C18" s="3" t="s">
        <v>70</v>
      </c>
    </row>
    <row r="19" ht="12.75">
      <c r="C19" s="3" t="s">
        <v>71</v>
      </c>
    </row>
    <row r="20" ht="12.75">
      <c r="C20" s="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46"/>
  <sheetViews>
    <sheetView tabSelected="1" zoomScale="110" zoomScaleNormal="110" zoomScalePageLayoutView="0" workbookViewId="0" topLeftCell="A3">
      <pane xSplit="1" topLeftCell="B1" activePane="topRight" state="frozen"/>
      <selection pane="topLeft" activeCell="A1" sqref="A1"/>
      <selection pane="topRight" activeCell="F14" sqref="F14"/>
    </sheetView>
  </sheetViews>
  <sheetFormatPr defaultColWidth="11.421875" defaultRowHeight="12.75"/>
  <cols>
    <col min="1" max="1" width="20.140625" style="8" bestFit="1" customWidth="1"/>
    <col min="2" max="2" width="12.421875" style="8" customWidth="1"/>
    <col min="3" max="3" width="12.8515625" style="8" customWidth="1"/>
    <col min="4" max="4" width="13.8515625" style="8" customWidth="1"/>
    <col min="5" max="5" width="13.00390625" style="8" customWidth="1"/>
    <col min="6" max="6" width="12.7109375" style="8" customWidth="1"/>
    <col min="7" max="7" width="13.00390625" style="8" customWidth="1"/>
    <col min="8" max="10" width="12.7109375" style="8" customWidth="1"/>
    <col min="11" max="12" width="12.8515625" style="8" customWidth="1"/>
    <col min="13" max="13" width="13.00390625" style="8" customWidth="1"/>
    <col min="14" max="14" width="12.7109375" style="8" customWidth="1"/>
    <col min="15" max="16" width="12.8515625" style="8" customWidth="1"/>
    <col min="17" max="18" width="13.00390625" style="8" customWidth="1"/>
    <col min="19" max="19" width="13.421875" style="8" bestFit="1" customWidth="1"/>
    <col min="20" max="20" width="11.28125" style="8" bestFit="1" customWidth="1"/>
    <col min="21" max="25" width="6.7109375" style="8" customWidth="1"/>
    <col min="26" max="16384" width="11.421875" style="8" customWidth="1"/>
  </cols>
  <sheetData>
    <row r="1" spans="1:14" ht="12.75">
      <c r="A1" s="13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13"/>
      <c r="B2" s="18"/>
      <c r="C2" s="18"/>
      <c r="D2" s="18"/>
      <c r="E2" s="18"/>
      <c r="F2" s="42" t="s">
        <v>29</v>
      </c>
      <c r="G2" s="43">
        <f>T22</f>
        <v>202956.11391356567</v>
      </c>
      <c r="H2" s="22"/>
      <c r="I2" s="22"/>
      <c r="J2" s="22"/>
      <c r="K2" s="22"/>
      <c r="L2" s="22"/>
      <c r="M2" s="22"/>
      <c r="N2" s="22"/>
    </row>
    <row r="3" spans="1:14" ht="12.75">
      <c r="A3" s="13" t="s">
        <v>9</v>
      </c>
      <c r="B3" s="22"/>
      <c r="C3" s="14" t="s">
        <v>49</v>
      </c>
      <c r="D3" s="35" t="s">
        <v>26</v>
      </c>
      <c r="E3" s="36"/>
      <c r="F3" s="36"/>
      <c r="G3" s="22"/>
      <c r="H3" s="22"/>
      <c r="I3" s="22"/>
      <c r="J3" s="22"/>
      <c r="K3" s="22"/>
      <c r="L3" s="22"/>
      <c r="M3" s="22"/>
      <c r="N3" s="22"/>
    </row>
    <row r="4" spans="1:14" ht="12.75">
      <c r="A4" s="22"/>
      <c r="B4" s="22"/>
      <c r="C4" s="22"/>
      <c r="D4" s="36"/>
      <c r="E4" s="36"/>
      <c r="F4" s="36"/>
      <c r="G4" s="22"/>
      <c r="H4" s="22"/>
      <c r="I4" s="22"/>
      <c r="J4" s="22"/>
      <c r="K4" s="22"/>
      <c r="L4" s="22"/>
      <c r="M4" s="22"/>
      <c r="N4" s="22"/>
    </row>
    <row r="5" spans="1:19" s="4" customFormat="1" ht="12.75">
      <c r="A5" s="18"/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</row>
    <row r="6" spans="1:14" ht="12.75">
      <c r="A6" s="13" t="s">
        <v>10</v>
      </c>
      <c r="B6" s="22"/>
      <c r="C6" s="22"/>
      <c r="D6" s="36"/>
      <c r="E6" s="36"/>
      <c r="F6" s="36"/>
      <c r="G6" s="22"/>
      <c r="H6" s="22"/>
      <c r="I6" s="22"/>
      <c r="J6" s="22"/>
      <c r="K6" s="22"/>
      <c r="L6" s="22"/>
      <c r="M6" s="22"/>
      <c r="N6" s="22"/>
    </row>
    <row r="7" spans="1:19" ht="12.75">
      <c r="A7" s="22" t="s">
        <v>8</v>
      </c>
      <c r="B7" s="37">
        <f>'Residual Land Value - Option 1'!$G$55</f>
        <v>858000</v>
      </c>
      <c r="C7" s="36">
        <v>0</v>
      </c>
      <c r="D7" s="36">
        <v>0</v>
      </c>
      <c r="E7" s="36">
        <v>0</v>
      </c>
      <c r="F7" s="36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</row>
    <row r="8" spans="1:19" ht="12.75">
      <c r="A8" s="22" t="s">
        <v>34</v>
      </c>
      <c r="B8" s="37">
        <f>'Residual Land Value - Option 1'!$F$44</f>
        <v>45270</v>
      </c>
      <c r="C8" s="32"/>
      <c r="D8" s="52">
        <f>'Residual Land Value - Option 1'!$F$41</f>
        <v>50000</v>
      </c>
      <c r="E8" s="36"/>
      <c r="F8" s="36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2.75">
      <c r="A9" s="22" t="s">
        <v>14</v>
      </c>
      <c r="B9" s="32">
        <v>0</v>
      </c>
      <c r="C9" s="32">
        <f>'Residual Land Value - Option 1'!$F$40/($S$5-1)</f>
        <v>171032.41176470587</v>
      </c>
      <c r="D9" s="32">
        <f>'Residual Land Value - Option 1'!$F$40/($S$5-1)</f>
        <v>171032.41176470587</v>
      </c>
      <c r="E9" s="32">
        <f>'Residual Land Value - Option 1'!$F$40/($S$5-1)</f>
        <v>171032.41176470587</v>
      </c>
      <c r="F9" s="32">
        <f>'Residual Land Value - Option 1'!$F$40/($S$5-1)</f>
        <v>171032.41176470587</v>
      </c>
      <c r="G9" s="32">
        <f>'Residual Land Value - Option 1'!$F$40/($S$5-1)</f>
        <v>171032.41176470587</v>
      </c>
      <c r="H9" s="32">
        <f>'Residual Land Value - Option 1'!$F$40/($S$5-1)</f>
        <v>171032.41176470587</v>
      </c>
      <c r="I9" s="32">
        <f>'Residual Land Value - Option 1'!$F$40/($S$5-1)</f>
        <v>171032.41176470587</v>
      </c>
      <c r="J9" s="32">
        <f>'Residual Land Value - Option 1'!$F$40/($S$5-1)</f>
        <v>171032.41176470587</v>
      </c>
      <c r="K9" s="32">
        <f>'Residual Land Value - Option 1'!$F$40/($S$5-1)</f>
        <v>171032.41176470587</v>
      </c>
      <c r="L9" s="32">
        <f>'Residual Land Value - Option 1'!$F$40/($S$5-1)</f>
        <v>171032.41176470587</v>
      </c>
      <c r="M9" s="32">
        <f>'Residual Land Value - Option 1'!$F$40/($S$5-1)</f>
        <v>171032.41176470587</v>
      </c>
      <c r="N9" s="32">
        <f>'Residual Land Value - Option 1'!$F$40/($S$5-1)</f>
        <v>171032.41176470587</v>
      </c>
      <c r="O9" s="32">
        <f>'Residual Land Value - Option 1'!$F$40/($S$5-1)</f>
        <v>171032.41176470587</v>
      </c>
      <c r="P9" s="32">
        <f>'Residual Land Value - Option 1'!$F$40/($S$5-1)</f>
        <v>171032.41176470587</v>
      </c>
      <c r="Q9" s="32">
        <f>'Residual Land Value - Option 1'!$F$40/($S$5-1)</f>
        <v>171032.41176470587</v>
      </c>
      <c r="R9" s="32">
        <f>'Residual Land Value - Option 1'!$F$40/($S$5-1)</f>
        <v>171032.41176470587</v>
      </c>
      <c r="S9" s="32">
        <f>'Residual Land Value - Option 1'!$F$40/($S$5-1)</f>
        <v>171032.41176470587</v>
      </c>
    </row>
    <row r="10" spans="1:19" ht="12.75">
      <c r="A10" s="2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20" s="3" customFormat="1" ht="12.75">
      <c r="A11" s="22" t="s">
        <v>31</v>
      </c>
      <c r="B11" s="48">
        <f aca="true" t="shared" si="0" ref="B11:S11">SUM(B7:B9)</f>
        <v>903270</v>
      </c>
      <c r="C11" s="49">
        <f t="shared" si="0"/>
        <v>171032.41176470587</v>
      </c>
      <c r="D11" s="49">
        <f t="shared" si="0"/>
        <v>221032.41176470587</v>
      </c>
      <c r="E11" s="49">
        <f t="shared" si="0"/>
        <v>171032.41176470587</v>
      </c>
      <c r="F11" s="49">
        <f t="shared" si="0"/>
        <v>171032.41176470587</v>
      </c>
      <c r="G11" s="49">
        <f t="shared" si="0"/>
        <v>171032.41176470587</v>
      </c>
      <c r="H11" s="49">
        <f t="shared" si="0"/>
        <v>171032.41176470587</v>
      </c>
      <c r="I11" s="49">
        <f t="shared" si="0"/>
        <v>171032.41176470587</v>
      </c>
      <c r="J11" s="49">
        <f t="shared" si="0"/>
        <v>171032.41176470587</v>
      </c>
      <c r="K11" s="49">
        <f t="shared" si="0"/>
        <v>171032.41176470587</v>
      </c>
      <c r="L11" s="49">
        <f t="shared" si="0"/>
        <v>171032.41176470587</v>
      </c>
      <c r="M11" s="49">
        <f t="shared" si="0"/>
        <v>171032.41176470587</v>
      </c>
      <c r="N11" s="49">
        <f t="shared" si="0"/>
        <v>171032.41176470587</v>
      </c>
      <c r="O11" s="49">
        <f t="shared" si="0"/>
        <v>171032.41176470587</v>
      </c>
      <c r="P11" s="49">
        <f t="shared" si="0"/>
        <v>171032.41176470587</v>
      </c>
      <c r="Q11" s="49">
        <f t="shared" si="0"/>
        <v>171032.41176470587</v>
      </c>
      <c r="R11" s="49">
        <f t="shared" si="0"/>
        <v>171032.41176470587</v>
      </c>
      <c r="S11" s="50">
        <f t="shared" si="0"/>
        <v>171032.41176470587</v>
      </c>
      <c r="T11" s="51"/>
    </row>
    <row r="12" spans="1:19" s="4" customFormat="1" ht="12.75">
      <c r="A12" s="18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.75">
      <c r="A13" s="13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>
      <c r="A14" s="22" t="s">
        <v>11</v>
      </c>
      <c r="B14" s="32">
        <v>0</v>
      </c>
      <c r="C14" s="32">
        <v>0</v>
      </c>
      <c r="D14" s="36">
        <v>0</v>
      </c>
      <c r="E14" s="36">
        <v>0</v>
      </c>
      <c r="F14" s="36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f>'Residual Land Value - Option 1'!$F$22/(($S$5+1)-$P$5)</f>
        <v>936037.5</v>
      </c>
      <c r="Q14" s="32">
        <f>'Residual Land Value - Option 1'!$F$22/(($S$5+1)-$P$5)</f>
        <v>936037.5</v>
      </c>
      <c r="R14" s="32">
        <f>'Residual Land Value - Option 1'!$F$22/(($S$5+1)-$P$5)</f>
        <v>936037.5</v>
      </c>
      <c r="S14" s="32">
        <f>'Residual Land Value - Option 1'!$F$22/(($S$5+1)-$P$5)</f>
        <v>936037.5</v>
      </c>
    </row>
    <row r="15" spans="1:19" ht="12.75">
      <c r="A15" s="22" t="s">
        <v>12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f>'Residual Land Value - Option 1'!$F$33/10</f>
        <v>42510</v>
      </c>
      <c r="I15" s="32">
        <f>'Residual Land Value - Option 1'!$F$33/10</f>
        <v>42510</v>
      </c>
      <c r="J15" s="32">
        <f>'Residual Land Value - Option 1'!$F$33/10</f>
        <v>42510</v>
      </c>
      <c r="K15" s="32">
        <f>'Residual Land Value - Option 1'!$F$33/10</f>
        <v>42510</v>
      </c>
      <c r="L15" s="32">
        <f>'Residual Land Value - Option 1'!$F$33/10</f>
        <v>42510</v>
      </c>
      <c r="M15" s="32">
        <f>'Residual Land Value - Option 1'!$F$33/10</f>
        <v>42510</v>
      </c>
      <c r="N15" s="32">
        <f>'Residual Land Value - Option 1'!$F$33/10</f>
        <v>42510</v>
      </c>
      <c r="O15" s="32">
        <f>'Residual Land Value - Option 1'!$F$33/10</f>
        <v>42510</v>
      </c>
      <c r="P15" s="32">
        <f>'Residual Land Value - Option 1'!$F$33/10</f>
        <v>42510</v>
      </c>
      <c r="Q15" s="32">
        <f>'Residual Land Value - Option 1'!$F$33/10</f>
        <v>42510</v>
      </c>
      <c r="R15" s="32">
        <v>0</v>
      </c>
      <c r="S15" s="32">
        <v>0</v>
      </c>
    </row>
    <row r="16" spans="1:14" ht="12.75">
      <c r="A16" s="22"/>
      <c r="B16" s="32"/>
      <c r="C16" s="32"/>
      <c r="D16" s="36"/>
      <c r="E16" s="36"/>
      <c r="F16" s="36"/>
      <c r="G16" s="32"/>
      <c r="H16" s="32"/>
      <c r="I16" s="32"/>
      <c r="J16" s="32"/>
      <c r="K16" s="32"/>
      <c r="L16" s="32"/>
      <c r="M16" s="32"/>
      <c r="N16" s="32"/>
    </row>
    <row r="17" spans="1:20" s="3" customFormat="1" ht="12.75">
      <c r="A17" s="22" t="s">
        <v>27</v>
      </c>
      <c r="B17" s="48">
        <f>SUM(B14:B15)</f>
        <v>0</v>
      </c>
      <c r="C17" s="49">
        <f>SUM(C14:C15)</f>
        <v>0</v>
      </c>
      <c r="D17" s="49">
        <f>SUM(D14:D15)</f>
        <v>0</v>
      </c>
      <c r="E17" s="49">
        <f>SUM(E14:E15)</f>
        <v>0</v>
      </c>
      <c r="F17" s="49">
        <f aca="true" t="shared" si="1" ref="F17:S17">SUM(F14:F15)</f>
        <v>0</v>
      </c>
      <c r="G17" s="49">
        <f t="shared" si="1"/>
        <v>0</v>
      </c>
      <c r="H17" s="49">
        <f t="shared" si="1"/>
        <v>42510</v>
      </c>
      <c r="I17" s="49">
        <f t="shared" si="1"/>
        <v>42510</v>
      </c>
      <c r="J17" s="49">
        <f t="shared" si="1"/>
        <v>42510</v>
      </c>
      <c r="K17" s="49">
        <f t="shared" si="1"/>
        <v>42510</v>
      </c>
      <c r="L17" s="49">
        <f t="shared" si="1"/>
        <v>42510</v>
      </c>
      <c r="M17" s="49">
        <f t="shared" si="1"/>
        <v>42510</v>
      </c>
      <c r="N17" s="49">
        <f t="shared" si="1"/>
        <v>42510</v>
      </c>
      <c r="O17" s="49">
        <f t="shared" si="1"/>
        <v>42510</v>
      </c>
      <c r="P17" s="49">
        <f t="shared" si="1"/>
        <v>978547.5</v>
      </c>
      <c r="Q17" s="49">
        <f t="shared" si="1"/>
        <v>978547.5</v>
      </c>
      <c r="R17" s="49">
        <f t="shared" si="1"/>
        <v>936037.5</v>
      </c>
      <c r="S17" s="50">
        <f t="shared" si="1"/>
        <v>936037.5</v>
      </c>
      <c r="T17" s="51"/>
    </row>
    <row r="18" spans="1:14" ht="12.75">
      <c r="A18" s="2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9" s="4" customFormat="1" ht="12.75">
      <c r="A19" s="18" t="s">
        <v>32</v>
      </c>
      <c r="B19" s="32">
        <f aca="true" t="shared" si="2" ref="B19:S19">B11-B17</f>
        <v>903270</v>
      </c>
      <c r="C19" s="32">
        <f t="shared" si="2"/>
        <v>171032.41176470587</v>
      </c>
      <c r="D19" s="32">
        <f>D11-D17</f>
        <v>221032.41176470587</v>
      </c>
      <c r="E19" s="32">
        <f t="shared" si="2"/>
        <v>171032.41176470587</v>
      </c>
      <c r="F19" s="32">
        <f t="shared" si="2"/>
        <v>171032.41176470587</v>
      </c>
      <c r="G19" s="32">
        <f t="shared" si="2"/>
        <v>171032.41176470587</v>
      </c>
      <c r="H19" s="32">
        <f t="shared" si="2"/>
        <v>128522.41176470587</v>
      </c>
      <c r="I19" s="32">
        <f t="shared" si="2"/>
        <v>128522.41176470587</v>
      </c>
      <c r="J19" s="32">
        <f t="shared" si="2"/>
        <v>128522.41176470587</v>
      </c>
      <c r="K19" s="32">
        <f t="shared" si="2"/>
        <v>128522.41176470587</v>
      </c>
      <c r="L19" s="32">
        <f t="shared" si="2"/>
        <v>128522.41176470587</v>
      </c>
      <c r="M19" s="32">
        <f t="shared" si="2"/>
        <v>128522.41176470587</v>
      </c>
      <c r="N19" s="32">
        <f>N11-N17</f>
        <v>128522.41176470587</v>
      </c>
      <c r="O19" s="32">
        <f>O11-O17</f>
        <v>128522.41176470587</v>
      </c>
      <c r="P19" s="32">
        <f>P11-P17</f>
        <v>-807515.0882352941</v>
      </c>
      <c r="Q19" s="32">
        <f t="shared" si="2"/>
        <v>-807515.0882352941</v>
      </c>
      <c r="R19" s="32">
        <f t="shared" si="2"/>
        <v>-765005.0882352941</v>
      </c>
      <c r="S19" s="32">
        <f t="shared" si="2"/>
        <v>-765005.0882352941</v>
      </c>
    </row>
    <row r="20" spans="1:19" s="4" customFormat="1" ht="13.5" thickBot="1">
      <c r="A20" s="18" t="s">
        <v>33</v>
      </c>
      <c r="B20" s="32">
        <f>B19</f>
        <v>903270</v>
      </c>
      <c r="C20" s="32">
        <f>C19+B24</f>
        <v>1079947.8492647058</v>
      </c>
      <c r="D20" s="32">
        <f aca="true" t="shared" si="3" ref="D20:S20">D19+C24</f>
        <v>1307729.935087316</v>
      </c>
      <c r="E20" s="32">
        <f t="shared" si="3"/>
        <v>1486935.6589463174</v>
      </c>
      <c r="F20" s="32">
        <f t="shared" si="3"/>
        <v>1667261.4185794378</v>
      </c>
      <c r="G20" s="32">
        <f t="shared" si="3"/>
        <v>1848714.214210265</v>
      </c>
      <c r="H20" s="32">
        <f t="shared" si="3"/>
        <v>1988791.089813785</v>
      </c>
      <c r="I20" s="32">
        <f t="shared" si="3"/>
        <v>2129743.445889827</v>
      </c>
      <c r="J20" s="32">
        <f t="shared" si="3"/>
        <v>2271576.754191344</v>
      </c>
      <c r="K20" s="32">
        <f t="shared" si="3"/>
        <v>2414296.520669746</v>
      </c>
      <c r="L20" s="32">
        <f t="shared" si="3"/>
        <v>2557908.285688638</v>
      </c>
      <c r="M20" s="32">
        <f t="shared" si="3"/>
        <v>2702417.624238898</v>
      </c>
      <c r="N20" s="32">
        <f t="shared" si="3"/>
        <v>2847830.146155097</v>
      </c>
      <c r="O20" s="32">
        <f t="shared" si="3"/>
        <v>2994151.4963332727</v>
      </c>
      <c r="P20" s="32">
        <f t="shared" si="3"/>
        <v>2205349.8549500615</v>
      </c>
      <c r="Q20" s="32">
        <f t="shared" si="3"/>
        <v>1411618.2033082056</v>
      </c>
      <c r="R20" s="32">
        <f t="shared" si="3"/>
        <v>655435.7288435878</v>
      </c>
      <c r="S20" s="32">
        <f t="shared" si="3"/>
        <v>-105472.8860864339</v>
      </c>
    </row>
    <row r="21" spans="1:20" ht="12.75">
      <c r="A21" s="22"/>
      <c r="B21" s="32"/>
      <c r="C21" s="32"/>
      <c r="D21" s="31"/>
      <c r="E21" s="31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46" t="s">
        <v>30</v>
      </c>
    </row>
    <row r="22" spans="1:20" ht="13.5" thickBot="1">
      <c r="A22" s="22" t="s">
        <v>53</v>
      </c>
      <c r="B22" s="44">
        <f>IF(B20&lt;0,0,((B20*7.5%)/12))</f>
        <v>5645.4375</v>
      </c>
      <c r="C22" s="44">
        <f aca="true" t="shared" si="4" ref="C22:S22">IF(C20&lt;0,0,((C20*7.5%)/12))</f>
        <v>6749.674057904412</v>
      </c>
      <c r="D22" s="44">
        <f t="shared" si="4"/>
        <v>8173.312094295725</v>
      </c>
      <c r="E22" s="44">
        <f t="shared" si="4"/>
        <v>9293.347868414483</v>
      </c>
      <c r="F22" s="44">
        <f t="shared" si="4"/>
        <v>10420.383866121485</v>
      </c>
      <c r="G22" s="44">
        <f t="shared" si="4"/>
        <v>11554.463838814156</v>
      </c>
      <c r="H22" s="44">
        <f t="shared" si="4"/>
        <v>12429.944311336156</v>
      </c>
      <c r="I22" s="44">
        <f t="shared" si="4"/>
        <v>13310.896536811417</v>
      </c>
      <c r="J22" s="44">
        <f t="shared" si="4"/>
        <v>14197.3547136959</v>
      </c>
      <c r="K22" s="44">
        <f t="shared" si="4"/>
        <v>15089.353254185915</v>
      </c>
      <c r="L22" s="44">
        <f t="shared" si="4"/>
        <v>15986.926785553987</v>
      </c>
      <c r="M22" s="44">
        <f t="shared" si="4"/>
        <v>16890.11015149311</v>
      </c>
      <c r="N22" s="44">
        <f t="shared" si="4"/>
        <v>17798.938413469357</v>
      </c>
      <c r="O22" s="44">
        <f t="shared" si="4"/>
        <v>18713.446852082954</v>
      </c>
      <c r="P22" s="44">
        <f t="shared" si="4"/>
        <v>13783.436593437886</v>
      </c>
      <c r="Q22" s="44">
        <f t="shared" si="4"/>
        <v>8822.613770676284</v>
      </c>
      <c r="R22" s="44">
        <f t="shared" si="4"/>
        <v>4096.473305272423</v>
      </c>
      <c r="S22" s="44">
        <f t="shared" si="4"/>
        <v>0</v>
      </c>
      <c r="T22" s="47">
        <f>SUM(B22:S22)</f>
        <v>202956.11391356567</v>
      </c>
    </row>
    <row r="23" spans="1:20" ht="12.75">
      <c r="A23" s="2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5"/>
    </row>
    <row r="24" spans="1:19" s="4" customFormat="1" ht="12.75">
      <c r="A24" s="18" t="s">
        <v>28</v>
      </c>
      <c r="B24" s="31">
        <f>B19+B22</f>
        <v>908915.4375</v>
      </c>
      <c r="C24" s="31">
        <f>C20+C22</f>
        <v>1086697.5233226102</v>
      </c>
      <c r="D24" s="31">
        <f aca="true" t="shared" si="5" ref="D24:S24">D20+D22</f>
        <v>1315903.2471816116</v>
      </c>
      <c r="E24" s="31">
        <f t="shared" si="5"/>
        <v>1496229.006814732</v>
      </c>
      <c r="F24" s="31">
        <f t="shared" si="5"/>
        <v>1677681.8024455593</v>
      </c>
      <c r="G24" s="31">
        <f t="shared" si="5"/>
        <v>1860268.6780490791</v>
      </c>
      <c r="H24" s="31">
        <f t="shared" si="5"/>
        <v>2001221.034125121</v>
      </c>
      <c r="I24" s="31">
        <f t="shared" si="5"/>
        <v>2143054.342426638</v>
      </c>
      <c r="J24" s="31">
        <f t="shared" si="5"/>
        <v>2285774.10890504</v>
      </c>
      <c r="K24" s="31">
        <f t="shared" si="5"/>
        <v>2429385.873923932</v>
      </c>
      <c r="L24" s="31">
        <f t="shared" si="5"/>
        <v>2573895.212474192</v>
      </c>
      <c r="M24" s="31">
        <f t="shared" si="5"/>
        <v>2719307.734390391</v>
      </c>
      <c r="N24" s="41">
        <f t="shared" si="5"/>
        <v>2865629.0845685666</v>
      </c>
      <c r="O24" s="41">
        <f t="shared" si="5"/>
        <v>3012864.9431853555</v>
      </c>
      <c r="P24" s="41">
        <f t="shared" si="5"/>
        <v>2219133.2915434996</v>
      </c>
      <c r="Q24" s="41">
        <f t="shared" si="5"/>
        <v>1420440.817078882</v>
      </c>
      <c r="R24" s="41">
        <f t="shared" si="5"/>
        <v>659532.2021488602</v>
      </c>
      <c r="S24" s="41">
        <f t="shared" si="5"/>
        <v>-105472.8860864339</v>
      </c>
    </row>
    <row r="25" spans="1:14" ht="12.75">
      <c r="A25" s="2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75">
      <c r="A26" s="22"/>
      <c r="B26" s="22"/>
      <c r="C26" s="22"/>
      <c r="D26" s="22"/>
      <c r="E26" s="22"/>
      <c r="F26" s="22"/>
      <c r="G26" s="22"/>
      <c r="H26" s="18"/>
      <c r="I26" s="18"/>
      <c r="J26" s="18"/>
      <c r="K26" s="18"/>
      <c r="L26" s="18"/>
      <c r="M26" s="18"/>
      <c r="N26" s="22"/>
    </row>
    <row r="27" spans="1:14" ht="12.75">
      <c r="A27" s="22"/>
      <c r="B27" s="22"/>
      <c r="C27" s="22"/>
      <c r="D27" s="22"/>
      <c r="E27" s="22"/>
      <c r="F27" s="22"/>
      <c r="G27" s="22"/>
      <c r="H27" s="18"/>
      <c r="I27" s="18"/>
      <c r="J27" s="18"/>
      <c r="K27" s="18"/>
      <c r="L27" s="18"/>
      <c r="M27" s="18"/>
      <c r="N27" s="22"/>
    </row>
    <row r="28" spans="1:14" ht="12.75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2.75">
      <c r="A29" s="22"/>
      <c r="B29" s="22"/>
      <c r="C29" s="22"/>
      <c r="D29" s="22"/>
      <c r="E29" s="22"/>
      <c r="F29" s="22"/>
      <c r="G29" s="22"/>
      <c r="H29" s="32"/>
      <c r="I29" s="32"/>
      <c r="J29" s="32"/>
      <c r="K29" s="32"/>
      <c r="L29" s="32"/>
      <c r="M29" s="32"/>
      <c r="N29" s="22"/>
    </row>
    <row r="30" spans="1:14" ht="12.75">
      <c r="A30" s="22"/>
      <c r="B30" s="22"/>
      <c r="C30" s="22"/>
      <c r="D30" s="22"/>
      <c r="E30" s="22"/>
      <c r="F30" s="22"/>
      <c r="G30" s="22"/>
      <c r="H30" s="32"/>
      <c r="I30" s="32"/>
      <c r="J30" s="32"/>
      <c r="K30" s="32"/>
      <c r="L30" s="32"/>
      <c r="M30" s="32"/>
      <c r="N30" s="22"/>
    </row>
    <row r="31" spans="1:14" ht="12.75">
      <c r="A31" s="22"/>
      <c r="B31" s="22"/>
      <c r="C31" s="22"/>
      <c r="D31" s="22"/>
      <c r="E31" s="22"/>
      <c r="F31" s="22"/>
      <c r="G31" s="22"/>
      <c r="H31" s="32"/>
      <c r="I31" s="32"/>
      <c r="J31" s="32"/>
      <c r="K31" s="32"/>
      <c r="L31" s="32"/>
      <c r="M31" s="32"/>
      <c r="N31" s="22"/>
    </row>
    <row r="32" spans="1:14" ht="12.75">
      <c r="A32" s="22"/>
      <c r="B32" s="22"/>
      <c r="C32" s="22"/>
      <c r="D32" s="22"/>
      <c r="E32" s="22"/>
      <c r="F32" s="22"/>
      <c r="G32" s="22"/>
      <c r="H32" s="32"/>
      <c r="I32" s="32"/>
      <c r="J32" s="32"/>
      <c r="K32" s="32"/>
      <c r="L32" s="32"/>
      <c r="M32" s="32"/>
      <c r="N32" s="22"/>
    </row>
    <row r="33" spans="1:14" ht="12.75">
      <c r="A33" s="18"/>
      <c r="B33" s="22"/>
      <c r="C33" s="22"/>
      <c r="D33" s="22"/>
      <c r="E33" s="22"/>
      <c r="F33" s="22"/>
      <c r="G33" s="22"/>
      <c r="H33" s="31"/>
      <c r="I33" s="31"/>
      <c r="J33" s="31"/>
      <c r="K33" s="31"/>
      <c r="L33" s="31"/>
      <c r="M33" s="31"/>
      <c r="N33" s="22"/>
    </row>
    <row r="34" spans="1:14" ht="12.75">
      <c r="A34" s="13"/>
      <c r="B34" s="22"/>
      <c r="C34" s="22"/>
      <c r="D34" s="22"/>
      <c r="E34" s="22"/>
      <c r="F34" s="22"/>
      <c r="G34" s="22"/>
      <c r="H34" s="32"/>
      <c r="I34" s="32"/>
      <c r="J34" s="32"/>
      <c r="K34" s="32"/>
      <c r="L34" s="32"/>
      <c r="M34" s="32"/>
      <c r="N34" s="22"/>
    </row>
    <row r="35" spans="1:14" ht="12.75">
      <c r="A35" s="22"/>
      <c r="B35" s="22"/>
      <c r="C35" s="22"/>
      <c r="D35" s="22"/>
      <c r="E35" s="22"/>
      <c r="F35" s="22"/>
      <c r="G35" s="22"/>
      <c r="H35" s="32"/>
      <c r="I35" s="32"/>
      <c r="J35" s="32"/>
      <c r="K35" s="32"/>
      <c r="L35" s="32"/>
      <c r="M35" s="32"/>
      <c r="N35" s="32"/>
    </row>
    <row r="36" spans="1:14" ht="12.75">
      <c r="A36" s="22"/>
      <c r="B36" s="22"/>
      <c r="C36" s="22"/>
      <c r="D36" s="22"/>
      <c r="E36" s="22"/>
      <c r="F36" s="22"/>
      <c r="G36" s="22"/>
      <c r="H36" s="32"/>
      <c r="I36" s="32"/>
      <c r="J36" s="32"/>
      <c r="K36" s="32"/>
      <c r="L36" s="32"/>
      <c r="M36" s="32"/>
      <c r="N36" s="22"/>
    </row>
    <row r="37" spans="1:14" ht="12.75">
      <c r="A37" s="22"/>
      <c r="B37" s="22"/>
      <c r="C37" s="22"/>
      <c r="D37" s="22"/>
      <c r="E37" s="22"/>
      <c r="F37" s="22"/>
      <c r="G37" s="22"/>
      <c r="H37" s="32"/>
      <c r="I37" s="32"/>
      <c r="J37" s="32"/>
      <c r="K37" s="32"/>
      <c r="L37" s="32"/>
      <c r="M37" s="32"/>
      <c r="N37" s="22"/>
    </row>
    <row r="38" spans="1:14" ht="12.75">
      <c r="A38" s="22"/>
      <c r="B38" s="22"/>
      <c r="C38" s="22"/>
      <c r="D38" s="22"/>
      <c r="E38" s="22"/>
      <c r="F38" s="22"/>
      <c r="G38" s="22"/>
      <c r="H38" s="32"/>
      <c r="I38" s="32"/>
      <c r="J38" s="32"/>
      <c r="K38" s="32"/>
      <c r="L38" s="32"/>
      <c r="M38" s="32"/>
      <c r="N38" s="22"/>
    </row>
    <row r="39" spans="1:14" ht="12.75">
      <c r="A39" s="22"/>
      <c r="B39" s="22"/>
      <c r="C39" s="22"/>
      <c r="D39" s="22"/>
      <c r="E39" s="22"/>
      <c r="F39" s="22"/>
      <c r="G39" s="22"/>
      <c r="H39" s="32"/>
      <c r="I39" s="32"/>
      <c r="J39" s="32"/>
      <c r="K39" s="32"/>
      <c r="L39" s="32"/>
      <c r="M39" s="32"/>
      <c r="N39" s="22"/>
    </row>
    <row r="40" spans="1:14" ht="12.75">
      <c r="A40" s="18"/>
      <c r="B40" s="22"/>
      <c r="C40" s="22"/>
      <c r="D40" s="22"/>
      <c r="E40" s="22"/>
      <c r="F40" s="22"/>
      <c r="G40" s="22"/>
      <c r="H40" s="31"/>
      <c r="I40" s="31"/>
      <c r="J40" s="31"/>
      <c r="K40" s="31"/>
      <c r="L40" s="31"/>
      <c r="M40" s="31"/>
      <c r="N40" s="22"/>
    </row>
    <row r="41" spans="1:14" ht="12.75">
      <c r="A41" s="22"/>
      <c r="B41" s="22"/>
      <c r="C41" s="22"/>
      <c r="D41" s="22"/>
      <c r="E41" s="22"/>
      <c r="F41" s="22"/>
      <c r="G41" s="22"/>
      <c r="H41" s="32"/>
      <c r="I41" s="32"/>
      <c r="J41" s="32"/>
      <c r="K41" s="32"/>
      <c r="L41" s="32"/>
      <c r="M41" s="32"/>
      <c r="N41" s="31"/>
    </row>
    <row r="42" spans="1:14" ht="12.75">
      <c r="A42" s="22"/>
      <c r="B42" s="22"/>
      <c r="C42" s="22"/>
      <c r="D42" s="22"/>
      <c r="E42" s="22"/>
      <c r="F42" s="22"/>
      <c r="G42" s="22"/>
      <c r="H42" s="32"/>
      <c r="I42" s="32"/>
      <c r="J42" s="32"/>
      <c r="K42" s="32"/>
      <c r="L42" s="32"/>
      <c r="M42" s="32"/>
      <c r="N42" s="22"/>
    </row>
    <row r="43" spans="1:14" ht="12.75">
      <c r="A43" s="22"/>
      <c r="B43" s="22"/>
      <c r="C43" s="22"/>
      <c r="D43" s="22"/>
      <c r="E43" s="22"/>
      <c r="F43" s="22"/>
      <c r="G43" s="22"/>
      <c r="H43" s="32"/>
      <c r="I43" s="32"/>
      <c r="J43" s="32"/>
      <c r="K43" s="32"/>
      <c r="L43" s="32"/>
      <c r="M43" s="32"/>
      <c r="N43" s="22"/>
    </row>
    <row r="44" spans="1:14" ht="12.75">
      <c r="A44" s="18"/>
      <c r="B44" s="22"/>
      <c r="C44" s="22"/>
      <c r="D44" s="22"/>
      <c r="E44" s="22"/>
      <c r="F44" s="22"/>
      <c r="G44" s="22"/>
      <c r="H44" s="31"/>
      <c r="I44" s="31"/>
      <c r="J44" s="31"/>
      <c r="K44" s="31"/>
      <c r="L44" s="31"/>
      <c r="M44" s="31"/>
      <c r="N44" s="22"/>
    </row>
    <row r="45" spans="1:14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</sheetData>
  <sheetProtection/>
  <printOptions/>
  <pageMargins left="0.75" right="0.75" top="1" bottom="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jloveday</dc:creator>
  <cp:keywords/>
  <dc:description/>
  <cp:lastModifiedBy>Vic Ranger</cp:lastModifiedBy>
  <cp:lastPrinted>2013-05-17T11:04:01Z</cp:lastPrinted>
  <dcterms:created xsi:type="dcterms:W3CDTF">2011-09-13T11:34:21Z</dcterms:created>
  <dcterms:modified xsi:type="dcterms:W3CDTF">2023-11-08T10:06:35Z</dcterms:modified>
  <cp:category/>
  <cp:version/>
  <cp:contentType/>
  <cp:contentStatus/>
</cp:coreProperties>
</file>