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ml.chartshapes+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66925"/>
  <mc:AlternateContent xmlns:mc="http://schemas.openxmlformats.org/markup-compatibility/2006">
    <mc:Choice Requires="x15">
      <x15ac:absPath xmlns:x15ac="http://schemas.microsoft.com/office/spreadsheetml/2010/11/ac" url="\\hca.local\wa\NREG\Data\NROSH+\Draft Work and Analysis\Lookup tool\2023_tools\"/>
    </mc:Choice>
  </mc:AlternateContent>
  <xr:revisionPtr revIDLastSave="0" documentId="13_ncr:1_{FF31510E-5F6C-4C8E-AB8F-64C35B9A7F42}" xr6:coauthVersionLast="47" xr6:coauthVersionMax="47" xr10:uidLastSave="{00000000-0000-0000-0000-000000000000}"/>
  <workbookProtection workbookAlgorithmName="SHA-512" workbookHashValue="4zdXi/kXtE66Bk1LWkcAyBTFi6sJppJ1YY91oyPQS07iirZL04lyrojn2r3hCNTgASM+ftd4RNLGyGbFDJhaBw==" workbookSaltValue="g7Fds6RjQEwpu1z6eYBJKA==" workbookSpinCount="100000" lockStructure="1"/>
  <bookViews>
    <workbookView xWindow="-28920" yWindow="2430" windowWidth="29040" windowHeight="15840" tabRatio="869" xr2:uid="{718F626F-68AF-499A-937D-7FFFB3542F11}"/>
  </bookViews>
  <sheets>
    <sheet name="Introduction and Contents" sheetId="5" r:id="rId1"/>
    <sheet name="Glossary" sheetId="6" r:id="rId2"/>
    <sheet name="Version History" sheetId="7" r:id="rId3"/>
    <sheet name="LARP Summary" sheetId="1" r:id="rId4"/>
    <sheet name="LADR" sheetId="3" state="veryHidden" r:id="rId5"/>
    <sheet name="Search Box Config" sheetId="4" state="veryHidden" r:id="rId6"/>
    <sheet name="How to use the search function" sheetId="8" r:id="rId7"/>
  </sheets>
  <definedNames>
    <definedName name="_xlnm._FilterDatabase" localSheetId="4" hidden="1">LADR!$A$2:$CD$226</definedName>
    <definedName name="LADR_FF">LADR!$A$3:$CD$233</definedName>
    <definedName name="Validation_List_2">OFFSET('Search Box Config'!$E$2,,,COUNTIF('Search Box Config'!$E$2:$E$222,"?*"))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23" i="4" l="1"/>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Q5" i="1"/>
  <c r="G35" i="1" l="1"/>
  <c r="F62" i="1"/>
  <c r="D4" i="1"/>
  <c r="F79" i="1" l="1"/>
  <c r="E4" i="1" l="1"/>
  <c r="S186" i="1" l="1"/>
  <c r="S187" i="1"/>
  <c r="S188" i="1"/>
  <c r="S189" i="1"/>
  <c r="S190" i="1"/>
  <c r="S191" i="1"/>
  <c r="S192" i="1"/>
  <c r="S193" i="1"/>
  <c r="S168" i="1"/>
  <c r="S169" i="1"/>
  <c r="S170" i="1"/>
  <c r="S171" i="1"/>
  <c r="S172" i="1"/>
  <c r="S173" i="1"/>
  <c r="S174" i="1"/>
  <c r="S175" i="1"/>
  <c r="S176" i="1"/>
  <c r="S177" i="1"/>
  <c r="S98" i="1"/>
  <c r="S99" i="1"/>
  <c r="S100" i="1"/>
  <c r="S101" i="1"/>
  <c r="S102" i="1"/>
  <c r="S103" i="1"/>
  <c r="S104" i="1"/>
  <c r="S105" i="1"/>
  <c r="S84" i="1"/>
  <c r="S85" i="1"/>
  <c r="S86" i="1"/>
  <c r="S87" i="1"/>
  <c r="S88" i="1"/>
  <c r="S89" i="1"/>
  <c r="S90" i="1"/>
  <c r="S91" i="1"/>
  <c r="S92" i="1"/>
  <c r="S93" i="1"/>
  <c r="A2" i="4" l="1"/>
  <c r="A3" i="4" l="1"/>
  <c r="A4" i="4" s="1"/>
  <c r="A5" i="4" s="1"/>
  <c r="A6" i="4" l="1"/>
  <c r="A7" i="4" l="1"/>
  <c r="A8" i="4" l="1"/>
  <c r="A9" i="4" l="1"/>
  <c r="A10" i="4" s="1"/>
  <c r="A11" i="4" s="1"/>
  <c r="A12" i="4" s="1"/>
  <c r="A13" i="4" l="1"/>
  <c r="A14" i="4" l="1"/>
  <c r="A15" i="4" s="1"/>
  <c r="A16" i="4" s="1"/>
  <c r="A17" i="4" s="1"/>
  <c r="A18" i="4" s="1"/>
  <c r="A19" i="4" s="1"/>
  <c r="A20" i="4" s="1"/>
  <c r="A21" i="4" s="1"/>
  <c r="A22" i="4" s="1"/>
  <c r="A23" i="4" s="1"/>
  <c r="A24" i="4" s="1"/>
  <c r="A25" i="4" s="1"/>
  <c r="A26" i="4" s="1"/>
  <c r="A27" i="4" s="1"/>
  <c r="A28" i="4" s="1"/>
  <c r="A29" i="4" s="1"/>
  <c r="A30" i="4" s="1"/>
  <c r="A31" i="4" s="1"/>
  <c r="A32" i="4" s="1"/>
  <c r="A33" i="4" l="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l="1"/>
  <c r="E725" i="4"/>
  <c r="E1225" i="4"/>
  <c r="E833" i="4"/>
  <c r="E1041" i="4"/>
  <c r="E772" i="4"/>
  <c r="E1238" i="4"/>
  <c r="E1185" i="4"/>
  <c r="E1196" i="4"/>
  <c r="E1112" i="4"/>
  <c r="E1219" i="4"/>
  <c r="E847" i="4"/>
  <c r="E376" i="4"/>
  <c r="E871" i="4"/>
  <c r="E1264" i="4"/>
  <c r="E1065" i="4"/>
  <c r="E542" i="4"/>
  <c r="E886" i="4"/>
  <c r="E731" i="4"/>
  <c r="E867" i="4"/>
  <c r="E999" i="4"/>
  <c r="E1271" i="4"/>
  <c r="E1076" i="4"/>
  <c r="E565" i="4"/>
  <c r="E873" i="4"/>
  <c r="E1208" i="4"/>
  <c r="E1156" i="4"/>
  <c r="E1228" i="4"/>
  <c r="E780" i="4"/>
  <c r="E271" i="4"/>
  <c r="E1287" i="4"/>
  <c r="E1259" i="4"/>
  <c r="E501" i="4"/>
  <c r="E1111" i="4"/>
  <c r="E957" i="4"/>
  <c r="E723" i="4"/>
  <c r="E1128" i="4"/>
  <c r="E1073" i="4"/>
  <c r="E953" i="4"/>
  <c r="E696" i="4"/>
  <c r="E1075" i="4"/>
  <c r="E988" i="4"/>
  <c r="E415" i="4"/>
  <c r="E940" i="4"/>
  <c r="E843" i="4"/>
  <c r="E611" i="4"/>
  <c r="E500" i="4"/>
  <c r="E1198" i="4"/>
  <c r="E641" i="4"/>
  <c r="E401" i="4"/>
  <c r="E962" i="4"/>
  <c r="E552" i="4"/>
  <c r="E256" i="4"/>
  <c r="E592" i="4"/>
  <c r="E882" i="4"/>
  <c r="E755" i="4"/>
  <c r="E277" i="4"/>
  <c r="E610" i="4"/>
  <c r="E595" i="4"/>
  <c r="E1174" i="4"/>
  <c r="E301" i="4"/>
  <c r="E483" i="4"/>
  <c r="E954" i="4"/>
  <c r="E1001" i="4"/>
  <c r="E813" i="4"/>
  <c r="E687" i="4"/>
  <c r="E464" i="4"/>
  <c r="E658" i="4"/>
  <c r="E982" i="4"/>
  <c r="E1114" i="4"/>
  <c r="E1042" i="4"/>
  <c r="E581" i="4"/>
  <c r="E808" i="4"/>
  <c r="E1235" i="4"/>
  <c r="E760" i="4"/>
  <c r="E419" i="4"/>
  <c r="E827" i="4"/>
  <c r="E1144" i="4"/>
  <c r="E387" i="4"/>
  <c r="E969" i="4"/>
  <c r="E751" i="4"/>
  <c r="E1004" i="4"/>
  <c r="E979" i="4"/>
  <c r="E623" i="4"/>
  <c r="E918" i="4"/>
  <c r="E255" i="4"/>
  <c r="E677" i="4"/>
  <c r="E1176" i="4"/>
  <c r="E456" i="4"/>
  <c r="E795" i="4"/>
  <c r="E407" i="4"/>
  <c r="E298" i="4"/>
  <c r="E910" i="4"/>
  <c r="E779" i="4"/>
  <c r="E744" i="4"/>
  <c r="E1123" i="4"/>
  <c r="E538" i="4"/>
  <c r="E536" i="4"/>
  <c r="E1227" i="4"/>
  <c r="E451" i="4"/>
  <c r="E314" i="4"/>
  <c r="E598" i="4"/>
  <c r="E351" i="4"/>
  <c r="E363" i="4"/>
  <c r="E594" i="4"/>
  <c r="E1053" i="4"/>
  <c r="E823" i="4"/>
  <c r="E935" i="4"/>
  <c r="E920" i="4"/>
  <c r="E258" i="4"/>
  <c r="E468" i="4"/>
  <c r="E400" i="4"/>
  <c r="E460" i="4"/>
  <c r="E603" i="4"/>
  <c r="E1266" i="4"/>
  <c r="E1103" i="4"/>
  <c r="E1029" i="4"/>
  <c r="E990" i="4"/>
  <c r="E587" i="4"/>
  <c r="E525" i="4"/>
  <c r="E1125" i="4"/>
  <c r="E1057" i="4"/>
  <c r="E946" i="4"/>
  <c r="E1131" i="4"/>
  <c r="E1069" i="4"/>
  <c r="E361" i="4"/>
  <c r="E818" i="4"/>
  <c r="E763" i="4"/>
  <c r="E952" i="4"/>
  <c r="E636" i="4"/>
  <c r="E655" i="4"/>
  <c r="E1224" i="4"/>
  <c r="E831" i="4"/>
  <c r="E291" i="4"/>
  <c r="E570" i="4"/>
  <c r="E650" i="4"/>
  <c r="E417" i="4"/>
  <c r="E1066" i="4"/>
  <c r="E963" i="4"/>
  <c r="E729" i="4"/>
  <c r="E790" i="4"/>
  <c r="E1194" i="4"/>
  <c r="E322" i="4"/>
  <c r="E1250" i="4"/>
  <c r="E527" i="4"/>
  <c r="E1028" i="4"/>
  <c r="E479" i="4"/>
  <c r="E800" i="4"/>
  <c r="E562" i="4"/>
  <c r="E792" i="4"/>
  <c r="E450" i="4"/>
  <c r="E348" i="4"/>
  <c r="E1068" i="4"/>
  <c r="E311" i="4"/>
  <c r="E466" i="4"/>
  <c r="E445" i="4"/>
  <c r="E1118" i="4"/>
  <c r="E1243" i="4"/>
  <c r="E1016" i="4"/>
  <c r="E620" i="4"/>
  <c r="E443" i="4"/>
  <c r="E1268" i="4"/>
  <c r="E476" i="4"/>
  <c r="E738" i="4"/>
  <c r="E1175" i="4"/>
  <c r="E1230" i="4"/>
  <c r="E712" i="4"/>
  <c r="E306" i="4"/>
  <c r="E1098" i="4"/>
  <c r="E835" i="4"/>
  <c r="E976" i="4"/>
  <c r="E978" i="4"/>
  <c r="E985" i="4"/>
  <c r="E1113" i="4"/>
  <c r="E1022" i="4"/>
  <c r="E644" i="4"/>
  <c r="E675" i="4"/>
  <c r="E1102" i="4"/>
  <c r="E809" i="4"/>
  <c r="E261" i="4"/>
  <c r="E239" i="4"/>
  <c r="E863" i="4"/>
  <c r="E1087" i="4"/>
  <c r="E1213" i="4"/>
  <c r="E1218" i="4"/>
  <c r="E1141" i="4"/>
  <c r="E922" i="4"/>
  <c r="E252" i="4"/>
  <c r="E334" i="4"/>
  <c r="E1164" i="4"/>
  <c r="E1136" i="4"/>
  <c r="E1060" i="4"/>
  <c r="E613" i="4"/>
  <c r="E778" i="4"/>
  <c r="E471" i="4"/>
  <c r="E1081" i="4"/>
  <c r="E621" i="4"/>
  <c r="E654" i="4"/>
  <c r="E446" i="4"/>
  <c r="E970" i="4"/>
  <c r="E1061" i="4"/>
  <c r="E900" i="4"/>
  <c r="E591" i="4"/>
  <c r="E1277" i="4"/>
  <c r="E1105" i="4"/>
  <c r="E263" i="4"/>
  <c r="E465" i="4"/>
  <c r="E1179" i="4"/>
  <c r="E1052" i="4"/>
  <c r="E226" i="4"/>
  <c r="E924" i="4"/>
  <c r="E858" i="4"/>
  <c r="E991" i="4"/>
  <c r="E625" i="4"/>
  <c r="E347" i="4"/>
  <c r="E597" i="4"/>
  <c r="E1077" i="4"/>
  <c r="E554" i="4"/>
  <c r="E849" i="4"/>
  <c r="E794" i="4"/>
  <c r="E721" i="4"/>
  <c r="E576" i="4"/>
  <c r="E961" i="4"/>
  <c r="E379" i="4"/>
  <c r="E1138" i="4"/>
  <c r="E1236" i="4"/>
  <c r="E1051" i="4"/>
  <c r="E1007" i="4"/>
  <c r="E275" i="4"/>
  <c r="E925" i="4"/>
  <c r="E730" i="4"/>
  <c r="E297" i="4"/>
  <c r="E739" i="4"/>
  <c r="E1163" i="4"/>
  <c r="E929" i="4"/>
  <c r="E704" i="4"/>
  <c r="E523" i="4"/>
  <c r="E678" i="4"/>
  <c r="E512" i="4"/>
  <c r="E330" i="4"/>
  <c r="E942" i="4"/>
  <c r="E1171" i="4"/>
  <c r="E688" i="4"/>
  <c r="E1207" i="4"/>
  <c r="E391" i="4"/>
  <c r="E700" i="4"/>
  <c r="E228" i="4"/>
  <c r="E1288" i="4"/>
  <c r="E248" i="4"/>
  <c r="E899" i="4"/>
  <c r="E1014" i="4"/>
  <c r="E844" i="4"/>
  <c r="E1013" i="4"/>
  <c r="E528" i="4"/>
  <c r="E272" i="4"/>
  <c r="E288" i="4"/>
  <c r="E502" i="4"/>
  <c r="E259" i="4"/>
  <c r="E826" i="4"/>
  <c r="E514" i="4"/>
  <c r="E1261" i="4"/>
  <c r="E705" i="4"/>
  <c r="E694" i="4"/>
  <c r="E746" i="4"/>
  <c r="E289" i="4"/>
  <c r="E1058" i="4"/>
  <c r="E659" i="4"/>
  <c r="E758" i="4"/>
  <c r="E1168" i="4"/>
  <c r="E416" i="4"/>
  <c r="E423" i="4"/>
  <c r="E375" i="4"/>
  <c r="E1152" i="4"/>
  <c r="E956" i="4"/>
  <c r="E1047" i="4"/>
  <c r="E566" i="4"/>
  <c r="E1054" i="4"/>
  <c r="E781" i="4"/>
  <c r="E1009" i="4"/>
  <c r="E232" i="4"/>
  <c r="E630" i="4"/>
  <c r="E836" i="4"/>
  <c r="E1204" i="4"/>
  <c r="E353" i="4"/>
  <c r="E1003" i="4"/>
  <c r="E1197" i="4"/>
  <c r="E1020" i="4"/>
  <c r="E750" i="4"/>
  <c r="E832" i="4"/>
  <c r="E1134" i="4"/>
  <c r="E436" i="4"/>
  <c r="E941" i="4"/>
  <c r="E549" i="4"/>
  <c r="E1133" i="4"/>
  <c r="E410" i="4"/>
  <c r="E706" i="4"/>
  <c r="E257" i="4"/>
  <c r="E762" i="4"/>
  <c r="E571" i="4"/>
  <c r="E906" i="4"/>
  <c r="E996" i="4"/>
  <c r="E1043" i="4"/>
  <c r="E1135" i="4"/>
  <c r="E986" i="4"/>
  <c r="E928" i="4"/>
  <c r="E399" i="4"/>
  <c r="E1055" i="4"/>
  <c r="E580" i="4"/>
  <c r="E821" i="4"/>
  <c r="E518" i="4"/>
  <c r="E812" i="4"/>
  <c r="E691" i="4"/>
  <c r="E1206" i="4"/>
  <c r="E558" i="4"/>
  <c r="E872" i="4"/>
  <c r="E811" i="4"/>
  <c r="E408" i="4"/>
  <c r="E938" i="4"/>
  <c r="E1169" i="4"/>
  <c r="E345" i="4"/>
  <c r="E346" i="4"/>
  <c r="E651" i="4"/>
  <c r="E425" i="4"/>
  <c r="E1155" i="4"/>
  <c r="E732" i="4"/>
  <c r="E520" i="4"/>
  <c r="E582" i="4"/>
  <c r="E903" i="4"/>
  <c r="E1086" i="4"/>
  <c r="E967" i="4"/>
  <c r="E619" i="4"/>
  <c r="E911" i="4"/>
  <c r="E1025" i="4"/>
  <c r="E1140" i="4"/>
  <c r="E1173" i="4"/>
  <c r="E231" i="4"/>
  <c r="E987" i="4"/>
  <c r="E1267" i="4"/>
  <c r="E947" i="4"/>
  <c r="E1232" i="4"/>
  <c r="E349" i="4"/>
  <c r="E764" i="4"/>
  <c r="E923" i="4"/>
  <c r="E1192" i="4"/>
  <c r="E490" i="4"/>
  <c r="E608" i="4"/>
  <c r="E907" i="4"/>
  <c r="E328" i="4"/>
  <c r="E1211" i="4"/>
  <c r="E313" i="4"/>
  <c r="E352" i="4"/>
  <c r="E1094" i="4"/>
  <c r="E1137" i="4"/>
  <c r="E689" i="4"/>
  <c r="E529" i="4"/>
  <c r="E1229" i="4"/>
  <c r="E670" i="4"/>
  <c r="E1059" i="4"/>
  <c r="E533" i="4"/>
  <c r="E682" i="4"/>
  <c r="E507" i="4"/>
  <c r="E371" i="4"/>
  <c r="E396" i="4"/>
  <c r="E1074" i="4"/>
  <c r="E830" i="4"/>
  <c r="E295" i="4"/>
  <c r="E955" i="4"/>
  <c r="E846" i="4"/>
  <c r="E951" i="4"/>
  <c r="E1190" i="4"/>
  <c r="E768" i="4"/>
  <c r="E1048" i="4"/>
  <c r="E596" i="4"/>
  <c r="E1282" i="4"/>
  <c r="E683" i="4"/>
  <c r="E782" i="4"/>
  <c r="E499" i="4"/>
  <c r="E905" i="4"/>
  <c r="E463" i="4"/>
  <c r="E1220" i="4"/>
  <c r="E266" i="4"/>
  <c r="E1177" i="4"/>
  <c r="E893" i="4"/>
  <c r="E486" i="4"/>
  <c r="E384" i="4"/>
  <c r="E424" i="4"/>
  <c r="E392" i="4"/>
  <c r="E1200" i="4"/>
  <c r="E519" i="4"/>
  <c r="E1036" i="4"/>
  <c r="E1254" i="4"/>
  <c r="E513" i="4"/>
  <c r="E958" i="4"/>
  <c r="E864" i="4"/>
  <c r="E909" i="4"/>
  <c r="E1034" i="4"/>
  <c r="E365" i="4"/>
  <c r="E1234" i="4"/>
  <c r="E551" i="4"/>
  <c r="E859" i="4"/>
  <c r="E1011" i="4"/>
  <c r="E521" i="4"/>
  <c r="E1272" i="4"/>
  <c r="E1270" i="4"/>
  <c r="E370" i="4"/>
  <c r="E394" i="4"/>
  <c r="E524" i="4"/>
  <c r="E699" i="4"/>
  <c r="E339" i="4"/>
  <c r="E770" i="4"/>
  <c r="E820" i="4"/>
  <c r="E841" i="4"/>
  <c r="E278" i="4"/>
  <c r="E878" i="4"/>
  <c r="E669" i="4"/>
  <c r="E526" i="4"/>
  <c r="E1248" i="4"/>
  <c r="E890" i="4"/>
  <c r="E902" i="4"/>
  <c r="E606" i="4"/>
  <c r="E1195" i="4"/>
  <c r="E1184" i="4"/>
  <c r="E588" i="4"/>
  <c r="E718" i="4"/>
  <c r="E431" i="4"/>
  <c r="E838" i="4"/>
  <c r="E585" i="4"/>
  <c r="E1153" i="4"/>
  <c r="E1147" i="4"/>
  <c r="E994" i="4"/>
  <c r="E1289" i="4"/>
  <c r="E637" i="4"/>
  <c r="E817" i="4"/>
  <c r="E1142" i="4"/>
  <c r="E1170" i="4"/>
  <c r="E737" i="4"/>
  <c r="E997" i="4"/>
  <c r="E877" i="4"/>
  <c r="E1253" i="4"/>
  <c r="E875" i="4"/>
  <c r="E627" i="4"/>
  <c r="E354" i="4"/>
  <c r="E411" i="4"/>
  <c r="E747" i="4"/>
  <c r="E791" i="4"/>
  <c r="E1070" i="4"/>
  <c r="E753" i="4"/>
  <c r="E883" i="4"/>
  <c r="E1080" i="4"/>
  <c r="E1126" i="4"/>
  <c r="E284" i="4"/>
  <c r="E539" i="4"/>
  <c r="E1188" i="4"/>
  <c r="E1110" i="4"/>
  <c r="E477" i="4"/>
  <c r="E724" i="4"/>
  <c r="E1145" i="4"/>
  <c r="E643" i="4"/>
  <c r="E943" i="4"/>
  <c r="E1050" i="4"/>
  <c r="E626" i="4"/>
  <c r="E1031" i="4"/>
  <c r="E318" i="4"/>
  <c r="E564" i="4"/>
  <c r="E1226" i="4"/>
  <c r="E1202" i="4"/>
  <c r="E998" i="4"/>
  <c r="E726" i="4"/>
  <c r="E241" i="4"/>
  <c r="E788" i="4"/>
  <c r="E1245" i="4"/>
  <c r="E657" i="4"/>
  <c r="E1273" i="4"/>
  <c r="E236" i="4"/>
  <c r="E1160" i="4"/>
  <c r="E614" i="4"/>
  <c r="E315" i="4"/>
  <c r="E559" i="4"/>
  <c r="E299" i="4"/>
  <c r="E1249" i="4"/>
  <c r="E1149" i="4"/>
  <c r="E1280" i="4"/>
  <c r="E1124" i="4"/>
  <c r="E1129" i="4"/>
  <c r="E268" i="4"/>
  <c r="E983" i="4"/>
  <c r="E845" i="4"/>
  <c r="E862" i="4"/>
  <c r="E1130" i="4"/>
  <c r="E656" i="4"/>
  <c r="E802" i="4"/>
  <c r="E355" i="4"/>
  <c r="E1064" i="4"/>
  <c r="E773" i="4"/>
  <c r="E1035" i="4"/>
  <c r="E1027" i="4"/>
  <c r="E888" i="4"/>
  <c r="E1071" i="4"/>
  <c r="E250" i="4"/>
  <c r="E1165" i="4"/>
  <c r="E1117" i="4"/>
  <c r="E1106" i="4"/>
  <c r="E323" i="4"/>
  <c r="E891" i="4"/>
  <c r="E786" i="4"/>
  <c r="E1049" i="4"/>
  <c r="E1002" i="4"/>
  <c r="E667" i="4"/>
  <c r="E857" i="4"/>
  <c r="E1274" i="4"/>
  <c r="E531" i="4"/>
  <c r="E839" i="4"/>
  <c r="E931" i="4"/>
  <c r="E1251" i="4"/>
  <c r="E1172" i="4"/>
  <c r="E992" i="4"/>
  <c r="E964" i="4"/>
  <c r="E874" i="4"/>
  <c r="E1283" i="4"/>
  <c r="E485" i="4"/>
  <c r="E488" i="4"/>
  <c r="E842" i="4"/>
  <c r="E368" i="4"/>
  <c r="E235" i="4"/>
  <c r="E432" i="4"/>
  <c r="E1143" i="4"/>
  <c r="E1222" i="4"/>
  <c r="E664" i="4"/>
  <c r="E1038" i="4"/>
  <c r="E660" i="4"/>
  <c r="E1120" i="4"/>
  <c r="E1281" i="4"/>
  <c r="E1240" i="4"/>
  <c r="E971" i="4"/>
  <c r="E797" i="4"/>
  <c r="E1040" i="4"/>
  <c r="E671" i="4"/>
  <c r="E1162" i="4"/>
  <c r="E915" i="4"/>
  <c r="E927" i="4"/>
  <c r="E1146" i="4"/>
  <c r="E1026" i="4"/>
  <c r="E249" i="4"/>
  <c r="E607" i="4"/>
  <c r="E325" i="4"/>
  <c r="E825" i="4"/>
  <c r="E382" i="4"/>
  <c r="E1290" i="4"/>
  <c r="E498" i="4"/>
  <c r="E1252" i="4"/>
  <c r="E561" i="4"/>
  <c r="E949" i="4"/>
  <c r="E402" i="4"/>
  <c r="E473" i="4"/>
  <c r="E1285" i="4"/>
  <c r="E684" i="4"/>
  <c r="E448" i="4"/>
  <c r="E292" i="4"/>
  <c r="E719" i="4"/>
  <c r="E1150" i="4"/>
  <c r="E1256" i="4"/>
  <c r="E919" i="4"/>
  <c r="E1095" i="4"/>
  <c r="E230" i="4"/>
  <c r="E327" i="4"/>
  <c r="E604" i="4"/>
  <c r="E480" i="4"/>
  <c r="E856" i="4"/>
  <c r="E735" i="4"/>
  <c r="E896" i="4"/>
  <c r="E1082" i="4"/>
  <c r="E824" i="4"/>
  <c r="E622" i="4"/>
  <c r="E1039" i="4"/>
  <c r="E1237" i="4"/>
  <c r="E304" i="4"/>
  <c r="E1265" i="4"/>
  <c r="E1260" i="4"/>
  <c r="E233" i="4"/>
  <c r="E367" i="4"/>
  <c r="E984" i="4"/>
  <c r="E1010" i="4"/>
  <c r="E530" i="4"/>
  <c r="E668" i="4"/>
  <c r="E1242" i="4"/>
  <c r="E937" i="4"/>
  <c r="E1072" i="4"/>
  <c r="E837" i="4"/>
  <c r="E1091" i="4"/>
  <c r="E273" i="4"/>
  <c r="E409" i="4"/>
  <c r="E916" i="4"/>
  <c r="E939" i="4"/>
  <c r="E395" i="4"/>
  <c r="E618" i="4"/>
  <c r="E269" i="4"/>
  <c r="E759" i="4"/>
  <c r="E850" i="4"/>
  <c r="E1181" i="4"/>
  <c r="E244" i="4"/>
  <c r="E340" i="4"/>
  <c r="E616" i="4"/>
  <c r="E628" i="4"/>
  <c r="E913" i="4"/>
  <c r="E1246" i="4"/>
  <c r="E828" i="4"/>
  <c r="E1127" i="4"/>
  <c r="E1167" i="4"/>
  <c r="E319" i="4"/>
  <c r="E316" i="4"/>
  <c r="E1067" i="4"/>
  <c r="E1088" i="4"/>
  <c r="E373" i="4"/>
  <c r="E422" i="4"/>
  <c r="E341" i="4"/>
  <c r="E535" i="4"/>
  <c r="E819" i="4"/>
  <c r="E386" i="4"/>
  <c r="E814" i="4"/>
  <c r="E774" i="4"/>
  <c r="E405" i="4"/>
  <c r="E459" i="4"/>
  <c r="E1089" i="4"/>
  <c r="E765" i="4"/>
  <c r="E420" i="4"/>
  <c r="E1017" i="4"/>
  <c r="E506" i="4"/>
  <c r="E1085" i="4"/>
  <c r="E1063" i="4"/>
  <c r="E344" i="4"/>
  <c r="E427" i="4"/>
  <c r="E742" i="4"/>
  <c r="E439" i="4"/>
  <c r="E743" i="4"/>
  <c r="E579" i="4"/>
  <c r="E414" i="4"/>
  <c r="E806" i="4"/>
  <c r="E362" i="4"/>
  <c r="E1262" i="4"/>
  <c r="E389" i="4"/>
  <c r="E572" i="4"/>
  <c r="E438" i="4"/>
  <c r="E487" i="4"/>
  <c r="E965" i="4"/>
  <c r="E640" i="4"/>
  <c r="E1186" i="4"/>
  <c r="E474" i="4"/>
  <c r="E320" i="4"/>
  <c r="E1278" i="4"/>
  <c r="E504" i="4"/>
  <c r="E326" i="4"/>
  <c r="E1247" i="4"/>
  <c r="E1093" i="4"/>
  <c r="E1187" i="4"/>
  <c r="E612" i="4"/>
  <c r="E734" i="4"/>
  <c r="E1012" i="4"/>
  <c r="E1221" i="4"/>
  <c r="E555" i="4"/>
  <c r="E740" i="4"/>
  <c r="E1037" i="4"/>
  <c r="E1033" i="4"/>
  <c r="E1045" i="4"/>
  <c r="E754" i="4"/>
  <c r="E686" i="4"/>
  <c r="E253" i="4"/>
  <c r="E601" i="4"/>
  <c r="E517" i="4"/>
  <c r="E974" i="4"/>
  <c r="E679" i="4"/>
  <c r="E560" i="4"/>
  <c r="E567" i="4"/>
  <c r="E296" i="4"/>
  <c r="E302" i="4"/>
  <c r="E600" i="4"/>
  <c r="E880" i="4"/>
  <c r="E426" i="4"/>
  <c r="E440" i="4"/>
  <c r="E240" i="4"/>
  <c r="E757" i="4"/>
  <c r="E364" i="4"/>
  <c r="E635" i="4"/>
  <c r="E932" i="4"/>
  <c r="E681" i="4"/>
  <c r="E243" i="4"/>
  <c r="E720" i="4"/>
  <c r="E936" i="4"/>
  <c r="E697" i="4"/>
  <c r="E303" i="4"/>
  <c r="E784" i="4"/>
  <c r="E574" i="4"/>
  <c r="E646" i="4"/>
  <c r="E1107" i="4"/>
  <c r="E433" i="4"/>
  <c r="E563" i="4"/>
  <c r="E534" i="4"/>
  <c r="E834" i="4"/>
  <c r="E458" i="4"/>
  <c r="E1151" i="4"/>
  <c r="E300" i="4"/>
  <c r="E894" i="4"/>
  <c r="E331" i="4"/>
  <c r="E332" i="4"/>
  <c r="E1079" i="4"/>
  <c r="E280" i="4"/>
  <c r="E441" i="4"/>
  <c r="E1199" i="4"/>
  <c r="E884" i="4"/>
  <c r="E728" i="4"/>
  <c r="E647" i="4"/>
  <c r="E279" i="4"/>
  <c r="E324" i="4"/>
  <c r="E966" i="4"/>
  <c r="E583" i="4"/>
  <c r="E1101" i="4"/>
  <c r="E885" i="4"/>
  <c r="E492" i="4"/>
  <c r="E265" i="4"/>
  <c r="E553" i="4"/>
  <c r="E254" i="4"/>
  <c r="E904" i="4"/>
  <c r="E775" i="4"/>
  <c r="E1239" i="4"/>
  <c r="E692" i="4"/>
  <c r="E799" i="4"/>
  <c r="E1279" i="4"/>
  <c r="E470" i="4"/>
  <c r="E917" i="4"/>
  <c r="E308" i="4"/>
  <c r="E286" i="4"/>
  <c r="E481" i="4"/>
  <c r="E895" i="4"/>
  <c r="E855" i="4"/>
  <c r="E785" i="4"/>
  <c r="E1214" i="4"/>
  <c r="E312" i="4"/>
  <c r="E493" i="4"/>
  <c r="E1024" i="4"/>
  <c r="E860" i="4"/>
  <c r="E390" i="4"/>
  <c r="E959" i="4"/>
  <c r="E281" i="4"/>
  <c r="E444" i="4"/>
  <c r="E310" i="4"/>
  <c r="E435" i="4"/>
  <c r="E1189" i="4"/>
  <c r="E317" i="4"/>
  <c r="E766" i="4"/>
  <c r="E358" i="4"/>
  <c r="E767" i="4"/>
  <c r="E1132" i="4"/>
  <c r="E642" i="4"/>
  <c r="E452" i="4"/>
  <c r="E484" i="4"/>
  <c r="E342" i="4"/>
  <c r="E868" i="4"/>
  <c r="E556" i="4"/>
  <c r="E710" i="4"/>
  <c r="E309" i="4"/>
  <c r="E609" i="4"/>
  <c r="E711" i="4"/>
  <c r="E803" i="4"/>
  <c r="E698" i="4"/>
  <c r="E522" i="4"/>
  <c r="E972" i="4"/>
  <c r="E447" i="4"/>
  <c r="E242" i="4"/>
  <c r="E307" i="4"/>
  <c r="E1233" i="4"/>
  <c r="E632" i="4"/>
  <c r="E805" i="4"/>
  <c r="E418" i="4"/>
  <c r="E489" i="4"/>
  <c r="E406" i="4"/>
  <c r="E495" i="4"/>
  <c r="E1021" i="4"/>
  <c r="E357" i="4"/>
  <c r="E1284" i="4"/>
  <c r="E1244" i="4"/>
  <c r="E462" i="4"/>
  <c r="E453" i="4"/>
  <c r="E505" i="4"/>
  <c r="E577" i="4"/>
  <c r="E270" i="4"/>
  <c r="E852" i="4"/>
  <c r="E1263" i="4"/>
  <c r="E727" i="4"/>
  <c r="E575" i="4"/>
  <c r="E548" i="4"/>
  <c r="E1159" i="4"/>
  <c r="E968" i="4"/>
  <c r="E429" i="4"/>
  <c r="E605" i="4"/>
  <c r="E933" i="4"/>
  <c r="E461" i="4"/>
  <c r="E573" i="4"/>
  <c r="E335" i="4"/>
  <c r="E360" i="4"/>
  <c r="E229" i="4"/>
  <c r="E703" i="4"/>
  <c r="E749" i="4"/>
  <c r="E617" i="4"/>
  <c r="E449" i="4"/>
  <c r="E649" i="4"/>
  <c r="E541" i="4"/>
  <c r="E497" i="4"/>
  <c r="E674" i="4"/>
  <c r="E1092" i="4"/>
  <c r="E1258" i="4"/>
  <c r="E714" i="4"/>
  <c r="E685" i="4"/>
  <c r="E267" i="4"/>
  <c r="E1257" i="4"/>
  <c r="E380" i="4"/>
  <c r="E901" i="4"/>
  <c r="E1119" i="4"/>
  <c r="E1090" i="4"/>
  <c r="E404" i="4"/>
  <c r="E702" i="4"/>
  <c r="E1209" i="4"/>
  <c r="E1201" i="4"/>
  <c r="E247" i="4"/>
  <c r="E403" i="4"/>
  <c r="E810" i="4"/>
  <c r="E693" i="4"/>
  <c r="E537" i="4"/>
  <c r="E1100" i="4"/>
  <c r="E783" i="4"/>
  <c r="E981" i="4"/>
  <c r="E1008" i="4"/>
  <c r="E491" i="4"/>
  <c r="E1210" i="4"/>
  <c r="E777" i="4"/>
  <c r="E428" i="4"/>
  <c r="E293" i="4"/>
  <c r="E437" i="4"/>
  <c r="E950" i="4"/>
  <c r="E336" i="4"/>
  <c r="E543" i="4"/>
  <c r="E1148" i="4"/>
  <c r="E854" i="4"/>
  <c r="E578" i="4"/>
  <c r="E1158" i="4"/>
  <c r="E662" i="4"/>
  <c r="E283" i="4"/>
  <c r="E708" i="4"/>
  <c r="E1157" i="4"/>
  <c r="E1180" i="4"/>
  <c r="E1161" i="4"/>
  <c r="E930" i="4"/>
  <c r="E378" i="4"/>
  <c r="E532" i="4"/>
  <c r="E540" i="4"/>
  <c r="E510" i="4"/>
  <c r="E892" i="4"/>
  <c r="E494" i="4"/>
  <c r="E260" i="4"/>
  <c r="E879" i="4"/>
  <c r="E717" i="4"/>
  <c r="E1032" i="4"/>
  <c r="E234" i="4"/>
  <c r="E1269" i="4"/>
  <c r="E421" i="4"/>
  <c r="E511" i="4"/>
  <c r="E861" i="4"/>
  <c r="E1276" i="4"/>
  <c r="E771" i="4"/>
  <c r="E1275" i="4"/>
  <c r="E372" i="4"/>
  <c r="E329" i="4"/>
  <c r="E388" i="4"/>
  <c r="E1062" i="4"/>
  <c r="E993" i="4"/>
  <c r="E1178" i="4"/>
  <c r="E333" i="4"/>
  <c r="E741" i="4"/>
  <c r="E285" i="4"/>
  <c r="E804" i="4"/>
  <c r="E1212" i="4"/>
  <c r="E1286" i="4"/>
  <c r="E584" i="4"/>
  <c r="E1108" i="4"/>
  <c r="E305" i="4"/>
  <c r="E276" i="4"/>
  <c r="E321" i="4"/>
  <c r="E1015" i="4"/>
  <c r="E973" i="4"/>
  <c r="E736" i="4"/>
  <c r="E369" i="4"/>
  <c r="E251" i="4"/>
  <c r="E816" i="4"/>
  <c r="E569" i="4"/>
  <c r="E801" i="4"/>
  <c r="E274" i="4"/>
  <c r="E898" i="4"/>
  <c r="E733" i="4"/>
  <c r="E690" i="4"/>
  <c r="E1044" i="4"/>
  <c r="E469" i="4"/>
  <c r="E815" i="4"/>
  <c r="E663" i="4"/>
  <c r="E989" i="4"/>
  <c r="E798" i="4"/>
  <c r="E975" i="4"/>
  <c r="E294" i="4"/>
  <c r="E680" i="4"/>
  <c r="E457" i="4"/>
  <c r="E516" i="4"/>
  <c r="E287" i="4"/>
  <c r="E853" i="4"/>
  <c r="E1005" i="4"/>
  <c r="E356" i="4"/>
  <c r="E707" i="4"/>
  <c r="E478" i="4"/>
  <c r="E509" i="4"/>
  <c r="E648" i="4"/>
  <c r="E629" i="4"/>
  <c r="E1223" i="4"/>
  <c r="E869" i="4"/>
  <c r="E413" i="4"/>
  <c r="E752" i="4"/>
  <c r="E776" i="4"/>
  <c r="E716" i="4"/>
  <c r="E1139" i="4"/>
  <c r="E676" i="4"/>
  <c r="E1122" i="4"/>
  <c r="E761" i="4"/>
  <c r="E593" i="4"/>
  <c r="E381" i="4"/>
  <c r="E876" i="4"/>
  <c r="E496" i="4"/>
  <c r="E960" i="4"/>
  <c r="E756" i="4"/>
  <c r="E1154" i="4"/>
  <c r="E633" i="4"/>
  <c r="E695" i="4"/>
  <c r="E881" i="4"/>
  <c r="E1216" i="4"/>
  <c r="E665" i="4"/>
  <c r="E290" i="4"/>
  <c r="E701" i="4"/>
  <c r="E789" i="4"/>
  <c r="E1023" i="4"/>
  <c r="E673" i="4"/>
  <c r="E282" i="4"/>
  <c r="E366" i="4"/>
  <c r="E385" i="4"/>
  <c r="E467" i="4"/>
  <c r="E897" i="4"/>
  <c r="E1116" i="4"/>
  <c r="E822" i="4"/>
  <c r="E977" i="4"/>
  <c r="E1203" i="4"/>
  <c r="E1215" i="4"/>
  <c r="E645" i="4"/>
  <c r="E848" i="4"/>
  <c r="E544" i="4"/>
  <c r="E926" i="4"/>
  <c r="E374" i="4"/>
  <c r="E589" i="4"/>
  <c r="E1193" i="4"/>
  <c r="E1084" i="4"/>
  <c r="E661" i="4"/>
  <c r="E1109" i="4"/>
  <c r="E1183" i="4"/>
  <c r="E508" i="4"/>
  <c r="E359" i="4"/>
  <c r="E1217" i="4"/>
  <c r="E1006" i="4"/>
  <c r="E1018" i="4"/>
  <c r="E337" i="4"/>
  <c r="E945" i="4"/>
  <c r="E227" i="4"/>
  <c r="E1078" i="4"/>
  <c r="E639" i="4"/>
  <c r="E482" i="4"/>
  <c r="E343" i="4"/>
  <c r="E748" i="4"/>
  <c r="E829" i="4"/>
  <c r="E557" i="4"/>
  <c r="E546" i="4"/>
  <c r="E745" i="4"/>
  <c r="E793" i="4"/>
  <c r="E1056" i="4"/>
  <c r="E434" i="4"/>
  <c r="E1097" i="4"/>
  <c r="E393" i="4"/>
  <c r="E887" i="4"/>
  <c r="E590" i="4"/>
  <c r="E237" i="4"/>
  <c r="E397" i="4"/>
  <c r="E840" i="4"/>
  <c r="E472" i="4"/>
  <c r="E1083" i="4"/>
  <c r="E653" i="4"/>
  <c r="E350" i="4"/>
  <c r="E638" i="4"/>
  <c r="E547" i="4"/>
  <c r="E1121" i="4"/>
  <c r="E550" i="4"/>
  <c r="E672" i="4"/>
  <c r="E1191" i="4"/>
  <c r="E442" i="4"/>
  <c r="E1000" i="4"/>
  <c r="E1255" i="4"/>
  <c r="E866" i="4"/>
  <c r="E796" i="4"/>
  <c r="E1104" i="4"/>
  <c r="E1205" i="4"/>
  <c r="E1166" i="4"/>
  <c r="E870" i="4"/>
  <c r="E914" i="4"/>
  <c r="E921" i="4"/>
  <c r="E865" i="4"/>
  <c r="E944" i="4"/>
  <c r="E568" i="4"/>
  <c r="E713" i="4"/>
  <c r="E631" i="4"/>
  <c r="E889" i="4"/>
  <c r="E377" i="4"/>
  <c r="E995" i="4"/>
  <c r="E545" i="4"/>
  <c r="E1030" i="4"/>
  <c r="E980" i="4"/>
  <c r="E338" i="4"/>
  <c r="E666" i="4"/>
  <c r="E615" i="4"/>
  <c r="E807" i="4"/>
  <c r="E1019" i="4"/>
  <c r="E934" i="4"/>
  <c r="E709" i="4"/>
  <c r="E454" i="4"/>
  <c r="E769" i="4"/>
  <c r="E246" i="4"/>
  <c r="E1182" i="4"/>
  <c r="E1115" i="4"/>
  <c r="E652" i="4"/>
  <c r="E586" i="4"/>
  <c r="E238" i="4"/>
  <c r="E787" i="4"/>
  <c r="E398" i="4"/>
  <c r="E722" i="4"/>
  <c r="E262" i="4"/>
  <c r="E715" i="4"/>
  <c r="E264" i="4"/>
  <c r="E1241" i="4"/>
  <c r="E851" i="4"/>
  <c r="E1046" i="4"/>
  <c r="E1096" i="4"/>
  <c r="E245" i="4"/>
  <c r="E412" i="4"/>
  <c r="E515" i="4"/>
  <c r="E475" i="4"/>
  <c r="E908" i="4"/>
  <c r="E602" i="4"/>
  <c r="E430" i="4"/>
  <c r="E634" i="4"/>
  <c r="E1099" i="4"/>
  <c r="E948" i="4"/>
  <c r="E1231" i="4"/>
  <c r="E383" i="4"/>
  <c r="E599" i="4"/>
  <c r="E455" i="4"/>
  <c r="E912" i="4"/>
  <c r="E624" i="4"/>
  <c r="E503" i="4"/>
  <c r="G196" i="1"/>
  <c r="F196" i="1"/>
  <c r="A196" i="1"/>
  <c r="G195" i="1"/>
  <c r="F195" i="1"/>
  <c r="A195" i="1"/>
  <c r="G194" i="1"/>
  <c r="F194" i="1"/>
  <c r="A194" i="1"/>
  <c r="G193" i="1"/>
  <c r="F193" i="1"/>
  <c r="A193" i="1"/>
  <c r="G192" i="1"/>
  <c r="F192" i="1"/>
  <c r="A192" i="1"/>
  <c r="G191" i="1"/>
  <c r="F191" i="1"/>
  <c r="A191" i="1"/>
  <c r="G190" i="1"/>
  <c r="F190" i="1"/>
  <c r="A190" i="1"/>
  <c r="G189" i="1"/>
  <c r="F189" i="1"/>
  <c r="A189" i="1"/>
  <c r="G176" i="1"/>
  <c r="F176" i="1"/>
  <c r="A176" i="1"/>
  <c r="G175" i="1"/>
  <c r="F175" i="1"/>
  <c r="A175" i="1"/>
  <c r="G174" i="1"/>
  <c r="F174" i="1"/>
  <c r="A174" i="1"/>
  <c r="G173" i="1"/>
  <c r="F173" i="1"/>
  <c r="A173" i="1"/>
  <c r="G172" i="1"/>
  <c r="F172" i="1"/>
  <c r="A172" i="1"/>
  <c r="G171" i="1"/>
  <c r="F171" i="1"/>
  <c r="A171" i="1"/>
  <c r="G170" i="1"/>
  <c r="F170" i="1"/>
  <c r="A170" i="1"/>
  <c r="G169" i="1"/>
  <c r="F169" i="1"/>
  <c r="A169" i="1"/>
  <c r="G168" i="1"/>
  <c r="F168" i="1"/>
  <c r="A168" i="1"/>
  <c r="G167" i="1"/>
  <c r="F167" i="1"/>
  <c r="A167" i="1"/>
  <c r="G149" i="1"/>
  <c r="F149" i="1"/>
  <c r="G145" i="1"/>
  <c r="G129" i="1"/>
  <c r="F129" i="1"/>
  <c r="S126" i="1"/>
  <c r="G125" i="1"/>
  <c r="Q124" i="1"/>
  <c r="G108" i="1"/>
  <c r="F108" i="1"/>
  <c r="A108" i="1"/>
  <c r="G107" i="1"/>
  <c r="F107" i="1"/>
  <c r="A107" i="1"/>
  <c r="G106" i="1"/>
  <c r="F106" i="1"/>
  <c r="A106" i="1"/>
  <c r="G105" i="1"/>
  <c r="F105" i="1"/>
  <c r="A105" i="1"/>
  <c r="G104" i="1"/>
  <c r="F104" i="1"/>
  <c r="A104" i="1"/>
  <c r="G103" i="1"/>
  <c r="F103" i="1"/>
  <c r="A103" i="1"/>
  <c r="G102" i="1"/>
  <c r="F102" i="1"/>
  <c r="A102" i="1"/>
  <c r="G101" i="1"/>
  <c r="F101" i="1"/>
  <c r="A101" i="1"/>
  <c r="G88" i="1"/>
  <c r="F88" i="1"/>
  <c r="A88" i="1"/>
  <c r="G87" i="1"/>
  <c r="F87" i="1"/>
  <c r="A87" i="1"/>
  <c r="G86" i="1"/>
  <c r="F86" i="1"/>
  <c r="A86" i="1"/>
  <c r="G85" i="1"/>
  <c r="F85" i="1"/>
  <c r="A85" i="1"/>
  <c r="G84" i="1"/>
  <c r="F84" i="1"/>
  <c r="A84" i="1"/>
  <c r="G83" i="1"/>
  <c r="F83" i="1"/>
  <c r="A83" i="1"/>
  <c r="G82" i="1"/>
  <c r="F82" i="1"/>
  <c r="A82" i="1"/>
  <c r="G81" i="1"/>
  <c r="F81" i="1"/>
  <c r="A81" i="1"/>
  <c r="G80" i="1"/>
  <c r="F80" i="1"/>
  <c r="A80" i="1"/>
  <c r="G79" i="1"/>
  <c r="G62" i="1"/>
  <c r="G58" i="1"/>
  <c r="B39" i="1"/>
  <c r="F39" i="1" s="1"/>
  <c r="S37" i="1"/>
  <c r="Q35" i="1"/>
  <c r="G23" i="1"/>
  <c r="B19" i="1"/>
  <c r="G17" i="1"/>
  <c r="R17" i="1" s="1"/>
  <c r="G16" i="1"/>
  <c r="R16" i="1" s="1"/>
  <c r="G15" i="1"/>
  <c r="R15" i="1" s="1"/>
  <c r="G14" i="1"/>
  <c r="R14" i="1" s="1"/>
  <c r="G13" i="1"/>
  <c r="P7" i="1"/>
  <c r="B7" i="1"/>
  <c r="J4" i="1"/>
  <c r="K3" i="1"/>
  <c r="F35" i="1" s="1"/>
  <c r="J3" i="1"/>
  <c r="A216" i="4" l="1"/>
  <c r="A217" i="4" s="1"/>
  <c r="Q75" i="1"/>
  <c r="Q77" i="1"/>
  <c r="Q78" i="1" s="1"/>
  <c r="Q163" i="1"/>
  <c r="Q164" i="1" s="1"/>
  <c r="Q3" i="1"/>
  <c r="F147" i="1"/>
  <c r="F37" i="1"/>
  <c r="F60" i="1"/>
  <c r="F127" i="1"/>
  <c r="F58" i="1"/>
  <c r="F145" i="1"/>
  <c r="F125" i="1"/>
  <c r="Q165" i="1"/>
  <c r="Q166" i="1" s="1"/>
  <c r="G19" i="1"/>
  <c r="B71" i="1" s="1"/>
  <c r="G147" i="1"/>
  <c r="K4" i="1"/>
  <c r="G39" i="1"/>
  <c r="D139" i="1"/>
  <c r="F140" i="1"/>
  <c r="B127" i="1"/>
  <c r="B21" i="1"/>
  <c r="B58" i="1"/>
  <c r="G21" i="1"/>
  <c r="B33" i="1"/>
  <c r="B125" i="1"/>
  <c r="E139" i="1"/>
  <c r="G140" i="1"/>
  <c r="B143" i="1"/>
  <c r="Q36" i="1"/>
  <c r="G127" i="1"/>
  <c r="F139" i="1"/>
  <c r="B145" i="1"/>
  <c r="B35" i="1"/>
  <c r="B60" i="1"/>
  <c r="G139" i="1"/>
  <c r="B141" i="1"/>
  <c r="G141" i="1"/>
  <c r="Q125" i="1"/>
  <c r="B140" i="1"/>
  <c r="C141" i="1"/>
  <c r="B37" i="1"/>
  <c r="C140" i="1"/>
  <c r="D141" i="1"/>
  <c r="B147" i="1"/>
  <c r="R13" i="1"/>
  <c r="D140" i="1"/>
  <c r="E141" i="1"/>
  <c r="G37" i="1"/>
  <c r="B56" i="1"/>
  <c r="C139" i="1"/>
  <c r="E140" i="1"/>
  <c r="F141" i="1"/>
  <c r="A218" i="4" l="1"/>
  <c r="Q76" i="1"/>
  <c r="B73" i="1" s="1"/>
  <c r="B181" i="1"/>
  <c r="B26" i="1"/>
  <c r="B49" i="1"/>
  <c r="B159" i="1"/>
  <c r="B137" i="1"/>
  <c r="B115" i="1"/>
  <c r="B93" i="1"/>
  <c r="B6" i="1"/>
  <c r="G60" i="1"/>
  <c r="H118" i="1"/>
  <c r="H140" i="1"/>
  <c r="H30" i="1"/>
  <c r="B183" i="1"/>
  <c r="B186" i="1" s="1"/>
  <c r="B161" i="1"/>
  <c r="R35" i="1"/>
  <c r="R125" i="1"/>
  <c r="R36" i="1"/>
  <c r="R124" i="1"/>
  <c r="A219" i="4" l="1"/>
  <c r="B95" i="1"/>
  <c r="B98" i="1" s="1"/>
  <c r="S125" i="1"/>
  <c r="S36" i="1"/>
  <c r="S124" i="1"/>
  <c r="S35" i="1"/>
  <c r="A220" i="4" l="1"/>
  <c r="A221" i="4" s="1"/>
  <c r="A222" i="4" s="1"/>
  <c r="E56" i="4" s="1"/>
  <c r="V124" i="1"/>
  <c r="V35" i="1"/>
  <c r="E2" i="4" l="1"/>
  <c r="E70" i="4"/>
  <c r="E41" i="4"/>
  <c r="E132" i="4"/>
  <c r="E57" i="4"/>
  <c r="E71" i="4"/>
  <c r="E182" i="4"/>
  <c r="E46" i="4"/>
  <c r="E183" i="4"/>
  <c r="E179" i="4"/>
  <c r="E161" i="4"/>
  <c r="E156" i="4"/>
  <c r="E136" i="4"/>
  <c r="E9" i="4"/>
  <c r="E26" i="4"/>
  <c r="E151" i="4"/>
  <c r="E210" i="4"/>
  <c r="E146" i="4"/>
  <c r="E153" i="4"/>
  <c r="E7" i="4"/>
  <c r="E150" i="4"/>
  <c r="E171" i="4"/>
  <c r="E197" i="4"/>
  <c r="E78" i="4"/>
  <c r="E64" i="4"/>
  <c r="E188" i="4"/>
  <c r="E117" i="4"/>
  <c r="E173" i="4"/>
  <c r="E4" i="4"/>
  <c r="E190" i="4"/>
  <c r="E83" i="4"/>
  <c r="E219" i="4"/>
  <c r="E35" i="4"/>
  <c r="E202" i="4"/>
  <c r="E206" i="4"/>
  <c r="E60" i="4"/>
  <c r="E58" i="4"/>
  <c r="E215" i="4"/>
  <c r="E33" i="4"/>
  <c r="E16" i="4"/>
  <c r="E140" i="4"/>
  <c r="E157" i="4"/>
  <c r="E199" i="4"/>
  <c r="E89" i="4"/>
  <c r="E39" i="4"/>
  <c r="E152" i="4"/>
  <c r="E84" i="4"/>
  <c r="E158" i="4"/>
  <c r="E85" i="4"/>
  <c r="E94" i="4"/>
  <c r="E122" i="4"/>
  <c r="E216" i="4"/>
  <c r="E145" i="4"/>
  <c r="E217" i="4"/>
  <c r="E55" i="4"/>
  <c r="E96" i="4"/>
  <c r="E123" i="4"/>
  <c r="E40" i="4"/>
  <c r="E88" i="4"/>
  <c r="E168" i="4"/>
  <c r="E144" i="4"/>
  <c r="E112" i="4"/>
  <c r="E75" i="4"/>
  <c r="E192" i="4"/>
  <c r="E131" i="4"/>
  <c r="E113" i="4"/>
  <c r="E141" i="4"/>
  <c r="E133" i="4"/>
  <c r="E91" i="4"/>
  <c r="E147" i="4"/>
  <c r="E118" i="4"/>
  <c r="E212" i="4"/>
  <c r="E191" i="4"/>
  <c r="E184" i="4"/>
  <c r="E82" i="4"/>
  <c r="E65" i="4"/>
  <c r="E189" i="4"/>
  <c r="E22" i="4"/>
  <c r="E198" i="4"/>
  <c r="E108" i="4"/>
  <c r="E107" i="4"/>
  <c r="E209" i="4"/>
  <c r="E90" i="4"/>
  <c r="E175" i="4"/>
  <c r="E14" i="4"/>
  <c r="E30" i="4"/>
  <c r="E17" i="4"/>
  <c r="E134" i="4"/>
  <c r="E19" i="4"/>
  <c r="E67" i="4"/>
  <c r="E128" i="4"/>
  <c r="E72" i="4"/>
  <c r="E125" i="4"/>
  <c r="E142" i="4"/>
  <c r="E23" i="4"/>
  <c r="E160" i="4"/>
  <c r="E163" i="4"/>
  <c r="E155" i="4"/>
  <c r="E13" i="4"/>
  <c r="E177" i="4"/>
  <c r="E87" i="4"/>
  <c r="E164" i="4"/>
  <c r="E213" i="4"/>
  <c r="E211" i="4"/>
  <c r="E11" i="4"/>
  <c r="E205" i="4"/>
  <c r="E24" i="4"/>
  <c r="E203" i="4"/>
  <c r="E15" i="4"/>
  <c r="E162" i="4"/>
  <c r="E28" i="4"/>
  <c r="E115" i="4"/>
  <c r="E52" i="4"/>
  <c r="E32" i="4"/>
  <c r="E31" i="4"/>
  <c r="E120" i="4"/>
  <c r="E79" i="4"/>
  <c r="E204" i="4"/>
  <c r="E18" i="4"/>
  <c r="E98" i="4"/>
  <c r="E154" i="4"/>
  <c r="E165" i="4"/>
  <c r="E218" i="4"/>
  <c r="E92" i="4"/>
  <c r="E167" i="4"/>
  <c r="E196" i="4"/>
  <c r="E59" i="4"/>
  <c r="E137" i="4"/>
  <c r="E148" i="4"/>
  <c r="E47" i="4"/>
  <c r="E169" i="4"/>
  <c r="E50" i="4"/>
  <c r="E104" i="4"/>
  <c r="E93" i="4"/>
  <c r="E186" i="4"/>
  <c r="E21" i="4"/>
  <c r="E187" i="4"/>
  <c r="E8" i="4"/>
  <c r="E5" i="4"/>
  <c r="E20" i="4"/>
  <c r="E114" i="4"/>
  <c r="E201" i="4"/>
  <c r="E80" i="4"/>
  <c r="E185" i="4"/>
  <c r="E124" i="4"/>
  <c r="E208" i="4"/>
  <c r="E200" i="4"/>
  <c r="E111" i="4"/>
  <c r="E12" i="4"/>
  <c r="E195" i="4"/>
  <c r="E180" i="4"/>
  <c r="E76" i="4"/>
  <c r="E127" i="4"/>
  <c r="E102" i="4"/>
  <c r="E174" i="4"/>
  <c r="E181" i="4"/>
  <c r="E77" i="4"/>
  <c r="E54" i="4"/>
  <c r="E51" i="4"/>
  <c r="E49" i="4"/>
  <c r="E27" i="4"/>
  <c r="E44" i="4"/>
  <c r="E166" i="4"/>
  <c r="E194" i="4"/>
  <c r="E74" i="4"/>
  <c r="E62" i="4"/>
  <c r="E143" i="4"/>
  <c r="E103" i="4"/>
  <c r="E119" i="4"/>
  <c r="E95" i="4"/>
  <c r="E37" i="4"/>
  <c r="E100" i="4"/>
  <c r="E109" i="4"/>
  <c r="E170" i="4"/>
  <c r="E139" i="4"/>
  <c r="E36" i="4"/>
  <c r="E81" i="4"/>
  <c r="E193" i="4"/>
  <c r="E220" i="4"/>
  <c r="E221" i="4"/>
  <c r="E159" i="4"/>
  <c r="E61" i="4"/>
  <c r="E10" i="4"/>
  <c r="E106" i="4"/>
  <c r="E149" i="4"/>
  <c r="E34" i="4"/>
  <c r="E45" i="4"/>
  <c r="E53" i="4"/>
  <c r="E178" i="4"/>
  <c r="E126" i="4"/>
  <c r="E73" i="4"/>
  <c r="E63" i="4"/>
  <c r="E3" i="4"/>
  <c r="E48" i="4"/>
  <c r="E116" i="4"/>
  <c r="E69" i="4"/>
  <c r="E99" i="4"/>
  <c r="E138" i="4"/>
  <c r="E29" i="4"/>
  <c r="E110" i="4"/>
  <c r="E86" i="4"/>
  <c r="E101" i="4"/>
  <c r="E135" i="4"/>
  <c r="E172" i="4"/>
  <c r="E222" i="4"/>
  <c r="E224" i="4"/>
  <c r="E223" i="4"/>
  <c r="E225" i="4"/>
  <c r="E38" i="4"/>
  <c r="E129" i="4"/>
  <c r="E176" i="4"/>
  <c r="E214" i="4"/>
  <c r="E207" i="4"/>
  <c r="E25" i="4"/>
  <c r="E42" i="4"/>
  <c r="E43" i="4"/>
  <c r="E105" i="4"/>
  <c r="E130" i="4"/>
  <c r="E97" i="4"/>
  <c r="E68" i="4"/>
  <c r="E66" i="4"/>
  <c r="E121" i="4"/>
  <c r="E6" i="4"/>
  <c r="Q119" i="1"/>
  <c r="Q120" i="1" s="1"/>
  <c r="Q121" i="1"/>
  <c r="Q122" i="1" s="1"/>
  <c r="Q30" i="1"/>
  <c r="Q31" i="1" s="1"/>
  <c r="Q32" i="1"/>
  <c r="Q33" i="1" s="1"/>
  <c r="D2" i="4" l="1" a="1"/>
  <c r="D2" i="4" s="1"/>
  <c r="B117" i="1"/>
  <c r="B139" i="1"/>
  <c r="B28" i="1"/>
  <c r="B51" i="1"/>
  <c r="B5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Nick Parker</author>
  </authors>
  <commentList>
    <comment ref="E3" authorId="0" shapeId="0" xr:uid="{25327B44-6C9D-4D95-A8A4-39DB6CA561DD}">
      <text>
        <r>
          <rPr>
            <b/>
            <i/>
            <sz val="10"/>
            <color indexed="81"/>
            <rFont val="Arial"/>
            <family val="2"/>
          </rPr>
          <t>To search for a LARP either click in the blank box then click the arrow to select a name from the list of all LARPs or enter a search term in the box, press enter, then click the arrow to select from matching names. To reset, use the delete key to clear the search box.</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<sst xmlns="http://schemas.openxmlformats.org/spreadsheetml/2006/main" count="1750" uniqueCount="918">
  <si>
    <t>Arun District Council</t>
  </si>
  <si>
    <t>LARP operating in area formula</t>
  </si>
  <si>
    <t>Low cost rental</t>
  </si>
  <si>
    <t>PIE CHART</t>
  </si>
  <si>
    <t>General needs</t>
  </si>
  <si>
    <t>Supported housing</t>
  </si>
  <si>
    <t>Affordable Rent</t>
  </si>
  <si>
    <t>Affordable Rent - general needs</t>
  </si>
  <si>
    <t>Affordable Rent - supported housing</t>
  </si>
  <si>
    <t>Low cost home ownership (LCHO)</t>
  </si>
  <si>
    <t>England</t>
  </si>
  <si>
    <t>LARPs only - unweighted. Non-self-contained units recorded as bedspaces.</t>
  </si>
  <si>
    <t>Net</t>
  </si>
  <si>
    <t>Unit</t>
  </si>
  <si>
    <t>rent</t>
  </si>
  <si>
    <t>count</t>
  </si>
  <si>
    <t>Owned stock.  LARPs only - unweighted.</t>
  </si>
  <si>
    <t>Supported housing / housing for older people</t>
  </si>
  <si>
    <t>(in bar chart)</t>
  </si>
  <si>
    <t>Unit Size</t>
  </si>
  <si>
    <t>Non-self-contained</t>
  </si>
  <si>
    <t>Bedsit</t>
  </si>
  <si>
    <t>1 Bedroom</t>
  </si>
  <si>
    <t>2 Bedroom</t>
  </si>
  <si>
    <t>3 Bedroom</t>
  </si>
  <si>
    <t>4 Bedroom</t>
  </si>
  <si>
    <t>5 Bedroom</t>
  </si>
  <si>
    <t>6+ Bedroom</t>
  </si>
  <si>
    <t>All self-contained</t>
  </si>
  <si>
    <t>All stock sizes</t>
  </si>
  <si>
    <t xml:space="preserve">Unit Size
</t>
  </si>
  <si>
    <t>4+ Bedroom</t>
  </si>
  <si>
    <t>Owned stock. LARPs only - unweighted.</t>
  </si>
  <si>
    <t>Affordable Rent general needs</t>
  </si>
  <si>
    <t>Gross</t>
  </si>
  <si>
    <t xml:space="preserve">Owned stock. All LARPs owning Affordable Rent units - unweighted. </t>
  </si>
  <si>
    <t>Affordable Rent supported housing</t>
  </si>
  <si>
    <t>Affordable Rent supported housing / housing for older people</t>
  </si>
  <si>
    <t>Table 5</t>
  </si>
  <si>
    <t>GN ALL SC RENTS</t>
  </si>
  <si>
    <t>GN ALL RENT</t>
  </si>
  <si>
    <t>SH ALL SC RENT</t>
  </si>
  <si>
    <t>SH ALL RENT</t>
  </si>
  <si>
    <t>AR GN ALL SC RENT</t>
  </si>
  <si>
    <t>AR GN ALL RENT</t>
  </si>
  <si>
    <t>AR SH/HOP ALL SC RENT</t>
  </si>
  <si>
    <t>AR SH/HOP ALL RENT</t>
  </si>
  <si>
    <t>Local Authority / Region</t>
  </si>
  <si>
    <t>LA_Code</t>
  </si>
  <si>
    <t>Region</t>
  </si>
  <si>
    <t>Survey_Status/LARPs in Region</t>
  </si>
  <si>
    <t>All Units</t>
  </si>
  <si>
    <t>ALL GN SC</t>
  </si>
  <si>
    <t>ALL GN NSC</t>
  </si>
  <si>
    <t>ALL SH/HOP</t>
  </si>
  <si>
    <t>GN ALL UNITS</t>
  </si>
  <si>
    <t>GN ALL SC UNITS</t>
  </si>
  <si>
    <t>SH ALL UNITS</t>
  </si>
  <si>
    <t>SH ALL SC UNITS</t>
  </si>
  <si>
    <t>AR GN ALL UNITS</t>
  </si>
  <si>
    <t>AR GN ALL SC UNITS</t>
  </si>
  <si>
    <t>AR SH/HOP ALL UNITS</t>
  </si>
  <si>
    <t>AR SH/HOP ALL SC UNITS</t>
  </si>
  <si>
    <t>LARP_CODE</t>
  </si>
  <si>
    <t>00_Eng</t>
  </si>
  <si>
    <t>Region information</t>
  </si>
  <si>
    <t>East Midlands</t>
  </si>
  <si>
    <t>East of England</t>
  </si>
  <si>
    <t>London</t>
  </si>
  <si>
    <t>North East</t>
  </si>
  <si>
    <t>North West</t>
  </si>
  <si>
    <t>South East</t>
  </si>
  <si>
    <t>South West</t>
  </si>
  <si>
    <t>West Midlands</t>
  </si>
  <si>
    <t>Yorkshire and the Humber</t>
  </si>
  <si>
    <t>Adur District Council</t>
  </si>
  <si>
    <t>E07000223</t>
  </si>
  <si>
    <t>Signed Off</t>
  </si>
  <si>
    <t>45UB</t>
  </si>
  <si>
    <t>E07000224</t>
  </si>
  <si>
    <t>45UC</t>
  </si>
  <si>
    <t>Ashfield District Council</t>
  </si>
  <si>
    <t>E07000170</t>
  </si>
  <si>
    <t>37UB</t>
  </si>
  <si>
    <t>Ashford Borough Council</t>
  </si>
  <si>
    <t>E07000105</t>
  </si>
  <si>
    <t>29UB</t>
  </si>
  <si>
    <t>Babergh District Council</t>
  </si>
  <si>
    <t>E07000200</t>
  </si>
  <si>
    <t>42UB</t>
  </si>
  <si>
    <t>Barnsley Metropolitan Borough Council</t>
  </si>
  <si>
    <t>E08000016</t>
  </si>
  <si>
    <t>00CC</t>
  </si>
  <si>
    <t>Barrow-in-Furness Borough Council</t>
  </si>
  <si>
    <t>E07000027</t>
  </si>
  <si>
    <t>16UC</t>
  </si>
  <si>
    <t>Basildon District Council</t>
  </si>
  <si>
    <t>E07000066</t>
  </si>
  <si>
    <t>22UB</t>
  </si>
  <si>
    <t>Bassetlaw District Council</t>
  </si>
  <si>
    <t>E07000171</t>
  </si>
  <si>
    <t>37UC</t>
  </si>
  <si>
    <t>E06000058</t>
  </si>
  <si>
    <t>5069</t>
  </si>
  <si>
    <t>Birmingham City Council</t>
  </si>
  <si>
    <t>E08000025</t>
  </si>
  <si>
    <t>00CN</t>
  </si>
  <si>
    <t>E06000009</t>
  </si>
  <si>
    <t>00EY</t>
  </si>
  <si>
    <t>Bolsover District Council</t>
  </si>
  <si>
    <t>E07000033</t>
  </si>
  <si>
    <t>17UC</t>
  </si>
  <si>
    <t>Brentwood Borough Council</t>
  </si>
  <si>
    <t>E07000068</t>
  </si>
  <si>
    <t>22UD</t>
  </si>
  <si>
    <t>Brighton and Hove City Council</t>
  </si>
  <si>
    <t>E06000043</t>
  </si>
  <si>
    <t>00ML</t>
  </si>
  <si>
    <t>Bristol City Council</t>
  </si>
  <si>
    <t>E06000023</t>
  </si>
  <si>
    <t>00HB</t>
  </si>
  <si>
    <t>Broxtowe Borough Council</t>
  </si>
  <si>
    <t>E07000172</t>
  </si>
  <si>
    <t>37UD</t>
  </si>
  <si>
    <t>Bury Metropolitan Borough Council</t>
  </si>
  <si>
    <t>E08000002</t>
  </si>
  <si>
    <t>00BM</t>
  </si>
  <si>
    <t>Cambridge City Council</t>
  </si>
  <si>
    <t>E07000008</t>
  </si>
  <si>
    <t>12UB</t>
  </si>
  <si>
    <t>Cannock Chase District Council</t>
  </si>
  <si>
    <t>E07000192</t>
  </si>
  <si>
    <t>41UB</t>
  </si>
  <si>
    <t>Canterbury City Council</t>
  </si>
  <si>
    <t>E07000106</t>
  </si>
  <si>
    <t>29UC</t>
  </si>
  <si>
    <t>Castle Point Borough Council</t>
  </si>
  <si>
    <t>E07000069</t>
  </si>
  <si>
    <t>22UE</t>
  </si>
  <si>
    <t>Central Bedfordshire Council</t>
  </si>
  <si>
    <t>E06000056</t>
  </si>
  <si>
    <t>00KC</t>
  </si>
  <si>
    <t>Charnwood Borough Council</t>
  </si>
  <si>
    <t>E07000130</t>
  </si>
  <si>
    <t>31UC</t>
  </si>
  <si>
    <t>Cheltenham Borough Council</t>
  </si>
  <si>
    <t>E07000078</t>
  </si>
  <si>
    <t>23UB</t>
  </si>
  <si>
    <t>Cherwell District Council</t>
  </si>
  <si>
    <t>E07000177</t>
  </si>
  <si>
    <t>38UB</t>
  </si>
  <si>
    <t>Cheshire West and Chester Council</t>
  </si>
  <si>
    <t>E06000050</t>
  </si>
  <si>
    <t>00EW</t>
  </si>
  <si>
    <t>Chesterfield Borough Council</t>
  </si>
  <si>
    <t>E07000034</t>
  </si>
  <si>
    <t>17UD</t>
  </si>
  <si>
    <t>Chorley Council</t>
  </si>
  <si>
    <t>E07000118</t>
  </si>
  <si>
    <t>30UE</t>
  </si>
  <si>
    <t>City of Bradford Metropolitan District Council</t>
  </si>
  <si>
    <t>E08000032</t>
  </si>
  <si>
    <t>00CX</t>
  </si>
  <si>
    <t>City of Lincoln Council</t>
  </si>
  <si>
    <t>E07000138</t>
  </si>
  <si>
    <t>32UD</t>
  </si>
  <si>
    <t>City of London Corporation</t>
  </si>
  <si>
    <t>E09000001</t>
  </si>
  <si>
    <t>00AA</t>
  </si>
  <si>
    <t>City of Westminster Council</t>
  </si>
  <si>
    <t>E09000033</t>
  </si>
  <si>
    <t>00BK</t>
  </si>
  <si>
    <t>City of York Council</t>
  </si>
  <si>
    <t>E06000014</t>
  </si>
  <si>
    <t>00FF</t>
  </si>
  <si>
    <t>E07000071</t>
  </si>
  <si>
    <t>22UG</t>
  </si>
  <si>
    <t>Cornwall Council</t>
  </si>
  <si>
    <t>E06000052</t>
  </si>
  <si>
    <t>00HE</t>
  </si>
  <si>
    <t>Council of the Isles of Scilly</t>
  </si>
  <si>
    <t>E06000053</t>
  </si>
  <si>
    <t>00HF</t>
  </si>
  <si>
    <t>Craven District Council</t>
  </si>
  <si>
    <t>E07000163</t>
  </si>
  <si>
    <t>36UB</t>
  </si>
  <si>
    <t>Crawley Borough Council</t>
  </si>
  <si>
    <t>E07000226</t>
  </si>
  <si>
    <t>45UE</t>
  </si>
  <si>
    <t>Dacorum Borough Council</t>
  </si>
  <si>
    <t>E07000096</t>
  </si>
  <si>
    <t>26UC</t>
  </si>
  <si>
    <t>Darlington Borough Council</t>
  </si>
  <si>
    <t>E06000005</t>
  </si>
  <si>
    <t>00EH</t>
  </si>
  <si>
    <t>Dartford Borough Council</t>
  </si>
  <si>
    <t>E07000107</t>
  </si>
  <si>
    <t>29UD</t>
  </si>
  <si>
    <t>Derby City Council</t>
  </si>
  <si>
    <t>E06000015</t>
  </si>
  <si>
    <t>00FK</t>
  </si>
  <si>
    <t>E08000017</t>
  </si>
  <si>
    <t>00CE</t>
  </si>
  <si>
    <t>Dover District Council</t>
  </si>
  <si>
    <t>E07000108</t>
  </si>
  <si>
    <t>29UE</t>
  </si>
  <si>
    <t>Dudley Metropolitan Borough Council</t>
  </si>
  <si>
    <t>E08000027</t>
  </si>
  <si>
    <t>00CR</t>
  </si>
  <si>
    <t>Durham County Council</t>
  </si>
  <si>
    <t>E06000047</t>
  </si>
  <si>
    <t>00EJ</t>
  </si>
  <si>
    <t>East Devon District Council</t>
  </si>
  <si>
    <t>E07000040</t>
  </si>
  <si>
    <t>18UB</t>
  </si>
  <si>
    <t>East Hertfordshire District Council</t>
  </si>
  <si>
    <t>E07000242</t>
  </si>
  <si>
    <t>26UD</t>
  </si>
  <si>
    <t>East Riding Of Yorkshire Council</t>
  </si>
  <si>
    <t>E06000011</t>
  </si>
  <si>
    <t>00FB</t>
  </si>
  <si>
    <t>East Suffolk Council</t>
  </si>
  <si>
    <t>E07000244</t>
  </si>
  <si>
    <t>5070</t>
  </si>
  <si>
    <t>Eastbourne Borough Council</t>
  </si>
  <si>
    <t>E07000061</t>
  </si>
  <si>
    <t>21UC</t>
  </si>
  <si>
    <t>Epping Forest District Council</t>
  </si>
  <si>
    <t>E07000072</t>
  </si>
  <si>
    <t>22UH</t>
  </si>
  <si>
    <t>Exeter City Council</t>
  </si>
  <si>
    <t>E07000041</t>
  </si>
  <si>
    <t>18UC</t>
  </si>
  <si>
    <t>Fareham Borough Council</t>
  </si>
  <si>
    <t>E07000087</t>
  </si>
  <si>
    <t>24UE</t>
  </si>
  <si>
    <t>Folkestone and Hythe District Council</t>
  </si>
  <si>
    <t>E07000112</t>
  </si>
  <si>
    <t>29UL</t>
  </si>
  <si>
    <t>Gateshead Metropolitan Borough Council</t>
  </si>
  <si>
    <t>E08000037</t>
  </si>
  <si>
    <t>00CH</t>
  </si>
  <si>
    <t>Gloucester City Council</t>
  </si>
  <si>
    <t>E07000081</t>
  </si>
  <si>
    <t>23UE</t>
  </si>
  <si>
    <t>Gosport Borough Council</t>
  </si>
  <si>
    <t>E07000088</t>
  </si>
  <si>
    <t>24UF</t>
  </si>
  <si>
    <t>Gravesham Borough Council</t>
  </si>
  <si>
    <t>E07000109</t>
  </si>
  <si>
    <t>29UG</t>
  </si>
  <si>
    <t>Great Yarmouth Borough Council</t>
  </si>
  <si>
    <t>E07000145</t>
  </si>
  <si>
    <t>33UD</t>
  </si>
  <si>
    <t>Guildford Borough Council</t>
  </si>
  <si>
    <t>E07000209</t>
  </si>
  <si>
    <t>43UD</t>
  </si>
  <si>
    <t>Haringey London Borough Council</t>
  </si>
  <si>
    <t>E09000014</t>
  </si>
  <si>
    <t>00AP</t>
  </si>
  <si>
    <t>Harlow District Council</t>
  </si>
  <si>
    <t>E07000073</t>
  </si>
  <si>
    <t>22UJ</t>
  </si>
  <si>
    <t>Harrogate Borough Council</t>
  </si>
  <si>
    <t>E07000165</t>
  </si>
  <si>
    <t>36UD</t>
  </si>
  <si>
    <t>Hartlepool Borough Council</t>
  </si>
  <si>
    <t>E06000001</t>
  </si>
  <si>
    <t>00EB</t>
  </si>
  <si>
    <t>High Peak Borough Council</t>
  </si>
  <si>
    <t>E07000037</t>
  </si>
  <si>
    <t>17UH</t>
  </si>
  <si>
    <t>Hinckley and Bosworth Borough Council</t>
  </si>
  <si>
    <t>E07000132</t>
  </si>
  <si>
    <t>31UE</t>
  </si>
  <si>
    <t>Ipswich Borough Council</t>
  </si>
  <si>
    <t>E07000202</t>
  </si>
  <si>
    <t>42UD</t>
  </si>
  <si>
    <t>Kingston upon Hull City Council</t>
  </si>
  <si>
    <t>E06000010</t>
  </si>
  <si>
    <t>00FA</t>
  </si>
  <si>
    <t>Kirklees Metropolitan Borough Council</t>
  </si>
  <si>
    <t>E08000034</t>
  </si>
  <si>
    <t>00CZ</t>
  </si>
  <si>
    <t>Lancaster City Council</t>
  </si>
  <si>
    <t>E07000121</t>
  </si>
  <si>
    <t>30UH</t>
  </si>
  <si>
    <t>Leeds City Council</t>
  </si>
  <si>
    <t>E08000035</t>
  </si>
  <si>
    <t>00DA</t>
  </si>
  <si>
    <t>Leicester City Council</t>
  </si>
  <si>
    <t>E06000016</t>
  </si>
  <si>
    <t>00FN</t>
  </si>
  <si>
    <t>Lewes District Council</t>
  </si>
  <si>
    <t>E07000063</t>
  </si>
  <si>
    <t>21UF</t>
  </si>
  <si>
    <t>E08000012</t>
  </si>
  <si>
    <t>5074</t>
  </si>
  <si>
    <t>London Borough of Barking and Dagenham</t>
  </si>
  <si>
    <t>E09000002</t>
  </si>
  <si>
    <t>00AB</t>
  </si>
  <si>
    <t>London Borough of Barnet</t>
  </si>
  <si>
    <t>E09000003</t>
  </si>
  <si>
    <t>00AC</t>
  </si>
  <si>
    <t>London Borough of Bexley</t>
  </si>
  <si>
    <t>E09000004</t>
  </si>
  <si>
    <t>00AD</t>
  </si>
  <si>
    <t>London Borough of Brent</t>
  </si>
  <si>
    <t>E09000005</t>
  </si>
  <si>
    <t>00AE</t>
  </si>
  <si>
    <t>London Borough of Camden Council</t>
  </si>
  <si>
    <t>E09000007</t>
  </si>
  <si>
    <t>00AG</t>
  </si>
  <si>
    <t>London Borough of Croydon</t>
  </si>
  <si>
    <t>E09000008</t>
  </si>
  <si>
    <t>00AH</t>
  </si>
  <si>
    <t>London Borough of Ealing</t>
  </si>
  <si>
    <t>E09000009</t>
  </si>
  <si>
    <t>00AJ</t>
  </si>
  <si>
    <t>London Borough of Enfield</t>
  </si>
  <si>
    <t>E09000010</t>
  </si>
  <si>
    <t>00AK</t>
  </si>
  <si>
    <t>E09000011</t>
  </si>
  <si>
    <t>00AL</t>
  </si>
  <si>
    <t>London Borough of Hackney</t>
  </si>
  <si>
    <t>E09000012</t>
  </si>
  <si>
    <t>00AM</t>
  </si>
  <si>
    <t>London Borough of Hammersmith and Fulham</t>
  </si>
  <si>
    <t>E09000013</t>
  </si>
  <si>
    <t>00AN</t>
  </si>
  <si>
    <t>London Borough of Harrow</t>
  </si>
  <si>
    <t>E09000015</t>
  </si>
  <si>
    <t>00AQ</t>
  </si>
  <si>
    <t>London Borough of Havering Council</t>
  </si>
  <si>
    <t>E09000016</t>
  </si>
  <si>
    <t>00AR</t>
  </si>
  <si>
    <t>London Borough of Hillingdon</t>
  </si>
  <si>
    <t>E09000017</t>
  </si>
  <si>
    <t>00AS</t>
  </si>
  <si>
    <t>London Borough of Hounslow</t>
  </si>
  <si>
    <t>E09000018</t>
  </si>
  <si>
    <t>00AT</t>
  </si>
  <si>
    <t>London Borough of Islington</t>
  </si>
  <si>
    <t>E09000019</t>
  </si>
  <si>
    <t>00AU</t>
  </si>
  <si>
    <t>London Borough of Lambeth</t>
  </si>
  <si>
    <t>E09000022</t>
  </si>
  <si>
    <t>00AY</t>
  </si>
  <si>
    <t>London Borough of Lewisham</t>
  </si>
  <si>
    <t>E09000023</t>
  </si>
  <si>
    <t>00AZ</t>
  </si>
  <si>
    <t>London Borough of Merton</t>
  </si>
  <si>
    <t>E09000024</t>
  </si>
  <si>
    <t>00BA</t>
  </si>
  <si>
    <t>London Borough of Newham</t>
  </si>
  <si>
    <t>E09000025</t>
  </si>
  <si>
    <t>00BB</t>
  </si>
  <si>
    <t>London Borough of Redbridge</t>
  </si>
  <si>
    <t>E09000026</t>
  </si>
  <si>
    <t>00BC</t>
  </si>
  <si>
    <t>London Borough of Sutton</t>
  </si>
  <si>
    <t>E09000029</t>
  </si>
  <si>
    <t>00BF</t>
  </si>
  <si>
    <t>London Borough of Tower Hamlets</t>
  </si>
  <si>
    <t>E09000030</t>
  </si>
  <si>
    <t>00BG</t>
  </si>
  <si>
    <t>London Borough of Waltham Forest</t>
  </si>
  <si>
    <t>E09000031</t>
  </si>
  <si>
    <t>00BH</t>
  </si>
  <si>
    <t>London Borough of Wandsworth</t>
  </si>
  <si>
    <t>E09000032</t>
  </si>
  <si>
    <t>00BJ</t>
  </si>
  <si>
    <t>Luton Borough Council</t>
  </si>
  <si>
    <t>E06000032</t>
  </si>
  <si>
    <t>00KA</t>
  </si>
  <si>
    <t>Maidstone Borough Council</t>
  </si>
  <si>
    <t>E07000110</t>
  </si>
  <si>
    <t>29UH</t>
  </si>
  <si>
    <t>Manchester City Council</t>
  </si>
  <si>
    <t>E08000003</t>
  </si>
  <si>
    <t>00BN</t>
  </si>
  <si>
    <t>Mansfield District Council</t>
  </si>
  <si>
    <t>E07000174</t>
  </si>
  <si>
    <t>37UF</t>
  </si>
  <si>
    <t>Medway Council</t>
  </si>
  <si>
    <t>E06000035</t>
  </si>
  <si>
    <t>00LC</t>
  </si>
  <si>
    <t>Melton Borough Council</t>
  </si>
  <si>
    <t>E07000133</t>
  </si>
  <si>
    <t>31UG</t>
  </si>
  <si>
    <t>Mid Devon District Council</t>
  </si>
  <si>
    <t>E07000042</t>
  </si>
  <si>
    <t>18UD</t>
  </si>
  <si>
    <t>Mid Suffolk District Council</t>
  </si>
  <si>
    <t>E07000203</t>
  </si>
  <si>
    <t>42UE</t>
  </si>
  <si>
    <t>Middlesbrough Council</t>
  </si>
  <si>
    <t>E06000002</t>
  </si>
  <si>
    <t>00EC</t>
  </si>
  <si>
    <t>Milton Keynes Council</t>
  </si>
  <si>
    <t>E06000042</t>
  </si>
  <si>
    <t>00MG</t>
  </si>
  <si>
    <t>Mole Valley District Council</t>
  </si>
  <si>
    <t>E07000210</t>
  </si>
  <si>
    <t>43UE</t>
  </si>
  <si>
    <t>New Forest District Council</t>
  </si>
  <si>
    <t>E07000091</t>
  </si>
  <si>
    <t>24UJ</t>
  </si>
  <si>
    <t>Newark and Sherwood District Council</t>
  </si>
  <si>
    <t>E07000175</t>
  </si>
  <si>
    <t>37UG</t>
  </si>
  <si>
    <t>Newcastle City Council</t>
  </si>
  <si>
    <t>E08000021</t>
  </si>
  <si>
    <t>00CJ</t>
  </si>
  <si>
    <t>North East Derbyshire District Council</t>
  </si>
  <si>
    <t>E07000038</t>
  </si>
  <si>
    <t>17UJ</t>
  </si>
  <si>
    <t>North Kesteven District Council</t>
  </si>
  <si>
    <t>E07000139</t>
  </si>
  <si>
    <t>32UE</t>
  </si>
  <si>
    <t>North Somerset Council</t>
  </si>
  <si>
    <t>E06000024</t>
  </si>
  <si>
    <t>00HC</t>
  </si>
  <si>
    <t>North Tyneside Council</t>
  </si>
  <si>
    <t>E08000022</t>
  </si>
  <si>
    <t>00CK</t>
  </si>
  <si>
    <t>North Warwickshire Borough Council</t>
  </si>
  <si>
    <t>E07000218</t>
  </si>
  <si>
    <t>44UB</t>
  </si>
  <si>
    <t>North West Leicestershire District Council</t>
  </si>
  <si>
    <t>E07000134</t>
  </si>
  <si>
    <t>31UH</t>
  </si>
  <si>
    <t>Northumberland County Council</t>
  </si>
  <si>
    <t>E06000057</t>
  </si>
  <si>
    <t>00EM</t>
  </si>
  <si>
    <t>Norwich City Council</t>
  </si>
  <si>
    <t>E07000148</t>
  </si>
  <si>
    <t>33UG</t>
  </si>
  <si>
    <t>Nottingham City Council</t>
  </si>
  <si>
    <t>E06000018</t>
  </si>
  <si>
    <t>00FY</t>
  </si>
  <si>
    <t>Nuneaton And Bedworth Borough Council</t>
  </si>
  <si>
    <t>E07000219</t>
  </si>
  <si>
    <t>44UC</t>
  </si>
  <si>
    <t>Oadby and Wigston Borough Council</t>
  </si>
  <si>
    <t>E07000135</t>
  </si>
  <si>
    <t>31UJ</t>
  </si>
  <si>
    <t>Oldham Metropolitan Borough Council</t>
  </si>
  <si>
    <t>E08000004</t>
  </si>
  <si>
    <t>00BP</t>
  </si>
  <si>
    <t>Oxford City Council</t>
  </si>
  <si>
    <t>E07000178</t>
  </si>
  <si>
    <t>38UC</t>
  </si>
  <si>
    <t>Portsmouth City Council</t>
  </si>
  <si>
    <t>E06000044</t>
  </si>
  <si>
    <t>00MR</t>
  </si>
  <si>
    <t>Reading Borough Council</t>
  </si>
  <si>
    <t>E06000038</t>
  </si>
  <si>
    <t>00MC</t>
  </si>
  <si>
    <t>Redditch Borough Council</t>
  </si>
  <si>
    <t>E07000236</t>
  </si>
  <si>
    <t>47UD</t>
  </si>
  <si>
    <t>Ribble Valley Borough Council</t>
  </si>
  <si>
    <t>E07000124</t>
  </si>
  <si>
    <t>30UL</t>
  </si>
  <si>
    <t>Richmondshire District Council</t>
  </si>
  <si>
    <t>E07000166</t>
  </si>
  <si>
    <t>36UE</t>
  </si>
  <si>
    <t>Rossendale Borough Council</t>
  </si>
  <si>
    <t>E07000125</t>
  </si>
  <si>
    <t>30UM</t>
  </si>
  <si>
    <t>Rotherham Metropolitan Borough Council</t>
  </si>
  <si>
    <t>E08000018</t>
  </si>
  <si>
    <t>00CF</t>
  </si>
  <si>
    <t>Royal Borough of Kensington and Chelsea</t>
  </si>
  <si>
    <t>E09000020</t>
  </si>
  <si>
    <t>00AW</t>
  </si>
  <si>
    <t>Royal Borough of Kingston Upon Thames</t>
  </si>
  <si>
    <t>E09000021</t>
  </si>
  <si>
    <t>00AX</t>
  </si>
  <si>
    <t>Rugby Borough Council</t>
  </si>
  <si>
    <t>E07000220</t>
  </si>
  <si>
    <t>44UD</t>
  </si>
  <si>
    <t>Runnymede Borough Council</t>
  </si>
  <si>
    <t>E07000212</t>
  </si>
  <si>
    <t>43UG</t>
  </si>
  <si>
    <t>Ryedale District Council</t>
  </si>
  <si>
    <t>E07000167</t>
  </si>
  <si>
    <t>36UF</t>
  </si>
  <si>
    <t>Salford City Council</t>
  </si>
  <si>
    <t>E08000006</t>
  </si>
  <si>
    <t>00BR</t>
  </si>
  <si>
    <t>Sandwell Metropolitan Borough Council</t>
  </si>
  <si>
    <t>E08000028</t>
  </si>
  <si>
    <t>00CS</t>
  </si>
  <si>
    <t>Sedgemoor District Council</t>
  </si>
  <si>
    <t>E07000188</t>
  </si>
  <si>
    <t>40UC</t>
  </si>
  <si>
    <t>Selby District Council</t>
  </si>
  <si>
    <t>E07000169</t>
  </si>
  <si>
    <t>36UH</t>
  </si>
  <si>
    <t>Sheffield City Council</t>
  </si>
  <si>
    <t>E08000019</t>
  </si>
  <si>
    <t>00CG</t>
  </si>
  <si>
    <t>Shropshire Council</t>
  </si>
  <si>
    <t>E06000051</t>
  </si>
  <si>
    <t>00GG</t>
  </si>
  <si>
    <t>Slough Borough Council</t>
  </si>
  <si>
    <t>E06000039</t>
  </si>
  <si>
    <t>00MD</t>
  </si>
  <si>
    <t>Solihull Metropolitan Borough Council</t>
  </si>
  <si>
    <t>E08000029</t>
  </si>
  <si>
    <t>00CT</t>
  </si>
  <si>
    <t>Somerset West and Taunton Council</t>
  </si>
  <si>
    <t>E07000246</t>
  </si>
  <si>
    <t>5067</t>
  </si>
  <si>
    <t>South Cambridgeshire District Council</t>
  </si>
  <si>
    <t>E07000012</t>
  </si>
  <si>
    <t>12UG</t>
  </si>
  <si>
    <t>E07000039</t>
  </si>
  <si>
    <t>17UK</t>
  </si>
  <si>
    <t>South Hams District Council</t>
  </si>
  <si>
    <t>E07000044</t>
  </si>
  <si>
    <t>5078</t>
  </si>
  <si>
    <t>South Holland District Council</t>
  </si>
  <si>
    <t>E07000140</t>
  </si>
  <si>
    <t>32UF</t>
  </si>
  <si>
    <t>South Kesteven District Council</t>
  </si>
  <si>
    <t>E07000141</t>
  </si>
  <si>
    <t>32UG</t>
  </si>
  <si>
    <t>South Lakeland District Council</t>
  </si>
  <si>
    <t>E07000031</t>
  </si>
  <si>
    <t>16UG</t>
  </si>
  <si>
    <t>South Ribble Borough Council</t>
  </si>
  <si>
    <t>E07000126</t>
  </si>
  <si>
    <t>5085</t>
  </si>
  <si>
    <t>South Tyneside Council</t>
  </si>
  <si>
    <t>E08000023</t>
  </si>
  <si>
    <t>00CL</t>
  </si>
  <si>
    <t>Southampton City Council</t>
  </si>
  <si>
    <t>E06000045</t>
  </si>
  <si>
    <t>00MS</t>
  </si>
  <si>
    <t>E06000033</t>
  </si>
  <si>
    <t>00KF</t>
  </si>
  <si>
    <t>Southwark Council</t>
  </si>
  <si>
    <t>E09000028</t>
  </si>
  <si>
    <t>00BE</t>
  </si>
  <si>
    <t>Spelthorne Borough Council</t>
  </si>
  <si>
    <t>E07000213</t>
  </si>
  <si>
    <t>5091</t>
  </si>
  <si>
    <t>St Albans City and District Council</t>
  </si>
  <si>
    <t>E07000240</t>
  </si>
  <si>
    <t>26UG</t>
  </si>
  <si>
    <t>Stevenage Borough Council</t>
  </si>
  <si>
    <t>E07000243</t>
  </si>
  <si>
    <t>26UH</t>
  </si>
  <si>
    <t>Stockport Metropolitan Borough Council</t>
  </si>
  <si>
    <t>E08000007</t>
  </si>
  <si>
    <t>00BS</t>
  </si>
  <si>
    <t>Stoke on Trent City Council</t>
  </si>
  <si>
    <t>E06000021</t>
  </si>
  <si>
    <t>00GL</t>
  </si>
  <si>
    <t>Stroud District Council</t>
  </si>
  <si>
    <t>E07000082</t>
  </si>
  <si>
    <t>23UF</t>
  </si>
  <si>
    <t>Sunderland City Council</t>
  </si>
  <si>
    <t>E08000024</t>
  </si>
  <si>
    <t>5080</t>
  </si>
  <si>
    <t>Swindon Borough Council</t>
  </si>
  <si>
    <t>E06000030</t>
  </si>
  <si>
    <t>00HX</t>
  </si>
  <si>
    <t>Tamworth Borough Council</t>
  </si>
  <si>
    <t>E07000199</t>
  </si>
  <si>
    <t>41UK</t>
  </si>
  <si>
    <t>Tandridge District Council</t>
  </si>
  <si>
    <t>E07000215</t>
  </si>
  <si>
    <t>43UK</t>
  </si>
  <si>
    <t>Teignbridge District Council</t>
  </si>
  <si>
    <t>E07000045</t>
  </si>
  <si>
    <t>18UH</t>
  </si>
  <si>
    <t>Tendring District Council</t>
  </si>
  <si>
    <t>E07000076</t>
  </si>
  <si>
    <t>22UN</t>
  </si>
  <si>
    <t>Thanet District Council</t>
  </si>
  <si>
    <t>E07000114</t>
  </si>
  <si>
    <t>29UN</t>
  </si>
  <si>
    <t>Thurrock Council</t>
  </si>
  <si>
    <t>E06000034</t>
  </si>
  <si>
    <t>00KG</t>
  </si>
  <si>
    <t>Tonbridge and Malling Borough Council</t>
  </si>
  <si>
    <t>E07000115</t>
  </si>
  <si>
    <t>29UP</t>
  </si>
  <si>
    <t>Uttlesford District Council</t>
  </si>
  <si>
    <t>E07000077</t>
  </si>
  <si>
    <t>22UQ</t>
  </si>
  <si>
    <t>Warrington Borough Council</t>
  </si>
  <si>
    <t>E06000007</t>
  </si>
  <si>
    <t>00EU</t>
  </si>
  <si>
    <t>Warwick District Council</t>
  </si>
  <si>
    <t>E07000222</t>
  </si>
  <si>
    <t>44UF</t>
  </si>
  <si>
    <t>Waverley Borough Council</t>
  </si>
  <si>
    <t>E07000216</t>
  </si>
  <si>
    <t>43UL</t>
  </si>
  <si>
    <t>Wealden District Council</t>
  </si>
  <si>
    <t>E07000065</t>
  </si>
  <si>
    <t>21UH</t>
  </si>
  <si>
    <t>Welwyn Hatfield Borough Council</t>
  </si>
  <si>
    <t>E07000241</t>
  </si>
  <si>
    <t>26UL</t>
  </si>
  <si>
    <t>West Berkshire District Council</t>
  </si>
  <si>
    <t>E06000037</t>
  </si>
  <si>
    <t>00MB</t>
  </si>
  <si>
    <t>West Devon Borough Council</t>
  </si>
  <si>
    <t>E07000047</t>
  </si>
  <si>
    <t>5077</t>
  </si>
  <si>
    <t>West Lancashire Borough Council</t>
  </si>
  <si>
    <t>E07000127</t>
  </si>
  <si>
    <t>30UP</t>
  </si>
  <si>
    <t>West Suffolk Council</t>
  </si>
  <si>
    <t>E07000245</t>
  </si>
  <si>
    <t>5068</t>
  </si>
  <si>
    <t>Wigan Council</t>
  </si>
  <si>
    <t>E08000010</t>
  </si>
  <si>
    <t>00BW</t>
  </si>
  <si>
    <t>Wiltshire Council</t>
  </si>
  <si>
    <t>E06000054</t>
  </si>
  <si>
    <t>00HY</t>
  </si>
  <si>
    <t>Winchester City Council</t>
  </si>
  <si>
    <t>E07000094</t>
  </si>
  <si>
    <t>24UP</t>
  </si>
  <si>
    <t>Wirral Metropolitan Borough Council</t>
  </si>
  <si>
    <t>E08000015</t>
  </si>
  <si>
    <t>00CB</t>
  </si>
  <si>
    <t>Woking Borough Council</t>
  </si>
  <si>
    <t>E07000217</t>
  </si>
  <si>
    <t>43UM</t>
  </si>
  <si>
    <t>Wokingham Borough Council</t>
  </si>
  <si>
    <t>E06000041</t>
  </si>
  <si>
    <t>00MF</t>
  </si>
  <si>
    <t>Wolverhampton City Council</t>
  </si>
  <si>
    <t>E08000031</t>
  </si>
  <si>
    <t>00CW</t>
  </si>
  <si>
    <t>Lookup search</t>
  </si>
  <si>
    <t>Look up source data e.g. PRP Names</t>
  </si>
  <si>
    <t>Text Count</t>
  </si>
  <si>
    <t>Dynamic range</t>
  </si>
  <si>
    <t>Table 4</t>
  </si>
  <si>
    <t>Table 8</t>
  </si>
  <si>
    <t>Table 9</t>
  </si>
  <si>
    <t>J</t>
  </si>
  <si>
    <t>K</t>
  </si>
  <si>
    <t>L</t>
  </si>
  <si>
    <t xml:space="preserve">All needs met   </t>
  </si>
  <si>
    <t>Some needs met</t>
  </si>
  <si>
    <t>No needs met</t>
  </si>
  <si>
    <t>Contents</t>
  </si>
  <si>
    <t>Section number</t>
  </si>
  <si>
    <r>
      <t>Description</t>
    </r>
    <r>
      <rPr>
        <sz val="12"/>
        <rFont val="Arial"/>
        <family val="2"/>
      </rPr>
      <t xml:space="preserve"> </t>
    </r>
    <r>
      <rPr>
        <sz val="9"/>
        <rFont val="Arial"/>
        <family val="2"/>
      </rPr>
      <t>(click links below)</t>
    </r>
  </si>
  <si>
    <t>Glossary</t>
  </si>
  <si>
    <t>LARP Summary</t>
  </si>
  <si>
    <t>Total social units by provision type (numbers)</t>
  </si>
  <si>
    <t>a40</t>
  </si>
  <si>
    <t>a62</t>
  </si>
  <si>
    <t>a87</t>
  </si>
  <si>
    <t>a111</t>
  </si>
  <si>
    <t>Affordable Rent general needs - Average weekly gross rent (£ per week) and units</t>
  </si>
  <si>
    <t>a120</t>
  </si>
  <si>
    <t>a145</t>
  </si>
  <si>
    <t>Affordable Rent general needs - Average weekly gross rent (£ per week) and units by unit size</t>
  </si>
  <si>
    <t>a170</t>
  </si>
  <si>
    <t>a195</t>
  </si>
  <si>
    <t>How to use the search function</t>
  </si>
  <si>
    <t xml:space="preserve">Source: </t>
  </si>
  <si>
    <t>For further information please contact the Referrals and Regulatory Enquiries Team</t>
  </si>
  <si>
    <t xml:space="preserve">Telephone: 0300 1245 225 </t>
  </si>
  <si>
    <t xml:space="preserve">Email: </t>
  </si>
  <si>
    <t>enquiries@rsh.gov.uk</t>
  </si>
  <si>
    <t>LARP look-up tool</t>
  </si>
  <si>
    <t>The ‘dwelling equivalent’ of multi-occupied dwellings has two components – a figure derived from bedspaces in hostels and a figure derived from ‘clusters’ in houses in multiple occupation (HMOs). Dwelling equivalents are only captured in LADR to ensure continuity with the previous LAHS collection.</t>
  </si>
  <si>
    <t>Dwelling equivalents are calculated as follows:</t>
  </si>
  <si>
    <r>
      <t>·</t>
    </r>
    <r>
      <rPr>
        <sz val="7"/>
        <color theme="1"/>
        <rFont val="Times New Roman"/>
        <family val="1"/>
      </rPr>
      <t xml:space="preserve">         </t>
    </r>
    <r>
      <rPr>
        <sz val="12"/>
        <color theme="1"/>
        <rFont val="Arial"/>
        <family val="2"/>
      </rPr>
      <t>Hostels – for hostels the dwelling equivalent is derived from the number of groups of three bed spaces in the hostel. The total number of bedspaces in each hostel at 31 March is divided by three, with any balance counting as one dwelling.</t>
    </r>
  </si>
  <si>
    <r>
      <t>·</t>
    </r>
    <r>
      <rPr>
        <sz val="7"/>
        <color theme="1"/>
        <rFont val="Times New Roman"/>
        <family val="1"/>
      </rPr>
      <t xml:space="preserve">         </t>
    </r>
    <r>
      <rPr>
        <sz val="12"/>
        <color theme="1"/>
        <rFont val="Arial"/>
        <family val="2"/>
      </rPr>
      <t>HMO (with clusters) – In HMOs with shared facilities, the dwelling equivalent is derived from the number of ‘clusters’ in the dwelling. A ‘cluster’ is a group of rooms in a HMO serving as separate accommodation for two or more persons but sharing common kitchen, bathroom and lavatory; where such a dwelling accommodates six of fewer persons, this counts as one cluster; where it accommodates more than six persons, the number of clusters is calculated by dividing the number of persons by six, with any balance counting as one clusters. The figure derived as the number of clusters is the dwellings equivalent for the HMOs.</t>
    </r>
  </si>
  <si>
    <t>General needs housing</t>
  </si>
  <si>
    <t>General needs housing covers the bulk of housing stock for rent. It includes both self-contained units and non-self-contained hostel/ shared housing units and bedspaces. General needs housing is stock that is not designated for specific client groups.</t>
  </si>
  <si>
    <t>Gross rent</t>
  </si>
  <si>
    <t xml:space="preserve">The total charged to tenants inclusive of all rent and property related service charges. </t>
  </si>
  <si>
    <t xml:space="preserve">London Affordable Rent </t>
  </si>
  <si>
    <t xml:space="preserve">LCHO accommodation is defined in the Housing and Regeneration Act 2008 as being that occupied or made available for occupation in accordance with shared ownership arrangements, shared equity arrangements, or shared ownership trusts; and it is made available to people whose needs are not adequately served by the commercial housing market. </t>
  </si>
  <si>
    <t>The conditions under which LCHO properties are regarded as sold to occupiers (e.g. through being fully staircased) are more formally set out in Housing and Regeneration Act 2008.</t>
  </si>
  <si>
    <t>The term low cost rental is used in these statistics to denote any stock which meets the definition of low cost rental accommodation in the Housing and Regeneration Act 2008. It must be available for rent, with a rent below market value, and in accordance with the rules designed to ensure that it is made available to people whose needs are not adequately served by the commercial housing market.</t>
  </si>
  <si>
    <t>Net rent</t>
  </si>
  <si>
    <t>The rent charged to tenants excluding all service charges.</t>
  </si>
  <si>
    <t>Non-self-contained unit (bedspace)</t>
  </si>
  <si>
    <t>Policy statement on rents for social housing</t>
  </si>
  <si>
    <t>Right to Buy (RtB)</t>
  </si>
  <si>
    <t>Self-contained unit</t>
  </si>
  <si>
    <t>A self-contained unit is one in which all the rooms (including kitchen, bathroom and toilet) in a household’s accommodation are behind a door, which only that household can use and therefore allows that household exclusive use of them. Some self-contained units, especially flats, may have some common services such as a central boiler for heating and/ or hot water. Households which share a common entrance hall, but otherwise have all their accommodation behind their own front door are self-contained. Bedsits are considered self-contained units.</t>
  </si>
  <si>
    <t>Service charges</t>
  </si>
  <si>
    <t>All service charges should be excluded from the net rent calculations in the low cost rental rent data section. The rent for Affordable Rent should be inclusive of all property related service charges. The rent calculations in the Affordable Rent data section should be on a gross rent basis.</t>
  </si>
  <si>
    <t>Shared ownership</t>
  </si>
  <si>
    <t>A dwelling disposed of on shared ownership terms should be recorded as a full unit within the LADR return while the local authority retains a percentage share. Once the local authority’s percentage share is 0% then the unit is no longer captured within the LADR return. This is different to previous recording of shared ownership units under LAHS (where the share of the equity in the dwelling acquired by the tenant was excluded).</t>
  </si>
  <si>
    <t>Social housing</t>
  </si>
  <si>
    <t>Social stock</t>
  </si>
  <si>
    <t>Version</t>
  </si>
  <si>
    <t>Publication Date</t>
  </si>
  <si>
    <t xml:space="preserve">Changes </t>
  </si>
  <si>
    <t>Original release</t>
  </si>
  <si>
    <t>Contact</t>
  </si>
  <si>
    <t>Telephone: Referrals and Regulatory Enquires Team on 0300 1245 225</t>
  </si>
  <si>
    <t>To select a name from the full list of all LARP areas:</t>
  </si>
  <si>
    <t>To use the Search function:</t>
  </si>
  <si>
    <t>Return to sheet "LARP Summary"</t>
  </si>
  <si>
    <t>Click for help on the search function</t>
  </si>
  <si>
    <t>GN RENT BEDSPACES</t>
  </si>
  <si>
    <t>GN RENT BEDSITS</t>
  </si>
  <si>
    <t>GN RENT ONE BED</t>
  </si>
  <si>
    <t>GN RENT TWO BED</t>
  </si>
  <si>
    <t>GN RENT THREE BED</t>
  </si>
  <si>
    <t>GN RENT FOUR BED</t>
  </si>
  <si>
    <t>GN RENT FIVE BED</t>
  </si>
  <si>
    <t>GN RENT SIX+ BED</t>
  </si>
  <si>
    <t>SH RENT BEDSPACES</t>
  </si>
  <si>
    <t>SH RENT BEDSITS</t>
  </si>
  <si>
    <t>SH RENT ONE BED</t>
  </si>
  <si>
    <t>SH RENT TWO BED</t>
  </si>
  <si>
    <t>SH RENT THREE BED</t>
  </si>
  <si>
    <t>SH RENT FOUR+ BED</t>
  </si>
  <si>
    <t>AR GN RENT BEDSPACES</t>
  </si>
  <si>
    <t>AR GN RENT BEDSITS</t>
  </si>
  <si>
    <t>AR GN RENT ONE BED</t>
  </si>
  <si>
    <t>AR GN RENT TWO BED</t>
  </si>
  <si>
    <t>AR GN RENT THREE BED</t>
  </si>
  <si>
    <t>AR GN RENT FOUR BED</t>
  </si>
  <si>
    <t>AR GN RENT FIVE BED</t>
  </si>
  <si>
    <t>AR GN RENT SIX+ BED</t>
  </si>
  <si>
    <t>AR SH RENT BEDSPACES</t>
  </si>
  <si>
    <t>AR SH RENT BEDSITS</t>
  </si>
  <si>
    <t>AR SH RENT ONE BED</t>
  </si>
  <si>
    <t>AR SH RENT TWO BED</t>
  </si>
  <si>
    <t>AR SH RENT THREE BED</t>
  </si>
  <si>
    <t>AR SH RENT FOUR+ BED</t>
  </si>
  <si>
    <t>GN UNITS BEDSPACES</t>
  </si>
  <si>
    <t>GN UNITS BEDSITS</t>
  </si>
  <si>
    <t>GN UNITS ONE BED</t>
  </si>
  <si>
    <t>GN UNITS TWO BED</t>
  </si>
  <si>
    <t>GN UNITS THREE BED</t>
  </si>
  <si>
    <t>GN UNITS FOUR BED</t>
  </si>
  <si>
    <t>GN UNITS FIVE BED</t>
  </si>
  <si>
    <t>GN UNITS SIX+ BED</t>
  </si>
  <si>
    <t>SH UNITS BEDSPACES</t>
  </si>
  <si>
    <t>SH UNITS BEDSITS</t>
  </si>
  <si>
    <t>SH UNITS ONE BED</t>
  </si>
  <si>
    <t>SH UNITS TWO BED</t>
  </si>
  <si>
    <t>SH UNITS THREE BED</t>
  </si>
  <si>
    <t>SH UNITS FOUR+ BED</t>
  </si>
  <si>
    <t>AR GN UNITS BEDSPACES</t>
  </si>
  <si>
    <t>AR GN UNITS BEDSITS</t>
  </si>
  <si>
    <t>AR GN UNITS ONE BED</t>
  </si>
  <si>
    <t>AR GN UNITS TWO BED</t>
  </si>
  <si>
    <t>AR GN UNITS THREE BED</t>
  </si>
  <si>
    <t>AR GN UNITS FOUR BED</t>
  </si>
  <si>
    <t>AR GN UNITS FIVE BED</t>
  </si>
  <si>
    <t>AR GN UNITS SIX+ BED</t>
  </si>
  <si>
    <t>AR SH UNITS BEDSPACES</t>
  </si>
  <si>
    <t>AR SH UNITS BEDSITS</t>
  </si>
  <si>
    <t>AR SH UNITS ONE BED</t>
  </si>
  <si>
    <t>AR SH UNITS TWO BED</t>
  </si>
  <si>
    <t>AR SH UNITS THREE BED</t>
  </si>
  <si>
    <t>AR SH UNITS FOUR+ BED</t>
  </si>
  <si>
    <t>LCHO Total</t>
  </si>
  <si>
    <t xml:space="preserve">Select a LARP name: </t>
  </si>
  <si>
    <t>Click in the blank box, then click on the drop down arrow to select a name from the list of all local authority areas (LAs).</t>
  </si>
  <si>
    <t>a) Enter a search term in the blank box and press "Enter".</t>
  </si>
  <si>
    <t>b) Then click on box again, then click drop down arrow to select a name from the (filtered) matching results.</t>
  </si>
  <si>
    <t>To reset, use backspace or delete key to clear box contents, click Enter, then click back on box.</t>
  </si>
  <si>
    <t>Bath &amp; North East Somerset Council</t>
  </si>
  <si>
    <t>E06000022</t>
  </si>
  <si>
    <t>5110</t>
  </si>
  <si>
    <t>Bedford Borough Council</t>
  </si>
  <si>
    <t>E06000055</t>
  </si>
  <si>
    <t>5117</t>
  </si>
  <si>
    <t>Blackpool Borough Council</t>
  </si>
  <si>
    <t>Bournemouth, Christchurch and Poole Council</t>
  </si>
  <si>
    <t>Chelmsford City Council</t>
  </si>
  <si>
    <t>E07000070</t>
  </si>
  <si>
    <t>5096</t>
  </si>
  <si>
    <t>Derbyshire Dales District Council</t>
  </si>
  <si>
    <t>E07000035</t>
  </si>
  <si>
    <t>5100</t>
  </si>
  <si>
    <t>Dorset Council</t>
  </si>
  <si>
    <t>E06000059</t>
  </si>
  <si>
    <t>5099</t>
  </si>
  <si>
    <t>Gedling Borough Council</t>
  </si>
  <si>
    <t>E07000173</t>
  </si>
  <si>
    <t>5124</t>
  </si>
  <si>
    <t>Hastings Borough Council</t>
  </si>
  <si>
    <t>E07000062</t>
  </si>
  <si>
    <t>5116</t>
  </si>
  <si>
    <t>Herefordshire Council</t>
  </si>
  <si>
    <t>E06000019</t>
  </si>
  <si>
    <t>5104</t>
  </si>
  <si>
    <t>London Borough of Bromley</t>
  </si>
  <si>
    <t>E09000006</t>
  </si>
  <si>
    <t>5103</t>
  </si>
  <si>
    <t>North Norfolk District Council</t>
  </si>
  <si>
    <t>E07000147</t>
  </si>
  <si>
    <t>5098</t>
  </si>
  <si>
    <t>Peterborough City Council</t>
  </si>
  <si>
    <t>E06000031</t>
  </si>
  <si>
    <t>5112</t>
  </si>
  <si>
    <t>Reigate and Banstead Borough Council</t>
  </si>
  <si>
    <t>E07000211</t>
  </si>
  <si>
    <t>5127</t>
  </si>
  <si>
    <t>Rother District Council</t>
  </si>
  <si>
    <t>E07000064</t>
  </si>
  <si>
    <t>5119</t>
  </si>
  <si>
    <t>Stratford-on-Avon District Council</t>
  </si>
  <si>
    <t>E07000221</t>
  </si>
  <si>
    <t>5109</t>
  </si>
  <si>
    <t>Telford &amp; Wrekin Council</t>
  </si>
  <si>
    <t>E06000020</t>
  </si>
  <si>
    <t>5102</t>
  </si>
  <si>
    <t>Tunbridge Wells Borough Council</t>
  </si>
  <si>
    <t>E07000116</t>
  </si>
  <si>
    <t>5118</t>
  </si>
  <si>
    <r>
      <t xml:space="preserve">This tool collates data from the Local Authority Data Return, to provide a summary overview of all English LARPs.  It returns a range of values, including counts of social rented units owned by type, along with average rent values for the selected LARP.  It is easily printable, allowing comparisons to be made.
</t>
    </r>
    <r>
      <rPr>
        <b/>
        <sz val="12"/>
        <rFont val="Arial"/>
        <family val="2"/>
      </rPr>
      <t xml:space="preserve">Select the relevant Local Authority Registered Provider name from the drop down list in cell E3 of sheet "LARP Summary".
</t>
    </r>
    <r>
      <rPr>
        <b/>
        <sz val="12"/>
        <color rgb="FFFF0000"/>
        <rFont val="Arial"/>
        <family val="2"/>
      </rPr>
      <t>Or enter a search term in cell E3, press enter, click on cell E3 again, click arrow and select from matching names. Note that this summary provides only data from LARPs.</t>
    </r>
    <r>
      <rPr>
        <sz val="12"/>
        <rFont val="Arial"/>
        <family val="2"/>
      </rPr>
      <t xml:space="preserve">
 </t>
    </r>
  </si>
  <si>
    <t>Affordable Rent supported housing/housing for older people - Average weekly gross rent (£ per week) and units</t>
  </si>
  <si>
    <t>Affordable Rent supported housing/housing for older people - Average weekly gross rent (£ per week) and units by unit size</t>
  </si>
  <si>
    <t>Dwelling equivalents of HMO/hostels</t>
  </si>
  <si>
    <t>Exceptions/excepted units (rents)</t>
  </si>
  <si>
    <t>Always start with a blank box (cell E3, sheet "LARP Summary").</t>
  </si>
  <si>
    <t>"-" = zero.</t>
  </si>
  <si>
    <t>General needs (social rent)</t>
  </si>
  <si>
    <t>Supported housing (social rent)</t>
  </si>
  <si>
    <t>General needs (social rent) - Average weekly net rent (£ per week) and units</t>
  </si>
  <si>
    <t>Supported housing/housing for older people (social rent) - Average weekly net rent (£ per week) and units</t>
  </si>
  <si>
    <t>General needs (social rent) - Average weekly net rent (£ per week) and units by unit size</t>
  </si>
  <si>
    <t>Supported housing/housing for older people (social rent) - Average weekly net rent (£ per week) and units by unit size</t>
  </si>
  <si>
    <t>(in pie chart)</t>
  </si>
  <si>
    <r>
      <t xml:space="preserve">London Affordable Rent (LAR) was introduced in 2016 by the Mayor of London. LAR units are Affordable Rent units in London let at or below the weekly rent benchmarks set by the GLA. They are included in Affordable Rent figures in the LADR collection. For more information see </t>
    </r>
    <r>
      <rPr>
        <u/>
        <sz val="12"/>
        <color rgb="FF59468D"/>
        <rFont val="Arial"/>
        <family val="2"/>
      </rPr>
      <t>https://www.london.gov.uk/what-we-do/housing-and-land/homes-londoners-affordable-homes-programmes/homes-londoners-affordable-homes-programme-2016-2023</t>
    </r>
    <r>
      <rPr>
        <sz val="12"/>
        <color theme="1"/>
        <rFont val="Arial"/>
        <family val="2"/>
      </rPr>
      <t>.</t>
    </r>
  </si>
  <si>
    <r>
      <t xml:space="preserve">Affordable Rent homes are those made available to households eligible for low cost rental housing at a rent level of no more than 80% (inclusive of service charges) of local market rents. Affordable Rent homes must form part of an agreement with Homes England or the GLA. They can be either general needs or supported housing. See also </t>
    </r>
    <r>
      <rPr>
        <b/>
        <sz val="12"/>
        <color theme="1"/>
        <rFont val="Arial"/>
        <family val="2"/>
      </rPr>
      <t>London Affordable Rent</t>
    </r>
    <r>
      <rPr>
        <sz val="12"/>
        <color theme="1"/>
        <rFont val="Arial"/>
        <family val="2"/>
      </rPr>
      <t>.</t>
    </r>
  </si>
  <si>
    <r>
      <t xml:space="preserve">Units with an exception from the rent standard are set out in the </t>
    </r>
    <r>
      <rPr>
        <b/>
        <sz val="12"/>
        <color theme="1"/>
        <rFont val="Arial"/>
        <family val="2"/>
      </rPr>
      <t>Policy statement on rents for social housing</t>
    </r>
    <r>
      <rPr>
        <sz val="12"/>
        <color theme="1"/>
        <rFont val="Arial"/>
        <family val="2"/>
      </rPr>
      <t>.</t>
    </r>
  </si>
  <si>
    <t>LCHO figures do not include ‘fully staircased’ properties, that is properties once occupied under relevant arrangements but where the occupier has for example acquired a 100% share of a shared ownership property or repaid an equity loan on a shared equity property in full. Fully staircased properties where the landlord has retained a freehold interest are not included in the return.</t>
  </si>
  <si>
    <t>An LCHO unit should be recorded as a full unit within the LADR return while the local authority retains a percentage share. Once the local authority’s percentage share is 0% then the unit is no longer captured within the LADR return. This is different to the previous recording in LAHS (where the share of the equity in the dwelling acquired by the tenant was excluded).</t>
  </si>
  <si>
    <t>A non-self-contained unit will consist of an area in a hostel/ dormitory or other similar entity or a room or rooms (within a block of flats, sheltered scheme, house in multiple occupation or similar entity) which is/ are private to the tenant, but which require sharing of some or all living, cooking, bathroom or toilet amenities. When counting non-self-contained units, LARPs record the number of areas for which an individual tenancy can be issued, not the number of occupants. All non-self-contained units are recorded in the LADR as bedspaces.</t>
  </si>
  <si>
    <r>
      <t xml:space="preserve">Local authorities must refer to the </t>
    </r>
    <r>
      <rPr>
        <b/>
        <u/>
        <sz val="12"/>
        <color rgb="FF59468D"/>
        <rFont val="Arial"/>
        <family val="2"/>
      </rPr>
      <t>Government’s Policy Statement on rents for Social Housing</t>
    </r>
    <r>
      <rPr>
        <sz val="12"/>
        <color theme="1"/>
        <rFont val="Arial"/>
        <family val="2"/>
      </rPr>
      <t xml:space="preserve"> (referred to as the ‘Policy Statement’) for information on categorising stock and determining rents and formula rents.</t>
    </r>
  </si>
  <si>
    <t>The statutory rights of secure tenants to purchase the property they occupy from their landlord (public sector). The main legal provisions are contained in Part 5 of the Housing Act 1985, as amended.</t>
  </si>
  <si>
    <t>Service charges are payable by some tenants in addition to rent. Service charges usually reflect additional services which may not be provided to every tenant, or which may be connected with communal facilities rather than being particular to the occupation of a dwelling. Service charges are subject to separate legal requirements and are limited to covering the cost of providing the services.</t>
  </si>
  <si>
    <t>Social housing is defined in the Housing and Regeneration Act 2008 sections 68-77. The term covers low cost rental, LCHO and accommodation owned by LARPs as previously defined in the Housing Act 1996.</t>
  </si>
  <si>
    <t>Social rent</t>
  </si>
  <si>
    <t>In these statistics social rent refers to all low cost rental units that are general needs or supported housing (excluding Affordable Rent). This includes units with exceptions from the Rent Standard.</t>
  </si>
  <si>
    <t>Social stock is used in these statistics to denote the total number of low cost rental and low cost home ownership units. Total social stock figures represent the number of self-contained units plus bedspaces.</t>
  </si>
  <si>
    <t>Units can only be counted as supported housing if they meet the definition of supported housing specified in the policy statement. The fact that a tenant receives support services in their home does not make it supported housing.</t>
  </si>
  <si>
    <t>Table 4 &amp; 5 titles.</t>
  </si>
  <si>
    <t>Table 6 &amp; 7 titles.</t>
  </si>
  <si>
    <t>Table 8 &amp; 9 titles.</t>
  </si>
  <si>
    <t>Table 2 &amp; 3 titles.</t>
  </si>
  <si>
    <t>Burnley Borough Council</t>
  </si>
  <si>
    <t>E07000117</t>
  </si>
  <si>
    <t>5159</t>
  </si>
  <si>
    <t>Eastleigh Borough Council</t>
  </si>
  <si>
    <t>E07000086</t>
  </si>
  <si>
    <t>5133</t>
  </si>
  <si>
    <t>Isle of Wight Council</t>
  </si>
  <si>
    <t>E06000046</t>
  </si>
  <si>
    <t>5144</t>
  </si>
  <si>
    <t>Lichfield District Council</t>
  </si>
  <si>
    <t>E07000194</t>
  </si>
  <si>
    <t>5134</t>
  </si>
  <si>
    <t>North Northamptonshire Council</t>
  </si>
  <si>
    <t>E06000061</t>
  </si>
  <si>
    <t>5129</t>
  </si>
  <si>
    <t>Rushmoor Borough Council</t>
  </si>
  <si>
    <t>E07000092</t>
  </si>
  <si>
    <t>5158</t>
  </si>
  <si>
    <t>Sefton Metropolitan Borough Council</t>
  </si>
  <si>
    <t>E08000014</t>
  </si>
  <si>
    <t>5151</t>
  </si>
  <si>
    <t>South Somerset District Council</t>
  </si>
  <si>
    <t>E07000189</t>
  </si>
  <si>
    <t>5137</t>
  </si>
  <si>
    <t>West Northamptonshire Council</t>
  </si>
  <si>
    <t>E06000062</t>
  </si>
  <si>
    <t>5130</t>
  </si>
  <si>
    <t>Worthing Borough Council</t>
  </si>
  <si>
    <t>E07000229</t>
  </si>
  <si>
    <t>5150</t>
  </si>
  <si>
    <t xml:space="preserve">Social rent </t>
  </si>
  <si>
    <t>Social rent - general needs</t>
  </si>
  <si>
    <t>Social rent - supported housing</t>
  </si>
  <si>
    <t>Local Authority Registered Provider (LARP) look-up tool (LADR data) 2023</t>
  </si>
  <si>
    <t>Local Authority Data Return (LADR) 1 April 2022 to 31 March 2023</t>
  </si>
  <si>
    <t>The definitions presented below are provided for clarity of terms and categories within this release. They are consistent with definitions for the data collected in the 2023 LADR collection (based on a view ‘as at’ or ‘in the year to’ 31 March 2023). See the 2022-23 LADR guidance published as part of this release for more information.</t>
  </si>
  <si>
    <t>October 2023</t>
  </si>
  <si>
    <t xml:space="preserve"> Local authority registered provider (LARP) social housing stock in England 2023</t>
  </si>
  <si>
    <t>Source: LADR 2023</t>
  </si>
  <si>
    <t>Amber Valley Borough Council</t>
  </si>
  <si>
    <t>E07000032</t>
  </si>
  <si>
    <t>5164</t>
  </si>
  <si>
    <t>Yorkshire and The Humber</t>
  </si>
  <si>
    <t>Colchester City Council</t>
  </si>
  <si>
    <t>City of Doncaster Council</t>
  </si>
  <si>
    <t>Eden District Council</t>
  </si>
  <si>
    <t>E07000030</t>
  </si>
  <si>
    <t>5174</t>
  </si>
  <si>
    <t>Royal Borough of Greenwich</t>
  </si>
  <si>
    <t>Liverpool City Council</t>
  </si>
  <si>
    <t>South Derbyshire District Council</t>
  </si>
  <si>
    <t>Southend on Sea City Council</t>
  </si>
  <si>
    <t>Torbay Council</t>
  </si>
  <si>
    <t>E06000027</t>
  </si>
  <si>
    <t>5167</t>
  </si>
  <si>
    <t>How to use the drop down list (and search function) to select a LARP</t>
  </si>
  <si>
    <t>November 2023</t>
  </si>
  <si>
    <t>Version: 1.1</t>
  </si>
  <si>
    <t>Publication date: November 2023</t>
  </si>
  <si>
    <t>Fixed technical issue with search box, no changes to underlying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</si>
</sst>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quot;£&quot;#,##0.00"/>
    <numFmt numFmtId="43" formatCode="_-* #,##0.00_-;\-* #,##0.00_-;_-* &quot;-&quot;??_-;_-@_-"/>
    <numFmt numFmtId="164" formatCode="_-* #,##0_-;\-* #,##0_-;_-* &quot;-&quot;??_-;_-@_-"/>
    <numFmt numFmtId="165" formatCode="#,##0;\-#,##0,\-;&quot;-&quot;"/>
    <numFmt numFmtId="166" formatCode="#,##0;\-#,##0,_-;&quot;-&quot;"/>
    <numFmt numFmtId="167" formatCode="#,##0;\-#,##0_-;&quot;-&quot;"/>
    <numFmt numFmtId="168" formatCode="0.0%"/>
    <numFmt numFmtId="169" formatCode="&quot;£&quot;#,##0.00;\-&quot;£&quot;#,##0.0000_-;&quot;-&quot;"/>
    <numFmt numFmtId="170" formatCode="&quot;£&quot;#,##0.00"/>
    <numFmt numFmtId="171" formatCode="0.0"/>
    <numFmt numFmtId="172" formatCode="[$-F800]dddd\,\ mmmm\ dd\,\ yyyy"/>
    <numFmt numFmtId="173" formatCode="mmmm\ yyyy"/>
    <numFmt numFmtId="174" formatCode="&quot;£&quot;#,##0.00;\-&quot;£&quot;#,##0.00,\-;&quot;-&quot;"/>
  </numFmts>
  <fonts count="72" x14ac:knownFonts="1">
    <font>
      <sz val="11"/>
      <color theme="1"/>
      <name val="Calibri"/>
      <family val="2"/>
      <scheme val="minor"/>
    </font>
    <font>
      <sz val="11"/>
      <color theme="1"/>
      <name val="Arial"/>
      <family val="2"/>
    </font>
    <font>
      <sz val="11"/>
      <color theme="1"/>
      <name val="Calibri"/>
      <family val="2"/>
      <scheme val="minor"/>
    </font>
    <font>
      <u/>
      <sz val="11"/>
      <color theme="10"/>
      <name val="Calibri"/>
      <family val="2"/>
      <scheme val="minor"/>
    </font>
    <font>
      <sz val="10"/>
      <color theme="0"/>
      <name val="Arial"/>
      <family val="2"/>
    </font>
    <font>
      <b/>
      <sz val="20"/>
      <color rgb="FF59468D"/>
      <name val="Arial"/>
      <family val="2"/>
    </font>
    <font>
      <sz val="11"/>
      <color theme="1"/>
      <name val="Arial"/>
      <family val="2"/>
    </font>
    <font>
      <sz val="11"/>
      <color theme="0"/>
      <name val="Arial"/>
      <family val="2"/>
    </font>
    <font>
      <b/>
      <sz val="10"/>
      <color rgb="FF002060"/>
      <name val="Arial"/>
      <family val="2"/>
    </font>
    <font>
      <sz val="10"/>
      <color theme="1"/>
      <name val="Arial"/>
      <family val="2"/>
    </font>
    <font>
      <sz val="10"/>
      <name val="Arial"/>
      <family val="2"/>
    </font>
    <font>
      <b/>
      <sz val="10"/>
      <color theme="1"/>
      <name val="Arial"/>
      <family val="2"/>
    </font>
    <font>
      <b/>
      <sz val="10"/>
      <color theme="0"/>
      <name val="Arial"/>
      <family val="2"/>
    </font>
    <font>
      <u/>
      <sz val="10"/>
      <color theme="10"/>
      <name val="Arial"/>
      <family val="2"/>
    </font>
    <font>
      <b/>
      <sz val="10"/>
      <name val="Arial"/>
      <family val="2"/>
    </font>
    <font>
      <b/>
      <sz val="11"/>
      <color rgb="FFFF0000"/>
      <name val="Arial"/>
      <family val="2"/>
    </font>
    <font>
      <b/>
      <sz val="10"/>
      <color rgb="FFFF0000"/>
      <name val="Arial"/>
      <family val="2"/>
    </font>
    <font>
      <sz val="11"/>
      <name val="Arial"/>
      <family val="2"/>
    </font>
    <font>
      <sz val="10"/>
      <color rgb="FFFF0000"/>
      <name val="Arial"/>
      <family val="2"/>
    </font>
    <font>
      <b/>
      <sz val="12"/>
      <color rgb="FF59468D"/>
      <name val="Arial"/>
      <family val="2"/>
    </font>
    <font>
      <sz val="12"/>
      <color rgb="FF59468D"/>
      <name val="Arial"/>
      <family val="2"/>
    </font>
    <font>
      <sz val="11"/>
      <color rgb="FFFF0000"/>
      <name val="Arial"/>
      <family val="2"/>
    </font>
    <font>
      <sz val="10"/>
      <color rgb="FF59468D"/>
      <name val="Arial"/>
      <family val="2"/>
    </font>
    <font>
      <i/>
      <sz val="10"/>
      <color theme="0" tint="-0.499984740745262"/>
      <name val="Arial"/>
      <family val="2"/>
    </font>
    <font>
      <sz val="10"/>
      <color theme="0" tint="-0.499984740745262"/>
      <name val="Arial"/>
      <family val="2"/>
    </font>
    <font>
      <sz val="8"/>
      <color rgb="FFFF0000"/>
      <name val="Arial"/>
      <family val="2"/>
    </font>
    <font>
      <sz val="8"/>
      <color theme="1"/>
      <name val="Arial"/>
      <family val="2"/>
    </font>
    <font>
      <sz val="10"/>
      <color rgb="FFAECFE6"/>
      <name val="Arial"/>
      <family val="2"/>
    </font>
    <font>
      <i/>
      <sz val="8"/>
      <color theme="0" tint="-0.499984740745262"/>
      <name val="Arial"/>
      <family val="2"/>
    </font>
    <font>
      <sz val="8"/>
      <name val="Arial"/>
      <family val="2"/>
    </font>
    <font>
      <sz val="10"/>
      <color theme="0" tint="-0.34998626667073579"/>
      <name val="Arial"/>
      <family val="2"/>
    </font>
    <font>
      <sz val="10"/>
      <name val="MS Sans Serif"/>
      <family val="2"/>
    </font>
    <font>
      <b/>
      <sz val="11"/>
      <color theme="1"/>
      <name val="Arial"/>
      <family val="2"/>
    </font>
    <font>
      <sz val="11"/>
      <color rgb="FF59468D"/>
      <name val="Arial"/>
      <family val="2"/>
    </font>
    <font>
      <i/>
      <sz val="8"/>
      <name val="Arial"/>
      <family val="2"/>
    </font>
    <font>
      <sz val="12"/>
      <color rgb="FFFF0000"/>
      <name val="Arial"/>
      <family val="2"/>
    </font>
    <font>
      <b/>
      <i/>
      <sz val="10"/>
      <color indexed="81"/>
      <name val="Arial"/>
      <family val="2"/>
    </font>
    <font>
      <sz val="10"/>
      <color indexed="8"/>
      <name val="Arial"/>
      <family val="2"/>
    </font>
    <font>
      <sz val="11"/>
      <color indexed="8"/>
      <name val="Calibri"/>
      <family val="2"/>
    </font>
    <font>
      <b/>
      <sz val="14"/>
      <color theme="1"/>
      <name val="Arial"/>
      <family val="2"/>
    </font>
    <font>
      <sz val="32"/>
      <color rgb="FF419331"/>
      <name val="Wingdings"/>
      <charset val="2"/>
    </font>
    <font>
      <b/>
      <sz val="32"/>
      <color rgb="FF00B050"/>
      <name val="Wingdings"/>
      <charset val="2"/>
    </font>
    <font>
      <sz val="32"/>
      <color theme="0" tint="-0.499984740745262"/>
      <name val="Wingdings"/>
      <charset val="2"/>
    </font>
    <font>
      <sz val="32"/>
      <color rgb="FFC33A32"/>
      <name val="Wingdings"/>
      <charset val="2"/>
    </font>
    <font>
      <b/>
      <sz val="10"/>
      <color rgb="FF419331"/>
      <name val="Arial"/>
      <family val="2"/>
    </font>
    <font>
      <b/>
      <sz val="10"/>
      <color theme="0" tint="-0.499984740745262"/>
      <name val="Arial"/>
      <family val="2"/>
    </font>
    <font>
      <b/>
      <sz val="10"/>
      <color rgb="FFC33A32"/>
      <name val="Arial"/>
      <family val="2"/>
    </font>
    <font>
      <b/>
      <sz val="10"/>
      <color rgb="FF00B050"/>
      <name val="Arial"/>
      <family val="2"/>
    </font>
    <font>
      <b/>
      <sz val="28"/>
      <color rgb="FF59468D"/>
      <name val="Arial"/>
      <family val="2"/>
    </font>
    <font>
      <sz val="12"/>
      <name val="Arial"/>
      <family val="2"/>
    </font>
    <font>
      <b/>
      <sz val="12"/>
      <name val="Arial"/>
      <family val="2"/>
    </font>
    <font>
      <b/>
      <sz val="12"/>
      <color rgb="FFFF0000"/>
      <name val="Arial"/>
      <family val="2"/>
    </font>
    <font>
      <b/>
      <sz val="18"/>
      <color rgb="FF59468D"/>
      <name val="Arial"/>
      <family val="2"/>
    </font>
    <font>
      <sz val="9"/>
      <name val="Arial"/>
      <family val="2"/>
    </font>
    <font>
      <u/>
      <sz val="12"/>
      <color theme="10"/>
      <name val="Arial"/>
      <family val="2"/>
    </font>
    <font>
      <sz val="12"/>
      <color theme="0"/>
      <name val="Arial"/>
      <family val="2"/>
    </font>
    <font>
      <sz val="12"/>
      <color theme="1"/>
      <name val="Arial"/>
      <family val="2"/>
    </font>
    <font>
      <sz val="24"/>
      <color theme="1"/>
      <name val="Arial"/>
      <family val="2"/>
    </font>
    <font>
      <b/>
      <sz val="24"/>
      <color rgb="FF59468D"/>
      <name val="Arial"/>
      <family val="2"/>
    </font>
    <font>
      <b/>
      <sz val="18"/>
      <color theme="1"/>
      <name val="Arial"/>
      <family val="2"/>
    </font>
    <font>
      <b/>
      <sz val="12"/>
      <color theme="1"/>
      <name val="Arial"/>
      <family val="2"/>
    </font>
    <font>
      <sz val="12"/>
      <color theme="1"/>
      <name val="Symbol"/>
      <family val="1"/>
      <charset val="2"/>
    </font>
    <font>
      <sz val="7"/>
      <color theme="1"/>
      <name val="Times New Roman"/>
      <family val="1"/>
    </font>
    <font>
      <u/>
      <sz val="12"/>
      <color rgb="FF59468D"/>
      <name val="Arial"/>
      <family val="2"/>
    </font>
    <font>
      <b/>
      <sz val="14"/>
      <color rgb="FF59468D"/>
      <name val="Arial"/>
      <family val="2"/>
    </font>
    <font>
      <b/>
      <sz val="14"/>
      <color indexed="9"/>
      <name val="Arial"/>
      <family val="2"/>
    </font>
    <font>
      <b/>
      <sz val="12"/>
      <color indexed="9"/>
      <name val="Arial"/>
      <family val="2"/>
    </font>
    <font>
      <b/>
      <sz val="12"/>
      <color theme="0"/>
      <name val="Arial"/>
      <family val="2"/>
    </font>
    <font>
      <b/>
      <sz val="22"/>
      <color rgb="FF59468D"/>
      <name val="Arial"/>
      <family val="2"/>
    </font>
    <font>
      <sz val="10"/>
      <color rgb="FF002060"/>
      <name val="Arial"/>
      <family val="2"/>
    </font>
    <font>
      <b/>
      <u/>
      <sz val="12"/>
      <color rgb="FF59468D"/>
      <name val="Arial"/>
      <family val="2"/>
    </font>
    <font>
      <sz val="11"/>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DFF99"/>
        <bgColor indexed="64"/>
      </patternFill>
    </fill>
    <fill>
      <patternFill patternType="solid">
        <fgColor rgb="FFE2EEF6"/>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14999847407452621"/>
        <bgColor indexed="0"/>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97DA8A"/>
        <bgColor indexed="64"/>
      </patternFill>
    </fill>
    <fill>
      <patternFill patternType="solid">
        <fgColor rgb="FFC6EFCE"/>
        <bgColor indexed="64"/>
      </patternFill>
    </fill>
    <fill>
      <patternFill patternType="solid">
        <fgColor rgb="FFFFEB9C"/>
        <bgColor indexed="64"/>
      </patternFill>
    </fill>
    <fill>
      <patternFill patternType="solid">
        <fgColor indexed="9"/>
        <bgColor indexed="64"/>
      </patternFill>
    </fill>
    <fill>
      <patternFill patternType="solid">
        <fgColor rgb="FF59468D"/>
        <bgColor indexed="64"/>
      </patternFill>
    </fill>
    <fill>
      <patternFill patternType="solid">
        <fgColor rgb="FFEDEBF5"/>
        <bgColor indexed="64"/>
      </patternFill>
    </fill>
  </fills>
  <borders count="4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style="thin">
        <color auto="1"/>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dotted">
        <color auto="1"/>
      </top>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style="dotted">
        <color indexed="64"/>
      </right>
      <top/>
      <bottom/>
      <diagonal/>
    </border>
    <border>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theme="0"/>
      </right>
      <top/>
      <bottom style="thin">
        <color theme="0"/>
      </bottom>
      <diagonal/>
    </border>
    <border>
      <left/>
      <right style="thin">
        <color indexed="64"/>
      </right>
      <top/>
      <bottom style="thin">
        <color theme="0"/>
      </bottom>
      <diagonal/>
    </border>
    <border>
      <left style="thin">
        <color indexed="64"/>
      </left>
      <right style="thin">
        <color theme="0"/>
      </right>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bottom/>
      <diagonal/>
    </border>
    <border>
      <left style="thin">
        <color indexed="64"/>
      </left>
      <right style="thin">
        <color theme="0"/>
      </right>
      <top style="thin">
        <color theme="0"/>
      </top>
      <bottom style="thin">
        <color theme="0"/>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auto="1"/>
      </left>
      <right style="thin">
        <color auto="1"/>
      </right>
      <top/>
      <bottom/>
      <diagonal/>
    </border>
  </borders>
  <cellStyleXfs count="12">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2" fillId="0" borderId="0"/>
    <xf numFmtId="0" fontId="17" fillId="0" borderId="0"/>
    <xf numFmtId="43" fontId="2" fillId="0" borderId="0" applyFont="0" applyFill="0" applyBorder="0" applyAlignment="0" applyProtection="0"/>
    <xf numFmtId="9" fontId="2" fillId="0" borderId="0" applyFont="0" applyFill="0" applyBorder="0" applyAlignment="0" applyProtection="0"/>
    <xf numFmtId="0" fontId="31" fillId="0" borderId="0"/>
    <xf numFmtId="0" fontId="37" fillId="0" borderId="0"/>
    <xf numFmtId="0" fontId="37" fillId="0" borderId="0"/>
    <xf numFmtId="0" fontId="9" fillId="0" borderId="0"/>
    <xf numFmtId="0" fontId="10" fillId="0" borderId="0"/>
  </cellStyleXfs>
  <cellXfs count="412">
    <xf numFmtId="0" fontId="0" fillId="0" borderId="0" xfId="0"/>
    <xf numFmtId="0" fontId="4" fillId="2" borderId="0" xfId="3" applyFont="1" applyFill="1" applyAlignment="1" applyProtection="1">
      <alignment horizontal="left" vertical="top"/>
      <protection hidden="1"/>
    </xf>
    <xf numFmtId="0" fontId="6" fillId="2" borderId="0" xfId="3" applyFont="1" applyFill="1" applyAlignment="1" applyProtection="1">
      <alignment vertical="top"/>
      <protection hidden="1"/>
    </xf>
    <xf numFmtId="0" fontId="7" fillId="2" borderId="0" xfId="3" applyFont="1" applyFill="1" applyAlignment="1" applyProtection="1">
      <alignment horizontal="left" vertical="top"/>
      <protection hidden="1"/>
    </xf>
    <xf numFmtId="0" fontId="8" fillId="0" borderId="0" xfId="3" applyFont="1" applyAlignment="1" applyProtection="1">
      <alignment vertical="top"/>
      <protection locked="0"/>
    </xf>
    <xf numFmtId="0" fontId="7" fillId="2" borderId="0" xfId="3" applyFont="1" applyFill="1" applyAlignment="1" applyProtection="1">
      <alignment vertical="top"/>
      <protection hidden="1"/>
    </xf>
    <xf numFmtId="0" fontId="4" fillId="2" borderId="0" xfId="3" applyFont="1" applyFill="1" applyAlignment="1" applyProtection="1">
      <alignment vertical="top"/>
      <protection hidden="1"/>
    </xf>
    <xf numFmtId="0" fontId="9" fillId="2" borderId="0" xfId="3" applyFont="1" applyFill="1" applyAlignment="1" applyProtection="1">
      <alignment vertical="top"/>
      <protection hidden="1"/>
    </xf>
    <xf numFmtId="0" fontId="8" fillId="2" borderId="0" xfId="3" applyFont="1" applyFill="1" applyAlignment="1" applyProtection="1">
      <alignment vertical="top"/>
      <protection hidden="1"/>
    </xf>
    <xf numFmtId="0" fontId="13" fillId="2" borderId="0" xfId="2" applyFont="1" applyFill="1" applyBorder="1" applyAlignment="1" applyProtection="1">
      <alignment vertical="top"/>
      <protection hidden="1"/>
    </xf>
    <xf numFmtId="0" fontId="15" fillId="2" borderId="0" xfId="3" applyFont="1" applyFill="1" applyAlignment="1" applyProtection="1">
      <alignment vertical="top"/>
      <protection hidden="1"/>
    </xf>
    <xf numFmtId="0" fontId="6" fillId="2" borderId="4" xfId="3" applyFont="1" applyFill="1" applyBorder="1" applyAlignment="1" applyProtection="1">
      <alignment vertical="top"/>
      <protection hidden="1"/>
    </xf>
    <xf numFmtId="0" fontId="4" fillId="2" borderId="0" xfId="3" applyFont="1" applyFill="1" applyAlignment="1" applyProtection="1">
      <alignment horizontal="left"/>
      <protection hidden="1"/>
    </xf>
    <xf numFmtId="0" fontId="16" fillId="2" borderId="0" xfId="3" applyFont="1" applyFill="1" applyProtection="1">
      <protection hidden="1"/>
    </xf>
    <xf numFmtId="0" fontId="10" fillId="2" borderId="0" xfId="4" applyFont="1" applyFill="1" applyAlignment="1" applyProtection="1">
      <alignment horizontal="center" wrapText="1"/>
      <protection hidden="1"/>
    </xf>
    <xf numFmtId="0" fontId="18" fillId="2" borderId="0" xfId="3" applyFont="1" applyFill="1" applyAlignment="1" applyProtection="1">
      <alignment wrapText="1"/>
      <protection hidden="1"/>
    </xf>
    <xf numFmtId="0" fontId="14" fillId="2" borderId="0" xfId="4" applyFont="1" applyFill="1" applyAlignment="1" applyProtection="1">
      <alignment horizontal="center" wrapText="1"/>
      <protection hidden="1"/>
    </xf>
    <xf numFmtId="164" fontId="14" fillId="2" borderId="0" xfId="5" applyNumberFormat="1" applyFont="1" applyFill="1" applyBorder="1" applyAlignment="1" applyProtection="1">
      <alignment horizontal="center" wrapText="1"/>
      <protection hidden="1"/>
    </xf>
    <xf numFmtId="0" fontId="6" fillId="2" borderId="0" xfId="3" applyFont="1" applyFill="1" applyProtection="1">
      <protection hidden="1"/>
    </xf>
    <xf numFmtId="0" fontId="21" fillId="2" borderId="0" xfId="3" applyFont="1" applyFill="1" applyProtection="1">
      <protection hidden="1"/>
    </xf>
    <xf numFmtId="0" fontId="4" fillId="2" borderId="0" xfId="3" applyFont="1" applyFill="1" applyProtection="1">
      <protection hidden="1"/>
    </xf>
    <xf numFmtId="0" fontId="14" fillId="2" borderId="0" xfId="3" applyFont="1" applyFill="1" applyAlignment="1" applyProtection="1">
      <alignment horizontal="left"/>
      <protection hidden="1"/>
    </xf>
    <xf numFmtId="0" fontId="11" fillId="4" borderId="10" xfId="3" applyFont="1" applyFill="1" applyBorder="1" applyAlignment="1" applyProtection="1">
      <alignment horizontal="left"/>
      <protection hidden="1"/>
    </xf>
    <xf numFmtId="0" fontId="6" fillId="4" borderId="4" xfId="3" applyFont="1" applyFill="1" applyBorder="1" applyProtection="1">
      <protection hidden="1"/>
    </xf>
    <xf numFmtId="0" fontId="11" fillId="4" borderId="4" xfId="3" applyFont="1" applyFill="1" applyBorder="1" applyAlignment="1" applyProtection="1">
      <alignment horizontal="right"/>
      <protection hidden="1"/>
    </xf>
    <xf numFmtId="0" fontId="11" fillId="4" borderId="5" xfId="3" applyFont="1" applyFill="1" applyBorder="1" applyAlignment="1" applyProtection="1">
      <alignment horizontal="right"/>
      <protection hidden="1"/>
    </xf>
    <xf numFmtId="0" fontId="6" fillId="2" borderId="6" xfId="3" applyFont="1" applyFill="1" applyBorder="1" applyProtection="1">
      <protection hidden="1"/>
    </xf>
    <xf numFmtId="0" fontId="6" fillId="2" borderId="11" xfId="3" applyFont="1" applyFill="1" applyBorder="1" applyProtection="1">
      <protection hidden="1"/>
    </xf>
    <xf numFmtId="0" fontId="11" fillId="2" borderId="12" xfId="3" applyFont="1" applyFill="1" applyBorder="1" applyProtection="1">
      <protection hidden="1"/>
    </xf>
    <xf numFmtId="0" fontId="9" fillId="2" borderId="13" xfId="3" applyFont="1" applyFill="1" applyBorder="1" applyProtection="1">
      <protection hidden="1"/>
    </xf>
    <xf numFmtId="0" fontId="22" fillId="2" borderId="13" xfId="3" applyFont="1" applyFill="1" applyBorder="1" applyAlignment="1" applyProtection="1">
      <alignment horizontal="right"/>
      <protection hidden="1"/>
    </xf>
    <xf numFmtId="0" fontId="22" fillId="2" borderId="14" xfId="3" applyFont="1" applyFill="1" applyBorder="1" applyAlignment="1" applyProtection="1">
      <alignment horizontal="right"/>
      <protection hidden="1"/>
    </xf>
    <xf numFmtId="0" fontId="23" fillId="5" borderId="15" xfId="3" applyFont="1" applyFill="1" applyBorder="1" applyAlignment="1" applyProtection="1">
      <alignment horizontal="right"/>
      <protection hidden="1"/>
    </xf>
    <xf numFmtId="0" fontId="9" fillId="2" borderId="11" xfId="3" applyFont="1" applyFill="1" applyBorder="1" applyAlignment="1" applyProtection="1">
      <alignment horizontal="right"/>
      <protection hidden="1"/>
    </xf>
    <xf numFmtId="0" fontId="9" fillId="2" borderId="12" xfId="3" applyFont="1" applyFill="1" applyBorder="1" applyAlignment="1" applyProtection="1">
      <alignment horizontal="left"/>
      <protection hidden="1"/>
    </xf>
    <xf numFmtId="165" fontId="9" fillId="2" borderId="13" xfId="3" applyNumberFormat="1" applyFont="1" applyFill="1" applyBorder="1" applyProtection="1">
      <protection hidden="1"/>
    </xf>
    <xf numFmtId="0" fontId="7" fillId="2" borderId="0" xfId="3" applyFont="1" applyFill="1" applyProtection="1">
      <protection hidden="1"/>
    </xf>
    <xf numFmtId="0" fontId="17" fillId="2" borderId="0" xfId="3" applyFont="1" applyFill="1" applyProtection="1">
      <protection hidden="1"/>
    </xf>
    <xf numFmtId="164" fontId="17" fillId="2" borderId="0" xfId="1" applyNumberFormat="1" applyFont="1" applyFill="1" applyProtection="1">
      <protection hidden="1"/>
    </xf>
    <xf numFmtId="0" fontId="9" fillId="2" borderId="17" xfId="3" applyFont="1" applyFill="1" applyBorder="1" applyAlignment="1" applyProtection="1">
      <alignment horizontal="right"/>
      <protection hidden="1"/>
    </xf>
    <xf numFmtId="165" fontId="24" fillId="2" borderId="4" xfId="3" applyNumberFormat="1" applyFont="1" applyFill="1" applyBorder="1" applyAlignment="1" applyProtection="1">
      <alignment horizontal="right"/>
      <protection hidden="1"/>
    </xf>
    <xf numFmtId="165" fontId="9" fillId="2" borderId="13" xfId="3" applyNumberFormat="1" applyFont="1" applyFill="1" applyBorder="1" applyAlignment="1" applyProtection="1">
      <alignment horizontal="right"/>
      <protection hidden="1"/>
    </xf>
    <xf numFmtId="0" fontId="9" fillId="2" borderId="13" xfId="3" applyFont="1" applyFill="1" applyBorder="1" applyAlignment="1" applyProtection="1">
      <alignment horizontal="left"/>
      <protection hidden="1"/>
    </xf>
    <xf numFmtId="0" fontId="11" fillId="2" borderId="12" xfId="3" applyFont="1" applyFill="1" applyBorder="1" applyAlignment="1" applyProtection="1">
      <alignment horizontal="left"/>
      <protection hidden="1"/>
    </xf>
    <xf numFmtId="0" fontId="4" fillId="2" borderId="13" xfId="3" applyFont="1" applyFill="1" applyBorder="1" applyProtection="1">
      <protection hidden="1"/>
    </xf>
    <xf numFmtId="165" fontId="24" fillId="2" borderId="13" xfId="3" applyNumberFormat="1" applyFont="1" applyFill="1" applyBorder="1" applyAlignment="1" applyProtection="1">
      <alignment horizontal="right"/>
      <protection hidden="1"/>
    </xf>
    <xf numFmtId="165" fontId="9" fillId="2" borderId="19" xfId="3" applyNumberFormat="1" applyFont="1" applyFill="1" applyBorder="1" applyProtection="1">
      <protection hidden="1"/>
    </xf>
    <xf numFmtId="0" fontId="9" fillId="2" borderId="10" xfId="3" applyFont="1" applyFill="1" applyBorder="1" applyAlignment="1" applyProtection="1">
      <alignment horizontal="left"/>
      <protection hidden="1"/>
    </xf>
    <xf numFmtId="0" fontId="4" fillId="2" borderId="4" xfId="3" applyFont="1" applyFill="1" applyBorder="1" applyProtection="1">
      <protection hidden="1"/>
    </xf>
    <xf numFmtId="0" fontId="9" fillId="2" borderId="4" xfId="3" applyFont="1" applyFill="1" applyBorder="1" applyProtection="1">
      <protection hidden="1"/>
    </xf>
    <xf numFmtId="3" fontId="23" fillId="2" borderId="4" xfId="3" applyNumberFormat="1" applyFont="1" applyFill="1" applyBorder="1" applyAlignment="1" applyProtection="1">
      <alignment horizontal="right"/>
      <protection hidden="1"/>
    </xf>
    <xf numFmtId="3" fontId="9" fillId="2" borderId="4" xfId="3" applyNumberFormat="1" applyFont="1" applyFill="1" applyBorder="1" applyProtection="1">
      <protection hidden="1"/>
    </xf>
    <xf numFmtId="3" fontId="9" fillId="2" borderId="20" xfId="3" applyNumberFormat="1" applyFont="1" applyFill="1" applyBorder="1" applyProtection="1">
      <protection hidden="1"/>
    </xf>
    <xf numFmtId="0" fontId="11" fillId="2" borderId="10" xfId="3" applyFont="1" applyFill="1" applyBorder="1" applyAlignment="1" applyProtection="1">
      <alignment horizontal="left"/>
      <protection hidden="1"/>
    </xf>
    <xf numFmtId="167" fontId="9" fillId="2" borderId="4" xfId="3" applyNumberFormat="1" applyFont="1" applyFill="1" applyBorder="1" applyProtection="1">
      <protection hidden="1"/>
    </xf>
    <xf numFmtId="0" fontId="6" fillId="2" borderId="4" xfId="3" applyFont="1" applyFill="1" applyBorder="1" applyProtection="1">
      <protection hidden="1"/>
    </xf>
    <xf numFmtId="3" fontId="11" fillId="2" borderId="4" xfId="3" applyNumberFormat="1" applyFont="1" applyFill="1" applyBorder="1" applyProtection="1">
      <protection hidden="1"/>
    </xf>
    <xf numFmtId="3" fontId="11" fillId="2" borderId="20" xfId="3" applyNumberFormat="1" applyFont="1" applyFill="1" applyBorder="1" applyProtection="1">
      <protection hidden="1"/>
    </xf>
    <xf numFmtId="0" fontId="11" fillId="2" borderId="13" xfId="3" applyFont="1" applyFill="1" applyBorder="1" applyProtection="1">
      <protection hidden="1"/>
    </xf>
    <xf numFmtId="3" fontId="11" fillId="2" borderId="13" xfId="3" applyNumberFormat="1" applyFont="1" applyFill="1" applyBorder="1" applyAlignment="1" applyProtection="1">
      <alignment horizontal="right"/>
      <protection hidden="1"/>
    </xf>
    <xf numFmtId="3" fontId="9" fillId="2" borderId="4" xfId="3" applyNumberFormat="1" applyFont="1" applyFill="1" applyBorder="1" applyAlignment="1" applyProtection="1">
      <alignment horizontal="right"/>
      <protection hidden="1"/>
    </xf>
    <xf numFmtId="167" fontId="11" fillId="2" borderId="14" xfId="3" applyNumberFormat="1" applyFont="1" applyFill="1" applyBorder="1" applyAlignment="1" applyProtection="1">
      <alignment horizontal="right"/>
      <protection hidden="1"/>
    </xf>
    <xf numFmtId="0" fontId="11" fillId="2" borderId="4" xfId="3" applyFont="1" applyFill="1" applyBorder="1" applyProtection="1">
      <protection hidden="1"/>
    </xf>
    <xf numFmtId="3" fontId="9" fillId="2" borderId="13" xfId="3" applyNumberFormat="1" applyFont="1" applyFill="1" applyBorder="1" applyProtection="1">
      <protection hidden="1"/>
    </xf>
    <xf numFmtId="3" fontId="11" fillId="2" borderId="14" xfId="3" applyNumberFormat="1" applyFont="1" applyFill="1" applyBorder="1" applyProtection="1">
      <protection hidden="1"/>
    </xf>
    <xf numFmtId="0" fontId="25" fillId="2" borderId="9" xfId="5" applyNumberFormat="1" applyFont="1" applyFill="1" applyBorder="1" applyAlignment="1" applyProtection="1">
      <alignment horizontal="left"/>
      <protection hidden="1"/>
    </xf>
    <xf numFmtId="3" fontId="6" fillId="2" borderId="0" xfId="3" applyNumberFormat="1" applyFont="1" applyFill="1" applyAlignment="1" applyProtection="1">
      <alignment horizontal="right"/>
      <protection hidden="1"/>
    </xf>
    <xf numFmtId="3" fontId="10" fillId="2" borderId="0" xfId="5" applyNumberFormat="1" applyFont="1" applyFill="1" applyBorder="1" applyAlignment="1" applyProtection="1">
      <alignment horizontal="right" wrapText="1"/>
      <protection hidden="1"/>
    </xf>
    <xf numFmtId="3" fontId="10" fillId="2" borderId="5" xfId="5" applyNumberFormat="1" applyFont="1" applyFill="1" applyBorder="1" applyAlignment="1" applyProtection="1">
      <alignment horizontal="right" wrapText="1"/>
      <protection hidden="1"/>
    </xf>
    <xf numFmtId="0" fontId="6" fillId="2" borderId="0" xfId="3" applyFont="1" applyFill="1" applyAlignment="1" applyProtection="1">
      <alignment horizontal="right"/>
      <protection hidden="1"/>
    </xf>
    <xf numFmtId="0" fontId="26" fillId="2" borderId="10" xfId="3" applyFont="1" applyFill="1" applyBorder="1" applyProtection="1">
      <protection hidden="1"/>
    </xf>
    <xf numFmtId="168" fontId="10" fillId="2" borderId="4" xfId="6" applyNumberFormat="1" applyFont="1" applyFill="1" applyBorder="1" applyAlignment="1" applyProtection="1">
      <alignment horizontal="right" wrapText="1"/>
      <protection hidden="1"/>
    </xf>
    <xf numFmtId="3" fontId="6" fillId="2" borderId="0" xfId="3" applyNumberFormat="1" applyFont="1" applyFill="1" applyProtection="1">
      <protection hidden="1"/>
    </xf>
    <xf numFmtId="164" fontId="10" fillId="2" borderId="0" xfId="5" applyNumberFormat="1" applyFont="1" applyFill="1" applyBorder="1" applyAlignment="1" applyProtection="1">
      <alignment horizontal="left"/>
      <protection hidden="1"/>
    </xf>
    <xf numFmtId="0" fontId="19" fillId="4" borderId="6" xfId="3" applyFont="1" applyFill="1" applyBorder="1" applyAlignment="1" applyProtection="1">
      <alignment horizontal="left" vertical="top"/>
      <protection hidden="1"/>
    </xf>
    <xf numFmtId="0" fontId="20" fillId="4" borderId="7" xfId="3" applyFont="1" applyFill="1" applyBorder="1" applyAlignment="1" applyProtection="1">
      <alignment vertical="top"/>
      <protection hidden="1"/>
    </xf>
    <xf numFmtId="0" fontId="20" fillId="4" borderId="8" xfId="3" applyFont="1" applyFill="1" applyBorder="1" applyAlignment="1" applyProtection="1">
      <alignment vertical="top"/>
      <protection hidden="1"/>
    </xf>
    <xf numFmtId="0" fontId="27" fillId="2" borderId="0" xfId="3" applyFont="1" applyFill="1" applyProtection="1">
      <protection hidden="1"/>
    </xf>
    <xf numFmtId="0" fontId="6" fillId="2" borderId="0" xfId="3" applyFont="1" applyFill="1" applyAlignment="1" applyProtection="1">
      <alignment horizontal="left"/>
      <protection hidden="1"/>
    </xf>
    <xf numFmtId="0" fontId="4" fillId="2" borderId="0" xfId="4" applyFont="1" applyFill="1" applyAlignment="1" applyProtection="1">
      <alignment horizontal="center" wrapText="1"/>
      <protection hidden="1"/>
    </xf>
    <xf numFmtId="0" fontId="9" fillId="2" borderId="6" xfId="3" applyFont="1" applyFill="1" applyBorder="1" applyProtection="1">
      <protection hidden="1"/>
    </xf>
    <xf numFmtId="0" fontId="6" fillId="2" borderId="7" xfId="3" applyFont="1" applyFill="1" applyBorder="1" applyProtection="1">
      <protection hidden="1"/>
    </xf>
    <xf numFmtId="0" fontId="27" fillId="2" borderId="7" xfId="3" applyFont="1" applyFill="1" applyBorder="1" applyProtection="1">
      <protection hidden="1"/>
    </xf>
    <xf numFmtId="0" fontId="6" fillId="2" borderId="8" xfId="3" applyFont="1" applyFill="1" applyBorder="1" applyProtection="1">
      <protection hidden="1"/>
    </xf>
    <xf numFmtId="0" fontId="10" fillId="2" borderId="9" xfId="3" applyFont="1" applyFill="1" applyBorder="1" applyProtection="1">
      <protection hidden="1"/>
    </xf>
    <xf numFmtId="0" fontId="6" fillId="2" borderId="5" xfId="3" applyFont="1" applyFill="1" applyBorder="1" applyProtection="1">
      <protection hidden="1"/>
    </xf>
    <xf numFmtId="0" fontId="7" fillId="2" borderId="12" xfId="3" applyFont="1" applyFill="1" applyBorder="1" applyProtection="1">
      <protection hidden="1"/>
    </xf>
    <xf numFmtId="0" fontId="28" fillId="2" borderId="13" xfId="3" applyFont="1" applyFill="1" applyBorder="1" applyAlignment="1" applyProtection="1">
      <alignment horizontal="right"/>
      <protection hidden="1"/>
    </xf>
    <xf numFmtId="0" fontId="6" fillId="2" borderId="21" xfId="3" applyFont="1" applyFill="1" applyBorder="1" applyProtection="1">
      <protection hidden="1"/>
    </xf>
    <xf numFmtId="0" fontId="9" fillId="2" borderId="9" xfId="3" applyFont="1" applyFill="1" applyBorder="1" applyProtection="1">
      <protection hidden="1"/>
    </xf>
    <xf numFmtId="0" fontId="4" fillId="2" borderId="6" xfId="3" applyFont="1" applyFill="1" applyBorder="1" applyProtection="1">
      <protection hidden="1"/>
    </xf>
    <xf numFmtId="0" fontId="14" fillId="2" borderId="7" xfId="3" applyFont="1" applyFill="1" applyBorder="1" applyAlignment="1" applyProtection="1">
      <alignment horizontal="right"/>
      <protection hidden="1"/>
    </xf>
    <xf numFmtId="0" fontId="14" fillId="2" borderId="0" xfId="3" applyFont="1" applyFill="1" applyAlignment="1" applyProtection="1">
      <alignment horizontal="right"/>
      <protection hidden="1"/>
    </xf>
    <xf numFmtId="0" fontId="14" fillId="2" borderId="23" xfId="3" applyFont="1" applyFill="1" applyBorder="1" applyAlignment="1" applyProtection="1">
      <alignment horizontal="right" vertical="center"/>
      <protection hidden="1"/>
    </xf>
    <xf numFmtId="0" fontId="14" fillId="2" borderId="8" xfId="3" applyFont="1" applyFill="1" applyBorder="1" applyAlignment="1" applyProtection="1">
      <alignment horizontal="right" vertical="center"/>
      <protection hidden="1"/>
    </xf>
    <xf numFmtId="0" fontId="4" fillId="2" borderId="10" xfId="3" applyFont="1" applyFill="1" applyBorder="1" applyAlignment="1" applyProtection="1">
      <alignment vertical="top"/>
      <protection hidden="1"/>
    </xf>
    <xf numFmtId="2" fontId="14" fillId="2" borderId="4" xfId="3" applyNumberFormat="1" applyFont="1" applyFill="1" applyBorder="1" applyAlignment="1" applyProtection="1">
      <alignment horizontal="right"/>
      <protection hidden="1"/>
    </xf>
    <xf numFmtId="2" fontId="14" fillId="2" borderId="4" xfId="3" applyNumberFormat="1" applyFont="1" applyFill="1" applyBorder="1" applyAlignment="1" applyProtection="1">
      <alignment horizontal="right" wrapText="1"/>
      <protection hidden="1"/>
    </xf>
    <xf numFmtId="0" fontId="14" fillId="2" borderId="24" xfId="3" applyFont="1" applyFill="1" applyBorder="1" applyAlignment="1" applyProtection="1">
      <alignment horizontal="right" vertical="center"/>
      <protection hidden="1"/>
    </xf>
    <xf numFmtId="2" fontId="14" fillId="2" borderId="20" xfId="3" applyNumberFormat="1" applyFont="1" applyFill="1" applyBorder="1" applyAlignment="1" applyProtection="1">
      <alignment horizontal="right" vertical="center" wrapText="1"/>
      <protection hidden="1"/>
    </xf>
    <xf numFmtId="0" fontId="27" fillId="2" borderId="9" xfId="3" applyFont="1" applyFill="1" applyBorder="1" applyProtection="1">
      <protection hidden="1"/>
    </xf>
    <xf numFmtId="0" fontId="10" fillId="2" borderId="6" xfId="3" applyFont="1" applyFill="1" applyBorder="1" applyAlignment="1" applyProtection="1">
      <alignment horizontal="left"/>
      <protection hidden="1"/>
    </xf>
    <xf numFmtId="169" fontId="6" fillId="2" borderId="0" xfId="3" applyNumberFormat="1" applyFont="1" applyFill="1" applyAlignment="1" applyProtection="1">
      <alignment horizontal="right"/>
      <protection hidden="1"/>
    </xf>
    <xf numFmtId="165" fontId="9" fillId="2" borderId="0" xfId="5" applyNumberFormat="1" applyFont="1" applyFill="1" applyBorder="1" applyAlignment="1" applyProtection="1">
      <alignment horizontal="right"/>
      <protection hidden="1"/>
    </xf>
    <xf numFmtId="0" fontId="6" fillId="2" borderId="25" xfId="3" applyFont="1" applyFill="1" applyBorder="1" applyProtection="1">
      <protection hidden="1"/>
    </xf>
    <xf numFmtId="7" fontId="9" fillId="6" borderId="26" xfId="3" applyNumberFormat="1" applyFont="1" applyFill="1" applyBorder="1" applyAlignment="1" applyProtection="1">
      <alignment horizontal="right"/>
      <protection hidden="1"/>
    </xf>
    <xf numFmtId="165" fontId="9" fillId="2" borderId="5" xfId="5" applyNumberFormat="1" applyFont="1" applyFill="1" applyBorder="1" applyAlignment="1" applyProtection="1">
      <alignment horizontal="right"/>
      <protection hidden="1"/>
    </xf>
    <xf numFmtId="2" fontId="6" fillId="2" borderId="0" xfId="3" applyNumberFormat="1" applyFont="1" applyFill="1" applyProtection="1">
      <protection hidden="1"/>
    </xf>
    <xf numFmtId="0" fontId="10" fillId="2" borderId="0" xfId="3" applyFont="1" applyFill="1" applyProtection="1">
      <protection hidden="1"/>
    </xf>
    <xf numFmtId="0" fontId="17" fillId="2" borderId="5" xfId="3" applyFont="1" applyFill="1" applyBorder="1" applyProtection="1">
      <protection hidden="1"/>
    </xf>
    <xf numFmtId="0" fontId="6" fillId="2" borderId="9" xfId="3" applyFont="1" applyFill="1" applyBorder="1" applyProtection="1">
      <protection hidden="1"/>
    </xf>
    <xf numFmtId="0" fontId="9" fillId="2" borderId="5" xfId="3" applyFont="1" applyFill="1" applyBorder="1" applyProtection="1">
      <protection hidden="1"/>
    </xf>
    <xf numFmtId="0" fontId="10" fillId="2" borderId="9" xfId="3" applyFont="1" applyFill="1" applyBorder="1" applyAlignment="1" applyProtection="1">
      <alignment horizontal="left"/>
      <protection hidden="1"/>
    </xf>
    <xf numFmtId="0" fontId="10" fillId="2" borderId="10" xfId="3" applyFont="1" applyFill="1" applyBorder="1" applyProtection="1">
      <protection hidden="1"/>
    </xf>
    <xf numFmtId="0" fontId="10" fillId="2" borderId="4" xfId="3" applyFont="1" applyFill="1" applyBorder="1" applyProtection="1">
      <protection hidden="1"/>
    </xf>
    <xf numFmtId="0" fontId="17" fillId="2" borderId="20" xfId="3" applyFont="1" applyFill="1" applyBorder="1" applyProtection="1">
      <protection hidden="1"/>
    </xf>
    <xf numFmtId="0" fontId="14" fillId="2" borderId="10" xfId="3" applyFont="1" applyFill="1" applyBorder="1" applyAlignment="1" applyProtection="1">
      <alignment horizontal="left"/>
      <protection hidden="1"/>
    </xf>
    <xf numFmtId="169" fontId="11" fillId="2" borderId="4" xfId="3" applyNumberFormat="1" applyFont="1" applyFill="1" applyBorder="1" applyAlignment="1" applyProtection="1">
      <alignment horizontal="right"/>
      <protection hidden="1"/>
    </xf>
    <xf numFmtId="165" fontId="11" fillId="2" borderId="4" xfId="5" applyNumberFormat="1" applyFont="1" applyFill="1" applyBorder="1" applyAlignment="1" applyProtection="1">
      <alignment horizontal="right"/>
      <protection hidden="1"/>
    </xf>
    <xf numFmtId="0" fontId="6" fillId="2" borderId="27" xfId="3" applyFont="1" applyFill="1" applyBorder="1" applyProtection="1">
      <protection hidden="1"/>
    </xf>
    <xf numFmtId="7" fontId="11" fillId="6" borderId="24" xfId="3" applyNumberFormat="1" applyFont="1" applyFill="1" applyBorder="1" applyAlignment="1" applyProtection="1">
      <alignment horizontal="right"/>
      <protection hidden="1"/>
    </xf>
    <xf numFmtId="165" fontId="11" fillId="2" borderId="20" xfId="5" applyNumberFormat="1" applyFont="1" applyFill="1" applyBorder="1" applyAlignment="1" applyProtection="1">
      <alignment horizontal="right"/>
      <protection hidden="1"/>
    </xf>
    <xf numFmtId="0" fontId="14" fillId="2" borderId="9" xfId="3" applyFont="1" applyFill="1" applyBorder="1" applyAlignment="1" applyProtection="1">
      <alignment horizontal="left"/>
      <protection hidden="1"/>
    </xf>
    <xf numFmtId="170" fontId="11" fillId="2" borderId="0" xfId="3" applyNumberFormat="1" applyFont="1" applyFill="1" applyAlignment="1" applyProtection="1">
      <alignment horizontal="right"/>
      <protection hidden="1"/>
    </xf>
    <xf numFmtId="3" fontId="11" fillId="2" borderId="5" xfId="3" applyNumberFormat="1" applyFont="1" applyFill="1" applyBorder="1" applyAlignment="1" applyProtection="1">
      <alignment horizontal="right"/>
      <protection hidden="1"/>
    </xf>
    <xf numFmtId="0" fontId="26" fillId="2" borderId="9" xfId="3" applyFont="1" applyFill="1" applyBorder="1" applyProtection="1">
      <protection hidden="1"/>
    </xf>
    <xf numFmtId="0" fontId="29" fillId="2" borderId="9" xfId="5" applyNumberFormat="1" applyFont="1" applyFill="1" applyBorder="1" applyAlignment="1" applyProtection="1">
      <alignment horizontal="left"/>
      <protection hidden="1"/>
    </xf>
    <xf numFmtId="0" fontId="29" fillId="2" borderId="0" xfId="5" applyNumberFormat="1" applyFont="1" applyFill="1" applyBorder="1" applyAlignment="1" applyProtection="1">
      <alignment horizontal="left"/>
      <protection hidden="1"/>
    </xf>
    <xf numFmtId="0" fontId="6" fillId="2" borderId="0" xfId="3" applyFont="1" applyFill="1" applyAlignment="1" applyProtection="1">
      <alignment vertical="top" wrapText="1"/>
      <protection hidden="1"/>
    </xf>
    <xf numFmtId="0" fontId="6" fillId="2" borderId="5" xfId="3" applyFont="1" applyFill="1" applyBorder="1" applyAlignment="1" applyProtection="1">
      <alignment vertical="top" wrapText="1"/>
      <protection hidden="1"/>
    </xf>
    <xf numFmtId="0" fontId="6" fillId="2" borderId="9" xfId="3" applyFont="1" applyFill="1" applyBorder="1" applyAlignment="1" applyProtection="1">
      <alignment vertical="top" wrapText="1"/>
      <protection hidden="1"/>
    </xf>
    <xf numFmtId="0" fontId="6" fillId="2" borderId="20" xfId="3" applyFont="1" applyFill="1" applyBorder="1" applyProtection="1">
      <protection hidden="1"/>
    </xf>
    <xf numFmtId="0" fontId="30" fillId="2" borderId="0" xfId="3" applyFont="1" applyFill="1" applyProtection="1">
      <protection hidden="1"/>
    </xf>
    <xf numFmtId="0" fontId="18" fillId="2" borderId="0" xfId="4" applyFont="1" applyFill="1" applyAlignment="1" applyProtection="1">
      <alignment horizontal="center"/>
      <protection hidden="1"/>
    </xf>
    <xf numFmtId="0" fontId="4" fillId="2" borderId="9" xfId="3" applyFont="1" applyFill="1" applyBorder="1" applyProtection="1">
      <protection hidden="1"/>
    </xf>
    <xf numFmtId="169" fontId="9" fillId="6" borderId="26" xfId="3" applyNumberFormat="1" applyFont="1" applyFill="1" applyBorder="1" applyAlignment="1" applyProtection="1">
      <alignment horizontal="right"/>
      <protection hidden="1"/>
    </xf>
    <xf numFmtId="165" fontId="11" fillId="2" borderId="4" xfId="3" applyNumberFormat="1" applyFont="1" applyFill="1" applyBorder="1" applyAlignment="1" applyProtection="1">
      <alignment horizontal="right"/>
      <protection hidden="1"/>
    </xf>
    <xf numFmtId="0" fontId="19" fillId="4" borderId="6" xfId="3" applyFont="1" applyFill="1" applyBorder="1" applyAlignment="1" applyProtection="1">
      <alignment vertical="top"/>
      <protection hidden="1"/>
    </xf>
    <xf numFmtId="0" fontId="15" fillId="2" borderId="0" xfId="3" applyFont="1" applyFill="1" applyProtection="1">
      <protection hidden="1"/>
    </xf>
    <xf numFmtId="0" fontId="4" fillId="2" borderId="12" xfId="3" applyFont="1" applyFill="1" applyBorder="1" applyProtection="1">
      <protection hidden="1"/>
    </xf>
    <xf numFmtId="0" fontId="11" fillId="2" borderId="9" xfId="3" applyFont="1" applyFill="1" applyBorder="1" applyAlignment="1" applyProtection="1">
      <alignment horizontal="left" vertical="top"/>
      <protection hidden="1"/>
    </xf>
    <xf numFmtId="0" fontId="11" fillId="2" borderId="10" xfId="3" applyFont="1" applyFill="1" applyBorder="1" applyAlignment="1" applyProtection="1">
      <alignment horizontal="left" vertical="top"/>
      <protection hidden="1"/>
    </xf>
    <xf numFmtId="0" fontId="9" fillId="2" borderId="9" xfId="3" applyFont="1" applyFill="1" applyBorder="1" applyAlignment="1" applyProtection="1">
      <alignment horizontal="left"/>
      <protection hidden="1"/>
    </xf>
    <xf numFmtId="169" fontId="9" fillId="2" borderId="0" xfId="3" applyNumberFormat="1" applyFont="1" applyFill="1" applyAlignment="1" applyProtection="1">
      <alignment horizontal="right"/>
      <protection hidden="1"/>
    </xf>
    <xf numFmtId="165" fontId="6" fillId="2" borderId="0" xfId="3" applyNumberFormat="1" applyFont="1" applyFill="1" applyAlignment="1" applyProtection="1">
      <alignment horizontal="right"/>
      <protection hidden="1"/>
    </xf>
    <xf numFmtId="165" fontId="9" fillId="2" borderId="5" xfId="3" applyNumberFormat="1" applyFont="1" applyFill="1" applyBorder="1" applyAlignment="1" applyProtection="1">
      <alignment horizontal="right"/>
      <protection hidden="1"/>
    </xf>
    <xf numFmtId="0" fontId="12" fillId="2" borderId="0" xfId="3" applyFont="1" applyFill="1" applyProtection="1">
      <protection hidden="1"/>
    </xf>
    <xf numFmtId="169" fontId="11" fillId="2" borderId="13" xfId="3" applyNumberFormat="1" applyFont="1" applyFill="1" applyBorder="1" applyAlignment="1" applyProtection="1">
      <alignment horizontal="right"/>
      <protection hidden="1"/>
    </xf>
    <xf numFmtId="165" fontId="11" fillId="2" borderId="13" xfId="3" applyNumberFormat="1" applyFont="1" applyFill="1" applyBorder="1" applyAlignment="1" applyProtection="1">
      <alignment horizontal="right"/>
      <protection hidden="1"/>
    </xf>
    <xf numFmtId="165" fontId="11" fillId="2" borderId="14" xfId="3" applyNumberFormat="1" applyFont="1" applyFill="1" applyBorder="1" applyAlignment="1" applyProtection="1">
      <alignment horizontal="right"/>
      <protection hidden="1"/>
    </xf>
    <xf numFmtId="0" fontId="26" fillId="2" borderId="6" xfId="3" applyFont="1" applyFill="1" applyBorder="1" applyProtection="1">
      <protection hidden="1"/>
    </xf>
    <xf numFmtId="0" fontId="26" fillId="2" borderId="9" xfId="3" applyFont="1" applyFill="1" applyBorder="1" applyAlignment="1" applyProtection="1">
      <alignment vertical="center"/>
      <protection hidden="1"/>
    </xf>
    <xf numFmtId="0" fontId="26" fillId="2" borderId="0" xfId="3" applyFont="1" applyFill="1" applyAlignment="1" applyProtection="1">
      <alignment vertical="center" wrapText="1"/>
      <protection hidden="1"/>
    </xf>
    <xf numFmtId="0" fontId="26" fillId="2" borderId="5" xfId="3" applyFont="1" applyFill="1" applyBorder="1" applyAlignment="1" applyProtection="1">
      <alignment vertical="center" wrapText="1"/>
      <protection hidden="1"/>
    </xf>
    <xf numFmtId="0" fontId="26" fillId="2" borderId="4" xfId="3" applyFont="1" applyFill="1" applyBorder="1" applyProtection="1">
      <protection hidden="1"/>
    </xf>
    <xf numFmtId="0" fontId="4" fillId="2" borderId="12" xfId="7" applyFont="1" applyFill="1" applyBorder="1" applyAlignment="1" applyProtection="1">
      <alignment horizontal="left"/>
      <protection hidden="1"/>
    </xf>
    <xf numFmtId="0" fontId="11" fillId="2" borderId="9" xfId="7" applyFont="1" applyFill="1" applyBorder="1" applyAlignment="1" applyProtection="1">
      <alignment horizontal="left" vertical="top" wrapText="1"/>
      <protection hidden="1"/>
    </xf>
    <xf numFmtId="0" fontId="6" fillId="0" borderId="10" xfId="3" applyFont="1" applyBorder="1" applyAlignment="1" applyProtection="1">
      <alignment horizontal="left" vertical="top" wrapText="1"/>
      <protection hidden="1"/>
    </xf>
    <xf numFmtId="0" fontId="10" fillId="2" borderId="9" xfId="7" applyFont="1" applyFill="1" applyBorder="1" applyAlignment="1" applyProtection="1">
      <alignment horizontal="left"/>
      <protection hidden="1"/>
    </xf>
    <xf numFmtId="169" fontId="10" fillId="2" borderId="0" xfId="7" applyNumberFormat="1" applyFont="1" applyFill="1" applyAlignment="1" applyProtection="1">
      <alignment horizontal="right"/>
      <protection hidden="1"/>
    </xf>
    <xf numFmtId="165" fontId="9" fillId="2" borderId="20" xfId="3" applyNumberFormat="1" applyFont="1" applyFill="1" applyBorder="1" applyAlignment="1" applyProtection="1">
      <alignment horizontal="right"/>
      <protection hidden="1"/>
    </xf>
    <xf numFmtId="169" fontId="14" fillId="2" borderId="13" xfId="7" applyNumberFormat="1" applyFont="1" applyFill="1" applyBorder="1" applyAlignment="1" applyProtection="1">
      <alignment horizontal="right"/>
      <protection hidden="1"/>
    </xf>
    <xf numFmtId="165" fontId="32" fillId="2" borderId="13" xfId="3" applyNumberFormat="1" applyFont="1" applyFill="1" applyBorder="1" applyAlignment="1" applyProtection="1">
      <alignment horizontal="right"/>
      <protection hidden="1"/>
    </xf>
    <xf numFmtId="0" fontId="11" fillId="2" borderId="9" xfId="7" applyFont="1" applyFill="1" applyBorder="1" applyAlignment="1" applyProtection="1">
      <alignment horizontal="left"/>
      <protection hidden="1"/>
    </xf>
    <xf numFmtId="170" fontId="14" fillId="2" borderId="0" xfId="7" applyNumberFormat="1" applyFont="1" applyFill="1" applyAlignment="1" applyProtection="1">
      <alignment horizontal="right"/>
      <protection hidden="1"/>
    </xf>
    <xf numFmtId="3" fontId="14" fillId="2" borderId="5" xfId="7" applyNumberFormat="1" applyFont="1" applyFill="1" applyBorder="1" applyAlignment="1" applyProtection="1">
      <alignment horizontal="right"/>
      <protection hidden="1"/>
    </xf>
    <xf numFmtId="0" fontId="26" fillId="2" borderId="9" xfId="3" quotePrefix="1" applyFont="1" applyFill="1" applyBorder="1" applyAlignment="1" applyProtection="1">
      <alignment vertical="center"/>
      <protection hidden="1"/>
    </xf>
    <xf numFmtId="0" fontId="26" fillId="2" borderId="0" xfId="3" applyFont="1" applyFill="1" applyAlignment="1" applyProtection="1">
      <alignment vertical="center"/>
      <protection hidden="1"/>
    </xf>
    <xf numFmtId="0" fontId="26" fillId="2" borderId="5" xfId="3" applyFont="1" applyFill="1" applyBorder="1" applyAlignment="1" applyProtection="1">
      <alignment vertical="center"/>
      <protection hidden="1"/>
    </xf>
    <xf numFmtId="0" fontId="26" fillId="2" borderId="0" xfId="3" applyFont="1" applyFill="1" applyProtection="1">
      <protection hidden="1"/>
    </xf>
    <xf numFmtId="0" fontId="4" fillId="2" borderId="0" xfId="4" applyFont="1" applyFill="1" applyAlignment="1" applyProtection="1">
      <alignment horizontal="center"/>
      <protection hidden="1"/>
    </xf>
    <xf numFmtId="0" fontId="33" fillId="4" borderId="10" xfId="3" applyFont="1" applyFill="1" applyBorder="1" applyAlignment="1" applyProtection="1">
      <alignment wrapText="1"/>
      <protection hidden="1"/>
    </xf>
    <xf numFmtId="0" fontId="33" fillId="4" borderId="4" xfId="3" applyFont="1" applyFill="1" applyBorder="1" applyAlignment="1" applyProtection="1">
      <alignment wrapText="1"/>
      <protection hidden="1"/>
    </xf>
    <xf numFmtId="0" fontId="33" fillId="4" borderId="20" xfId="3" applyFont="1" applyFill="1" applyBorder="1" applyAlignment="1" applyProtection="1">
      <alignment wrapText="1"/>
      <protection hidden="1"/>
    </xf>
    <xf numFmtId="0" fontId="4" fillId="2" borderId="10" xfId="3" applyFont="1" applyFill="1" applyBorder="1" applyProtection="1">
      <protection hidden="1"/>
    </xf>
    <xf numFmtId="2" fontId="14" fillId="2" borderId="7" xfId="3" applyNumberFormat="1" applyFont="1" applyFill="1" applyBorder="1" applyAlignment="1" applyProtection="1">
      <alignment horizontal="right"/>
      <protection hidden="1"/>
    </xf>
    <xf numFmtId="2" fontId="14" fillId="2" borderId="7" xfId="3" applyNumberFormat="1" applyFont="1" applyFill="1" applyBorder="1" applyAlignment="1" applyProtection="1">
      <alignment horizontal="right" wrapText="1"/>
      <protection hidden="1"/>
    </xf>
    <xf numFmtId="170" fontId="32" fillId="2" borderId="4" xfId="3" applyNumberFormat="1" applyFont="1" applyFill="1" applyBorder="1" applyAlignment="1" applyProtection="1">
      <alignment horizontal="right"/>
      <protection hidden="1"/>
    </xf>
    <xf numFmtId="0" fontId="34" fillId="2" borderId="9" xfId="5" applyNumberFormat="1" applyFont="1" applyFill="1" applyBorder="1" applyAlignment="1" applyProtection="1">
      <alignment horizontal="left"/>
      <protection hidden="1"/>
    </xf>
    <xf numFmtId="0" fontId="29" fillId="2" borderId="9" xfId="3" applyFont="1" applyFill="1" applyBorder="1" applyAlignment="1" applyProtection="1">
      <alignment vertical="top"/>
      <protection hidden="1"/>
    </xf>
    <xf numFmtId="0" fontId="29" fillId="2" borderId="0" xfId="3" applyFont="1" applyFill="1" applyAlignment="1" applyProtection="1">
      <alignment vertical="top"/>
      <protection hidden="1"/>
    </xf>
    <xf numFmtId="0" fontId="29" fillId="2" borderId="5" xfId="3" applyFont="1" applyFill="1" applyBorder="1" applyAlignment="1" applyProtection="1">
      <alignment vertical="top"/>
      <protection hidden="1"/>
    </xf>
    <xf numFmtId="2" fontId="14" fillId="2" borderId="0" xfId="3" applyNumberFormat="1" applyFont="1" applyFill="1" applyAlignment="1" applyProtection="1">
      <alignment horizontal="right"/>
      <protection hidden="1"/>
    </xf>
    <xf numFmtId="2" fontId="14" fillId="2" borderId="0" xfId="3" applyNumberFormat="1" applyFont="1" applyFill="1" applyAlignment="1" applyProtection="1">
      <alignment horizontal="right" wrapText="1"/>
      <protection hidden="1"/>
    </xf>
    <xf numFmtId="0" fontId="35" fillId="4" borderId="7" xfId="3" applyFont="1" applyFill="1" applyBorder="1" applyAlignment="1" applyProtection="1">
      <alignment vertical="top"/>
      <protection hidden="1"/>
    </xf>
    <xf numFmtId="0" fontId="11" fillId="2" borderId="6" xfId="3" applyFont="1" applyFill="1" applyBorder="1" applyAlignment="1" applyProtection="1">
      <alignment horizontal="left"/>
      <protection hidden="1"/>
    </xf>
    <xf numFmtId="0" fontId="6" fillId="2" borderId="10" xfId="3" applyFont="1" applyFill="1" applyBorder="1" applyAlignment="1" applyProtection="1">
      <alignment horizontal="left"/>
      <protection hidden="1"/>
    </xf>
    <xf numFmtId="169" fontId="32" fillId="2" borderId="13" xfId="3" applyNumberFormat="1" applyFont="1" applyFill="1" applyBorder="1" applyAlignment="1" applyProtection="1">
      <alignment horizontal="right"/>
      <protection hidden="1"/>
    </xf>
    <xf numFmtId="165" fontId="6" fillId="2" borderId="13" xfId="3" applyNumberFormat="1" applyFont="1" applyFill="1" applyBorder="1" applyAlignment="1" applyProtection="1">
      <alignment horizontal="right"/>
      <protection hidden="1"/>
    </xf>
    <xf numFmtId="0" fontId="6" fillId="4" borderId="10" xfId="3" applyFont="1" applyFill="1" applyBorder="1" applyAlignment="1" applyProtection="1">
      <alignment wrapText="1"/>
      <protection hidden="1"/>
    </xf>
    <xf numFmtId="0" fontId="6" fillId="4" borderId="0" xfId="3" applyFont="1" applyFill="1" applyAlignment="1" applyProtection="1">
      <alignment wrapText="1"/>
      <protection hidden="1"/>
    </xf>
    <xf numFmtId="0" fontId="6" fillId="4" borderId="4" xfId="3" applyFont="1" applyFill="1" applyBorder="1" applyAlignment="1" applyProtection="1">
      <alignment wrapText="1"/>
      <protection hidden="1"/>
    </xf>
    <xf numFmtId="0" fontId="6" fillId="4" borderId="5" xfId="3" applyFont="1" applyFill="1" applyBorder="1" applyAlignment="1" applyProtection="1">
      <alignment wrapText="1"/>
      <protection hidden="1"/>
    </xf>
    <xf numFmtId="0" fontId="4" fillId="2" borderId="12" xfId="7" applyFont="1" applyFill="1" applyBorder="1" applyAlignment="1" applyProtection="1">
      <alignment vertical="top"/>
      <protection hidden="1"/>
    </xf>
    <xf numFmtId="0" fontId="11" fillId="2" borderId="9" xfId="3" applyFont="1" applyFill="1" applyBorder="1" applyAlignment="1" applyProtection="1">
      <alignment horizontal="left"/>
      <protection hidden="1"/>
    </xf>
    <xf numFmtId="0" fontId="11" fillId="2" borderId="10" xfId="7" applyFont="1" applyFill="1" applyBorder="1" applyAlignment="1" applyProtection="1">
      <alignment horizontal="left"/>
      <protection hidden="1"/>
    </xf>
    <xf numFmtId="166" fontId="9" fillId="2" borderId="0" xfId="5" applyNumberFormat="1" applyFont="1" applyFill="1" applyBorder="1" applyAlignment="1" applyProtection="1">
      <alignment horizontal="right"/>
      <protection hidden="1"/>
    </xf>
    <xf numFmtId="166" fontId="32" fillId="2" borderId="13" xfId="5" applyNumberFormat="1" applyFont="1" applyFill="1" applyBorder="1" applyAlignment="1" applyProtection="1">
      <alignment horizontal="right"/>
      <protection hidden="1"/>
    </xf>
    <xf numFmtId="0" fontId="6" fillId="2" borderId="5" xfId="3" applyFont="1" applyFill="1" applyBorder="1" applyAlignment="1" applyProtection="1">
      <alignment vertical="top"/>
      <protection hidden="1"/>
    </xf>
    <xf numFmtId="0" fontId="6" fillId="2" borderId="9" xfId="3" applyFont="1" applyFill="1" applyBorder="1" applyAlignment="1" applyProtection="1">
      <alignment vertical="top"/>
      <protection hidden="1"/>
    </xf>
    <xf numFmtId="0" fontId="26" fillId="2" borderId="10" xfId="3" applyFont="1" applyFill="1" applyBorder="1" applyAlignment="1" applyProtection="1">
      <alignment vertical="top"/>
      <protection hidden="1"/>
    </xf>
    <xf numFmtId="0" fontId="6" fillId="2" borderId="20" xfId="3" applyFont="1" applyFill="1" applyBorder="1" applyAlignment="1" applyProtection="1">
      <alignment vertical="top"/>
      <protection hidden="1"/>
    </xf>
    <xf numFmtId="0" fontId="2" fillId="7" borderId="29" xfId="3" applyFill="1" applyBorder="1"/>
    <xf numFmtId="0" fontId="2" fillId="8" borderId="29" xfId="3" applyFill="1" applyBorder="1"/>
    <xf numFmtId="2" fontId="0" fillId="0" borderId="0" xfId="0" applyNumberFormat="1"/>
    <xf numFmtId="0" fontId="11" fillId="3" borderId="0" xfId="0" applyFont="1" applyFill="1"/>
    <xf numFmtId="0" fontId="11" fillId="16" borderId="0" xfId="0" applyFont="1" applyFill="1"/>
    <xf numFmtId="0" fontId="11" fillId="17" borderId="0" xfId="0" applyFont="1" applyFill="1"/>
    <xf numFmtId="0" fontId="11" fillId="18" borderId="0" xfId="0" applyFont="1" applyFill="1"/>
    <xf numFmtId="0" fontId="3" fillId="0" borderId="0" xfId="2"/>
    <xf numFmtId="0" fontId="0" fillId="3" borderId="0" xfId="0" applyFill="1"/>
    <xf numFmtId="0" fontId="0" fillId="17" borderId="0" xfId="0" applyFill="1"/>
    <xf numFmtId="0" fontId="0" fillId="18" borderId="0" xfId="0" applyFill="1"/>
    <xf numFmtId="0" fontId="0" fillId="2" borderId="0" xfId="0" applyFill="1"/>
    <xf numFmtId="0" fontId="0" fillId="16" borderId="0" xfId="0" applyFill="1"/>
    <xf numFmtId="0" fontId="6" fillId="2" borderId="0" xfId="3" applyFont="1" applyFill="1" applyBorder="1" applyAlignment="1" applyProtection="1">
      <alignment vertical="top"/>
      <protection hidden="1"/>
    </xf>
    <xf numFmtId="0" fontId="39" fillId="2" borderId="0" xfId="0" applyFont="1" applyFill="1"/>
    <xf numFmtId="0" fontId="11" fillId="2" borderId="0" xfId="0" applyFont="1" applyFill="1" applyAlignment="1">
      <alignment horizontal="center"/>
    </xf>
    <xf numFmtId="0" fontId="16" fillId="2" borderId="0" xfId="0" applyFont="1" applyFill="1"/>
    <xf numFmtId="0" fontId="40" fillId="2" borderId="0" xfId="2" applyFont="1" applyFill="1" applyBorder="1" applyAlignment="1">
      <alignment horizontal="center" vertical="center" readingOrder="1"/>
    </xf>
    <xf numFmtId="0" fontId="41" fillId="2" borderId="0" xfId="0" applyFont="1" applyFill="1" applyAlignment="1">
      <alignment horizontal="center" vertical="center" readingOrder="1"/>
    </xf>
    <xf numFmtId="0" fontId="42" fillId="2" borderId="0" xfId="2" applyFont="1" applyFill="1" applyBorder="1" applyAlignment="1">
      <alignment horizontal="center" vertical="center" readingOrder="1"/>
    </xf>
    <xf numFmtId="0" fontId="43" fillId="2" borderId="0" xfId="2" applyFont="1" applyFill="1" applyBorder="1" applyAlignment="1">
      <alignment horizontal="center" vertical="center" readingOrder="1"/>
    </xf>
    <xf numFmtId="0" fontId="44" fillId="2" borderId="0" xfId="0" applyFont="1" applyFill="1" applyAlignment="1">
      <alignment horizontal="center"/>
    </xf>
    <xf numFmtId="0" fontId="45" fillId="2" borderId="0" xfId="0" applyFont="1" applyFill="1" applyAlignment="1">
      <alignment horizontal="center"/>
    </xf>
    <xf numFmtId="0" fontId="46" fillId="2" borderId="0" xfId="0" applyFont="1" applyFill="1" applyAlignment="1">
      <alignment horizontal="center"/>
    </xf>
    <xf numFmtId="0" fontId="0" fillId="2" borderId="0" xfId="0" applyFill="1" applyAlignment="1">
      <alignment horizontal="center"/>
    </xf>
    <xf numFmtId="0" fontId="47" fillId="2" borderId="0" xfId="0" applyFont="1" applyFill="1" applyAlignment="1">
      <alignment horizontal="left" vertical="center" readingOrder="1"/>
    </xf>
    <xf numFmtId="0" fontId="47" fillId="2" borderId="0" xfId="0" applyFont="1" applyFill="1" applyAlignment="1">
      <alignment horizontal="center"/>
    </xf>
    <xf numFmtId="0" fontId="16" fillId="2" borderId="0" xfId="0" applyFont="1" applyFill="1" applyAlignment="1">
      <alignment horizontal="center"/>
    </xf>
    <xf numFmtId="0" fontId="48" fillId="2" borderId="0" xfId="0" applyFont="1" applyFill="1"/>
    <xf numFmtId="0" fontId="49" fillId="2" borderId="0" xfId="0" applyFont="1" applyFill="1"/>
    <xf numFmtId="0" fontId="0" fillId="2" borderId="0" xfId="0" applyFill="1" applyAlignment="1">
      <alignment wrapText="1"/>
    </xf>
    <xf numFmtId="0" fontId="49" fillId="2" borderId="0" xfId="0" applyFont="1" applyFill="1" applyAlignment="1">
      <alignment vertical="center"/>
    </xf>
    <xf numFmtId="0" fontId="50" fillId="2" borderId="0" xfId="0" applyFont="1" applyFill="1" applyAlignment="1">
      <alignment horizontal="left" vertical="center"/>
    </xf>
    <xf numFmtId="0" fontId="49" fillId="2" borderId="0" xfId="0" applyFont="1" applyFill="1" applyAlignment="1">
      <alignment horizontal="left" vertical="center"/>
    </xf>
    <xf numFmtId="0" fontId="50" fillId="2" borderId="0" xfId="0" applyFont="1" applyFill="1" applyAlignment="1">
      <alignment vertical="center"/>
    </xf>
    <xf numFmtId="0" fontId="50" fillId="2" borderId="0" xfId="0" applyFont="1" applyFill="1"/>
    <xf numFmtId="0" fontId="11" fillId="2" borderId="0" xfId="4" applyFont="1" applyFill="1" applyAlignment="1" applyProtection="1">
      <alignment horizontal="right" vertical="top" wrapText="1"/>
      <protection hidden="1"/>
    </xf>
    <xf numFmtId="0" fontId="14" fillId="2" borderId="0" xfId="4" applyFont="1" applyFill="1" applyAlignment="1" applyProtection="1">
      <alignment horizontal="right" vertical="top" wrapText="1"/>
      <protection hidden="1"/>
    </xf>
    <xf numFmtId="0" fontId="49" fillId="2" borderId="0" xfId="0" applyFont="1" applyFill="1" applyAlignment="1">
      <alignment horizontal="center" vertical="center"/>
    </xf>
    <xf numFmtId="0" fontId="54" fillId="2" borderId="0" xfId="2" quotePrefix="1" applyFont="1" applyFill="1" applyAlignment="1">
      <alignment horizontal="left" vertical="center"/>
    </xf>
    <xf numFmtId="0" fontId="0" fillId="2" borderId="0" xfId="0" applyFill="1" applyProtection="1">
      <protection hidden="1"/>
    </xf>
    <xf numFmtId="3" fontId="0" fillId="2" borderId="0" xfId="0" applyNumberFormat="1" applyFill="1" applyAlignment="1" applyProtection="1">
      <alignment horizontal="right"/>
      <protection hidden="1"/>
    </xf>
    <xf numFmtId="0" fontId="49" fillId="2" borderId="0" xfId="0" applyFont="1" applyFill="1" applyAlignment="1">
      <alignment wrapText="1"/>
    </xf>
    <xf numFmtId="0" fontId="0" fillId="2" borderId="0" xfId="0" applyFill="1" applyAlignment="1" applyProtection="1">
      <alignment horizontal="left"/>
      <protection hidden="1"/>
    </xf>
    <xf numFmtId="0" fontId="54" fillId="2" borderId="0" xfId="2" applyFont="1" applyFill="1" applyAlignment="1">
      <alignment horizontal="left" vertical="center"/>
    </xf>
    <xf numFmtId="0" fontId="55" fillId="2" borderId="0" xfId="0" applyFont="1" applyFill="1" applyAlignment="1">
      <alignment horizontal="left" vertical="center"/>
    </xf>
    <xf numFmtId="3" fontId="0" fillId="2" borderId="0" xfId="0" applyNumberFormat="1" applyFill="1" applyAlignment="1" applyProtection="1">
      <alignment horizontal="right" vertical="top"/>
      <protection hidden="1"/>
    </xf>
    <xf numFmtId="0" fontId="4" fillId="2" borderId="0" xfId="0" applyFont="1" applyFill="1"/>
    <xf numFmtId="0" fontId="11" fillId="2" borderId="0" xfId="0" applyFont="1" applyFill="1" applyAlignment="1" applyProtection="1">
      <alignment horizontal="left"/>
      <protection hidden="1"/>
    </xf>
    <xf numFmtId="3" fontId="11" fillId="2" borderId="0" xfId="0" applyNumberFormat="1" applyFont="1" applyFill="1" applyAlignment="1" applyProtection="1">
      <alignment horizontal="right"/>
      <protection hidden="1"/>
    </xf>
    <xf numFmtId="0" fontId="56" fillId="2" borderId="0" xfId="0" applyFont="1" applyFill="1"/>
    <xf numFmtId="0" fontId="56" fillId="2" borderId="0" xfId="0" applyFont="1" applyFill="1" applyAlignment="1">
      <alignment horizontal="left"/>
    </xf>
    <xf numFmtId="0" fontId="54" fillId="2" borderId="0" xfId="2" applyFont="1" applyFill="1"/>
    <xf numFmtId="0" fontId="58" fillId="2" borderId="0" xfId="0" applyFont="1" applyFill="1" applyAlignment="1">
      <alignment horizontal="right"/>
    </xf>
    <xf numFmtId="0" fontId="59" fillId="2" borderId="0" xfId="0" applyFont="1" applyFill="1"/>
    <xf numFmtId="0" fontId="52" fillId="2" borderId="0" xfId="0" applyFont="1" applyFill="1"/>
    <xf numFmtId="0" fontId="9" fillId="2" borderId="0" xfId="10" applyFill="1"/>
    <xf numFmtId="0" fontId="57" fillId="2" borderId="0" xfId="0" applyFont="1" applyFill="1"/>
    <xf numFmtId="0" fontId="56" fillId="2" borderId="0" xfId="0" applyFont="1" applyFill="1" applyAlignment="1">
      <alignment vertical="center" wrapText="1"/>
    </xf>
    <xf numFmtId="0" fontId="19" fillId="2" borderId="0" xfId="0" applyFont="1" applyFill="1" applyAlignment="1">
      <alignment vertical="center" wrapText="1"/>
    </xf>
    <xf numFmtId="0" fontId="61" fillId="2" borderId="0" xfId="0" applyFont="1" applyFill="1" applyAlignment="1">
      <alignment horizontal="left" vertical="center" wrapText="1"/>
    </xf>
    <xf numFmtId="0" fontId="3" fillId="2" borderId="0" xfId="2" applyFill="1" applyAlignment="1">
      <alignment vertical="center" wrapText="1"/>
    </xf>
    <xf numFmtId="0" fontId="56" fillId="2" borderId="0" xfId="0" applyFont="1" applyFill="1" applyAlignment="1">
      <alignment wrapText="1"/>
    </xf>
    <xf numFmtId="0" fontId="64" fillId="2" borderId="0" xfId="0" applyFont="1" applyFill="1" applyAlignment="1">
      <alignment horizontal="left" vertical="center"/>
    </xf>
    <xf numFmtId="0" fontId="56" fillId="2" borderId="0" xfId="0" applyFont="1" applyFill="1" applyAlignment="1">
      <alignment vertical="top" wrapText="1"/>
    </xf>
    <xf numFmtId="0" fontId="65" fillId="2" borderId="0" xfId="0" applyFont="1" applyFill="1" applyAlignment="1">
      <alignment horizontal="left"/>
    </xf>
    <xf numFmtId="0" fontId="0" fillId="2" borderId="30" xfId="0" applyFill="1" applyBorder="1"/>
    <xf numFmtId="0" fontId="52" fillId="2" borderId="0" xfId="0" applyFont="1" applyFill="1" applyAlignment="1">
      <alignment horizontal="center"/>
    </xf>
    <xf numFmtId="0" fontId="66" fillId="2" borderId="0" xfId="0" applyFont="1" applyFill="1" applyAlignment="1">
      <alignment horizontal="left"/>
    </xf>
    <xf numFmtId="0" fontId="50" fillId="0" borderId="0" xfId="0" applyFont="1" applyAlignment="1">
      <alignment horizontal="left" wrapText="1"/>
    </xf>
    <xf numFmtId="0" fontId="50" fillId="0" borderId="31" xfId="0" applyFont="1" applyBorder="1" applyAlignment="1">
      <alignment horizontal="left" wrapText="1"/>
    </xf>
    <xf numFmtId="0" fontId="50" fillId="0" borderId="32" xfId="0" applyFont="1" applyBorder="1" applyAlignment="1">
      <alignment horizontal="left" wrapText="1"/>
    </xf>
    <xf numFmtId="0" fontId="50" fillId="0" borderId="33" xfId="0" applyFont="1" applyBorder="1" applyAlignment="1">
      <alignment horizontal="left" wrapText="1"/>
    </xf>
    <xf numFmtId="0" fontId="50" fillId="0" borderId="34" xfId="0" applyFont="1" applyBorder="1" applyAlignment="1">
      <alignment horizontal="left" wrapText="1"/>
    </xf>
    <xf numFmtId="0" fontId="66" fillId="19" borderId="0" xfId="0" applyFont="1" applyFill="1" applyAlignment="1">
      <alignment horizontal="left"/>
    </xf>
    <xf numFmtId="0" fontId="66" fillId="2" borderId="35" xfId="0" applyFont="1" applyFill="1" applyBorder="1" applyAlignment="1">
      <alignment horizontal="left"/>
    </xf>
    <xf numFmtId="0" fontId="67" fillId="20" borderId="13" xfId="0" applyFont="1" applyFill="1" applyBorder="1" applyAlignment="1">
      <alignment wrapText="1"/>
    </xf>
    <xf numFmtId="0" fontId="67" fillId="20" borderId="14" xfId="0" applyFont="1" applyFill="1" applyBorder="1" applyAlignment="1">
      <alignment wrapText="1"/>
    </xf>
    <xf numFmtId="0" fontId="0" fillId="0" borderId="36" xfId="0" applyBorder="1"/>
    <xf numFmtId="0" fontId="0" fillId="0" borderId="33" xfId="0" applyBorder="1"/>
    <xf numFmtId="171" fontId="56" fillId="0" borderId="37" xfId="0" applyNumberFormat="1" applyFont="1" applyBorder="1" applyAlignment="1">
      <alignment horizontal="left" vertical="top"/>
    </xf>
    <xf numFmtId="49" fontId="56" fillId="0" borderId="38" xfId="0" applyNumberFormat="1" applyFont="1" applyBorder="1" applyAlignment="1">
      <alignment horizontal="left" vertical="top"/>
    </xf>
    <xf numFmtId="0" fontId="56" fillId="0" borderId="39" xfId="0" applyFont="1" applyBorder="1" applyAlignment="1">
      <alignment horizontal="left" vertical="top"/>
    </xf>
    <xf numFmtId="171" fontId="56" fillId="0" borderId="40" xfId="0" applyNumberFormat="1" applyFont="1" applyBorder="1" applyAlignment="1">
      <alignment horizontal="left" vertical="top"/>
    </xf>
    <xf numFmtId="172" fontId="56" fillId="0" borderId="38" xfId="0" applyNumberFormat="1" applyFont="1" applyBorder="1" applyAlignment="1">
      <alignment horizontal="left" vertical="top"/>
    </xf>
    <xf numFmtId="0" fontId="56" fillId="0" borderId="39" xfId="0" applyFont="1" applyBorder="1" applyAlignment="1">
      <alignment horizontal="left" vertical="top" wrapText="1"/>
    </xf>
    <xf numFmtId="173" fontId="56" fillId="0" borderId="38" xfId="0" applyNumberFormat="1" applyFont="1" applyBorder="1" applyAlignment="1">
      <alignment horizontal="left" vertical="top"/>
    </xf>
    <xf numFmtId="0" fontId="56" fillId="0" borderId="41" xfId="0" applyFont="1" applyBorder="1"/>
    <xf numFmtId="0" fontId="56" fillId="0" borderId="42" xfId="0" applyFont="1" applyBorder="1"/>
    <xf numFmtId="0" fontId="56" fillId="0" borderId="33" xfId="0" applyFont="1" applyBorder="1"/>
    <xf numFmtId="0" fontId="56" fillId="0" borderId="5" xfId="0" applyFont="1" applyBorder="1"/>
    <xf numFmtId="0" fontId="56" fillId="0" borderId="43" xfId="0" applyFont="1" applyBorder="1"/>
    <xf numFmtId="0" fontId="56" fillId="0" borderId="44" xfId="0" applyFont="1" applyBorder="1"/>
    <xf numFmtId="0" fontId="56" fillId="0" borderId="45" xfId="0" applyFont="1" applyBorder="1"/>
    <xf numFmtId="0" fontId="56" fillId="0" borderId="20" xfId="0" applyFont="1" applyBorder="1"/>
    <xf numFmtId="0" fontId="56" fillId="0" borderId="36" xfId="0" applyFont="1" applyBorder="1"/>
    <xf numFmtId="0" fontId="60" fillId="2" borderId="36" xfId="0" applyFont="1" applyFill="1" applyBorder="1"/>
    <xf numFmtId="0" fontId="56" fillId="2" borderId="36" xfId="0" applyFont="1" applyFill="1" applyBorder="1"/>
    <xf numFmtId="0" fontId="56" fillId="2" borderId="33" xfId="0" applyFont="1" applyFill="1" applyBorder="1"/>
    <xf numFmtId="0" fontId="0" fillId="2" borderId="33" xfId="0" applyFill="1" applyBorder="1"/>
    <xf numFmtId="0" fontId="49" fillId="2" borderId="36" xfId="0" applyFont="1" applyFill="1" applyBorder="1" applyAlignment="1">
      <alignment vertical="center"/>
    </xf>
    <xf numFmtId="0" fontId="68" fillId="2" borderId="0" xfId="0" applyFont="1" applyFill="1"/>
    <xf numFmtId="0" fontId="11" fillId="2" borderId="0" xfId="0" applyFont="1" applyFill="1"/>
    <xf numFmtId="0" fontId="51" fillId="2" borderId="0" xfId="0" applyFont="1" applyFill="1"/>
    <xf numFmtId="0" fontId="56" fillId="21" borderId="0" xfId="0" applyFont="1" applyFill="1" applyAlignment="1">
      <alignment vertical="center" wrapText="1"/>
    </xf>
    <xf numFmtId="0" fontId="0" fillId="0" borderId="0" xfId="0" applyAlignment="1"/>
    <xf numFmtId="0" fontId="2" fillId="7" borderId="29" xfId="3" applyFill="1" applyBorder="1" applyAlignment="1"/>
    <xf numFmtId="0" fontId="2" fillId="9" borderId="29" xfId="3" applyFill="1" applyBorder="1" applyAlignment="1"/>
    <xf numFmtId="2" fontId="0" fillId="0" borderId="0" xfId="0" applyNumberFormat="1" applyAlignment="1"/>
    <xf numFmtId="0" fontId="2" fillId="10" borderId="29" xfId="3" applyFill="1" applyBorder="1" applyAlignment="1"/>
    <xf numFmtId="0" fontId="38" fillId="11" borderId="29" xfId="8" applyFont="1" applyFill="1" applyBorder="1" applyAlignment="1">
      <alignment horizontal="left"/>
    </xf>
    <xf numFmtId="0" fontId="2" fillId="12" borderId="29" xfId="3" applyFill="1" applyBorder="1" applyAlignment="1">
      <alignment horizontal="left"/>
    </xf>
    <xf numFmtId="0" fontId="2" fillId="13" borderId="29" xfId="3" applyFill="1" applyBorder="1" applyAlignment="1"/>
    <xf numFmtId="0" fontId="11" fillId="2" borderId="0" xfId="3" applyFont="1" applyFill="1" applyBorder="1" applyAlignment="1" applyProtection="1">
      <alignment vertical="top"/>
      <protection hidden="1"/>
    </xf>
    <xf numFmtId="0" fontId="13" fillId="0" borderId="0" xfId="2" applyFont="1" applyFill="1" applyAlignment="1"/>
    <xf numFmtId="0" fontId="4" fillId="2" borderId="0" xfId="3" applyFont="1" applyFill="1" applyAlignment="1" applyProtection="1">
      <alignment horizontal="left" vertical="center"/>
      <protection hidden="1"/>
    </xf>
    <xf numFmtId="0" fontId="12" fillId="2" borderId="0" xfId="3" applyFont="1" applyFill="1" applyAlignment="1" applyProtection="1">
      <alignment vertical="center"/>
      <protection hidden="1"/>
    </xf>
    <xf numFmtId="0" fontId="7" fillId="2" borderId="0" xfId="3" applyFont="1" applyFill="1" applyAlignment="1" applyProtection="1">
      <alignment vertical="center"/>
      <protection hidden="1"/>
    </xf>
    <xf numFmtId="0" fontId="6" fillId="2" borderId="0" xfId="3" applyFont="1" applyFill="1" applyAlignment="1" applyProtection="1">
      <alignment vertical="center"/>
      <protection hidden="1"/>
    </xf>
    <xf numFmtId="0" fontId="9" fillId="2" borderId="0" xfId="3" applyFont="1" applyFill="1" applyAlignment="1" applyProtection="1">
      <alignment vertical="center"/>
      <protection hidden="1"/>
    </xf>
    <xf numFmtId="0" fontId="10" fillId="2" borderId="0" xfId="3" applyFont="1" applyFill="1" applyAlignment="1" applyProtection="1">
      <alignment vertical="center"/>
      <protection hidden="1"/>
    </xf>
    <xf numFmtId="0" fontId="11" fillId="2" borderId="0" xfId="3" applyFont="1" applyFill="1" applyAlignment="1" applyProtection="1">
      <alignment horizontal="right"/>
      <protection hidden="1"/>
    </xf>
    <xf numFmtId="0" fontId="10" fillId="2" borderId="0" xfId="3" applyFont="1" applyFill="1" applyBorder="1" applyAlignment="1" applyProtection="1">
      <protection hidden="1"/>
    </xf>
    <xf numFmtId="0" fontId="9" fillId="2" borderId="0" xfId="3" applyFont="1" applyFill="1" applyAlignment="1" applyProtection="1">
      <protection hidden="1"/>
    </xf>
    <xf numFmtId="0" fontId="9" fillId="2" borderId="0" xfId="3" applyFont="1" applyFill="1" applyAlignment="1" applyProtection="1">
      <alignment horizontal="left"/>
      <protection hidden="1"/>
    </xf>
    <xf numFmtId="0" fontId="1" fillId="2" borderId="0" xfId="0" applyFont="1" applyFill="1"/>
    <xf numFmtId="0" fontId="32" fillId="2" borderId="0" xfId="0" applyFont="1" applyFill="1"/>
    <xf numFmtId="0" fontId="9" fillId="2" borderId="0" xfId="0" applyFont="1" applyFill="1"/>
    <xf numFmtId="169" fontId="9" fillId="6" borderId="24" xfId="3" applyNumberFormat="1" applyFont="1" applyFill="1" applyBorder="1" applyAlignment="1" applyProtection="1">
      <alignment horizontal="right"/>
      <protection hidden="1"/>
    </xf>
    <xf numFmtId="0" fontId="0" fillId="0" borderId="0" xfId="0" applyAlignment="1">
      <alignment vertical="top"/>
    </xf>
    <xf numFmtId="166" fontId="9" fillId="2" borderId="4" xfId="3" applyNumberFormat="1" applyFont="1" applyFill="1" applyBorder="1" applyProtection="1">
      <protection hidden="1"/>
    </xf>
    <xf numFmtId="43" fontId="10" fillId="2" borderId="20" xfId="1" applyFont="1" applyFill="1" applyBorder="1" applyAlignment="1" applyProtection="1">
      <alignment horizontal="right" wrapText="1"/>
      <protection hidden="1"/>
    </xf>
    <xf numFmtId="165" fontId="9" fillId="6" borderId="16" xfId="3" applyNumberFormat="1" applyFont="1" applyFill="1" applyBorder="1" applyAlignment="1" applyProtection="1">
      <alignment horizontal="right"/>
      <protection hidden="1"/>
    </xf>
    <xf numFmtId="165" fontId="9" fillId="6" borderId="18" xfId="3" applyNumberFormat="1" applyFont="1" applyFill="1" applyBorder="1" applyAlignment="1" applyProtection="1">
      <alignment horizontal="right"/>
      <protection hidden="1"/>
    </xf>
    <xf numFmtId="167" fontId="11" fillId="0" borderId="20" xfId="3" applyNumberFormat="1" applyFont="1" applyFill="1" applyBorder="1" applyProtection="1">
      <protection hidden="1"/>
    </xf>
    <xf numFmtId="0" fontId="26" fillId="2" borderId="9" xfId="3" quotePrefix="1" applyFont="1" applyFill="1" applyBorder="1" applyProtection="1">
      <protection hidden="1"/>
    </xf>
    <xf numFmtId="165" fontId="9" fillId="0" borderId="5" xfId="5" applyNumberFormat="1" applyFont="1" applyFill="1" applyBorder="1" applyAlignment="1" applyProtection="1">
      <alignment horizontal="right"/>
      <protection hidden="1"/>
    </xf>
    <xf numFmtId="165" fontId="11" fillId="0" borderId="14" xfId="5" applyNumberFormat="1" applyFont="1" applyFill="1" applyBorder="1" applyAlignment="1" applyProtection="1">
      <alignment horizontal="right"/>
      <protection hidden="1"/>
    </xf>
    <xf numFmtId="174" fontId="9" fillId="6" borderId="26" xfId="3" applyNumberFormat="1" applyFont="1" applyFill="1" applyBorder="1" applyAlignment="1" applyProtection="1">
      <alignment horizontal="right"/>
      <protection hidden="1"/>
    </xf>
    <xf numFmtId="174" fontId="11" fillId="6" borderId="22" xfId="3" applyNumberFormat="1" applyFont="1" applyFill="1" applyBorder="1" applyAlignment="1" applyProtection="1">
      <alignment horizontal="right"/>
      <protection hidden="1"/>
    </xf>
    <xf numFmtId="174" fontId="11" fillId="6" borderId="24" xfId="3" applyNumberFormat="1" applyFont="1" applyFill="1" applyBorder="1" applyAlignment="1" applyProtection="1">
      <alignment horizontal="right"/>
      <protection hidden="1"/>
    </xf>
    <xf numFmtId="0" fontId="23" fillId="5" borderId="22" xfId="3" applyFont="1" applyFill="1" applyBorder="1" applyAlignment="1" applyProtection="1">
      <alignment horizontal="right"/>
      <protection hidden="1"/>
    </xf>
    <xf numFmtId="0" fontId="23" fillId="5" borderId="28" xfId="3" applyFont="1" applyFill="1" applyBorder="1" applyAlignment="1" applyProtection="1">
      <alignment horizontal="right"/>
      <protection hidden="1"/>
    </xf>
    <xf numFmtId="0" fontId="16" fillId="2" borderId="0" xfId="3" applyFont="1" applyFill="1" applyAlignment="1" applyProtection="1">
      <alignment vertical="top"/>
      <protection hidden="1"/>
    </xf>
    <xf numFmtId="0" fontId="9" fillId="2" borderId="0" xfId="3" applyFont="1" applyFill="1"/>
    <xf numFmtId="0" fontId="9" fillId="0" borderId="0" xfId="3" applyFont="1"/>
    <xf numFmtId="0" fontId="2" fillId="0" borderId="0" xfId="3"/>
    <xf numFmtId="169" fontId="11" fillId="6" borderId="24" xfId="3" applyNumberFormat="1" applyFont="1" applyFill="1" applyBorder="1" applyAlignment="1" applyProtection="1">
      <alignment horizontal="right"/>
      <protection hidden="1"/>
    </xf>
    <xf numFmtId="0" fontId="2" fillId="0" borderId="46" xfId="3" applyBorder="1" applyAlignment="1">
      <alignment vertical="top" wrapText="1"/>
    </xf>
    <xf numFmtId="0" fontId="38" fillId="11" borderId="11" xfId="9" applyFont="1" applyFill="1" applyBorder="1" applyAlignment="1">
      <alignment horizontal="center" vertical="top" wrapText="1"/>
    </xf>
    <xf numFmtId="0" fontId="2" fillId="14" borderId="11" xfId="3" applyFill="1" applyBorder="1" applyAlignment="1">
      <alignment horizontal="right" vertical="top" wrapText="1"/>
    </xf>
    <xf numFmtId="0" fontId="2" fillId="8" borderId="11" xfId="3" applyFill="1" applyBorder="1" applyAlignment="1">
      <alignment vertical="top" wrapText="1"/>
    </xf>
    <xf numFmtId="0" fontId="2" fillId="9" borderId="11" xfId="3" applyFill="1" applyBorder="1" applyAlignment="1">
      <alignment vertical="top" wrapText="1"/>
    </xf>
    <xf numFmtId="0" fontId="2" fillId="10" borderId="11" xfId="3" applyFill="1" applyBorder="1" applyAlignment="1">
      <alignment vertical="top" wrapText="1"/>
    </xf>
    <xf numFmtId="0" fontId="2" fillId="13" borderId="11" xfId="3" applyFill="1" applyBorder="1" applyAlignment="1">
      <alignment vertical="top" wrapText="1"/>
    </xf>
    <xf numFmtId="0" fontId="38" fillId="11" borderId="11" xfId="8" applyFont="1" applyFill="1" applyBorder="1" applyAlignment="1">
      <alignment horizontal="center" vertical="top" wrapText="1"/>
    </xf>
    <xf numFmtId="0" fontId="2" fillId="12" borderId="11" xfId="3" applyFill="1" applyBorder="1" applyAlignment="1">
      <alignment vertical="top" wrapText="1"/>
    </xf>
    <xf numFmtId="0" fontId="2" fillId="15" borderId="11" xfId="3" applyFill="1" applyBorder="1" applyAlignment="1">
      <alignment vertical="top" wrapText="1"/>
    </xf>
    <xf numFmtId="0" fontId="10" fillId="2" borderId="0" xfId="3" applyFont="1" applyFill="1"/>
    <xf numFmtId="2" fontId="10" fillId="2" borderId="0" xfId="3" applyNumberFormat="1" applyFont="1" applyFill="1"/>
    <xf numFmtId="2" fontId="10" fillId="2" borderId="0" xfId="11" applyNumberFormat="1" applyFill="1" applyAlignment="1">
      <alignment horizontal="right" vertical="center"/>
    </xf>
    <xf numFmtId="0" fontId="71" fillId="2" borderId="0" xfId="3" applyFont="1" applyFill="1"/>
    <xf numFmtId="0" fontId="14" fillId="2" borderId="0" xfId="4" applyFont="1" applyFill="1" applyAlignment="1" applyProtection="1">
      <alignment vertical="top" wrapText="1"/>
      <protection hidden="1"/>
    </xf>
    <xf numFmtId="0" fontId="0" fillId="2" borderId="0" xfId="0" applyFill="1" applyAlignment="1" applyProtection="1">
      <alignment wrapText="1"/>
      <protection hidden="1"/>
    </xf>
    <xf numFmtId="0" fontId="54" fillId="2" borderId="0" xfId="2" applyFont="1" applyFill="1" applyAlignment="1">
      <alignment horizontal="left"/>
    </xf>
    <xf numFmtId="0" fontId="35" fillId="2" borderId="0" xfId="0" applyFont="1" applyFill="1" applyAlignment="1">
      <alignment horizontal="left" wrapText="1"/>
    </xf>
    <xf numFmtId="0" fontId="49" fillId="2" borderId="0" xfId="0" applyFont="1" applyFill="1" applyAlignment="1">
      <alignment horizontal="left" vertical="top" wrapText="1"/>
    </xf>
    <xf numFmtId="0" fontId="0" fillId="2" borderId="0" xfId="0" applyFill="1" applyAlignment="1">
      <alignment wrapText="1"/>
    </xf>
    <xf numFmtId="0" fontId="52" fillId="2" borderId="0" xfId="0" applyFont="1" applyFill="1" applyAlignment="1">
      <alignment horizontal="left"/>
    </xf>
    <xf numFmtId="0" fontId="54" fillId="2" borderId="0" xfId="2" applyFont="1" applyFill="1" applyAlignment="1">
      <alignment horizontal="left" vertical="center"/>
    </xf>
    <xf numFmtId="0" fontId="52" fillId="2" borderId="0" xfId="0" applyFont="1" applyFill="1" applyAlignment="1">
      <alignment horizontal="center"/>
    </xf>
    <xf numFmtId="0" fontId="5" fillId="2" borderId="0" xfId="3" applyFont="1" applyFill="1" applyAlignment="1" applyProtection="1">
      <alignment horizontal="center" vertical="top"/>
      <protection hidden="1"/>
    </xf>
    <xf numFmtId="0" fontId="19" fillId="2" borderId="5" xfId="3" applyFont="1" applyFill="1" applyBorder="1" applyAlignment="1" applyProtection="1">
      <alignment horizontal="left" vertical="top" wrapText="1"/>
      <protection hidden="1"/>
    </xf>
    <xf numFmtId="0" fontId="19" fillId="4" borderId="6" xfId="3" applyFont="1" applyFill="1" applyBorder="1" applyAlignment="1" applyProtection="1">
      <alignment vertical="top" wrapText="1"/>
      <protection hidden="1"/>
    </xf>
    <xf numFmtId="0" fontId="20" fillId="4" borderId="7" xfId="3" applyFont="1" applyFill="1" applyBorder="1" applyAlignment="1" applyProtection="1">
      <alignment vertical="top" wrapText="1"/>
      <protection hidden="1"/>
    </xf>
    <xf numFmtId="0" fontId="20" fillId="4" borderId="8" xfId="3" applyFont="1" applyFill="1" applyBorder="1" applyAlignment="1" applyProtection="1">
      <alignment vertical="top" wrapText="1"/>
      <protection hidden="1"/>
    </xf>
    <xf numFmtId="0" fontId="19" fillId="4" borderId="9" xfId="3" applyFont="1" applyFill="1" applyBorder="1" applyAlignment="1" applyProtection="1">
      <alignment vertical="top" wrapText="1"/>
      <protection hidden="1"/>
    </xf>
    <xf numFmtId="0" fontId="20" fillId="4" borderId="0" xfId="3" applyFont="1" applyFill="1" applyAlignment="1" applyProtection="1">
      <alignment vertical="top" wrapText="1"/>
      <protection hidden="1"/>
    </xf>
    <xf numFmtId="0" fontId="20" fillId="4" borderId="5" xfId="3" applyFont="1" applyFill="1" applyBorder="1" applyAlignment="1" applyProtection="1">
      <alignment vertical="top" wrapText="1"/>
      <protection hidden="1"/>
    </xf>
    <xf numFmtId="0" fontId="20" fillId="4" borderId="9" xfId="3" applyFont="1" applyFill="1" applyBorder="1" applyAlignment="1" applyProtection="1">
      <alignment vertical="top" wrapText="1"/>
      <protection hidden="1"/>
    </xf>
    <xf numFmtId="0" fontId="69" fillId="3" borderId="1" xfId="3" applyFont="1" applyFill="1" applyBorder="1" applyAlignment="1" applyProtection="1">
      <alignment horizontal="left"/>
      <protection locked="0"/>
    </xf>
    <xf numFmtId="0" fontId="69" fillId="3" borderId="2" xfId="3" applyFont="1" applyFill="1" applyBorder="1" applyAlignment="1" applyProtection="1">
      <alignment horizontal="left"/>
      <protection locked="0"/>
    </xf>
    <xf numFmtId="0" fontId="69" fillId="3" borderId="3" xfId="3" applyFont="1" applyFill="1" applyBorder="1" applyAlignment="1" applyProtection="1">
      <alignment horizontal="left"/>
      <protection locked="0"/>
    </xf>
    <xf numFmtId="0" fontId="19" fillId="2" borderId="0" xfId="3" applyFont="1" applyFill="1" applyAlignment="1" applyProtection="1">
      <alignment horizontal="left" vertical="top" wrapText="1"/>
      <protection hidden="1"/>
    </xf>
    <xf numFmtId="0" fontId="20" fillId="0" borderId="0" xfId="3" applyFont="1" applyAlignment="1" applyProtection="1">
      <alignment horizontal="left" vertical="top" wrapText="1"/>
      <protection hidden="1"/>
    </xf>
    <xf numFmtId="0" fontId="20" fillId="4" borderId="10" xfId="3" applyFont="1" applyFill="1" applyBorder="1" applyAlignment="1" applyProtection="1">
      <alignment vertical="top" wrapText="1"/>
      <protection hidden="1"/>
    </xf>
    <xf numFmtId="0" fontId="20" fillId="4" borderId="4" xfId="3" applyFont="1" applyFill="1" applyBorder="1" applyAlignment="1" applyProtection="1">
      <alignment vertical="top" wrapText="1"/>
      <protection hidden="1"/>
    </xf>
    <xf numFmtId="0" fontId="20" fillId="4" borderId="20" xfId="3" applyFont="1" applyFill="1" applyBorder="1" applyAlignment="1" applyProtection="1">
      <alignment vertical="top" wrapText="1"/>
      <protection hidden="1"/>
    </xf>
    <xf numFmtId="0" fontId="6" fillId="4" borderId="0" xfId="3" applyFont="1" applyFill="1" applyAlignment="1" applyProtection="1">
      <alignment vertical="top" wrapText="1"/>
      <protection hidden="1"/>
    </xf>
    <xf numFmtId="0" fontId="6" fillId="4" borderId="5" xfId="3" applyFont="1" applyFill="1" applyBorder="1" applyAlignment="1" applyProtection="1">
      <alignment vertical="top" wrapText="1"/>
      <protection hidden="1"/>
    </xf>
    <xf numFmtId="0" fontId="6" fillId="4" borderId="9" xfId="3" applyFont="1" applyFill="1" applyBorder="1" applyAlignment="1" applyProtection="1">
      <alignment vertical="top" wrapText="1"/>
      <protection hidden="1"/>
    </xf>
    <xf numFmtId="0" fontId="6" fillId="4" borderId="10" xfId="3" applyFont="1" applyFill="1" applyBorder="1" applyAlignment="1" applyProtection="1">
      <alignment wrapText="1"/>
      <protection hidden="1"/>
    </xf>
    <xf numFmtId="0" fontId="6" fillId="4" borderId="4" xfId="3" applyFont="1" applyFill="1" applyBorder="1" applyAlignment="1" applyProtection="1">
      <alignment wrapText="1"/>
      <protection hidden="1"/>
    </xf>
    <xf numFmtId="0" fontId="6" fillId="4" borderId="20" xfId="3" applyFont="1" applyFill="1" applyBorder="1" applyAlignment="1" applyProtection="1">
      <alignment wrapText="1"/>
      <protection hidden="1"/>
    </xf>
    <xf numFmtId="0" fontId="19" fillId="2" borderId="0" xfId="3" applyFont="1" applyFill="1" applyAlignment="1" applyProtection="1">
      <alignment horizontal="left" vertical="top"/>
      <protection hidden="1"/>
    </xf>
    <xf numFmtId="0" fontId="20" fillId="0" borderId="0" xfId="3" applyFont="1" applyAlignment="1" applyProtection="1">
      <alignment horizontal="left" vertical="top"/>
      <protection hidden="1"/>
    </xf>
    <xf numFmtId="0" fontId="20" fillId="4" borderId="9" xfId="7" applyFont="1" applyFill="1" applyBorder="1" applyAlignment="1" applyProtection="1">
      <alignment vertical="top" wrapText="1"/>
      <protection hidden="1"/>
    </xf>
    <xf numFmtId="0" fontId="6" fillId="4" borderId="0" xfId="3" applyFont="1" applyFill="1" applyAlignment="1" applyProtection="1">
      <alignment wrapText="1"/>
      <protection hidden="1"/>
    </xf>
    <xf numFmtId="0" fontId="6" fillId="4" borderId="5" xfId="3" applyFont="1" applyFill="1" applyBorder="1" applyAlignment="1" applyProtection="1">
      <alignment wrapText="1"/>
      <protection hidden="1"/>
    </xf>
    <xf numFmtId="0" fontId="6" fillId="4" borderId="9" xfId="3" applyFont="1" applyFill="1" applyBorder="1" applyAlignment="1" applyProtection="1">
      <alignment wrapText="1"/>
      <protection hidden="1"/>
    </xf>
    <xf numFmtId="0" fontId="9" fillId="2" borderId="12" xfId="3" applyFont="1" applyFill="1" applyBorder="1" applyAlignment="1" applyProtection="1">
      <alignment horizontal="left" wrapText="1"/>
      <protection hidden="1"/>
    </xf>
    <xf numFmtId="0" fontId="9" fillId="2" borderId="13" xfId="3" applyFont="1" applyFill="1" applyBorder="1" applyAlignment="1" applyProtection="1">
      <alignment horizontal="left" wrapText="1"/>
      <protection hidden="1"/>
    </xf>
    <xf numFmtId="0" fontId="20" fillId="0" borderId="5" xfId="3" applyFont="1" applyBorder="1" applyAlignment="1" applyProtection="1">
      <alignment horizontal="left" vertical="top" wrapText="1"/>
      <protection hidden="1"/>
    </xf>
    <xf numFmtId="0" fontId="20" fillId="4" borderId="9" xfId="7" applyFont="1" applyFill="1" applyBorder="1" applyAlignment="1" applyProtection="1">
      <alignment horizontal="left" vertical="top" wrapText="1"/>
      <protection hidden="1"/>
    </xf>
    <xf numFmtId="0" fontId="20" fillId="4" borderId="0" xfId="7" applyFont="1" applyFill="1" applyAlignment="1" applyProtection="1">
      <alignment horizontal="left" vertical="top" wrapText="1"/>
      <protection hidden="1"/>
    </xf>
    <xf numFmtId="0" fontId="20" fillId="4" borderId="5" xfId="7" applyFont="1" applyFill="1" applyBorder="1" applyAlignment="1" applyProtection="1">
      <alignment horizontal="left" vertical="top" wrapText="1"/>
      <protection hidden="1"/>
    </xf>
    <xf numFmtId="0" fontId="6" fillId="2" borderId="0" xfId="3" applyFont="1" applyFill="1" applyAlignment="1" applyProtection="1">
      <alignment horizontal="left" vertical="top" wrapText="1"/>
      <protection hidden="1"/>
    </xf>
    <xf numFmtId="0" fontId="20" fillId="4" borderId="9" xfId="3" applyFont="1" applyFill="1" applyBorder="1" applyAlignment="1" applyProtection="1">
      <alignment horizontal="left" vertical="top" wrapText="1"/>
      <protection hidden="1"/>
    </xf>
    <xf numFmtId="0" fontId="20" fillId="4" borderId="0" xfId="3" applyFont="1" applyFill="1" applyAlignment="1" applyProtection="1">
      <alignment horizontal="left" vertical="top" wrapText="1"/>
      <protection hidden="1"/>
    </xf>
    <xf numFmtId="0" fontId="20" fillId="4" borderId="5" xfId="3" applyFont="1" applyFill="1" applyBorder="1" applyAlignment="1" applyProtection="1">
      <alignment horizontal="left" vertical="top" wrapText="1"/>
      <protection hidden="1"/>
    </xf>
  </cellXfs>
  <cellStyles count="12">
    <cellStyle name="Comma" xfId="1" builtinId="3"/>
    <cellStyle name="Comma 4" xfId="5" xr:uid="{A575535C-9F22-47A6-8491-0725AEA49C7E}"/>
    <cellStyle name="Hyperlink" xfId="2" builtinId="8"/>
    <cellStyle name="Normal" xfId="0" builtinId="0"/>
    <cellStyle name="Normal 2 2" xfId="7" xr:uid="{278C6571-BBBE-453B-A57B-65BEC7DE4A13}"/>
    <cellStyle name="Normal 2 2 2" xfId="11" xr:uid="{E0410EE1-3FD2-4D28-B6BE-225CB58B41DD}"/>
    <cellStyle name="Normal 2 4" xfId="10" xr:uid="{02A5C7DA-AE88-4619-A2A8-FD89E022CA3F}"/>
    <cellStyle name="Normal 6" xfId="3" xr:uid="{273C1991-F334-4827-BBEB-8ED6D3AB0D39}"/>
    <cellStyle name="Normal_AR 2019 FAKE" xfId="8" xr:uid="{A4423238-E36B-4F12-8412-161413D3E010}"/>
    <cellStyle name="Normal_LCRR 2019 FAKE" xfId="9" xr:uid="{52A7FC85-D16F-4D4B-B88D-C683ED24DC7D}"/>
    <cellStyle name="Normal_Table 1 Jan 2012" xfId="4" xr:uid="{F4088B0B-45CE-476E-BF1E-BEB3D3AA042A}"/>
    <cellStyle name="Percent 4" xfId="6" xr:uid="{0115D7C5-34C1-4F4B-860D-5BF1517AF1F1}"/>
  </cellStyles>
  <dxfs count="24">
    <dxf>
      <font>
        <color theme="0"/>
      </font>
    </dxf>
    <dxf>
      <font>
        <color rgb="FFFFFF99"/>
      </font>
    </dxf>
    <dxf>
      <font>
        <color rgb="FFFFFF99"/>
      </font>
    </dxf>
    <dxf>
      <font>
        <color rgb="FFFFFF99"/>
      </font>
    </dxf>
    <dxf>
      <font>
        <color rgb="FFFFFF99"/>
      </font>
    </dxf>
    <dxf>
      <font>
        <color theme="0"/>
      </font>
    </dxf>
    <dxf>
      <font>
        <color theme="0"/>
      </font>
    </dxf>
    <dxf>
      <font>
        <color theme="0"/>
      </font>
    </dxf>
    <dxf>
      <font>
        <color theme="0"/>
      </font>
    </dxf>
    <dxf>
      <font>
        <b/>
        <i val="0"/>
        <color rgb="FFFF0000"/>
      </font>
    </dxf>
    <dxf>
      <font>
        <color rgb="FFFFFF99"/>
      </font>
    </dxf>
    <dxf>
      <border>
        <left/>
        <right/>
        <top/>
        <bottom/>
        <vertical/>
        <horizontal/>
      </border>
    </dxf>
    <dxf>
      <border>
        <left style="thin">
          <color auto="1"/>
        </left>
        <right/>
        <top/>
        <bottom/>
        <vertical/>
        <horizontal/>
      </border>
    </dxf>
    <dxf>
      <font>
        <color theme="0"/>
      </font>
    </dxf>
    <dxf>
      <font>
        <color theme="0"/>
      </font>
    </dxf>
    <dxf>
      <font>
        <color rgb="FFFF0000"/>
      </font>
    </dxf>
    <dxf>
      <font>
        <color rgb="FFFF0000"/>
      </font>
    </dxf>
    <dxf>
      <font>
        <color theme="0"/>
      </font>
    </dxf>
    <dxf>
      <font>
        <color theme="0"/>
      </font>
    </dxf>
    <dxf>
      <font>
        <color theme="0"/>
      </font>
    </dxf>
    <dxf>
      <font>
        <color theme="0"/>
      </font>
    </dxf>
    <dxf>
      <border>
        <left/>
        <right/>
        <top/>
        <bottom/>
        <vertical/>
        <horizontal/>
      </border>
    </dxf>
    <dxf>
      <font>
        <color theme="0"/>
      </font>
      <border>
        <left style="thin">
          <color auto="1"/>
        </left>
        <right/>
        <top/>
        <bottom/>
        <vertical/>
        <horizontal/>
      </border>
    </dxf>
    <dxf>
      <font>
        <color theme="0"/>
      </font>
    </dxf>
  </dxfs>
  <tableStyles count="0" defaultTableStyle="TableStyleMedium2" defaultPivotStyle="PivotStyleLight16"/>
  <colors>
    <mruColors>
      <color rgb="FF59468D"/>
      <color rgb="FFFFFF99"/>
      <color rgb="FFEDEBF5"/>
      <color rgb="FFFCBE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Summary'!$B$7</c:f>
          <c:strCache>
            <c:ptCount val="1"/>
            <c:pt idx="0">
              <c:v>Total social units by provision type</c:v>
            </c:pt>
          </c:strCache>
        </c:strRef>
      </c:tx>
      <c:layout>
        <c:manualLayout>
          <c:xMode val="edge"/>
          <c:yMode val="edge"/>
          <c:x val="5.1498439478828116E-3"/>
          <c:y val="3.2968859518011481E-3"/>
        </c:manualLayout>
      </c:layout>
      <c:overlay val="0"/>
      <c:txPr>
        <a:bodyPr/>
        <a:lstStyle/>
        <a:p>
          <a:pPr algn="l">
            <a:defRPr sz="1200">
              <a:solidFill>
                <a:srgbClr val="59468D"/>
              </a:solidFill>
            </a:defRPr>
          </a:pPr>
          <a:endParaRPr lang="en-US"/>
        </a:p>
      </c:txPr>
    </c:title>
    <c:autoTitleDeleted val="0"/>
    <c:plotArea>
      <c:layout>
        <c:manualLayout>
          <c:layoutTarget val="inner"/>
          <c:xMode val="edge"/>
          <c:yMode val="edge"/>
          <c:x val="0.18079742714450506"/>
          <c:y val="0.193500747683541"/>
          <c:w val="0.48788611280639815"/>
          <c:h val="0.68527712084934811"/>
        </c:manualLayout>
      </c:layout>
      <c:pieChart>
        <c:varyColors val="1"/>
        <c:ser>
          <c:idx val="0"/>
          <c:order val="0"/>
          <c:dPt>
            <c:idx val="0"/>
            <c:bubble3D val="0"/>
            <c:spPr>
              <a:solidFill>
                <a:srgbClr val="59468D"/>
              </a:solidFill>
            </c:spPr>
            <c:extLst>
              <c:ext xmlns:c16="http://schemas.microsoft.com/office/drawing/2014/chart" uri="{C3380CC4-5D6E-409C-BE32-E72D297353CC}">
                <c16:uniqueId val="{00000001-CF98-4826-842C-82129DDAE9D9}"/>
              </c:ext>
            </c:extLst>
          </c:dPt>
          <c:dPt>
            <c:idx val="1"/>
            <c:bubble3D val="0"/>
            <c:spPr>
              <a:solidFill>
                <a:srgbClr val="59468D">
                  <a:alpha val="50000"/>
                </a:srgbClr>
              </a:solidFill>
            </c:spPr>
            <c:extLst>
              <c:ext xmlns:c16="http://schemas.microsoft.com/office/drawing/2014/chart" uri="{C3380CC4-5D6E-409C-BE32-E72D297353CC}">
                <c16:uniqueId val="{00000003-CF98-4826-842C-82129DDAE9D9}"/>
              </c:ext>
            </c:extLst>
          </c:dPt>
          <c:dPt>
            <c:idx val="2"/>
            <c:bubble3D val="0"/>
            <c:spPr>
              <a:solidFill>
                <a:srgbClr val="FCBE37"/>
              </a:solidFill>
            </c:spPr>
            <c:extLst>
              <c:ext xmlns:c16="http://schemas.microsoft.com/office/drawing/2014/chart" uri="{C3380CC4-5D6E-409C-BE32-E72D297353CC}">
                <c16:uniqueId val="{00000005-CF98-4826-842C-82129DDAE9D9}"/>
              </c:ext>
            </c:extLst>
          </c:dPt>
          <c:dPt>
            <c:idx val="3"/>
            <c:bubble3D val="0"/>
            <c:spPr>
              <a:solidFill>
                <a:srgbClr val="FCBE37">
                  <a:alpha val="50000"/>
                </a:srgbClr>
              </a:solidFill>
            </c:spPr>
            <c:extLst>
              <c:ext xmlns:c16="http://schemas.microsoft.com/office/drawing/2014/chart" uri="{C3380CC4-5D6E-409C-BE32-E72D297353CC}">
                <c16:uniqueId val="{00000007-CF98-4826-842C-82129DDAE9D9}"/>
              </c:ext>
            </c:extLst>
          </c:dPt>
          <c:dPt>
            <c:idx val="4"/>
            <c:bubble3D val="0"/>
            <c:spPr>
              <a:solidFill>
                <a:srgbClr val="4097DB"/>
              </a:solidFill>
            </c:spPr>
            <c:extLst>
              <c:ext xmlns:c16="http://schemas.microsoft.com/office/drawing/2014/chart" uri="{C3380CC4-5D6E-409C-BE32-E72D297353CC}">
                <c16:uniqueId val="{00000009-CF98-4826-842C-82129DDAE9D9}"/>
              </c:ext>
            </c:extLst>
          </c:dPt>
          <c:dLbls>
            <c:spPr>
              <a:noFill/>
              <a:ln>
                <a:noFill/>
              </a:ln>
              <a:effectLst/>
            </c:sp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'LARP Summary'!$Q$13:$Q$17</c:f>
              <c:strCache>
                <c:ptCount val="5"/>
                <c:pt idx="0">
                  <c:v>Social rent - general needs</c:v>
                </c:pt>
                <c:pt idx="1">
                  <c:v>Social rent - supported housing</c:v>
                </c:pt>
                <c:pt idx="2">
                  <c:v>Affordable Rent - general needs</c:v>
                </c:pt>
                <c:pt idx="3">
                  <c:v>Affordable Rent - supported housing</c:v>
                </c:pt>
                <c:pt idx="4">
                  <c:v>Low cost home ownership (LCHO)</c:v>
                </c:pt>
              </c:strCache>
            </c:strRef>
          </c:cat>
          <c:val>
            <c:numRef>
              <c:f>'LARP Summary'!$R$13:$R$17</c:f>
              <c:numCache>
                <c:formatCode>_-* #,##0_-;\-* #,##0_-;_-* "-"??_-;_-@_-</c:formatCode>
                <c:ptCount val="5"/>
                <c:pt idx="0">
                  <c:v>0</c:v>
                </c:pt>
                <c:pt idx="1">
                  <c:v>0</c:v>
                </c:pt>
                <c:pt idx="2">
                  <c:v>0</c:v>
                </c:pt>
                <c:pt idx="3">
                  <c:v>0</c:v>
                </c:pt>
                <c:pt idx="4">
                  <c:v>0</c:v>
                </c:pt>
              </c:numCache>
            </c:numRef>
          </c:val>
          <c:extLst>
            <c:ext xmlns:c16="http://schemas.microsoft.com/office/drawing/2014/chart" uri="{C3380CC4-5D6E-409C-BE32-E72D297353CC}">
              <c16:uniqueId val="{0000000A-CF98-4826-842C-82129DDAE9D9}"/>
            </c:ext>
          </c:extLst>
        </c:ser>
        <c:dLbls>
          <c:dLblPos val="outEnd"/>
          <c:showLegendKey val="0"/>
          <c:showVal val="1"/>
          <c:showCatName val="0"/>
          <c:showSerName val="0"/>
          <c:showPercent val="0"/>
          <c:showBubbleSize val="0"/>
          <c:showLeaderLines val="1"/>
        </c:dLbls>
        <c:firstSliceAng val="0"/>
      </c:pieChart>
    </c:plotArea>
    <c:legend>
      <c:legendPos val="r"/>
      <c:layout>
        <c:manualLayout>
          <c:xMode val="edge"/>
          <c:yMode val="edge"/>
          <c:x val="0.71425248314548917"/>
          <c:y val="0.21993649699313739"/>
          <c:w val="0.25061871790913015"/>
          <c:h val="0.60873222922987269"/>
        </c:manualLayout>
      </c:layout>
      <c:overlay val="0"/>
      <c:txPr>
        <a:bodyPr/>
        <a:lstStyle/>
        <a:p>
          <a:pPr rtl="0">
            <a:defRPr sz="1000" b="0"/>
          </a:pPr>
          <a:endParaRPr lang="en-US"/>
        </a:p>
      </c:txPr>
    </c:legend>
    <c:plotVisOnly val="0"/>
    <c:dispBlanksAs val="gap"/>
    <c:showDLblsOverMax val="0"/>
  </c:chart>
  <c:spPr>
    <a:ln>
      <a:solidFill>
        <a:schemeClr val="tx1"/>
      </a:solid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Summary'!$Q$122</c:f>
          <c:strCache>
            <c:ptCount val="1"/>
            <c:pt idx="0">
              <c:v>Average weekly gross rent (£ per week) for England - LARPs only</c:v>
            </c:pt>
          </c:strCache>
        </c:strRef>
      </c:tx>
      <c:layout>
        <c:manualLayout>
          <c:xMode val="edge"/>
          <c:yMode val="edge"/>
          <c:x val="8.351273198945899E-3"/>
          <c:y val="5.7348074457444727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598637649214589"/>
          <c:y val="0.24863758806464981"/>
          <c:w val="0.81457844840345561"/>
          <c:h val="0.59134614014268705"/>
        </c:manualLayout>
      </c:layout>
      <c:barChart>
        <c:barDir val="col"/>
        <c:grouping val="clustered"/>
        <c:varyColors val="0"/>
        <c:ser>
          <c:idx val="0"/>
          <c:order val="0"/>
          <c:tx>
            <c:strRef>
              <c:f>'LARP Summary'!$B$125</c:f>
              <c:strCache>
                <c:ptCount val="1"/>
              </c:strCache>
            </c:strRef>
          </c:tx>
          <c:spPr>
            <a:solidFill>
              <a:srgbClr val="AECFE6"/>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'LARP Summary'!$B$125:$B$129</c:f>
              <c:strCache>
                <c:ptCount val="5"/>
                <c:pt idx="4">
                  <c:v>England</c:v>
                </c:pt>
              </c:strCache>
            </c:strRef>
          </c:cat>
          <c:val>
            <c:numRef>
              <c:f>'LARP Summary'!$F$125</c:f>
              <c:numCache>
                <c:formatCode>"£"#,##0.00;\-"£"#,##0.0000_-;"-"</c:formatCode>
                <c:ptCount val="1"/>
                <c:pt idx="0">
                  <c:v>0</c:v>
                </c:pt>
              </c:numCache>
            </c:numRef>
          </c:val>
          <c:extLst>
            <c:ext xmlns:c16="http://schemas.microsoft.com/office/drawing/2014/chart" uri="{C3380CC4-5D6E-409C-BE32-E72D297353CC}">
              <c16:uniqueId val="{00000000-3163-4A4A-8FA9-940F3D4CB4EE}"/>
            </c:ext>
          </c:extLst>
        </c:ser>
        <c:ser>
          <c:idx val="1"/>
          <c:order val="1"/>
          <c:tx>
            <c:strRef>
              <c:f>'LARP Summary'!$B$127</c:f>
              <c:strCache>
                <c:ptCount val="1"/>
              </c:strCache>
            </c:strRef>
          </c:tx>
          <c:spPr>
            <a:solidFill>
              <a:srgbClr val="59468D"/>
            </a:solidFill>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'LARP Summary'!$B$125:$B$129</c:f>
              <c:strCache>
                <c:ptCount val="5"/>
                <c:pt idx="4">
                  <c:v>England</c:v>
                </c:pt>
              </c:strCache>
            </c:strRef>
          </c:cat>
          <c:val>
            <c:numRef>
              <c:f>'LARP Summary'!$F$127</c:f>
              <c:numCache>
                <c:formatCode>"£"#,##0.00_);\("£"#,##0.00\)</c:formatCode>
                <c:ptCount val="1"/>
                <c:pt idx="0">
                  <c:v>0</c:v>
                </c:pt>
              </c:numCache>
            </c:numRef>
          </c:val>
          <c:extLst>
            <c:ext xmlns:c16="http://schemas.microsoft.com/office/drawing/2014/chart" uri="{C3380CC4-5D6E-409C-BE32-E72D297353CC}">
              <c16:uniqueId val="{00000001-3163-4A4A-8FA9-940F3D4CB4EE}"/>
            </c:ext>
          </c:extLst>
        </c:ser>
        <c:ser>
          <c:idx val="2"/>
          <c:order val="2"/>
          <c:tx>
            <c:strRef>
              <c:f>'LARP Summary'!$B$129</c:f>
              <c:strCache>
                <c:ptCount val="1"/>
                <c:pt idx="0">
                  <c:v>England</c:v>
                </c:pt>
              </c:strCache>
            </c:strRef>
          </c:tx>
          <c:spPr>
            <a:solidFill>
              <a:srgbClr val="FCBE37"/>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'LARP Summary'!$B$125:$B$129</c:f>
              <c:strCache>
                <c:ptCount val="5"/>
                <c:pt idx="4">
                  <c:v>England</c:v>
                </c:pt>
              </c:strCache>
            </c:strRef>
          </c:cat>
          <c:val>
            <c:numRef>
              <c:f>'LARP Summary'!$F$129</c:f>
              <c:numCache>
                <c:formatCode>"£"#,##0.00_);\("£"#,##0.00\)</c:formatCode>
                <c:ptCount val="1"/>
                <c:pt idx="0">
                  <c:v>137.65</c:v>
                </c:pt>
              </c:numCache>
            </c:numRef>
          </c:val>
          <c:extLst>
            <c:ext xmlns:c16="http://schemas.microsoft.com/office/drawing/2014/chart" uri="{C3380CC4-5D6E-409C-BE32-E72D297353CC}">
              <c16:uniqueId val="{00000002-3163-4A4A-8FA9-940F3D4CB4EE}"/>
            </c:ext>
          </c:extLst>
        </c:ser>
        <c:dLbls>
          <c:showLegendKey val="0"/>
          <c:showVal val="0"/>
          <c:showCatName val="0"/>
          <c:showSerName val="0"/>
          <c:showPercent val="0"/>
          <c:showBubbleSize val="0"/>
        </c:dLbls>
        <c:gapWidth val="300"/>
        <c:overlap val="-100"/>
        <c:axId val="368706688"/>
        <c:axId val="368708224"/>
      </c:barChart>
      <c:catAx>
        <c:axId val="368706688"/>
        <c:scaling>
          <c:orientation val="minMax"/>
        </c:scaling>
        <c:delete val="0"/>
        <c:axPos val="b"/>
        <c:numFmt formatCode="General" sourceLinked="1"/>
        <c:majorTickMark val="out"/>
        <c:minorTickMark val="none"/>
        <c:tickLblPos val="nextTo"/>
        <c:spPr>
          <a:ln>
            <a:solidFill>
              <a:schemeClr val="tx1"/>
            </a:solidFill>
          </a:ln>
        </c:spPr>
        <c:txPr>
          <a:bodyPr/>
          <a:lstStyle/>
          <a:p>
            <a:pPr>
              <a:defRPr>
                <a:solidFill>
                  <a:schemeClr val="bg1"/>
                </a:solidFill>
              </a:defRPr>
            </a:pPr>
            <a:endParaRPr lang="en-US"/>
          </a:p>
        </c:txPr>
        <c:crossAx val="368708224"/>
        <c:crosses val="autoZero"/>
        <c:auto val="1"/>
        <c:lblAlgn val="ctr"/>
        <c:lblOffset val="100"/>
        <c:noMultiLvlLbl val="0"/>
      </c:catAx>
      <c:valAx>
        <c:axId val="368708224"/>
        <c:scaling>
          <c:orientation val="minMax"/>
        </c:scaling>
        <c:delete val="0"/>
        <c:axPos val="l"/>
        <c:majorGridlines>
          <c:spPr>
            <a:ln>
              <a:solidFill>
                <a:schemeClr val="bg1"/>
              </a:solid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 per</a:t>
                </a:r>
                <a:r>
                  <a:rPr lang="en-US" b="1" baseline="0">
                    <a:latin typeface="Arial" panose="020B0604020202020204" pitchFamily="34" charset="0"/>
                    <a:cs typeface="Arial" panose="020B0604020202020204" pitchFamily="34" charset="0"/>
                  </a:rPr>
                  <a:t> week</a:t>
                </a:r>
                <a:endParaRPr lang="en-US" b="1">
                  <a:latin typeface="Arial" panose="020B0604020202020204" pitchFamily="34" charset="0"/>
                  <a:cs typeface="Arial" panose="020B0604020202020204" pitchFamily="34" charset="0"/>
                </a:endParaRPr>
              </a:p>
            </c:rich>
          </c:tx>
          <c:layout>
            <c:manualLayout>
              <c:xMode val="edge"/>
              <c:yMode val="edge"/>
              <c:x val="1.8377284688458895E-2"/>
              <c:y val="0.4057544085761659"/>
            </c:manualLayout>
          </c:layout>
          <c:overlay val="0"/>
        </c:title>
        <c:numFmt formatCode="&quot;£&quot;#,##0" sourceLinked="0"/>
        <c:majorTickMark val="out"/>
        <c:minorTickMark val="none"/>
        <c:tickLblPos val="nextTo"/>
        <c:spPr>
          <a:ln/>
        </c:spPr>
        <c:txPr>
          <a:bodyPr/>
          <a:lstStyle/>
          <a:p>
            <a:pPr>
              <a:defRPr sz="900">
                <a:latin typeface="Arial" panose="020B0604020202020204" pitchFamily="34" charset="0"/>
                <a:cs typeface="Arial" panose="020B0604020202020204" pitchFamily="34" charset="0"/>
              </a:defRPr>
            </a:pPr>
            <a:endParaRPr lang="en-US"/>
          </a:p>
        </c:txPr>
        <c:crossAx val="368706688"/>
        <c:crosses val="autoZero"/>
        <c:crossBetween val="between"/>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Summary'!$Q$122</c:f>
          <c:strCache>
            <c:ptCount val="1"/>
            <c:pt idx="0">
              <c:v>Average weekly gross rent (£ per week) for England - LARPs only</c:v>
            </c:pt>
          </c:strCache>
        </c:strRef>
      </c:tx>
      <c:layout>
        <c:manualLayout>
          <c:xMode val="edge"/>
          <c:yMode val="edge"/>
          <c:x val="6.3397320469670056E-3"/>
          <c:y val="5.3938058847716464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598633188198913"/>
          <c:y val="0.27490994660150242"/>
          <c:w val="0.81658370993458951"/>
          <c:h val="0.56507384238849534"/>
        </c:manualLayout>
      </c:layout>
      <c:barChart>
        <c:barDir val="col"/>
        <c:grouping val="clustered"/>
        <c:varyColors val="0"/>
        <c:ser>
          <c:idx val="0"/>
          <c:order val="0"/>
          <c:tx>
            <c:strRef>
              <c:f>'LARP Summary'!$B$145</c:f>
              <c:strCache>
                <c:ptCount val="1"/>
              </c:strCache>
            </c:strRef>
          </c:tx>
          <c:spPr>
            <a:solidFill>
              <a:srgbClr val="AECFE6"/>
            </a:solidFill>
            <a:ln>
              <a:noFill/>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31-4079-8651-0CEC178CE66B}"/>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'LARP Summary'!$F$145</c:f>
              <c:numCache>
                <c:formatCode>"£"#,##0.00;\-"£"#,##0.0000_-;"-"</c:formatCode>
                <c:ptCount val="1"/>
                <c:pt idx="0">
                  <c:v>0</c:v>
                </c:pt>
              </c:numCache>
            </c:numRef>
          </c:val>
          <c:extLst>
            <c:ext xmlns:c16="http://schemas.microsoft.com/office/drawing/2014/chart" uri="{C3380CC4-5D6E-409C-BE32-E72D297353CC}">
              <c16:uniqueId val="{00000001-3831-4079-8651-0CEC178CE66B}"/>
            </c:ext>
          </c:extLst>
        </c:ser>
        <c:ser>
          <c:idx val="1"/>
          <c:order val="1"/>
          <c:tx>
            <c:strRef>
              <c:f>'LARP Summary'!$B$147</c:f>
              <c:strCache>
                <c:ptCount val="1"/>
              </c:strCache>
            </c:strRef>
          </c:tx>
          <c:spPr>
            <a:solidFill>
              <a:srgbClr val="59468D"/>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Summary'!$F$147</c:f>
              <c:numCache>
                <c:formatCode>"£"#,##0.00_);\("£"#,##0.00\)</c:formatCode>
                <c:ptCount val="1"/>
                <c:pt idx="0">
                  <c:v>0</c:v>
                </c:pt>
              </c:numCache>
            </c:numRef>
          </c:val>
          <c:extLst>
            <c:ext xmlns:c16="http://schemas.microsoft.com/office/drawing/2014/chart" uri="{C3380CC4-5D6E-409C-BE32-E72D297353CC}">
              <c16:uniqueId val="{00000002-3831-4079-8651-0CEC178CE66B}"/>
            </c:ext>
          </c:extLst>
        </c:ser>
        <c:ser>
          <c:idx val="2"/>
          <c:order val="2"/>
          <c:tx>
            <c:strRef>
              <c:f>'LARP Summary'!$B$149</c:f>
              <c:strCache>
                <c:ptCount val="1"/>
                <c:pt idx="0">
                  <c:v>England</c:v>
                </c:pt>
              </c:strCache>
            </c:strRef>
          </c:tx>
          <c:spPr>
            <a:solidFill>
              <a:srgbClr val="FCBE37"/>
            </a:solidFill>
            <a:ln>
              <a:noFill/>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831-4079-8651-0CEC178CE66B}"/>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'LARP Summary'!$F$149</c:f>
              <c:numCache>
                <c:formatCode>"£"#,##0.00_);\("£"#,##0.00\)</c:formatCode>
                <c:ptCount val="1"/>
                <c:pt idx="0">
                  <c:v>143.80000000000001</c:v>
                </c:pt>
              </c:numCache>
            </c:numRef>
          </c:val>
          <c:extLst>
            <c:ext xmlns:c16="http://schemas.microsoft.com/office/drawing/2014/chart" uri="{C3380CC4-5D6E-409C-BE32-E72D297353CC}">
              <c16:uniqueId val="{00000004-3831-4079-8651-0CEC178CE66B}"/>
            </c:ext>
          </c:extLst>
        </c:ser>
        <c:dLbls>
          <c:showLegendKey val="0"/>
          <c:showVal val="0"/>
          <c:showCatName val="0"/>
          <c:showSerName val="0"/>
          <c:showPercent val="0"/>
          <c:showBubbleSize val="0"/>
        </c:dLbls>
        <c:gapWidth val="300"/>
        <c:overlap val="-100"/>
        <c:axId val="368745472"/>
        <c:axId val="368759552"/>
      </c:barChart>
      <c:catAx>
        <c:axId val="368745472"/>
        <c:scaling>
          <c:orientation val="minMax"/>
        </c:scaling>
        <c:delete val="0"/>
        <c:axPos val="b"/>
        <c:numFmt formatCode="#,##0.00" sourceLinked="1"/>
        <c:majorTickMark val="out"/>
        <c:minorTickMark val="none"/>
        <c:tickLblPos val="none"/>
        <c:spPr>
          <a:ln>
            <a:solidFill>
              <a:schemeClr val="tx1"/>
            </a:solidFill>
          </a:ln>
        </c:spPr>
        <c:crossAx val="368759552"/>
        <c:crosses val="autoZero"/>
        <c:auto val="1"/>
        <c:lblAlgn val="ctr"/>
        <c:lblOffset val="100"/>
        <c:noMultiLvlLbl val="0"/>
      </c:catAx>
      <c:valAx>
        <c:axId val="368759552"/>
        <c:scaling>
          <c:orientation val="minMax"/>
        </c:scaling>
        <c:delete val="0"/>
        <c:axPos val="l"/>
        <c:majorGridlines>
          <c:spPr>
            <a:ln>
              <a:solidFill>
                <a:schemeClr val="bg1"/>
              </a:solid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 per week</a:t>
                </a:r>
              </a:p>
            </c:rich>
          </c:tx>
          <c:layout>
            <c:manualLayout>
              <c:xMode val="edge"/>
              <c:yMode val="edge"/>
              <c:x val="1.4454126855324999E-2"/>
              <c:y val="0.38062084128589496"/>
            </c:manualLayout>
          </c:layout>
          <c:overlay val="0"/>
        </c:title>
        <c:numFmt formatCode="&quot;£&quot;#,##0" sourceLinked="0"/>
        <c:majorTickMark val="out"/>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368745472"/>
        <c:crosses val="autoZero"/>
        <c:crossBetween val="between"/>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Summary'!$Q$33</c:f>
          <c:strCache>
            <c:ptCount val="1"/>
            <c:pt idx="0">
              <c:v>Average weekly net rent (£ per week) for England - LARPs only</c:v>
            </c:pt>
          </c:strCache>
        </c:strRef>
      </c:tx>
      <c:layout>
        <c:manualLayout>
          <c:xMode val="edge"/>
          <c:yMode val="edge"/>
          <c:x val="6.3599701321599708E-3"/>
          <c:y val="5.3937772341564098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826965364635182"/>
          <c:y val="0.24863758806464981"/>
          <c:w val="0.81449938488306928"/>
          <c:h val="0.59134594601014234"/>
        </c:manualLayout>
      </c:layout>
      <c:barChart>
        <c:barDir val="col"/>
        <c:grouping val="clustered"/>
        <c:varyColors val="0"/>
        <c:ser>
          <c:idx val="1"/>
          <c:order val="0"/>
          <c:tx>
            <c:strRef>
              <c:f>'LARP Summary'!$B$35</c:f>
              <c:strCache>
                <c:ptCount val="1"/>
              </c:strCache>
            </c:strRef>
          </c:tx>
          <c:spPr>
            <a:solidFill>
              <a:srgbClr val="AECFE6"/>
            </a:solidFill>
            <a:ln>
              <a:noFill/>
            </a:ln>
          </c:spPr>
          <c:invertIfNegative val="0"/>
          <c:dPt>
            <c:idx val="0"/>
            <c:invertIfNegative val="0"/>
            <c:bubble3D val="0"/>
            <c:extLst>
              <c:ext xmlns:c16="http://schemas.microsoft.com/office/drawing/2014/chart" uri="{C3380CC4-5D6E-409C-BE32-E72D297353CC}">
                <c16:uniqueId val="{00000000-5B04-4EA6-B226-F0F743023B63}"/>
              </c:ext>
            </c:extLst>
          </c:dPt>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Summary'!$F$35</c:f>
              <c:numCache>
                <c:formatCode>"£"#,##0.00;\-"£"#,##0.00,\-;"-"</c:formatCode>
                <c:ptCount val="1"/>
                <c:pt idx="0">
                  <c:v>0</c:v>
                </c:pt>
              </c:numCache>
            </c:numRef>
          </c:val>
          <c:extLst>
            <c:ext xmlns:c16="http://schemas.microsoft.com/office/drawing/2014/chart" uri="{C3380CC4-5D6E-409C-BE32-E72D297353CC}">
              <c16:uniqueId val="{00000001-5B04-4EA6-B226-F0F743023B63}"/>
            </c:ext>
          </c:extLst>
        </c:ser>
        <c:ser>
          <c:idx val="0"/>
          <c:order val="1"/>
          <c:tx>
            <c:strRef>
              <c:f>'LARP Summary'!$B$37</c:f>
              <c:strCache>
                <c:ptCount val="1"/>
              </c:strCache>
            </c:strRef>
          </c:tx>
          <c:spPr>
            <a:solidFill>
              <a:srgbClr val="59468D"/>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Summary'!$F$37</c:f>
              <c:numCache>
                <c:formatCode>"£"#,##0.00;\-"£"#,##0.00,\-;"-"</c:formatCode>
                <c:ptCount val="1"/>
                <c:pt idx="0">
                  <c:v>0</c:v>
                </c:pt>
              </c:numCache>
            </c:numRef>
          </c:val>
          <c:extLst>
            <c:ext xmlns:c16="http://schemas.microsoft.com/office/drawing/2014/chart" uri="{C3380CC4-5D6E-409C-BE32-E72D297353CC}">
              <c16:uniqueId val="{00000002-5B04-4EA6-B226-F0F743023B63}"/>
            </c:ext>
          </c:extLst>
        </c:ser>
        <c:ser>
          <c:idx val="2"/>
          <c:order val="2"/>
          <c:tx>
            <c:strRef>
              <c:f>'LARP Summary'!$B$39</c:f>
              <c:strCache>
                <c:ptCount val="1"/>
                <c:pt idx="0">
                  <c:v>England</c:v>
                </c:pt>
              </c:strCache>
            </c:strRef>
          </c:tx>
          <c:spPr>
            <a:solidFill>
              <a:srgbClr val="FCBE37"/>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Summary'!$F$39</c:f>
              <c:numCache>
                <c:formatCode>"£"#,##0.00;\-"£"#,##0.00,\-;"-"</c:formatCode>
                <c:ptCount val="1"/>
                <c:pt idx="0">
                  <c:v>93.1</c:v>
                </c:pt>
              </c:numCache>
            </c:numRef>
          </c:val>
          <c:extLst>
            <c:ext xmlns:c16="http://schemas.microsoft.com/office/drawing/2014/chart" uri="{C3380CC4-5D6E-409C-BE32-E72D297353CC}">
              <c16:uniqueId val="{00000003-5B04-4EA6-B226-F0F743023B63}"/>
            </c:ext>
          </c:extLst>
        </c:ser>
        <c:dLbls>
          <c:showLegendKey val="0"/>
          <c:showVal val="0"/>
          <c:showCatName val="0"/>
          <c:showSerName val="0"/>
          <c:showPercent val="0"/>
          <c:showBubbleSize val="0"/>
        </c:dLbls>
        <c:gapWidth val="300"/>
        <c:overlap val="-100"/>
        <c:axId val="368669824"/>
        <c:axId val="368671360"/>
      </c:barChart>
      <c:catAx>
        <c:axId val="368669824"/>
        <c:scaling>
          <c:orientation val="minMax"/>
        </c:scaling>
        <c:delete val="0"/>
        <c:axPos val="b"/>
        <c:numFmt formatCode="#,##0.00" sourceLinked="1"/>
        <c:majorTickMark val="out"/>
        <c:minorTickMark val="none"/>
        <c:tickLblPos val="none"/>
        <c:spPr>
          <a:ln>
            <a:solidFill>
              <a:sysClr val="windowText" lastClr="000000"/>
            </a:solidFill>
          </a:ln>
        </c:spPr>
        <c:crossAx val="368671360"/>
        <c:crosses val="autoZero"/>
        <c:auto val="1"/>
        <c:lblAlgn val="ctr"/>
        <c:lblOffset val="0"/>
        <c:tickLblSkip val="1"/>
        <c:noMultiLvlLbl val="0"/>
      </c:catAx>
      <c:valAx>
        <c:axId val="368671360"/>
        <c:scaling>
          <c:orientation val="minMax"/>
          <c:min val="0"/>
        </c:scaling>
        <c:delete val="0"/>
        <c:axPos val="l"/>
        <c:majorGridlines>
          <c:spPr>
            <a:ln>
              <a:no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a:t>
                </a:r>
                <a:r>
                  <a:rPr lang="en-US" b="1" baseline="0">
                    <a:latin typeface="Arial" panose="020B0604020202020204" pitchFamily="34" charset="0"/>
                    <a:cs typeface="Arial" panose="020B0604020202020204" pitchFamily="34" charset="0"/>
                  </a:rPr>
                  <a:t> per </a:t>
                </a:r>
                <a:r>
                  <a:rPr lang="en-US" b="1">
                    <a:latin typeface="Arial" panose="020B0604020202020204" pitchFamily="34" charset="0"/>
                    <a:cs typeface="Arial" panose="020B0604020202020204" pitchFamily="34" charset="0"/>
                  </a:rPr>
                  <a:t>week</a:t>
                </a:r>
              </a:p>
            </c:rich>
          </c:tx>
          <c:layout>
            <c:manualLayout>
              <c:xMode val="edge"/>
              <c:yMode val="edge"/>
              <c:x val="1.4958757821835249E-2"/>
              <c:y val="0.45341556081713563"/>
            </c:manualLayout>
          </c:layout>
          <c:overlay val="0"/>
        </c:title>
        <c:numFmt formatCode="&quot;£&quot;#,##0" sourceLinked="0"/>
        <c:majorTickMark val="out"/>
        <c:minorTickMark val="none"/>
        <c:tickLblPos val="nextTo"/>
        <c:spPr>
          <a:ln>
            <a:solidFill>
              <a:schemeClr val="tx1"/>
            </a:solidFill>
          </a:ln>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crossAx val="368669824"/>
        <c:crosses val="autoZero"/>
        <c:crossBetween val="between"/>
        <c:majorUnit val="10"/>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Summary'!$Q$33</c:f>
          <c:strCache>
            <c:ptCount val="1"/>
            <c:pt idx="0">
              <c:v>Average weekly net rent (£ per week) for England - LARPs only</c:v>
            </c:pt>
          </c:strCache>
        </c:strRef>
      </c:tx>
      <c:layout>
        <c:manualLayout>
          <c:xMode val="edge"/>
          <c:yMode val="edge"/>
          <c:x val="2.765267288764352E-4"/>
          <c:y val="4.4256885815918211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601170228302991"/>
          <c:y val="0.25302355297693052"/>
          <c:w val="0.81432929310802438"/>
          <c:h val="0.58696016725676203"/>
        </c:manualLayout>
      </c:layout>
      <c:barChart>
        <c:barDir val="col"/>
        <c:grouping val="clustered"/>
        <c:varyColors val="0"/>
        <c:ser>
          <c:idx val="0"/>
          <c:order val="0"/>
          <c:tx>
            <c:strRef>
              <c:f>'LARP Summary'!$B$58</c:f>
              <c:strCache>
                <c:ptCount val="1"/>
              </c:strCache>
            </c:strRef>
          </c:tx>
          <c:spPr>
            <a:solidFill>
              <a:srgbClr val="AECFE6"/>
            </a:solidFill>
            <a:ln>
              <a:noFill/>
            </a:ln>
          </c:spPr>
          <c:invertIfNegative val="0"/>
          <c:dPt>
            <c:idx val="0"/>
            <c:invertIfNegative val="0"/>
            <c:bubble3D val="0"/>
            <c:extLst>
              <c:ext xmlns:c16="http://schemas.microsoft.com/office/drawing/2014/chart" uri="{C3380CC4-5D6E-409C-BE32-E72D297353CC}">
                <c16:uniqueId val="{00000000-B0C0-4535-8CCB-7B6080ABCCC0}"/>
              </c:ext>
            </c:extLst>
          </c:dPt>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Summary'!$F$58</c:f>
              <c:numCache>
                <c:formatCode>"£"#,##0.00;\-"£"#,##0.00,\-;"-"</c:formatCode>
                <c:ptCount val="1"/>
                <c:pt idx="0">
                  <c:v>0</c:v>
                </c:pt>
              </c:numCache>
            </c:numRef>
          </c:val>
          <c:extLst>
            <c:ext xmlns:c16="http://schemas.microsoft.com/office/drawing/2014/chart" uri="{C3380CC4-5D6E-409C-BE32-E72D297353CC}">
              <c16:uniqueId val="{00000001-B0C0-4535-8CCB-7B6080ABCCC0}"/>
            </c:ext>
          </c:extLst>
        </c:ser>
        <c:ser>
          <c:idx val="1"/>
          <c:order val="1"/>
          <c:tx>
            <c:strRef>
              <c:f>'LARP Summary'!$B$60</c:f>
              <c:strCache>
                <c:ptCount val="1"/>
              </c:strCache>
            </c:strRef>
          </c:tx>
          <c:spPr>
            <a:solidFill>
              <a:srgbClr val="59468D"/>
            </a:solidFill>
            <a:ln>
              <a:noFill/>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0C0-4535-8CCB-7B6080ABCCC0}"/>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'LARP Summary'!$F$60</c:f>
              <c:numCache>
                <c:formatCode>"£"#,##0.00;\-"£"#,##0.00,\-;"-"</c:formatCode>
                <c:ptCount val="1"/>
                <c:pt idx="0">
                  <c:v>0</c:v>
                </c:pt>
              </c:numCache>
            </c:numRef>
          </c:val>
          <c:extLst>
            <c:ext xmlns:c16="http://schemas.microsoft.com/office/drawing/2014/chart" uri="{C3380CC4-5D6E-409C-BE32-E72D297353CC}">
              <c16:uniqueId val="{00000003-B0C0-4535-8CCB-7B6080ABCCC0}"/>
            </c:ext>
          </c:extLst>
        </c:ser>
        <c:ser>
          <c:idx val="2"/>
          <c:order val="2"/>
          <c:tx>
            <c:strRef>
              <c:f>'LARP Summary'!$B$62</c:f>
              <c:strCache>
                <c:ptCount val="1"/>
                <c:pt idx="0">
                  <c:v>England</c:v>
                </c:pt>
              </c:strCache>
            </c:strRef>
          </c:tx>
          <c:spPr>
            <a:solidFill>
              <a:srgbClr val="FCBE37"/>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Summary'!$F$62</c:f>
              <c:numCache>
                <c:formatCode>"£"#,##0.00;\-"£"#,##0.00,\-;"-"</c:formatCode>
                <c:ptCount val="1"/>
                <c:pt idx="0">
                  <c:v>81.459999999999994</c:v>
                </c:pt>
              </c:numCache>
            </c:numRef>
          </c:val>
          <c:extLst>
            <c:ext xmlns:c16="http://schemas.microsoft.com/office/drawing/2014/chart" uri="{C3380CC4-5D6E-409C-BE32-E72D297353CC}">
              <c16:uniqueId val="{00000004-B0C0-4535-8CCB-7B6080ABCCC0}"/>
            </c:ext>
          </c:extLst>
        </c:ser>
        <c:dLbls>
          <c:showLegendKey val="0"/>
          <c:showVal val="0"/>
          <c:showCatName val="0"/>
          <c:showSerName val="0"/>
          <c:showPercent val="0"/>
          <c:showBubbleSize val="0"/>
        </c:dLbls>
        <c:gapWidth val="300"/>
        <c:overlap val="-100"/>
        <c:axId val="368974464"/>
        <c:axId val="368984448"/>
      </c:barChart>
      <c:catAx>
        <c:axId val="368974464"/>
        <c:scaling>
          <c:orientation val="minMax"/>
        </c:scaling>
        <c:delete val="0"/>
        <c:axPos val="b"/>
        <c:numFmt formatCode="&quot;£&quot;#,##0.00" sourceLinked="1"/>
        <c:majorTickMark val="out"/>
        <c:minorTickMark val="none"/>
        <c:tickLblPos val="none"/>
        <c:spPr>
          <a:ln>
            <a:solidFill>
              <a:schemeClr val="tx1"/>
            </a:solidFill>
          </a:ln>
        </c:spPr>
        <c:crossAx val="368984448"/>
        <c:crosses val="autoZero"/>
        <c:auto val="1"/>
        <c:lblAlgn val="ctr"/>
        <c:lblOffset val="100"/>
        <c:noMultiLvlLbl val="0"/>
      </c:catAx>
      <c:valAx>
        <c:axId val="368984448"/>
        <c:scaling>
          <c:orientation val="minMax"/>
          <c:min val="0"/>
        </c:scaling>
        <c:delete val="0"/>
        <c:axPos val="l"/>
        <c:majorGridlines>
          <c:spPr>
            <a:ln>
              <a:solidFill>
                <a:schemeClr val="bg1"/>
              </a:solid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 per week</a:t>
                </a:r>
              </a:p>
            </c:rich>
          </c:tx>
          <c:layout>
            <c:manualLayout>
              <c:xMode val="edge"/>
              <c:yMode val="edge"/>
              <c:x val="1.4941227532747308E-2"/>
              <c:y val="0.48201224819124933"/>
            </c:manualLayout>
          </c:layout>
          <c:overlay val="0"/>
        </c:title>
        <c:numFmt formatCode="&quot;£&quot;#,##0" sourceLinked="0"/>
        <c:majorTickMark val="out"/>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368974464"/>
        <c:crosses val="autoZero"/>
        <c:crossBetween val="between"/>
      </c:valAx>
      <c:spPr>
        <a:ln>
          <a:noFill/>
        </a:ln>
      </c:spPr>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Summary'!$Q$78</c:f>
          <c:strCache>
            <c:ptCount val="1"/>
            <c:pt idx="0">
              <c:v>Average weekly net rent (£ per week) by unit size for  LARPs only</c:v>
            </c:pt>
          </c:strCache>
        </c:strRef>
      </c:tx>
      <c:layout>
        <c:manualLayout>
          <c:xMode val="edge"/>
          <c:yMode val="edge"/>
          <c:x val="8.0409011495656598E-3"/>
          <c:y val="5.0747129891206354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1469762621123551E-2"/>
          <c:y val="0.17663358913574567"/>
          <c:w val="0.89912530731596862"/>
          <c:h val="0.50662349335361012"/>
        </c:manualLayout>
      </c:layout>
      <c:barChart>
        <c:barDir val="col"/>
        <c:grouping val="clustered"/>
        <c:varyColors val="0"/>
        <c:ser>
          <c:idx val="0"/>
          <c:order val="0"/>
          <c:tx>
            <c:v>LARP rents</c:v>
          </c:tx>
          <c:spPr>
            <a:solidFill>
              <a:srgbClr val="59468D"/>
            </a:solidFill>
            <a:ln>
              <a:noFill/>
            </a:ln>
            <a:effectLst/>
          </c:spPr>
          <c:invertIfNegative val="0"/>
          <c:cat>
            <c:strLit>
              <c:ptCount val="10"/>
              <c:pt idx="0">
                <c:v>Non-self-contained</c:v>
              </c:pt>
              <c:pt idx="1">
                <c:v>Bedsit</c:v>
              </c:pt>
              <c:pt idx="2">
                <c:v>1 Bedroom</c:v>
              </c:pt>
              <c:pt idx="3">
                <c:v>2 Bedroom</c:v>
              </c:pt>
              <c:pt idx="4">
                <c:v>3 Bedroom</c:v>
              </c:pt>
              <c:pt idx="5">
                <c:v>4 Bedroom</c:v>
              </c:pt>
              <c:pt idx="6">
                <c:v>5 Bedroom</c:v>
              </c:pt>
              <c:pt idx="7">
                <c:v>6+ Bedroom</c:v>
              </c:pt>
              <c:pt idx="8">
                <c:v>All self-contained</c:v>
              </c:pt>
              <c:pt idx="9">
                <c:v>All stock sizes</c:v>
              </c:pt>
            </c:strLit>
          </c:cat>
          <c:val>
            <c:numRef>
              <c:f>'LARP Summary'!$F$79:$F$88</c:f>
              <c:numCache>
                <c:formatCode>"£"#,##0.00;\-"£"#,##0.00,\-;"-"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B5-487D-8BCF-FEBDAF5BC46B}"/>
            </c:ext>
          </c:extLst>
        </c:ser>
        <c:dLbls>
          <c:showLegendKey val="0"/>
          <c:showVal val="0"/>
          <c:showCatName val="0"/>
          <c:showSerName val="0"/>
          <c:showPercent val="0"/>
          <c:showBubbleSize val="0"/>
        </c:dLbls>
        <c:gapWidth val="50"/>
        <c:axId val="404355328"/>
        <c:axId val="1666720192"/>
      </c:barChart>
      <c:lineChart>
        <c:grouping val="stacked"/>
        <c:varyColors val="0"/>
        <c:ser>
          <c:idx val="2"/>
          <c:order val="1"/>
          <c:tx>
            <c:v>England average net rent</c:v>
          </c:tx>
          <c:spPr>
            <a:ln w="28575" cap="rnd">
              <a:noFill/>
              <a:round/>
            </a:ln>
            <a:effectLst/>
          </c:spPr>
          <c:marker>
            <c:symbol val="dash"/>
            <c:size val="29"/>
            <c:spPr>
              <a:solidFill>
                <a:srgbClr val="FCBE37"/>
              </a:solidFill>
              <a:ln w="12700" cap="sq" cmpd="sng">
                <a:noFill/>
                <a:miter lim="800000"/>
              </a:ln>
              <a:effectLst/>
            </c:spPr>
          </c:marker>
          <c:val>
            <c:numRef>
              <c:f>'LARP Summary'!$S$84:$S$93</c:f>
              <c:numCache>
                <c:formatCode>0.00</c:formatCode>
                <c:ptCount val="10"/>
                <c:pt idx="0">
                  <c:v>55.11</c:v>
                </c:pt>
                <c:pt idx="1">
                  <c:v>79.22</c:v>
                </c:pt>
                <c:pt idx="2">
                  <c:v>81.55</c:v>
                </c:pt>
                <c:pt idx="3">
                  <c:v>92.03</c:v>
                </c:pt>
                <c:pt idx="4">
                  <c:v>101.45</c:v>
                </c:pt>
                <c:pt idx="5">
                  <c:v>120.91</c:v>
                </c:pt>
                <c:pt idx="6">
                  <c:v>142.44999999999999</c:v>
                </c:pt>
                <c:pt idx="7">
                  <c:v>155.05000000000001</c:v>
                </c:pt>
                <c:pt idx="8">
                  <c:v>93.17</c:v>
                </c:pt>
                <c:pt idx="9">
                  <c:v>93.1</c:v>
                </c:pt>
              </c:numCache>
            </c:numRef>
          </c:val>
          <c:smooth val="0"/>
          <c:extLst>
            <c:ext xmlns:c16="http://schemas.microsoft.com/office/drawing/2014/chart" uri="{C3380CC4-5D6E-409C-BE32-E72D297353CC}">
              <c16:uniqueId val="{00000001-63B5-487D-8BCF-FEBDAF5BC46B}"/>
            </c:ext>
          </c:extLst>
        </c:ser>
        <c:dLbls>
          <c:showLegendKey val="0"/>
          <c:showVal val="0"/>
          <c:showCatName val="0"/>
          <c:showSerName val="0"/>
          <c:showPercent val="0"/>
          <c:showBubbleSize val="0"/>
        </c:dLbls>
        <c:marker val="1"/>
        <c:smooth val="0"/>
        <c:axId val="404355328"/>
        <c:axId val="1666720192"/>
      </c:lineChart>
      <c:catAx>
        <c:axId val="4043553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000" b="0" i="0" u="none" strike="noStrike" kern="1200" baseline="0">
                <a:solidFill>
                  <a:schemeClr val="tx1"/>
                </a:solidFill>
                <a:latin typeface="Arial" panose="020B0604020202020204" pitchFamily="34" charset="0"/>
                <a:ea typeface="+mn-ea"/>
                <a:cs typeface="+mn-cs"/>
              </a:defRPr>
            </a:pPr>
            <a:endParaRPr lang="en-US"/>
          </a:p>
        </c:txPr>
        <c:crossAx val="1666720192"/>
        <c:crossesAt val="0"/>
        <c:auto val="1"/>
        <c:lblAlgn val="ctr"/>
        <c:lblOffset val="100"/>
        <c:noMultiLvlLbl val="0"/>
      </c:catAx>
      <c:valAx>
        <c:axId val="1666720192"/>
        <c:scaling>
          <c:orientation val="minMax"/>
          <c:max val="180"/>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chemeClr val="tx1"/>
                    </a:solidFill>
                    <a:latin typeface="Arial" panose="020B0604020202020204" pitchFamily="34" charset="0"/>
                    <a:cs typeface="Arial" panose="020B0604020202020204" pitchFamily="34" charset="0"/>
                  </a:rPr>
                  <a:t>£ per week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404355328"/>
        <c:crosses val="autoZero"/>
        <c:crossBetween val="between"/>
        <c:majorUnit val="20"/>
        <c:minorUnit val="4"/>
      </c:valAx>
      <c:spPr>
        <a:noFill/>
        <a:ln>
          <a:noFill/>
        </a:ln>
        <a:effectLst/>
      </c:spPr>
    </c:plotArea>
    <c:legend>
      <c:legendPos val="b"/>
      <c:layout>
        <c:manualLayout>
          <c:xMode val="edge"/>
          <c:yMode val="edge"/>
          <c:x val="0.27539330471015072"/>
          <c:y val="0.91563978291938508"/>
          <c:w val="0.45927359432183662"/>
          <c:h val="8.0978982029933796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Summary'!$Q$78</c:f>
          <c:strCache>
            <c:ptCount val="1"/>
            <c:pt idx="0">
              <c:v>Average weekly net rent (£ per week) by unit size for  LARPs only</c:v>
            </c:pt>
          </c:strCache>
        </c:strRef>
      </c:tx>
      <c:layout>
        <c:manualLayout>
          <c:xMode val="edge"/>
          <c:yMode val="edge"/>
          <c:x val="1.0284973786204472E-2"/>
          <c:y val="5.6478455268468328E-2"/>
        </c:manualLayout>
      </c:layout>
      <c:overlay val="0"/>
      <c:spPr>
        <a:solidFill>
          <a:sysClr val="window" lastClr="FFFFFF"/>
        </a:solid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5374052888002853E-2"/>
          <c:y val="0.18807308970099668"/>
          <c:w val="0.88253767895326285"/>
          <c:h val="0.50143955842728971"/>
        </c:manualLayout>
      </c:layout>
      <c:barChart>
        <c:barDir val="col"/>
        <c:grouping val="clustered"/>
        <c:varyColors val="0"/>
        <c:ser>
          <c:idx val="0"/>
          <c:order val="0"/>
          <c:tx>
            <c:v>LARP rents</c:v>
          </c:tx>
          <c:spPr>
            <a:solidFill>
              <a:srgbClr val="59468D"/>
            </a:solidFill>
            <a:ln>
              <a:noFill/>
            </a:ln>
            <a:effectLst/>
          </c:spPr>
          <c:invertIfNegative val="0"/>
          <c:cat>
            <c:strLit>
              <c:ptCount val="8"/>
              <c:pt idx="0">
                <c:v>Non-self-contained</c:v>
              </c:pt>
              <c:pt idx="1">
                <c:v>Bedsit</c:v>
              </c:pt>
              <c:pt idx="2">
                <c:v>1 Bedroom</c:v>
              </c:pt>
              <c:pt idx="3">
                <c:v>2 Bedroom</c:v>
              </c:pt>
              <c:pt idx="4">
                <c:v>3 Bedroom</c:v>
              </c:pt>
              <c:pt idx="5">
                <c:v>4+ Bedroom</c:v>
              </c:pt>
              <c:pt idx="6">
                <c:v>All self-contained</c:v>
              </c:pt>
              <c:pt idx="7">
                <c:v>All stock sizes</c:v>
              </c:pt>
            </c:strLit>
          </c:cat>
          <c:val>
            <c:numRef>
              <c:f>'LARP Summary'!$F$101:$F$108</c:f>
              <c:numCache>
                <c:formatCode>"£"#,##0.00;\-"£"#,##0.00,\-;"-"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01F-42D4-8F0C-19E627B209FD}"/>
            </c:ext>
          </c:extLst>
        </c:ser>
        <c:dLbls>
          <c:showLegendKey val="0"/>
          <c:showVal val="0"/>
          <c:showCatName val="0"/>
          <c:showSerName val="0"/>
          <c:showPercent val="0"/>
          <c:showBubbleSize val="0"/>
        </c:dLbls>
        <c:gapWidth val="50"/>
        <c:axId val="450112095"/>
        <c:axId val="371219279"/>
      </c:barChart>
      <c:lineChart>
        <c:grouping val="standard"/>
        <c:varyColors val="0"/>
        <c:ser>
          <c:idx val="2"/>
          <c:order val="1"/>
          <c:tx>
            <c:v>England average net rent</c:v>
          </c:tx>
          <c:spPr>
            <a:ln w="28575" cap="rnd">
              <a:noFill/>
              <a:round/>
            </a:ln>
            <a:effectLst/>
          </c:spPr>
          <c:marker>
            <c:symbol val="dash"/>
            <c:size val="35"/>
            <c:spPr>
              <a:solidFill>
                <a:srgbClr val="FCBE37"/>
              </a:solidFill>
              <a:ln w="9525" cmpd="sng">
                <a:noFill/>
              </a:ln>
              <a:effectLst/>
            </c:spPr>
          </c:marker>
          <c:cat>
            <c:strLit>
              <c:ptCount val="8"/>
              <c:pt idx="0">
                <c:v>Non-self-contained</c:v>
              </c:pt>
              <c:pt idx="1">
                <c:v>Bedsit</c:v>
              </c:pt>
              <c:pt idx="2">
                <c:v>1 Bedroom</c:v>
              </c:pt>
              <c:pt idx="3">
                <c:v>2 Bedroom</c:v>
              </c:pt>
              <c:pt idx="4">
                <c:v>3 Bedroom</c:v>
              </c:pt>
              <c:pt idx="5">
                <c:v>4+ Bedroom</c:v>
              </c:pt>
              <c:pt idx="6">
                <c:v>All self-contained</c:v>
              </c:pt>
              <c:pt idx="7">
                <c:v>All stock sizes</c:v>
              </c:pt>
            </c:strLit>
          </c:cat>
          <c:val>
            <c:numRef>
              <c:f>'LARP Summary'!$S$98:$S$105</c:f>
              <c:numCache>
                <c:formatCode>0.00</c:formatCode>
                <c:ptCount val="8"/>
                <c:pt idx="0">
                  <c:v>80.19</c:v>
                </c:pt>
                <c:pt idx="1">
                  <c:v>72.98</c:v>
                </c:pt>
                <c:pt idx="2">
                  <c:v>80.69</c:v>
                </c:pt>
                <c:pt idx="3">
                  <c:v>87.79</c:v>
                </c:pt>
                <c:pt idx="4">
                  <c:v>101.01</c:v>
                </c:pt>
                <c:pt idx="5">
                  <c:v>123.63</c:v>
                </c:pt>
                <c:pt idx="6">
                  <c:v>81.489999999999995</c:v>
                </c:pt>
                <c:pt idx="7">
                  <c:v>81.459999999999994</c:v>
                </c:pt>
              </c:numCache>
            </c:numRef>
          </c:val>
          <c:smooth val="0"/>
          <c:extLst>
            <c:ext xmlns:c16="http://schemas.microsoft.com/office/drawing/2014/chart" uri="{C3380CC4-5D6E-409C-BE32-E72D297353CC}">
              <c16:uniqueId val="{00000001-601F-42D4-8F0C-19E627B209FD}"/>
            </c:ext>
          </c:extLst>
        </c:ser>
        <c:dLbls>
          <c:showLegendKey val="0"/>
          <c:showVal val="0"/>
          <c:showCatName val="0"/>
          <c:showSerName val="0"/>
          <c:showPercent val="0"/>
          <c:showBubbleSize val="0"/>
        </c:dLbls>
        <c:marker val="1"/>
        <c:smooth val="0"/>
        <c:axId val="450112095"/>
        <c:axId val="371219279"/>
      </c:lineChart>
      <c:catAx>
        <c:axId val="450112095"/>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71219279"/>
        <c:crosses val="autoZero"/>
        <c:auto val="1"/>
        <c:lblAlgn val="ctr"/>
        <c:lblOffset val="100"/>
        <c:noMultiLvlLbl val="0"/>
      </c:catAx>
      <c:valAx>
        <c:axId val="371219279"/>
        <c:scaling>
          <c:orientation val="minMax"/>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 per week</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50112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Summary'!$Q$166</c:f>
          <c:strCache>
            <c:ptCount val="1"/>
            <c:pt idx="0">
              <c:v>Average weekly gross rent (£ per week) by unit size for  LARPs only</c:v>
            </c:pt>
          </c:strCache>
        </c:strRef>
      </c:tx>
      <c:layout>
        <c:manualLayout>
          <c:xMode val="edge"/>
          <c:yMode val="edge"/>
          <c:x val="7.0666174992919852E-3"/>
          <c:y val="4.701921074924624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278446037454662"/>
          <c:y val="0.19173803526448363"/>
          <c:w val="0.87529232882415076"/>
          <c:h val="0.51450762609333778"/>
        </c:manualLayout>
      </c:layout>
      <c:barChart>
        <c:barDir val="col"/>
        <c:grouping val="clustered"/>
        <c:varyColors val="0"/>
        <c:ser>
          <c:idx val="0"/>
          <c:order val="0"/>
          <c:tx>
            <c:v>LARP rents</c:v>
          </c:tx>
          <c:spPr>
            <a:solidFill>
              <a:srgbClr val="59468D"/>
            </a:solidFill>
            <a:ln>
              <a:noFill/>
            </a:ln>
            <a:effectLst/>
          </c:spPr>
          <c:invertIfNegative val="0"/>
          <c:cat>
            <c:strLit>
              <c:ptCount val="10"/>
              <c:pt idx="0">
                <c:v>Non-self-contained</c:v>
              </c:pt>
              <c:pt idx="1">
                <c:v>Bedsit</c:v>
              </c:pt>
              <c:pt idx="2">
                <c:v>1 Bedroom</c:v>
              </c:pt>
              <c:pt idx="3">
                <c:v>2 Bedroom</c:v>
              </c:pt>
              <c:pt idx="4">
                <c:v>3 Bedroom</c:v>
              </c:pt>
              <c:pt idx="5">
                <c:v>4 Bedroom</c:v>
              </c:pt>
              <c:pt idx="6">
                <c:v>5 Bedroom</c:v>
              </c:pt>
              <c:pt idx="7">
                <c:v>6+ Bedroom</c:v>
              </c:pt>
              <c:pt idx="8">
                <c:v>All self-contained</c:v>
              </c:pt>
              <c:pt idx="9">
                <c:v>All stock sizes</c:v>
              </c:pt>
            </c:strLit>
          </c:cat>
          <c:val>
            <c:numRef>
              <c:f>'LARP Summary'!$F$167:$F$176</c:f>
              <c:numCache>
                <c:formatCode>"£"#,##0.00;\-"£"#,##0.0000_-;"-"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41-4DAC-BC06-34082DA58DD3}"/>
            </c:ext>
          </c:extLst>
        </c:ser>
        <c:dLbls>
          <c:showLegendKey val="0"/>
          <c:showVal val="0"/>
          <c:showCatName val="0"/>
          <c:showSerName val="0"/>
          <c:showPercent val="0"/>
          <c:showBubbleSize val="0"/>
        </c:dLbls>
        <c:gapWidth val="50"/>
        <c:axId val="823257328"/>
        <c:axId val="668349472"/>
      </c:barChart>
      <c:lineChart>
        <c:grouping val="standard"/>
        <c:varyColors val="0"/>
        <c:ser>
          <c:idx val="2"/>
          <c:order val="1"/>
          <c:tx>
            <c:v>England average gross rents</c:v>
          </c:tx>
          <c:spPr>
            <a:ln w="28575" cap="rnd">
              <a:noFill/>
              <a:round/>
            </a:ln>
            <a:effectLst/>
          </c:spPr>
          <c:marker>
            <c:symbol val="dash"/>
            <c:size val="30"/>
            <c:spPr>
              <a:solidFill>
                <a:srgbClr val="FCBE37"/>
              </a:solidFill>
              <a:ln w="9525">
                <a:noFill/>
              </a:ln>
              <a:effectLst/>
            </c:spPr>
          </c:marker>
          <c:cat>
            <c:strRef>
              <c:f>'LARP Summary'!$B$167:$B$176</c:f>
              <c:strCache>
                <c:ptCount val="10"/>
                <c:pt idx="0">
                  <c:v>Non-self-contained</c:v>
                </c:pt>
                <c:pt idx="1">
                  <c:v>Bedsit</c:v>
                </c:pt>
                <c:pt idx="2">
                  <c:v>1 Bedroom</c:v>
                </c:pt>
                <c:pt idx="3">
                  <c:v>2 Bedroom</c:v>
                </c:pt>
                <c:pt idx="4">
                  <c:v>3 Bedroom</c:v>
                </c:pt>
                <c:pt idx="5">
                  <c:v>4 Bedroom</c:v>
                </c:pt>
                <c:pt idx="6">
                  <c:v>5 Bedroom</c:v>
                </c:pt>
                <c:pt idx="7">
                  <c:v>6+ Bedroom</c:v>
                </c:pt>
                <c:pt idx="8">
                  <c:v>All self-contained</c:v>
                </c:pt>
                <c:pt idx="9">
                  <c:v>All stock sizes</c:v>
                </c:pt>
              </c:strCache>
            </c:strRef>
          </c:cat>
          <c:val>
            <c:numRef>
              <c:f>'LARP Summary'!$S$168:$S$177</c:f>
              <c:numCache>
                <c:formatCode>0.00</c:formatCode>
                <c:ptCount val="10"/>
                <c:pt idx="0">
                  <c:v>99.37</c:v>
                </c:pt>
                <c:pt idx="1">
                  <c:v>102.86</c:v>
                </c:pt>
                <c:pt idx="2">
                  <c:v>120</c:v>
                </c:pt>
                <c:pt idx="3">
                  <c:v>134.38999999999999</c:v>
                </c:pt>
                <c:pt idx="4">
                  <c:v>150.05000000000001</c:v>
                </c:pt>
                <c:pt idx="5">
                  <c:v>175.25</c:v>
                </c:pt>
                <c:pt idx="6">
                  <c:v>185.55</c:v>
                </c:pt>
                <c:pt idx="7">
                  <c:v>229.89</c:v>
                </c:pt>
                <c:pt idx="8">
                  <c:v>137.71</c:v>
                </c:pt>
                <c:pt idx="9">
                  <c:v>137.65</c:v>
                </c:pt>
              </c:numCache>
            </c:numRef>
          </c:val>
          <c:smooth val="0"/>
          <c:extLst>
            <c:ext xmlns:c16="http://schemas.microsoft.com/office/drawing/2014/chart" uri="{C3380CC4-5D6E-409C-BE32-E72D297353CC}">
              <c16:uniqueId val="{00000001-BB41-4DAC-BC06-34082DA58DD3}"/>
            </c:ext>
          </c:extLst>
        </c:ser>
        <c:dLbls>
          <c:showLegendKey val="0"/>
          <c:showVal val="0"/>
          <c:showCatName val="0"/>
          <c:showSerName val="0"/>
          <c:showPercent val="0"/>
          <c:showBubbleSize val="0"/>
        </c:dLbls>
        <c:marker val="1"/>
        <c:smooth val="0"/>
        <c:axId val="823257328"/>
        <c:axId val="668349472"/>
      </c:lineChart>
      <c:catAx>
        <c:axId val="8232573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8349472"/>
        <c:crosses val="autoZero"/>
        <c:auto val="1"/>
        <c:lblAlgn val="ctr"/>
        <c:lblOffset val="100"/>
        <c:noMultiLvlLbl val="0"/>
      </c:catAx>
      <c:valAx>
        <c:axId val="668349472"/>
        <c:scaling>
          <c:orientation val="minMax"/>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Arial" panose="020B0604020202020204" pitchFamily="34" charset="0"/>
                    <a:ea typeface="+mn-ea"/>
                    <a:cs typeface="Arial" panose="020B0604020202020204" pitchFamily="34" charset="0"/>
                  </a:defRPr>
                </a:pPr>
                <a:r>
                  <a:rPr lang="en-GB" b="1">
                    <a:solidFill>
                      <a:schemeClr val="tx1"/>
                    </a:solidFill>
                    <a:latin typeface="Arial" panose="020B0604020202020204" pitchFamily="34" charset="0"/>
                    <a:cs typeface="Arial" panose="020B0604020202020204" pitchFamily="34" charset="0"/>
                  </a:rPr>
                  <a:t>£ per week</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823257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Summary'!$Q$166</c:f>
          <c:strCache>
            <c:ptCount val="1"/>
            <c:pt idx="0">
              <c:v>Average weekly gross rent (£ per week) by unit size for  LARPs only</c:v>
            </c:pt>
          </c:strCache>
        </c:strRef>
      </c:tx>
      <c:layout>
        <c:manualLayout>
          <c:xMode val="edge"/>
          <c:yMode val="edge"/>
          <c:x val="1.0158861939974834E-2"/>
          <c:y val="5.3736440839631881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074286941879933"/>
          <c:y val="0.19012594458438287"/>
          <c:w val="0.87733932628293532"/>
          <c:h val="0.5162892295893744"/>
        </c:manualLayout>
      </c:layout>
      <c:barChart>
        <c:barDir val="col"/>
        <c:grouping val="clustered"/>
        <c:varyColors val="0"/>
        <c:ser>
          <c:idx val="0"/>
          <c:order val="0"/>
          <c:tx>
            <c:v>LARP rents</c:v>
          </c:tx>
          <c:spPr>
            <a:solidFill>
              <a:srgbClr val="59468D"/>
            </a:solidFill>
            <a:ln>
              <a:noFill/>
            </a:ln>
            <a:effectLst/>
          </c:spPr>
          <c:invertIfNegative val="0"/>
          <c:cat>
            <c:strLit>
              <c:ptCount val="8"/>
              <c:pt idx="0">
                <c:v>Non-self-contained</c:v>
              </c:pt>
              <c:pt idx="1">
                <c:v>Bedsit</c:v>
              </c:pt>
              <c:pt idx="2">
                <c:v>1 Bedroom</c:v>
              </c:pt>
              <c:pt idx="3">
                <c:v>2 Bedroom</c:v>
              </c:pt>
              <c:pt idx="4">
                <c:v>3 Bedroom</c:v>
              </c:pt>
              <c:pt idx="5">
                <c:v>4+ Bedroom</c:v>
              </c:pt>
              <c:pt idx="6">
                <c:v>All self-contained</c:v>
              </c:pt>
              <c:pt idx="7">
                <c:v>All stock sizes</c:v>
              </c:pt>
            </c:strLit>
          </c:cat>
          <c:val>
            <c:numRef>
              <c:f>'LARP Summary'!$F$189:$F$196</c:f>
              <c:numCache>
                <c:formatCode>"£"#,##0.00;\-"£"#,##0.0000_-;"-"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471-41FF-A790-7114209E37BE}"/>
            </c:ext>
          </c:extLst>
        </c:ser>
        <c:dLbls>
          <c:showLegendKey val="0"/>
          <c:showVal val="0"/>
          <c:showCatName val="0"/>
          <c:showSerName val="0"/>
          <c:showPercent val="0"/>
          <c:showBubbleSize val="0"/>
        </c:dLbls>
        <c:gapWidth val="50"/>
        <c:axId val="898087776"/>
        <c:axId val="268860720"/>
      </c:barChart>
      <c:lineChart>
        <c:grouping val="standard"/>
        <c:varyColors val="0"/>
        <c:ser>
          <c:idx val="2"/>
          <c:order val="1"/>
          <c:tx>
            <c:v>England average gross rents</c:v>
          </c:tx>
          <c:spPr>
            <a:ln w="28575" cap="rnd">
              <a:noFill/>
              <a:round/>
            </a:ln>
            <a:effectLst/>
          </c:spPr>
          <c:marker>
            <c:symbol val="dash"/>
            <c:size val="36"/>
            <c:spPr>
              <a:solidFill>
                <a:srgbClr val="FCBE37"/>
              </a:solidFill>
              <a:ln w="9525">
                <a:noFill/>
              </a:ln>
              <a:effectLst/>
            </c:spPr>
          </c:marker>
          <c:cat>
            <c:strRef>
              <c:f>'LARP Summary'!$B$189:$B$196</c:f>
              <c:strCache>
                <c:ptCount val="8"/>
                <c:pt idx="0">
                  <c:v>Non-self-contained</c:v>
                </c:pt>
                <c:pt idx="1">
                  <c:v>Bedsit</c:v>
                </c:pt>
                <c:pt idx="2">
                  <c:v>1 Bedroom</c:v>
                </c:pt>
                <c:pt idx="3">
                  <c:v>2 Bedroom</c:v>
                </c:pt>
                <c:pt idx="4">
                  <c:v>3 Bedroom</c:v>
                </c:pt>
                <c:pt idx="5">
                  <c:v>4+ Bedroom</c:v>
                </c:pt>
                <c:pt idx="6">
                  <c:v>All self-contained</c:v>
                </c:pt>
                <c:pt idx="7">
                  <c:v>All stock sizes</c:v>
                </c:pt>
              </c:strCache>
            </c:strRef>
          </c:cat>
          <c:val>
            <c:numRef>
              <c:f>'LARP Summary'!$S$186:$S$193</c:f>
              <c:numCache>
                <c:formatCode>0.00</c:formatCode>
                <c:ptCount val="8"/>
                <c:pt idx="0">
                  <c:v>97.08</c:v>
                </c:pt>
                <c:pt idx="1">
                  <c:v>156.19999999999999</c:v>
                </c:pt>
                <c:pt idx="2">
                  <c:v>149.25</c:v>
                </c:pt>
                <c:pt idx="3">
                  <c:v>147.02000000000001</c:v>
                </c:pt>
                <c:pt idx="4">
                  <c:v>125.24</c:v>
                </c:pt>
                <c:pt idx="5">
                  <c:v>190.66</c:v>
                </c:pt>
                <c:pt idx="6">
                  <c:v>148.66</c:v>
                </c:pt>
                <c:pt idx="7">
                  <c:v>143.80000000000001</c:v>
                </c:pt>
              </c:numCache>
            </c:numRef>
          </c:val>
          <c:smooth val="0"/>
          <c:extLst>
            <c:ext xmlns:c16="http://schemas.microsoft.com/office/drawing/2014/chart" uri="{C3380CC4-5D6E-409C-BE32-E72D297353CC}">
              <c16:uniqueId val="{00000001-9471-41FF-A790-7114209E37BE}"/>
            </c:ext>
          </c:extLst>
        </c:ser>
        <c:dLbls>
          <c:showLegendKey val="0"/>
          <c:showVal val="0"/>
          <c:showCatName val="0"/>
          <c:showSerName val="0"/>
          <c:showPercent val="0"/>
          <c:showBubbleSize val="0"/>
        </c:dLbls>
        <c:marker val="1"/>
        <c:smooth val="0"/>
        <c:axId val="898087776"/>
        <c:axId val="268860720"/>
      </c:lineChart>
      <c:catAx>
        <c:axId val="89808777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68860720"/>
        <c:crosses val="autoZero"/>
        <c:auto val="1"/>
        <c:lblAlgn val="ctr"/>
        <c:lblOffset val="100"/>
        <c:noMultiLvlLbl val="0"/>
      </c:catAx>
      <c:valAx>
        <c:axId val="268860720"/>
        <c:scaling>
          <c:orientation val="minMax"/>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chemeClr val="tx1"/>
                    </a:solidFill>
                    <a:latin typeface="Arial" panose="020B0604020202020204" pitchFamily="34" charset="0"/>
                    <a:cs typeface="Arial" panose="020B0604020202020204" pitchFamily="34" charset="0"/>
                  </a:rPr>
                  <a:t>£ per week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98087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xdr:col>
      <xdr:colOff>98424</xdr:colOff>
      <xdr:row>1</xdr:row>
      <xdr:rowOff>162129</xdr:rowOff>
    </xdr:from>
    <xdr:to>
      <xdr:col>4</xdr:col>
      <xdr:colOff>571500</xdr:colOff>
      <xdr:row>4</xdr:row>
      <xdr:rowOff>449896</xdr:rowOff>
    </xdr:to>
    <xdr:pic>
      <xdr:nvPicPr>
        <xdr:cNvPr id="2" name="Picture 1">
          <a:extLst>
            <a:ext uri="{FF2B5EF4-FFF2-40B4-BE49-F238E27FC236}">
              <a16:creationId xmlns:a16="http://schemas.microsoft.com/office/drawing/2014/main" id="{F84C4FD2-B6A8-41B5-B928-D36E2AB751BC}"/>
            </a:ext>
          </a:extLst>
        </xdr:cNvPr>
        <xdr:cNvPicPr>
          <a:picLocks noChangeAspect="1"/>
        </xdr:cNvPicPr>
      </xdr:nvPicPr>
      <xdr:blipFill>
        <a:blip xmlns:r="http://schemas.openxmlformats.org/officeDocument/2006/relationships" r:embed="rId1"/>
        <a:stretch>
          <a:fillRect/>
        </a:stretch>
      </xdr:blipFill>
      <xdr:spPr>
        <a:xfrm>
          <a:off x="450849" y="390729"/>
          <a:ext cx="1920876" cy="973567"/>
        </a:xfrm>
        <a:prstGeom prst="rect">
          <a:avLst/>
        </a:prstGeom>
      </xdr:spPr>
    </xdr:pic>
    <xdr:clientData/>
  </xdr:twoCellAnchor>
  <xdr:twoCellAnchor>
    <xdr:from>
      <xdr:col>4</xdr:col>
      <xdr:colOff>6327245</xdr:colOff>
      <xdr:row>0</xdr:row>
      <xdr:rowOff>200686</xdr:rowOff>
    </xdr:from>
    <xdr:to>
      <xdr:col>10</xdr:col>
      <xdr:colOff>525478</xdr:colOff>
      <xdr:row>6</xdr:row>
      <xdr:rowOff>144656</xdr:rowOff>
    </xdr:to>
    <xdr:sp macro="" textlink="">
      <xdr:nvSpPr>
        <xdr:cNvPr id="3" name="Text Box 2">
          <a:extLst>
            <a:ext uri="{FF2B5EF4-FFF2-40B4-BE49-F238E27FC236}">
              <a16:creationId xmlns:a16="http://schemas.microsoft.com/office/drawing/2014/main" id="{59303CBA-F2E0-4745-AF4C-2EAEB2DEB5CB}"/>
            </a:ext>
          </a:extLst>
        </xdr:cNvPr>
        <xdr:cNvSpPr>
          <a:spLocks noChangeArrowheads="1"/>
        </xdr:cNvSpPr>
      </xdr:nvSpPr>
      <xdr:spPr bwMode="auto">
        <a:xfrm>
          <a:off x="8124295" y="200686"/>
          <a:ext cx="4510633" cy="1550520"/>
        </a:xfrm>
        <a:prstGeom prst="roundRect">
          <a:avLst>
            <a:gd name="adj" fmla="val 9648"/>
          </a:avLst>
        </a:prstGeom>
        <a:noFill/>
        <a:ln w="28575" algn="ctr">
          <a:solidFill>
            <a:srgbClr val="59468D"/>
          </a:solidFill>
          <a:round/>
          <a:headEnd/>
          <a:tailEnd/>
        </a:ln>
        <a:effectLst/>
        <a:extLst>
          <a:ext uri="{909E8E84-426E-40DD-AFC4-6F175D3DCCD1}">
            <a14:hiddenFill xmlns:a14="http://schemas.microsoft.com/office/drawing/2010/main">
              <a:solidFill>
                <a:srgbClr val="EEEBF5"/>
              </a:solidFill>
            </a14:hiddenFill>
          </a:ext>
          <a:ext uri="{AF507438-7753-43E0-B8FC-AC1667EBCBE1}">
            <a14:hiddenEffects xmlns:a14="http://schemas.microsoft.com/office/drawing/2010/main">
              <a:effectLst>
                <a:outerShdw sx="0" sy="0" algn="ctr" rotWithShape="0">
                  <a:srgbClr val="59468D">
                    <a:alpha val="0"/>
                  </a:srgbClr>
                </a:outerShdw>
              </a:effectLst>
            </a14:hiddenEffects>
          </a:ext>
        </a:extLst>
      </xdr:spPr>
      <xdr:txBody>
        <a:bodyPr vertOverflow="clip" wrap="square" lIns="91440" tIns="45720" rIns="91440" bIns="45720" anchor="t" upright="1"/>
        <a:lstStyle/>
        <a:p>
          <a:pPr algn="ctr" rtl="0">
            <a:defRPr sz="1000"/>
          </a:pPr>
          <a:r>
            <a:rPr lang="en-GB" sz="1200" b="1" i="0" u="none" strike="noStrike" baseline="0">
              <a:solidFill>
                <a:srgbClr val="594691"/>
              </a:solidFill>
              <a:latin typeface="Arial"/>
              <a:cs typeface="Arial"/>
            </a:rPr>
            <a:t>Why not have your say on our statistics in 2023/24?</a:t>
          </a:r>
        </a:p>
        <a:p>
          <a:pPr algn="ctr" rtl="0">
            <a:defRPr sz="1000"/>
          </a:pPr>
          <a:endParaRPr lang="en-GB" sz="600" b="1" i="0" u="none" strike="noStrike" baseline="0">
            <a:solidFill>
              <a:srgbClr val="594691"/>
            </a:solidFill>
            <a:latin typeface="Arial"/>
            <a:cs typeface="Arial"/>
          </a:endParaRPr>
        </a:p>
        <a:p>
          <a:pPr algn="ctr" rtl="0">
            <a:defRPr sz="1000"/>
          </a:pPr>
          <a:r>
            <a:rPr lang="en-GB" sz="1000" b="0" i="0" u="none" strike="noStrike" baseline="0">
              <a:solidFill>
                <a:srgbClr val="594691"/>
              </a:solidFill>
              <a:latin typeface="Arial"/>
              <a:cs typeface="Arial"/>
            </a:rPr>
            <a:t>Email feedback to </a:t>
          </a:r>
          <a:r>
            <a:rPr lang="en-GB" sz="1000" b="0" i="0" u="none" strike="noStrike" baseline="0">
              <a:solidFill>
                <a:srgbClr val="0000FF"/>
              </a:solidFill>
              <a:latin typeface="Arial"/>
              <a:cs typeface="Arial"/>
            </a:rPr>
            <a:t>enquiries@rsh.gov.uk</a:t>
          </a:r>
          <a:r>
            <a:rPr lang="en-GB" sz="1000" b="0" i="0" u="none" strike="noStrike" baseline="0">
              <a:solidFill>
                <a:srgbClr val="594691"/>
              </a:solidFill>
              <a:latin typeface="Arial"/>
              <a:cs typeface="Arial"/>
            </a:rPr>
            <a:t> or rate how this document meets your needs </a:t>
          </a:r>
          <a:r>
            <a:rPr lang="en-GB" sz="1000" b="1" i="0" u="none" strike="noStrike" baseline="0">
              <a:solidFill>
                <a:srgbClr val="594691"/>
              </a:solidFill>
              <a:latin typeface="Arial"/>
              <a:cs typeface="Arial"/>
            </a:rPr>
            <a:t>by clicking 1 of the 3 options below:</a:t>
          </a:r>
        </a:p>
        <a:p>
          <a:pPr algn="l" rtl="0">
            <a:defRPr sz="1000"/>
          </a:pPr>
          <a:endParaRPr lang="en-GB" sz="1100" b="0" i="0" u="none" strike="noStrike" baseline="0">
            <a:solidFill>
              <a:srgbClr val="00B050"/>
            </a:solidFill>
            <a:latin typeface="Arial"/>
            <a:cs typeface="Aria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133350</xdr:colOff>
      <xdr:row>14</xdr:row>
      <xdr:rowOff>38100</xdr:rowOff>
    </xdr:from>
    <xdr:to>
      <xdr:col>10</xdr:col>
      <xdr:colOff>215900</xdr:colOff>
      <xdr:row>25</xdr:row>
      <xdr:rowOff>15875</xdr:rowOff>
    </xdr:to>
    <xdr:pic>
      <xdr:nvPicPr>
        <xdr:cNvPr id="5" name="Picture 4">
          <a:extLst>
            <a:ext uri="{FF2B5EF4-FFF2-40B4-BE49-F238E27FC236}">
              <a16:creationId xmlns:a16="http://schemas.microsoft.com/office/drawing/2014/main" id="{2D08F706-53FB-4088-81CF-91000F4AC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549400"/>
          <a:ext cx="5810250" cy="196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114300</xdr:colOff>
      <xdr:row>29</xdr:row>
      <xdr:rowOff>95250</xdr:rowOff>
    </xdr:from>
    <xdr:to>
      <xdr:col>10</xdr:col>
      <xdr:colOff>168275</xdr:colOff>
      <xdr:row>34</xdr:row>
      <xdr:rowOff>111125</xdr:rowOff>
    </xdr:to>
    <xdr:pic>
      <xdr:nvPicPr>
        <xdr:cNvPr id="6" name="Picture 5">
          <a:extLst>
            <a:ext uri="{FF2B5EF4-FFF2-40B4-BE49-F238E27FC236}">
              <a16:creationId xmlns:a16="http://schemas.microsoft.com/office/drawing/2014/main" id="{8DED1346-E25A-4446-A451-E422377531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4191000"/>
          <a:ext cx="5781675" cy="920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152400</xdr:colOff>
      <xdr:row>37</xdr:row>
      <xdr:rowOff>85725</xdr:rowOff>
    </xdr:from>
    <xdr:to>
      <xdr:col>10</xdr:col>
      <xdr:colOff>168275</xdr:colOff>
      <xdr:row>46</xdr:row>
      <xdr:rowOff>6350</xdr:rowOff>
    </xdr:to>
    <xdr:pic>
      <xdr:nvPicPr>
        <xdr:cNvPr id="7" name="Picture 6">
          <a:extLst>
            <a:ext uri="{FF2B5EF4-FFF2-40B4-BE49-F238E27FC236}">
              <a16:creationId xmlns:a16="http://schemas.microsoft.com/office/drawing/2014/main" id="{A98C8DBE-E5A7-4875-91C1-C6B0E962ACC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2400" y="5457825"/>
          <a:ext cx="5743575" cy="1558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xdr:colOff>
      <xdr:row>4</xdr:row>
      <xdr:rowOff>57150</xdr:rowOff>
    </xdr:from>
    <xdr:to>
      <xdr:col>10</xdr:col>
      <xdr:colOff>190500</xdr:colOff>
      <xdr:row>10</xdr:row>
      <xdr:rowOff>140795</xdr:rowOff>
    </xdr:to>
    <xdr:pic>
      <xdr:nvPicPr>
        <xdr:cNvPr id="8" name="Picture 7">
          <a:extLst>
            <a:ext uri="{FF2B5EF4-FFF2-40B4-BE49-F238E27FC236}">
              <a16:creationId xmlns:a16="http://schemas.microsoft.com/office/drawing/2014/main" id="{70F192A7-5199-4F6B-8E51-1160377BF3D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1450" y="952500"/>
          <a:ext cx="6000750" cy="1166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48</xdr:row>
      <xdr:rowOff>85725</xdr:rowOff>
    </xdr:from>
    <xdr:to>
      <xdr:col>10</xdr:col>
      <xdr:colOff>142875</xdr:colOff>
      <xdr:row>54</xdr:row>
      <xdr:rowOff>169370</xdr:rowOff>
    </xdr:to>
    <xdr:pic>
      <xdr:nvPicPr>
        <xdr:cNvPr id="12" name="Picture 11">
          <a:extLst>
            <a:ext uri="{FF2B5EF4-FFF2-40B4-BE49-F238E27FC236}">
              <a16:creationId xmlns:a16="http://schemas.microsoft.com/office/drawing/2014/main" id="{BA34165C-4E91-419B-AFDE-33D4D962A6B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3825" y="8982075"/>
          <a:ext cx="6000750" cy="11694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447675</xdr:colOff>
      <xdr:row>1</xdr:row>
      <xdr:rowOff>53975</xdr:rowOff>
    </xdr:from>
    <xdr:ext cx="1821180" cy="927072"/>
    <xdr:pic>
      <xdr:nvPicPr>
        <xdr:cNvPr id="2" name="Picture 1">
          <a:extLst>
            <a:ext uri="{FF2B5EF4-FFF2-40B4-BE49-F238E27FC236}">
              <a16:creationId xmlns:a16="http://schemas.microsoft.com/office/drawing/2014/main" id="{4053CC34-3B01-47A5-B111-C6FC0AD0F943}"/>
            </a:ext>
          </a:extLst>
        </xdr:cNvPr>
        <xdr:cNvPicPr>
          <a:picLocks noChangeAspect="1"/>
        </xdr:cNvPicPr>
      </xdr:nvPicPr>
      <xdr:blipFill>
        <a:blip xmlns:r="http://schemas.openxmlformats.org/officeDocument/2006/relationships" r:embed="rId1"/>
        <a:stretch>
          <a:fillRect/>
        </a:stretch>
      </xdr:blipFill>
      <xdr:spPr>
        <a:xfrm>
          <a:off x="447675" y="349250"/>
          <a:ext cx="1821180" cy="92707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285750</xdr:colOff>
      <xdr:row>1</xdr:row>
      <xdr:rowOff>82550</xdr:rowOff>
    </xdr:from>
    <xdr:ext cx="1708967" cy="869950"/>
    <xdr:pic>
      <xdr:nvPicPr>
        <xdr:cNvPr id="3" name="Picture 2">
          <a:extLst>
            <a:ext uri="{FF2B5EF4-FFF2-40B4-BE49-F238E27FC236}">
              <a16:creationId xmlns:a16="http://schemas.microsoft.com/office/drawing/2014/main" id="{893B2EAE-D297-4D23-A7B6-54BCBCAC517A}"/>
            </a:ext>
          </a:extLst>
        </xdr:cNvPr>
        <xdr:cNvPicPr>
          <a:picLocks noChangeAspect="1"/>
        </xdr:cNvPicPr>
      </xdr:nvPicPr>
      <xdr:blipFill>
        <a:blip xmlns:r="http://schemas.openxmlformats.org/officeDocument/2006/relationships" r:embed="rId1"/>
        <a:stretch>
          <a:fillRect/>
        </a:stretch>
      </xdr:blipFill>
      <xdr:spPr>
        <a:xfrm>
          <a:off x="390525" y="377825"/>
          <a:ext cx="1708967" cy="86995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8</xdr:col>
      <xdr:colOff>6349</xdr:colOff>
      <xdr:row>5</xdr:row>
      <xdr:rowOff>177799</xdr:rowOff>
    </xdr:from>
    <xdr:to>
      <xdr:col>14</xdr:col>
      <xdr:colOff>789622</xdr:colOff>
      <xdr:row>25</xdr:row>
      <xdr:rowOff>648</xdr:rowOff>
    </xdr:to>
    <xdr:graphicFrame macro="">
      <xdr:nvGraphicFramePr>
        <xdr:cNvPr id="2" name="Chart 1">
          <a:extLst>
            <a:ext uri="{FF2B5EF4-FFF2-40B4-BE49-F238E27FC236}">
              <a16:creationId xmlns:a16="http://schemas.microsoft.com/office/drawing/2014/main" id="{5A701181-BE64-4CCF-AB20-0AECFE5D3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6349</xdr:colOff>
      <xdr:row>114</xdr:row>
      <xdr:rowOff>187325</xdr:rowOff>
    </xdr:from>
    <xdr:to>
      <xdr:col>14</xdr:col>
      <xdr:colOff>789622</xdr:colOff>
      <xdr:row>135</xdr:row>
      <xdr:rowOff>187325</xdr:rowOff>
    </xdr:to>
    <xdr:graphicFrame macro="">
      <xdr:nvGraphicFramePr>
        <xdr:cNvPr id="3" name="Chart 2">
          <a:extLst>
            <a:ext uri="{FF2B5EF4-FFF2-40B4-BE49-F238E27FC236}">
              <a16:creationId xmlns:a16="http://schemas.microsoft.com/office/drawing/2014/main" id="{435B7E19-A945-47EA-976C-4D4C0FBCB7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6349</xdr:colOff>
      <xdr:row>137</xdr:row>
      <xdr:rowOff>977</xdr:rowOff>
    </xdr:from>
    <xdr:to>
      <xdr:col>14</xdr:col>
      <xdr:colOff>789622</xdr:colOff>
      <xdr:row>157</xdr:row>
      <xdr:rowOff>180975</xdr:rowOff>
    </xdr:to>
    <xdr:graphicFrame macro="">
      <xdr:nvGraphicFramePr>
        <xdr:cNvPr id="4" name="Chart 3">
          <a:extLst>
            <a:ext uri="{FF2B5EF4-FFF2-40B4-BE49-F238E27FC236}">
              <a16:creationId xmlns:a16="http://schemas.microsoft.com/office/drawing/2014/main" id="{89074A32-E586-40DF-A3A4-8929443B1E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215900</xdr:colOff>
      <xdr:row>137</xdr:row>
      <xdr:rowOff>19050</xdr:rowOff>
    </xdr:from>
    <xdr:to>
      <xdr:col>13</xdr:col>
      <xdr:colOff>492125</xdr:colOff>
      <xdr:row>138</xdr:row>
      <xdr:rowOff>133350</xdr:rowOff>
    </xdr:to>
    <xdr:sp macro="" textlink="">
      <xdr:nvSpPr>
        <xdr:cNvPr id="5" name="TextBox 4">
          <a:extLst>
            <a:ext uri="{FF2B5EF4-FFF2-40B4-BE49-F238E27FC236}">
              <a16:creationId xmlns:a16="http://schemas.microsoft.com/office/drawing/2014/main" id="{9A5D1072-FFB9-42CA-B31B-C6457D5721CA}"/>
            </a:ext>
          </a:extLst>
        </xdr:cNvPr>
        <xdr:cNvSpPr txBox="1"/>
      </xdr:nvSpPr>
      <xdr:spPr>
        <a:xfrm>
          <a:off x="7038975" y="25193625"/>
          <a:ext cx="51308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59468D"/>
              </a:solidFill>
              <a:latin typeface="Arial" panose="020B0604020202020204" pitchFamily="34" charset="0"/>
              <a:cs typeface="Arial" panose="020B0604020202020204" pitchFamily="34" charset="0"/>
            </a:rPr>
            <a:t>Affordable Rent supported housing</a:t>
          </a:r>
        </a:p>
      </xdr:txBody>
    </xdr:sp>
    <xdr:clientData/>
  </xdr:twoCellAnchor>
  <xdr:twoCellAnchor>
    <xdr:from>
      <xdr:col>8</xdr:col>
      <xdr:colOff>6349</xdr:colOff>
      <xdr:row>25</xdr:row>
      <xdr:rowOff>187325</xdr:rowOff>
    </xdr:from>
    <xdr:to>
      <xdr:col>14</xdr:col>
      <xdr:colOff>789622</xdr:colOff>
      <xdr:row>47</xdr:row>
      <xdr:rowOff>187325</xdr:rowOff>
    </xdr:to>
    <xdr:graphicFrame macro="">
      <xdr:nvGraphicFramePr>
        <xdr:cNvPr id="6" name="Chart 5">
          <a:extLst>
            <a:ext uri="{FF2B5EF4-FFF2-40B4-BE49-F238E27FC236}">
              <a16:creationId xmlns:a16="http://schemas.microsoft.com/office/drawing/2014/main" id="{B4D321F9-A4E6-4A2D-97C0-FA44B6FF0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6349</xdr:colOff>
      <xdr:row>49</xdr:row>
      <xdr:rowOff>2196</xdr:rowOff>
    </xdr:from>
    <xdr:to>
      <xdr:col>14</xdr:col>
      <xdr:colOff>789622</xdr:colOff>
      <xdr:row>70</xdr:row>
      <xdr:rowOff>0</xdr:rowOff>
    </xdr:to>
    <xdr:graphicFrame macro="">
      <xdr:nvGraphicFramePr>
        <xdr:cNvPr id="7" name="Chart 6">
          <a:extLst>
            <a:ext uri="{FF2B5EF4-FFF2-40B4-BE49-F238E27FC236}">
              <a16:creationId xmlns:a16="http://schemas.microsoft.com/office/drawing/2014/main" id="{CAA5974A-C358-4391-ACB7-A655B4EE2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215900</xdr:colOff>
      <xdr:row>26</xdr:row>
      <xdr:rowOff>6350</xdr:rowOff>
    </xdr:from>
    <xdr:to>
      <xdr:col>10</xdr:col>
      <xdr:colOff>330200</xdr:colOff>
      <xdr:row>27</xdr:row>
      <xdr:rowOff>57150</xdr:rowOff>
    </xdr:to>
    <xdr:sp macro="" textlink="">
      <xdr:nvSpPr>
        <xdr:cNvPr id="8" name="TextBox 7">
          <a:extLst>
            <a:ext uri="{FF2B5EF4-FFF2-40B4-BE49-F238E27FC236}">
              <a16:creationId xmlns:a16="http://schemas.microsoft.com/office/drawing/2014/main" id="{4C5D9181-59BC-469D-BCA6-641277AFDB77}"/>
            </a:ext>
          </a:extLst>
        </xdr:cNvPr>
        <xdr:cNvSpPr txBox="1"/>
      </xdr:nvSpPr>
      <xdr:spPr>
        <a:xfrm>
          <a:off x="7038975" y="5286375"/>
          <a:ext cx="24288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59468D"/>
              </a:solidFill>
              <a:latin typeface="Arial" panose="020B0604020202020204" pitchFamily="34" charset="0"/>
              <a:cs typeface="Arial" panose="020B0604020202020204" pitchFamily="34" charset="0"/>
            </a:rPr>
            <a:t>General needs (social rent)</a:t>
          </a:r>
        </a:p>
      </xdr:txBody>
    </xdr:sp>
    <xdr:clientData/>
  </xdr:twoCellAnchor>
  <xdr:twoCellAnchor>
    <xdr:from>
      <xdr:col>7</xdr:col>
      <xdr:colOff>171449</xdr:colOff>
      <xdr:row>48</xdr:row>
      <xdr:rowOff>139700</xdr:rowOff>
    </xdr:from>
    <xdr:to>
      <xdr:col>13</xdr:col>
      <xdr:colOff>155574</xdr:colOff>
      <xdr:row>50</xdr:row>
      <xdr:rowOff>63500</xdr:rowOff>
    </xdr:to>
    <xdr:sp macro="" textlink="">
      <xdr:nvSpPr>
        <xdr:cNvPr id="9" name="TextBox 8">
          <a:extLst>
            <a:ext uri="{FF2B5EF4-FFF2-40B4-BE49-F238E27FC236}">
              <a16:creationId xmlns:a16="http://schemas.microsoft.com/office/drawing/2014/main" id="{232A324E-A934-4660-ADA6-6EEBAF2BAEE5}"/>
            </a:ext>
          </a:extLst>
        </xdr:cNvPr>
        <xdr:cNvSpPr txBox="1"/>
      </xdr:nvSpPr>
      <xdr:spPr>
        <a:xfrm>
          <a:off x="6991349" y="9026525"/>
          <a:ext cx="48609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59468D"/>
              </a:solidFill>
              <a:latin typeface="Arial" panose="020B0604020202020204" pitchFamily="34" charset="0"/>
              <a:cs typeface="Arial" panose="020B0604020202020204" pitchFamily="34" charset="0"/>
            </a:rPr>
            <a:t>Supported housing (social rent)</a:t>
          </a:r>
        </a:p>
      </xdr:txBody>
    </xdr:sp>
    <xdr:clientData/>
  </xdr:twoCellAnchor>
  <xdr:twoCellAnchor>
    <xdr:from>
      <xdr:col>8</xdr:col>
      <xdr:colOff>6349</xdr:colOff>
      <xdr:row>71</xdr:row>
      <xdr:rowOff>0</xdr:rowOff>
    </xdr:from>
    <xdr:to>
      <xdr:col>14</xdr:col>
      <xdr:colOff>789622</xdr:colOff>
      <xdr:row>92</xdr:row>
      <xdr:rowOff>0</xdr:rowOff>
    </xdr:to>
    <xdr:graphicFrame macro="">
      <xdr:nvGraphicFramePr>
        <xdr:cNvPr id="10" name="Chart 9">
          <a:extLst>
            <a:ext uri="{FF2B5EF4-FFF2-40B4-BE49-F238E27FC236}">
              <a16:creationId xmlns:a16="http://schemas.microsoft.com/office/drawing/2014/main" id="{CFAB12D9-0C9F-4CEF-9542-A9C66B7A48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6349</xdr:colOff>
      <xdr:row>92</xdr:row>
      <xdr:rowOff>187325</xdr:rowOff>
    </xdr:from>
    <xdr:to>
      <xdr:col>14</xdr:col>
      <xdr:colOff>789622</xdr:colOff>
      <xdr:row>113</xdr:row>
      <xdr:rowOff>180975</xdr:rowOff>
    </xdr:to>
    <xdr:graphicFrame macro="">
      <xdr:nvGraphicFramePr>
        <xdr:cNvPr id="11" name="Chart 10">
          <a:extLst>
            <a:ext uri="{FF2B5EF4-FFF2-40B4-BE49-F238E27FC236}">
              <a16:creationId xmlns:a16="http://schemas.microsoft.com/office/drawing/2014/main" id="{04BC8271-D62E-43CD-B144-EE5BC2A2A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12699</xdr:colOff>
      <xdr:row>159</xdr:row>
      <xdr:rowOff>9526</xdr:rowOff>
    </xdr:from>
    <xdr:to>
      <xdr:col>14</xdr:col>
      <xdr:colOff>789622</xdr:colOff>
      <xdr:row>180</xdr:row>
      <xdr:rowOff>0</xdr:rowOff>
    </xdr:to>
    <xdr:graphicFrame macro="">
      <xdr:nvGraphicFramePr>
        <xdr:cNvPr id="12" name="Chart 11">
          <a:extLst>
            <a:ext uri="{FF2B5EF4-FFF2-40B4-BE49-F238E27FC236}">
              <a16:creationId xmlns:a16="http://schemas.microsoft.com/office/drawing/2014/main" id="{C69C456B-938D-4411-8B53-416EBCF90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6349</xdr:colOff>
      <xdr:row>181</xdr:row>
      <xdr:rowOff>3174</xdr:rowOff>
    </xdr:from>
    <xdr:to>
      <xdr:col>14</xdr:col>
      <xdr:colOff>789622</xdr:colOff>
      <xdr:row>202</xdr:row>
      <xdr:rowOff>3174</xdr:rowOff>
    </xdr:to>
    <xdr:graphicFrame macro="">
      <xdr:nvGraphicFramePr>
        <xdr:cNvPr id="13" name="Chart 12">
          <a:extLst>
            <a:ext uri="{FF2B5EF4-FFF2-40B4-BE49-F238E27FC236}">
              <a16:creationId xmlns:a16="http://schemas.microsoft.com/office/drawing/2014/main" id="{7C75F126-7138-4A4E-B41C-40417649A3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22224</xdr:colOff>
      <xdr:row>0</xdr:row>
      <xdr:rowOff>320675</xdr:rowOff>
    </xdr:from>
    <xdr:to>
      <xdr:col>1</xdr:col>
      <xdr:colOff>22224</xdr:colOff>
      <xdr:row>4</xdr:row>
      <xdr:rowOff>142875</xdr:rowOff>
    </xdr:to>
    <xdr:pic>
      <xdr:nvPicPr>
        <xdr:cNvPr id="14" name="Picture 13">
          <a:extLst>
            <a:ext uri="{FF2B5EF4-FFF2-40B4-BE49-F238E27FC236}">
              <a16:creationId xmlns:a16="http://schemas.microsoft.com/office/drawing/2014/main" id="{43468811-619F-4014-A1CD-1C24E609B6EA}"/>
            </a:ext>
          </a:extLst>
        </xdr:cNvPr>
        <xdr:cNvPicPr>
          <a:picLocks noChangeAspect="1"/>
        </xdr:cNvPicPr>
      </xdr:nvPicPr>
      <xdr:blipFill>
        <a:blip xmlns:r="http://schemas.openxmlformats.org/officeDocument/2006/relationships" r:embed="rId10"/>
        <a:stretch>
          <a:fillRect/>
        </a:stretch>
      </xdr:blipFill>
      <xdr:spPr>
        <a:xfrm>
          <a:off x="298449" y="320675"/>
          <a:ext cx="1332903" cy="717550"/>
        </a:xfrm>
        <a:prstGeom prst="rect">
          <a:avLst/>
        </a:prstGeom>
      </xdr:spPr>
    </xdr:pic>
    <xdr:clientData/>
  </xdr:twoCellAnchor>
  <xdr:twoCellAnchor editAs="oneCell">
    <xdr:from>
      <xdr:col>1</xdr:col>
      <xdr:colOff>66674</xdr:colOff>
      <xdr:row>0</xdr:row>
      <xdr:rowOff>320675</xdr:rowOff>
    </xdr:from>
    <xdr:to>
      <xdr:col>1</xdr:col>
      <xdr:colOff>1362075</xdr:colOff>
      <xdr:row>4</xdr:row>
      <xdr:rowOff>16175</xdr:rowOff>
    </xdr:to>
    <xdr:pic>
      <xdr:nvPicPr>
        <xdr:cNvPr id="16" name="Picture 15">
          <a:extLst>
            <a:ext uri="{FF2B5EF4-FFF2-40B4-BE49-F238E27FC236}">
              <a16:creationId xmlns:a16="http://schemas.microsoft.com/office/drawing/2014/main" id="{E04B667D-BDDF-4DF9-8922-38E20D9922F6}"/>
            </a:ext>
          </a:extLst>
        </xdr:cNvPr>
        <xdr:cNvPicPr>
          <a:picLocks noChangeAspect="1"/>
        </xdr:cNvPicPr>
      </xdr:nvPicPr>
      <xdr:blipFill>
        <a:blip xmlns:r="http://schemas.openxmlformats.org/officeDocument/2006/relationships" r:embed="rId10"/>
        <a:stretch>
          <a:fillRect/>
        </a:stretch>
      </xdr:blipFill>
      <xdr:spPr>
        <a:xfrm>
          <a:off x="342899" y="320675"/>
          <a:ext cx="1292226" cy="686100"/>
        </a:xfrm>
        <a:prstGeom prst="rect">
          <a:avLst/>
        </a:prstGeom>
      </xdr:spPr>
    </xdr:pic>
    <xdr:clientData/>
  </xdr:twoCellAnchor>
</xdr:wsDr>
</file>

<file path=xl/drawings/drawing5.xml><?xml version="1.0" encoding="utf-8"?>
<c:userShapes xmlns:c="http://schemas.openxmlformats.org/drawingml/2006/chart">
  <cdr:relSizeAnchor xmlns:cdr="http://schemas.openxmlformats.org/drawingml/2006/chartDrawing">
    <cdr:from>
      <cdr:x>0</cdr:x>
      <cdr:y>0.00256</cdr:y>
    </cdr:from>
    <cdr:to>
      <cdr:x>0.80201</cdr:x>
      <cdr:y>0.06394</cdr:y>
    </cdr:to>
    <cdr:sp macro="" textlink="">
      <cdr:nvSpPr>
        <cdr:cNvPr id="3" name="TextBox 17">
          <a:extLst xmlns:a="http://schemas.openxmlformats.org/drawingml/2006/main">
            <a:ext uri="{FF2B5EF4-FFF2-40B4-BE49-F238E27FC236}">
              <a16:creationId xmlns:a16="http://schemas.microsoft.com/office/drawing/2014/main" id="{FBD1EEE7-96E9-4434-98A4-BD88A8B95D9B}"/>
            </a:ext>
          </a:extLst>
        </cdr:cNvPr>
        <cdr:cNvSpPr txBox="1"/>
      </cdr:nvSpPr>
      <cdr:spPr>
        <a:xfrm xmlns:a="http://schemas.openxmlformats.org/drawingml/2006/main">
          <a:off x="0" y="9526"/>
          <a:ext cx="5080031" cy="22860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GB" sz="1200" b="1">
              <a:solidFill>
                <a:srgbClr val="59468D"/>
              </a:solidFill>
              <a:latin typeface="Arial" panose="020B0604020202020204" pitchFamily="34" charset="0"/>
              <a:cs typeface="Arial" panose="020B0604020202020204" pitchFamily="34" charset="0"/>
            </a:rPr>
            <a:t>Affordable Rent general needs</a:t>
          </a:r>
        </a:p>
      </cdr:txBody>
    </cdr:sp>
  </cdr:relSizeAnchor>
</c:userShapes>
</file>

<file path=xl/drawings/drawing6.xml><?xml version="1.0" encoding="utf-8"?>
<c:userShapes xmlns:c="http://schemas.openxmlformats.org/drawingml/2006/chart">
  <cdr:relSizeAnchor xmlns:cdr="http://schemas.openxmlformats.org/drawingml/2006/chartDrawing">
    <cdr:from>
      <cdr:x>0</cdr:x>
      <cdr:y>0</cdr:y>
    </cdr:from>
    <cdr:to>
      <cdr:x>0.4663</cdr:x>
      <cdr:y>0.0913</cdr:y>
    </cdr:to>
    <cdr:sp macro="" textlink="">
      <cdr:nvSpPr>
        <cdr:cNvPr id="2" name="TextBox 1">
          <a:extLst xmlns:a="http://schemas.openxmlformats.org/drawingml/2006/main">
            <a:ext uri="{FF2B5EF4-FFF2-40B4-BE49-F238E27FC236}">
              <a16:creationId xmlns:a16="http://schemas.microsoft.com/office/drawing/2014/main" id="{0BE11B46-56D7-4D9F-AB9D-2CB6A59B91A0}"/>
            </a:ext>
          </a:extLst>
        </cdr:cNvPr>
        <cdr:cNvSpPr txBox="1"/>
      </cdr:nvSpPr>
      <cdr:spPr>
        <a:xfrm xmlns:a="http://schemas.openxmlformats.org/drawingml/2006/main">
          <a:off x="0" y="0"/>
          <a:ext cx="2944719" cy="34176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General needs (social rent)</a:t>
          </a:r>
        </a:p>
      </cdr:txBody>
    </cdr:sp>
  </cdr:relSizeAnchor>
</c:userShapes>
</file>

<file path=xl/drawings/drawing7.xml><?xml version="1.0" encoding="utf-8"?>
<c:userShapes xmlns:c="http://schemas.openxmlformats.org/drawingml/2006/chart">
  <cdr:relSizeAnchor xmlns:cdr="http://schemas.openxmlformats.org/drawingml/2006/chartDrawing">
    <cdr:from>
      <cdr:x>0</cdr:x>
      <cdr:y>0</cdr:y>
    </cdr:from>
    <cdr:to>
      <cdr:x>0.74548</cdr:x>
      <cdr:y>0.09219</cdr:y>
    </cdr:to>
    <cdr:sp macro="" textlink="">
      <cdr:nvSpPr>
        <cdr:cNvPr id="2" name="TextBox 1">
          <a:extLst xmlns:a="http://schemas.openxmlformats.org/drawingml/2006/main">
            <a:ext uri="{FF2B5EF4-FFF2-40B4-BE49-F238E27FC236}">
              <a16:creationId xmlns:a16="http://schemas.microsoft.com/office/drawing/2014/main" id="{1EB4C6C0-1513-4F19-B236-AEEC3B436698}"/>
            </a:ext>
          </a:extLst>
        </cdr:cNvPr>
        <cdr:cNvSpPr txBox="1"/>
      </cdr:nvSpPr>
      <cdr:spPr>
        <a:xfrm xmlns:a="http://schemas.openxmlformats.org/drawingml/2006/main">
          <a:off x="0" y="0"/>
          <a:ext cx="4714874"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Supported housing </a:t>
          </a:r>
          <a:r>
            <a:rPr lang="en-GB" sz="1200" b="1" baseline="0">
              <a:solidFill>
                <a:srgbClr val="59468D"/>
              </a:solidFill>
              <a:latin typeface="Arial" panose="020B0604020202020204" pitchFamily="34" charset="0"/>
              <a:cs typeface="Arial" panose="020B0604020202020204" pitchFamily="34" charset="0"/>
            </a:rPr>
            <a:t>(social rent)</a:t>
          </a:r>
          <a:endParaRPr lang="en-GB" sz="1200" b="1">
            <a:solidFill>
              <a:srgbClr val="59468D"/>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cdr:x>
      <cdr:y>0</cdr:y>
    </cdr:from>
    <cdr:to>
      <cdr:x>0.62961</cdr:x>
      <cdr:y>0.06549</cdr:y>
    </cdr:to>
    <cdr:sp macro="" textlink="">
      <cdr:nvSpPr>
        <cdr:cNvPr id="3" name="TextBox 2">
          <a:extLst xmlns:a="http://schemas.openxmlformats.org/drawingml/2006/main">
            <a:ext uri="{FF2B5EF4-FFF2-40B4-BE49-F238E27FC236}">
              <a16:creationId xmlns:a16="http://schemas.microsoft.com/office/drawing/2014/main" id="{62B58EB1-2106-4255-8D42-0C265D0F4FDF}"/>
            </a:ext>
          </a:extLst>
        </cdr:cNvPr>
        <cdr:cNvSpPr txBox="1"/>
      </cdr:nvSpPr>
      <cdr:spPr>
        <a:xfrm xmlns:a="http://schemas.openxmlformats.org/drawingml/2006/main">
          <a:off x="0" y="0"/>
          <a:ext cx="4010025" cy="2476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Affordable Rent</a:t>
          </a:r>
          <a:r>
            <a:rPr lang="en-GB" sz="1200" b="1" baseline="0">
              <a:solidFill>
                <a:srgbClr val="59468D"/>
              </a:solidFill>
              <a:latin typeface="Arial" panose="020B0604020202020204" pitchFamily="34" charset="0"/>
              <a:cs typeface="Arial" panose="020B0604020202020204" pitchFamily="34" charset="0"/>
            </a:rPr>
            <a:t> general needs</a:t>
          </a:r>
          <a:endParaRPr lang="en-GB" sz="1200" b="1">
            <a:solidFill>
              <a:srgbClr val="59468D"/>
            </a:solidFill>
            <a:latin typeface="Arial" panose="020B060402020202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0.0015</cdr:x>
      <cdr:y>0</cdr:y>
    </cdr:from>
    <cdr:to>
      <cdr:x>0.70536</cdr:x>
      <cdr:y>0.06045</cdr:y>
    </cdr:to>
    <cdr:sp macro="" textlink="">
      <cdr:nvSpPr>
        <cdr:cNvPr id="2" name="TextBox 1">
          <a:extLst xmlns:a="http://schemas.openxmlformats.org/drawingml/2006/main">
            <a:ext uri="{FF2B5EF4-FFF2-40B4-BE49-F238E27FC236}">
              <a16:creationId xmlns:a16="http://schemas.microsoft.com/office/drawing/2014/main" id="{F9130BF4-C218-4059-B625-01B9978A70C7}"/>
            </a:ext>
          </a:extLst>
        </cdr:cNvPr>
        <cdr:cNvSpPr txBox="1"/>
      </cdr:nvSpPr>
      <cdr:spPr>
        <a:xfrm xmlns:a="http://schemas.openxmlformats.org/drawingml/2006/main">
          <a:off x="9525" y="0"/>
          <a:ext cx="4462806" cy="2297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Affordable</a:t>
          </a:r>
          <a:r>
            <a:rPr lang="en-GB" sz="1200">
              <a:solidFill>
                <a:srgbClr val="59468D"/>
              </a:solidFill>
              <a:latin typeface="Arial" panose="020B0604020202020204" pitchFamily="34" charset="0"/>
              <a:cs typeface="Arial" panose="020B0604020202020204" pitchFamily="34" charset="0"/>
            </a:rPr>
            <a:t> </a:t>
          </a:r>
          <a:r>
            <a:rPr lang="en-GB" sz="1200" b="1">
              <a:solidFill>
                <a:srgbClr val="59468D"/>
              </a:solidFill>
              <a:latin typeface="Arial" panose="020B0604020202020204" pitchFamily="34" charset="0"/>
              <a:cs typeface="Arial" panose="020B0604020202020204" pitchFamily="34" charset="0"/>
            </a:rPr>
            <a:t>Rent supported housing</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enquiries@rsh.gov.uk?subject=LARP%20Lookup%20tool%20meets%20some%20needs" TargetMode="External"/><Relationship Id="rId7" Type="http://schemas.openxmlformats.org/officeDocument/2006/relationships/drawing" Target="../drawings/drawing1.xml"/><Relationship Id="rId2" Type="http://schemas.openxmlformats.org/officeDocument/2006/relationships/hyperlink" Target="mailto:enquiries@rsh.gov.uk?subject=LARP%20Lookup%20tool%20meets%20all%20needs" TargetMode="External"/><Relationship Id="rId1" Type="http://schemas.openxmlformats.org/officeDocument/2006/relationships/hyperlink" Target="mailto:NROSHenquiries@rsh.gov.uk" TargetMode="External"/><Relationship Id="rId6" Type="http://schemas.openxmlformats.org/officeDocument/2006/relationships/printerSettings" Target="../printerSettings/printerSettings1.bin"/><Relationship Id="rId5" Type="http://schemas.openxmlformats.org/officeDocument/2006/relationships/hyperlink" Target="mailto:enquiries@rsh.gov.uk" TargetMode="External"/><Relationship Id="rId4" Type="http://schemas.openxmlformats.org/officeDocument/2006/relationships/hyperlink" Target="mailto:enquiries@rsh.gov.uk?subject=LARP%20Lookup%20tool%20meets%20no%20need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gov.uk/government/publications/direction-on-the-rent-standard-from-1-april-2020" TargetMode="External"/><Relationship Id="rId1" Type="http://schemas.openxmlformats.org/officeDocument/2006/relationships/hyperlink" Target="https://www.london.gov.uk/what-we-do/housing-and-land/homes-londoners-affordable-homes-programmes/homes-londoners-affordable-homes-programme-2016-2023"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enquiries@rsh.gov.uk"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96CF2-2BAC-45E8-8432-44F0C01B212D}">
  <sheetPr codeName="Sheet1">
    <tabColor rgb="FF59468D"/>
    <pageSetUpPr fitToPage="1"/>
  </sheetPr>
  <dimension ref="B1:V54"/>
  <sheetViews>
    <sheetView tabSelected="1" zoomScaleNormal="100" workbookViewId="0">
      <selection activeCell="B11" sqref="B11:K16"/>
    </sheetView>
  </sheetViews>
  <sheetFormatPr defaultColWidth="9.1796875" defaultRowHeight="14.5" x14ac:dyDescent="0.35"/>
  <cols>
    <col min="1" max="1" width="5" style="213" customWidth="1"/>
    <col min="2" max="2" width="8.453125" style="213" customWidth="1"/>
    <col min="3" max="3" width="8.81640625" style="213" customWidth="1"/>
    <col min="4" max="4" width="3.453125" style="213" customWidth="1"/>
    <col min="5" max="5" width="103.54296875" style="213" customWidth="1"/>
    <col min="6" max="12" width="8.81640625" style="213" customWidth="1"/>
    <col min="13" max="13" width="26.81640625" style="213" customWidth="1"/>
    <col min="14" max="15" width="8.81640625" style="213" customWidth="1"/>
    <col min="16" max="16384" width="9.1796875" style="213"/>
  </cols>
  <sheetData>
    <row r="1" spans="2:22" ht="18" x14ac:dyDescent="0.4">
      <c r="B1" s="216"/>
      <c r="F1" s="367"/>
    </row>
    <row r="2" spans="2:22" ht="18" x14ac:dyDescent="0.4">
      <c r="B2" s="216"/>
      <c r="F2" s="367"/>
    </row>
    <row r="3" spans="2:22" ht="18" x14ac:dyDescent="0.4">
      <c r="B3" s="216"/>
    </row>
    <row r="4" spans="2:22" ht="18" x14ac:dyDescent="0.4">
      <c r="B4" s="216"/>
      <c r="L4" s="217"/>
      <c r="N4" s="218"/>
    </row>
    <row r="5" spans="2:22" ht="39.5" x14ac:dyDescent="0.4">
      <c r="B5" s="216"/>
      <c r="F5" s="219" t="s">
        <v>650</v>
      </c>
      <c r="G5" s="220"/>
      <c r="H5" s="221" t="s">
        <v>651</v>
      </c>
      <c r="I5" s="220"/>
      <c r="J5" s="222" t="s">
        <v>652</v>
      </c>
      <c r="L5" s="217"/>
    </row>
    <row r="6" spans="2:22" ht="15" customHeight="1" x14ac:dyDescent="0.4">
      <c r="B6" s="216"/>
      <c r="F6" s="223" t="s">
        <v>653</v>
      </c>
      <c r="G6" s="217"/>
      <c r="H6" s="224" t="s">
        <v>654</v>
      </c>
      <c r="I6" s="217"/>
      <c r="J6" s="225" t="s">
        <v>655</v>
      </c>
      <c r="L6" s="226"/>
    </row>
    <row r="7" spans="2:22" ht="15.75" customHeight="1" x14ac:dyDescent="0.4">
      <c r="B7" s="216"/>
      <c r="E7" s="226"/>
      <c r="F7" s="227"/>
      <c r="G7" s="228"/>
      <c r="H7" s="217"/>
      <c r="I7" s="224"/>
      <c r="J7" s="217"/>
      <c r="K7" s="229"/>
      <c r="L7" s="226"/>
    </row>
    <row r="8" spans="2:22" ht="15.75" customHeight="1" x14ac:dyDescent="0.4">
      <c r="B8" s="216"/>
    </row>
    <row r="9" spans="2:22" ht="50.5" customHeight="1" x14ac:dyDescent="0.7">
      <c r="B9" s="230" t="s">
        <v>891</v>
      </c>
    </row>
    <row r="10" spans="2:22" ht="15" customHeight="1" x14ac:dyDescent="0.35">
      <c r="C10" s="231"/>
      <c r="D10" s="231"/>
      <c r="E10" s="231"/>
      <c r="F10" s="231"/>
      <c r="G10" s="231"/>
      <c r="H10" s="231"/>
      <c r="I10" s="231"/>
      <c r="J10" s="231"/>
      <c r="K10" s="231"/>
      <c r="L10" s="231"/>
      <c r="M10" s="231"/>
    </row>
    <row r="11" spans="2:22" ht="15" customHeight="1" x14ac:dyDescent="0.35">
      <c r="B11" s="368" t="s">
        <v>826</v>
      </c>
      <c r="C11" s="369"/>
      <c r="D11" s="369"/>
      <c r="E11" s="369"/>
      <c r="F11" s="369"/>
      <c r="G11" s="369"/>
      <c r="H11" s="369"/>
      <c r="I11" s="369"/>
      <c r="J11" s="369"/>
      <c r="K11" s="369"/>
      <c r="V11" s="232"/>
    </row>
    <row r="12" spans="2:22" ht="15" customHeight="1" x14ac:dyDescent="0.35">
      <c r="B12" s="369"/>
      <c r="C12" s="369"/>
      <c r="D12" s="369"/>
      <c r="E12" s="369"/>
      <c r="F12" s="369"/>
      <c r="G12" s="369"/>
      <c r="H12" s="369"/>
      <c r="I12" s="369"/>
      <c r="J12" s="369"/>
      <c r="K12" s="369"/>
      <c r="V12" s="232"/>
    </row>
    <row r="13" spans="2:22" ht="15" customHeight="1" x14ac:dyDescent="0.35">
      <c r="B13" s="369"/>
      <c r="C13" s="369"/>
      <c r="D13" s="369"/>
      <c r="E13" s="369"/>
      <c r="F13" s="369"/>
      <c r="G13" s="369"/>
      <c r="H13" s="369"/>
      <c r="I13" s="369"/>
      <c r="J13" s="369"/>
      <c r="K13" s="369"/>
      <c r="V13" s="232"/>
    </row>
    <row r="14" spans="2:22" ht="15" customHeight="1" x14ac:dyDescent="0.35">
      <c r="B14" s="369"/>
      <c r="C14" s="369"/>
      <c r="D14" s="369"/>
      <c r="E14" s="369"/>
      <c r="F14" s="369"/>
      <c r="G14" s="369"/>
      <c r="H14" s="369"/>
      <c r="I14" s="369"/>
      <c r="J14" s="369"/>
      <c r="K14" s="369"/>
      <c r="V14" s="232"/>
    </row>
    <row r="15" spans="2:22" ht="15" customHeight="1" x14ac:dyDescent="0.35">
      <c r="B15" s="369"/>
      <c r="C15" s="369"/>
      <c r="D15" s="369"/>
      <c r="E15" s="369"/>
      <c r="F15" s="369"/>
      <c r="G15" s="369"/>
      <c r="H15" s="369"/>
      <c r="I15" s="369"/>
      <c r="J15" s="369"/>
      <c r="K15" s="369"/>
      <c r="V15" s="232"/>
    </row>
    <row r="16" spans="2:22" ht="15" customHeight="1" x14ac:dyDescent="0.35">
      <c r="B16" s="369"/>
      <c r="C16" s="369"/>
      <c r="D16" s="369"/>
      <c r="E16" s="369"/>
      <c r="F16" s="369"/>
      <c r="G16" s="369"/>
      <c r="H16" s="369"/>
      <c r="I16" s="369"/>
      <c r="J16" s="369"/>
      <c r="K16" s="369"/>
      <c r="V16" s="232"/>
    </row>
    <row r="17" spans="2:22" ht="15" customHeight="1" x14ac:dyDescent="0.35">
      <c r="B17" s="232"/>
      <c r="C17" s="232"/>
      <c r="D17" s="232"/>
      <c r="E17" s="232"/>
      <c r="F17" s="232"/>
      <c r="G17" s="232"/>
      <c r="H17" s="232"/>
      <c r="I17" s="232"/>
      <c r="J17" s="232"/>
      <c r="K17" s="232"/>
      <c r="V17" s="232"/>
    </row>
    <row r="18" spans="2:22" ht="23" x14ac:dyDescent="0.5">
      <c r="B18" s="370" t="s">
        <v>656</v>
      </c>
      <c r="C18" s="370"/>
      <c r="D18" s="370"/>
      <c r="E18" s="370"/>
      <c r="F18" s="370"/>
      <c r="G18" s="370"/>
      <c r="H18" s="370"/>
      <c r="I18" s="370"/>
      <c r="J18" s="370"/>
      <c r="K18" s="370"/>
      <c r="L18" s="233"/>
      <c r="M18" s="233"/>
    </row>
    <row r="19" spans="2:22" ht="15" customHeight="1" x14ac:dyDescent="0.35">
      <c r="B19" s="234"/>
      <c r="C19" s="234"/>
      <c r="D19" s="234"/>
      <c r="E19" s="234"/>
      <c r="F19" s="235"/>
      <c r="G19" s="235"/>
      <c r="H19" s="235"/>
      <c r="I19" s="235"/>
      <c r="J19" s="235"/>
      <c r="K19" s="233"/>
      <c r="L19" s="233"/>
      <c r="M19" s="233"/>
    </row>
    <row r="20" spans="2:22" ht="15" customHeight="1" x14ac:dyDescent="0.35">
      <c r="B20" s="236" t="s">
        <v>657</v>
      </c>
      <c r="C20" s="237"/>
      <c r="D20" s="237"/>
      <c r="E20" s="237" t="s">
        <v>658</v>
      </c>
      <c r="F20" s="231"/>
      <c r="G20" s="231"/>
      <c r="H20" s="231"/>
      <c r="I20" s="231"/>
      <c r="J20" s="231"/>
      <c r="K20" s="231"/>
    </row>
    <row r="21" spans="2:22" ht="15" customHeight="1" x14ac:dyDescent="0.35">
      <c r="B21" s="235"/>
      <c r="C21" s="235"/>
      <c r="D21" s="235"/>
      <c r="E21" s="235"/>
      <c r="F21" s="235"/>
      <c r="G21" s="235"/>
      <c r="H21" s="235"/>
      <c r="I21" s="235"/>
      <c r="J21" s="235"/>
      <c r="K21" s="233"/>
    </row>
    <row r="22" spans="2:22" ht="15" customHeight="1" x14ac:dyDescent="0.35">
      <c r="B22" s="371" t="s">
        <v>659</v>
      </c>
      <c r="C22" s="371"/>
      <c r="D22" s="371"/>
      <c r="E22" s="371"/>
      <c r="F22" s="235"/>
      <c r="G22" s="235"/>
      <c r="H22" s="235"/>
      <c r="I22" s="235"/>
      <c r="J22" s="235"/>
      <c r="K22" s="233"/>
    </row>
    <row r="23" spans="2:22" ht="15" customHeight="1" x14ac:dyDescent="0.35">
      <c r="B23" s="235"/>
      <c r="C23" s="235"/>
      <c r="D23" s="235"/>
      <c r="E23" s="235"/>
      <c r="F23" s="235"/>
      <c r="G23" s="235"/>
      <c r="H23" s="235"/>
      <c r="I23" s="235"/>
      <c r="J23" s="235"/>
      <c r="K23" s="233"/>
    </row>
    <row r="24" spans="2:22" ht="15" customHeight="1" x14ac:dyDescent="0.35">
      <c r="B24" s="371" t="s">
        <v>660</v>
      </c>
      <c r="C24" s="371"/>
      <c r="D24" s="371"/>
      <c r="E24" s="371"/>
      <c r="F24" s="235"/>
      <c r="G24" s="235"/>
      <c r="H24" s="235"/>
      <c r="I24" s="235"/>
      <c r="J24" s="235"/>
      <c r="K24" s="233"/>
    </row>
    <row r="25" spans="2:22" ht="15" customHeight="1" x14ac:dyDescent="0.35">
      <c r="B25" s="235"/>
      <c r="C25" s="235"/>
      <c r="D25" s="235"/>
      <c r="E25" s="235"/>
      <c r="F25" s="235"/>
      <c r="G25" s="235"/>
      <c r="H25" s="235"/>
      <c r="I25" s="235"/>
      <c r="J25" s="235"/>
      <c r="K25" s="233"/>
      <c r="M25" s="364"/>
      <c r="N25" s="365"/>
      <c r="O25" s="238"/>
      <c r="P25" s="239"/>
      <c r="Q25" s="239"/>
      <c r="R25" s="239"/>
    </row>
    <row r="26" spans="2:22" ht="15" customHeight="1" x14ac:dyDescent="0.35">
      <c r="B26" s="240">
        <v>1</v>
      </c>
      <c r="C26" s="235"/>
      <c r="D26" s="235"/>
      <c r="E26" s="241" t="s">
        <v>661</v>
      </c>
      <c r="F26" s="235"/>
      <c r="G26" s="235"/>
      <c r="H26" s="235"/>
      <c r="I26" s="235"/>
      <c r="J26" s="235"/>
      <c r="K26" s="233"/>
      <c r="L26" s="232"/>
      <c r="M26" s="242"/>
      <c r="N26" s="242"/>
      <c r="O26" s="243"/>
      <c r="P26" s="243"/>
      <c r="Q26" s="243"/>
      <c r="R26" s="243"/>
    </row>
    <row r="27" spans="2:22" ht="15" customHeight="1" x14ac:dyDescent="0.35">
      <c r="B27" s="240"/>
      <c r="C27" s="231"/>
      <c r="D27" s="231"/>
      <c r="E27" s="231"/>
      <c r="F27" s="231"/>
      <c r="G27" s="231"/>
      <c r="H27" s="231"/>
      <c r="I27" s="231"/>
      <c r="J27" s="231"/>
      <c r="K27" s="244"/>
      <c r="L27" s="232"/>
      <c r="M27" s="245"/>
      <c r="N27" s="242"/>
      <c r="O27" s="243"/>
      <c r="P27" s="243"/>
      <c r="Q27" s="243"/>
      <c r="R27" s="243"/>
    </row>
    <row r="28" spans="2:22" ht="15" customHeight="1" x14ac:dyDescent="0.35">
      <c r="B28" s="240">
        <v>2</v>
      </c>
      <c r="C28" s="235"/>
      <c r="D28" s="235"/>
      <c r="E28" s="246" t="s">
        <v>835</v>
      </c>
      <c r="F28" s="235"/>
      <c r="G28" s="235"/>
      <c r="H28" s="235"/>
      <c r="I28" s="247" t="s">
        <v>662</v>
      </c>
      <c r="J28" s="235"/>
      <c r="K28" s="233"/>
      <c r="L28" s="233"/>
      <c r="M28" s="242"/>
      <c r="N28" s="242"/>
      <c r="O28" s="243"/>
      <c r="P28" s="243"/>
      <c r="Q28" s="243"/>
      <c r="R28" s="243"/>
    </row>
    <row r="29" spans="2:22" ht="15" customHeight="1" x14ac:dyDescent="0.35">
      <c r="B29" s="240"/>
      <c r="C29" s="235"/>
      <c r="D29" s="235"/>
      <c r="E29" s="235"/>
      <c r="F29" s="235"/>
      <c r="G29" s="235"/>
      <c r="H29" s="235"/>
      <c r="I29" s="247"/>
      <c r="J29" s="235"/>
      <c r="K29" s="233"/>
      <c r="L29" s="233"/>
      <c r="M29" s="242"/>
      <c r="N29" s="242"/>
      <c r="O29" s="243"/>
      <c r="P29" s="243"/>
      <c r="Q29" s="243"/>
      <c r="R29" s="243"/>
    </row>
    <row r="30" spans="2:22" ht="15" customHeight="1" x14ac:dyDescent="0.35">
      <c r="B30" s="240">
        <v>3</v>
      </c>
      <c r="C30" s="235"/>
      <c r="D30" s="235"/>
      <c r="E30" s="241" t="s">
        <v>836</v>
      </c>
      <c r="F30" s="235"/>
      <c r="G30" s="235"/>
      <c r="H30" s="235"/>
      <c r="I30" s="247" t="s">
        <v>663</v>
      </c>
      <c r="J30" s="235"/>
      <c r="K30" s="233"/>
      <c r="L30" s="233"/>
      <c r="M30" s="242"/>
      <c r="N30" s="242"/>
      <c r="O30" s="248"/>
      <c r="P30" s="248"/>
      <c r="Q30" s="248"/>
      <c r="R30" s="248"/>
    </row>
    <row r="31" spans="2:22" ht="15" customHeight="1" x14ac:dyDescent="0.35">
      <c r="B31" s="240"/>
      <c r="C31" s="235"/>
      <c r="D31" s="235"/>
      <c r="E31" s="235"/>
      <c r="I31" s="249"/>
      <c r="M31" s="250"/>
      <c r="N31" s="242"/>
      <c r="O31" s="251"/>
      <c r="P31" s="251"/>
      <c r="Q31" s="251"/>
      <c r="R31" s="251"/>
    </row>
    <row r="32" spans="2:22" ht="15" customHeight="1" x14ac:dyDescent="0.35">
      <c r="B32" s="240">
        <v>4</v>
      </c>
      <c r="C32" s="235"/>
      <c r="D32" s="235"/>
      <c r="E32" s="246" t="s">
        <v>837</v>
      </c>
      <c r="F32" s="235"/>
      <c r="G32" s="235"/>
      <c r="I32" s="249" t="s">
        <v>664</v>
      </c>
      <c r="M32" s="233"/>
    </row>
    <row r="33" spans="2:13" ht="15" customHeight="1" x14ac:dyDescent="0.35">
      <c r="B33" s="240"/>
      <c r="C33" s="235"/>
      <c r="D33" s="235"/>
      <c r="E33" s="246"/>
      <c r="F33" s="235"/>
      <c r="G33" s="235"/>
      <c r="H33" s="235"/>
      <c r="I33" s="247"/>
      <c r="J33" s="235"/>
      <c r="K33" s="233"/>
      <c r="L33" s="233"/>
      <c r="M33" s="233"/>
    </row>
    <row r="34" spans="2:13" ht="15" customHeight="1" x14ac:dyDescent="0.35">
      <c r="B34" s="240">
        <v>5</v>
      </c>
      <c r="C34" s="235"/>
      <c r="D34" s="235"/>
      <c r="E34" s="241" t="s">
        <v>838</v>
      </c>
      <c r="F34" s="235"/>
      <c r="G34" s="235"/>
      <c r="H34" s="235"/>
      <c r="I34" s="247" t="s">
        <v>665</v>
      </c>
      <c r="J34" s="235"/>
      <c r="K34" s="233"/>
      <c r="L34" s="233"/>
      <c r="M34" s="233"/>
    </row>
    <row r="35" spans="2:13" ht="15" customHeight="1" x14ac:dyDescent="0.35">
      <c r="B35" s="240"/>
      <c r="C35" s="235"/>
      <c r="D35" s="235"/>
      <c r="E35" s="235"/>
      <c r="F35" s="235"/>
      <c r="G35" s="235"/>
      <c r="H35" s="235"/>
      <c r="I35" s="247"/>
      <c r="J35" s="235"/>
      <c r="K35" s="233"/>
      <c r="L35" s="233"/>
      <c r="M35" s="233"/>
    </row>
    <row r="36" spans="2:13" ht="15" customHeight="1" x14ac:dyDescent="0.35">
      <c r="B36" s="240">
        <v>6</v>
      </c>
      <c r="C36" s="235"/>
      <c r="D36" s="235"/>
      <c r="E36" s="246" t="s">
        <v>666</v>
      </c>
      <c r="F36" s="235"/>
      <c r="G36" s="235"/>
      <c r="H36" s="235"/>
      <c r="I36" s="247" t="s">
        <v>667</v>
      </c>
      <c r="J36" s="235"/>
      <c r="K36" s="233"/>
      <c r="L36" s="233"/>
      <c r="M36" s="233"/>
    </row>
    <row r="37" spans="2:13" ht="15" customHeight="1" x14ac:dyDescent="0.35">
      <c r="B37" s="240"/>
      <c r="C37" s="235"/>
      <c r="D37" s="235"/>
      <c r="E37" s="235"/>
      <c r="F37" s="235"/>
      <c r="G37" s="235"/>
      <c r="H37" s="235"/>
      <c r="I37" s="247"/>
      <c r="J37" s="235"/>
      <c r="K37" s="233"/>
      <c r="L37" s="233"/>
      <c r="M37" s="233"/>
    </row>
    <row r="38" spans="2:13" ht="15" customHeight="1" x14ac:dyDescent="0.35">
      <c r="B38" s="240">
        <v>7</v>
      </c>
      <c r="C38" s="235"/>
      <c r="D38" s="235"/>
      <c r="E38" s="246" t="s">
        <v>827</v>
      </c>
      <c r="F38" s="235"/>
      <c r="G38" s="235"/>
      <c r="H38" s="235"/>
      <c r="I38" s="247" t="s">
        <v>668</v>
      </c>
      <c r="J38" s="235"/>
      <c r="K38" s="233"/>
      <c r="L38" s="233"/>
      <c r="M38" s="233"/>
    </row>
    <row r="39" spans="2:13" ht="15" customHeight="1" x14ac:dyDescent="0.35">
      <c r="B39" s="240"/>
      <c r="C39" s="235"/>
      <c r="D39" s="235"/>
      <c r="E39" s="235"/>
      <c r="F39" s="235"/>
      <c r="G39" s="235"/>
      <c r="H39" s="235"/>
      <c r="I39" s="247"/>
      <c r="J39" s="235"/>
      <c r="K39" s="233"/>
      <c r="L39" s="233"/>
      <c r="M39" s="233"/>
    </row>
    <row r="40" spans="2:13" ht="15" customHeight="1" x14ac:dyDescent="0.35">
      <c r="B40" s="240">
        <v>8</v>
      </c>
      <c r="C40" s="235"/>
      <c r="D40" s="235"/>
      <c r="E40" s="246" t="s">
        <v>669</v>
      </c>
      <c r="F40" s="235"/>
      <c r="G40" s="235"/>
      <c r="H40" s="235"/>
      <c r="I40" s="247" t="s">
        <v>670</v>
      </c>
      <c r="J40" s="235"/>
      <c r="K40" s="233"/>
      <c r="L40" s="233"/>
      <c r="M40" s="233"/>
    </row>
    <row r="41" spans="2:13" ht="15" customHeight="1" x14ac:dyDescent="0.35">
      <c r="B41" s="240"/>
      <c r="C41" s="235"/>
      <c r="D41" s="235"/>
      <c r="E41" s="235"/>
      <c r="F41" s="235"/>
      <c r="G41" s="235"/>
      <c r="H41" s="235"/>
      <c r="I41" s="247"/>
      <c r="J41" s="235"/>
      <c r="K41" s="233"/>
      <c r="L41" s="233"/>
      <c r="M41" s="233"/>
    </row>
    <row r="42" spans="2:13" ht="15" customHeight="1" x14ac:dyDescent="0.35">
      <c r="B42" s="240">
        <v>9</v>
      </c>
      <c r="C42" s="235"/>
      <c r="D42" s="235"/>
      <c r="E42" s="246" t="s">
        <v>828</v>
      </c>
      <c r="F42" s="235"/>
      <c r="G42" s="235"/>
      <c r="H42" s="235"/>
      <c r="I42" s="247" t="s">
        <v>671</v>
      </c>
      <c r="J42" s="235"/>
      <c r="K42" s="233"/>
      <c r="L42" s="233"/>
      <c r="M42" s="233"/>
    </row>
    <row r="43" spans="2:13" ht="15" customHeight="1" x14ac:dyDescent="0.35">
      <c r="B43" s="252"/>
      <c r="C43" s="252"/>
      <c r="D43" s="252"/>
      <c r="E43" s="252"/>
      <c r="F43" s="252"/>
      <c r="G43" s="252"/>
      <c r="H43" s="252"/>
      <c r="I43" s="252"/>
      <c r="J43" s="252"/>
      <c r="K43" s="252"/>
    </row>
    <row r="44" spans="2:13" ht="15" customHeight="1" x14ac:dyDescent="0.35">
      <c r="B44" s="366" t="s">
        <v>672</v>
      </c>
      <c r="C44" s="366"/>
      <c r="D44" s="366"/>
      <c r="E44" s="366"/>
      <c r="F44" s="252"/>
      <c r="G44" s="252"/>
      <c r="H44" s="252"/>
      <c r="I44" s="252"/>
      <c r="J44" s="252"/>
      <c r="K44" s="252"/>
    </row>
    <row r="45" spans="2:13" ht="15" customHeight="1" x14ac:dyDescent="0.35">
      <c r="B45" s="253"/>
      <c r="C45" s="252"/>
      <c r="D45" s="252"/>
      <c r="E45" s="252"/>
      <c r="F45" s="252"/>
      <c r="G45" s="252"/>
      <c r="H45" s="252"/>
      <c r="I45" s="252"/>
      <c r="J45" s="252"/>
      <c r="K45" s="252"/>
    </row>
    <row r="46" spans="2:13" ht="15" customHeight="1" x14ac:dyDescent="0.35">
      <c r="B46" s="253"/>
      <c r="C46" s="254"/>
      <c r="D46" s="252"/>
      <c r="E46" s="252"/>
      <c r="F46" s="252"/>
      <c r="G46" s="252"/>
      <c r="H46" s="252"/>
      <c r="I46" s="252"/>
      <c r="J46" s="252"/>
      <c r="K46" s="252"/>
    </row>
    <row r="47" spans="2:13" ht="15" customHeight="1" x14ac:dyDescent="0.35">
      <c r="B47" s="252" t="s">
        <v>673</v>
      </c>
      <c r="C47" s="252" t="s">
        <v>892</v>
      </c>
      <c r="D47" s="252"/>
      <c r="E47" s="252"/>
      <c r="F47" s="252"/>
      <c r="G47" s="252"/>
      <c r="H47" s="252"/>
      <c r="I47" s="252"/>
      <c r="J47" s="252"/>
      <c r="K47" s="252"/>
    </row>
    <row r="48" spans="2:13" ht="15" customHeight="1" x14ac:dyDescent="0.35">
      <c r="B48" s="252"/>
      <c r="C48" s="252"/>
      <c r="D48" s="252"/>
      <c r="E48" s="252"/>
      <c r="F48" s="252"/>
      <c r="G48" s="252"/>
      <c r="H48" s="252"/>
      <c r="I48" s="252"/>
      <c r="J48" s="252"/>
      <c r="K48" s="252"/>
    </row>
    <row r="49" spans="2:11" ht="15" customHeight="1" x14ac:dyDescent="0.35">
      <c r="B49" s="252" t="s">
        <v>674</v>
      </c>
      <c r="C49" s="252"/>
      <c r="D49" s="252"/>
      <c r="E49" s="252"/>
      <c r="F49" s="252"/>
      <c r="G49" s="252"/>
      <c r="H49" s="252"/>
      <c r="I49" s="252"/>
      <c r="J49" s="252"/>
      <c r="K49" s="252"/>
    </row>
    <row r="50" spans="2:11" ht="15.5" x14ac:dyDescent="0.35">
      <c r="B50" s="252" t="s">
        <v>675</v>
      </c>
    </row>
    <row r="51" spans="2:11" ht="15.5" x14ac:dyDescent="0.35">
      <c r="B51" s="252" t="s">
        <v>676</v>
      </c>
      <c r="C51" s="254" t="s">
        <v>677</v>
      </c>
    </row>
    <row r="52" spans="2:11" ht="15.5" x14ac:dyDescent="0.35">
      <c r="B52" s="252"/>
    </row>
    <row r="53" spans="2:11" ht="15.5" x14ac:dyDescent="0.35">
      <c r="B53" s="252" t="s">
        <v>916</v>
      </c>
    </row>
    <row r="54" spans="2:11" ht="15.5" x14ac:dyDescent="0.35">
      <c r="B54" s="252" t="s">
        <v>915</v>
      </c>
    </row>
  </sheetData>
  <sheetProtection algorithmName="SHA-512" hashValue="A3yhJUfJnprMgnY4q3xQWv6p2wknHxUJm79TVELNENdnwRGwv7sSz1/ku0xjxLrTCnS8ns5BK41QK1ltfnPnsg==" saltValue="7PPswTbmC2egbm0wHPRvyA==" spinCount="100000" sheet="1" formatColumns="0" formatRows="0"/>
  <mergeCells count="7">
    <mergeCell ref="M25:N25"/>
    <mergeCell ref="B44:E44"/>
    <mergeCell ref="F1:F2"/>
    <mergeCell ref="B11:K16"/>
    <mergeCell ref="B18:K18"/>
    <mergeCell ref="B22:E22"/>
    <mergeCell ref="B24:E24"/>
  </mergeCells>
  <hyperlinks>
    <hyperlink ref="C46" r:id="rId1" display="NROSHenquiries@rsh.gov.uk " xr:uid="{987E9C5D-29E8-4408-A2A7-BA1D4470064C}"/>
    <hyperlink ref="E28" location="'LARP Summary'!A49" display="General needs (social rent) - Average weekly net rent (£ per week) and units" xr:uid="{DE7F5D39-66AE-424B-8A4A-B480B5B5E066}"/>
    <hyperlink ref="E30" location="'LARP Summary'!A71" display="Supported housing / housing for older people (social rent) - Average weekly net rent (£ per week) and units" xr:uid="{0BF48ADE-C0D6-4B93-B2AA-EC1CB4AA2D94}"/>
    <hyperlink ref="E32" location="'LARP Summary'!A93" display="General needs (social rent) - Average weekly net rent (£ per week) and units by unit size" xr:uid="{43CAE1A5-B861-409A-B3EE-F1C9E909EBFE}"/>
    <hyperlink ref="E34" location="'LARP Summary'!A115" display="Supported housing / housing for older people (social rent) - Average weekly net rent (£ per week) and units by unit size" xr:uid="{5F4E9165-A797-428D-8763-5281687C7F6E}"/>
    <hyperlink ref="E36" location="'LARP Summary'!A137" display="Affordable Rent general needs - Average weekly gross rent (£ per week) and units" xr:uid="{C5B9064D-CAC3-49AD-8C55-8DD7B0C70B62}"/>
    <hyperlink ref="E38" location="'LARP Summary'!A159" display="Affordable Rent supported housing / housing for older people - Average weekly gross rent (£ per week) and units" xr:uid="{1BFAEE24-FC3C-480D-ADBA-59A07C7A0766}"/>
    <hyperlink ref="E40" location="'LARP Summary'!A181" display="Affordable Rent general needs - Average weekly gross rent (£ per week) and units by unit size" xr:uid="{1602317B-D522-446B-A350-699FB898C99B}"/>
    <hyperlink ref="E26" location="'LARP Summary'!A8" display="Total social units by provision type (numbers)" xr:uid="{AFCC1F8A-274F-46BF-817B-B6C4F28783FA}"/>
    <hyperlink ref="F5" r:id="rId2" xr:uid="{48F1384E-A423-4184-B7FB-FAE3283257B9}"/>
    <hyperlink ref="B22" location="Glossary!A1" display="Glossary" xr:uid="{6188B7B6-EE8F-40BD-82D8-BEABB0C6DE13}"/>
    <hyperlink ref="B24" location="'PRP Summary'!A1" display="PRP summary" xr:uid="{F5777BE7-6666-4CE2-952B-2A8E76BB216B}"/>
    <hyperlink ref="B44:E44" location="'How to use the search function'!A1" display="How to use the search function" xr:uid="{7CB0B2A0-7126-4611-B611-F0D648E6F362}"/>
    <hyperlink ref="H5" r:id="rId3" xr:uid="{EFDCDF98-346E-461F-8244-450F656AFE36}"/>
    <hyperlink ref="B24:E24" location="'LARP Summary'!E3" display="LARP Summary" xr:uid="{54DE0CE7-09EE-403E-8830-A1D265FBE8B8}"/>
    <hyperlink ref="E42" location="'LARP Summary'!A203" display="Affordable Rent supported housing / housing for older people - Average weekly gross rent (£ per week) and units by unit size" xr:uid="{8B92D64D-3FCE-48BD-9E10-8A2E3A0F2C64}"/>
    <hyperlink ref="J5" r:id="rId4" xr:uid="{34B54417-20AA-459A-B8DC-6AAE096ACF11}"/>
    <hyperlink ref="C51" r:id="rId5" xr:uid="{D05DCEF1-1211-4A34-8033-1FC8E0981860}"/>
    <hyperlink ref="B22:E22" location="Glossary!B8" display="Glossary" xr:uid="{5185972B-112C-4FF6-B869-21178E7CE36A}"/>
  </hyperlinks>
  <pageMargins left="0.70866141732283472" right="0.70866141732283472" top="0.74803149606299213" bottom="0.74803149606299213" header="0.31496062992125984" footer="0.31496062992125984"/>
  <pageSetup paperSize="9" scale="43" orientation="landscape" r:id="rId6"/>
  <headerFooter>
    <oddFooter>&amp;C&amp;1#&amp;"Calibri"&amp;12&amp;K0078D7OFFICIAL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410A3-EE0A-40F0-B5AE-5B88C8DD4413}">
  <sheetPr codeName="Sheet2">
    <tabColor rgb="FF59468D"/>
  </sheetPr>
  <dimension ref="A1:D148"/>
  <sheetViews>
    <sheetView zoomScaleNormal="100" workbookViewId="0">
      <selection activeCell="B8" sqref="B8"/>
    </sheetView>
  </sheetViews>
  <sheetFormatPr defaultColWidth="0" defaultRowHeight="12.75" customHeight="1" zeroHeight="1" x14ac:dyDescent="0.35"/>
  <cols>
    <col min="1" max="1" width="9.1796875" style="213" customWidth="1"/>
    <col min="2" max="2" width="124.7265625" style="213" customWidth="1"/>
    <col min="3" max="4" width="9.1796875" style="213" customWidth="1"/>
    <col min="5" max="16384" width="9.1796875" style="213" hidden="1"/>
  </cols>
  <sheetData>
    <row r="1" spans="1:3" ht="23.25" customHeight="1" x14ac:dyDescent="0.35"/>
    <row r="2" spans="1:3" ht="23.25" customHeight="1" x14ac:dyDescent="0.6">
      <c r="B2" s="259"/>
      <c r="C2" s="255" t="s">
        <v>678</v>
      </c>
    </row>
    <row r="3" spans="1:3" ht="23.25" customHeight="1" x14ac:dyDescent="0.5">
      <c r="A3" s="256"/>
    </row>
    <row r="4" spans="1:3" ht="23.25" customHeight="1" x14ac:dyDescent="0.5">
      <c r="A4" s="256"/>
    </row>
    <row r="5" spans="1:3" ht="23.25" customHeight="1" x14ac:dyDescent="0.35"/>
    <row r="6" spans="1:3" ht="23" x14ac:dyDescent="0.5">
      <c r="B6" s="257" t="s">
        <v>659</v>
      </c>
    </row>
    <row r="7" spans="1:3" ht="23" x14ac:dyDescent="0.5">
      <c r="B7" s="257"/>
    </row>
    <row r="8" spans="1:3" ht="46.5" x14ac:dyDescent="0.35">
      <c r="B8" s="306" t="s">
        <v>893</v>
      </c>
    </row>
    <row r="9" spans="1:3" ht="14.5" x14ac:dyDescent="0.35">
      <c r="B9" s="258"/>
    </row>
    <row r="10" spans="1:3" ht="14.5" x14ac:dyDescent="0.35">
      <c r="B10" s="258"/>
    </row>
    <row r="11" spans="1:3" ht="15.5" x14ac:dyDescent="0.35">
      <c r="B11" s="261" t="s">
        <v>6</v>
      </c>
    </row>
    <row r="12" spans="1:3" ht="62" x14ac:dyDescent="0.35">
      <c r="B12" s="260" t="s">
        <v>841</v>
      </c>
    </row>
    <row r="13" spans="1:3" ht="15.5" x14ac:dyDescent="0.35">
      <c r="B13" s="260"/>
    </row>
    <row r="14" spans="1:3" ht="15.5" x14ac:dyDescent="0.35">
      <c r="B14" s="261" t="s">
        <v>829</v>
      </c>
    </row>
    <row r="15" spans="1:3" ht="46.5" x14ac:dyDescent="0.35">
      <c r="B15" s="260" t="s">
        <v>679</v>
      </c>
    </row>
    <row r="16" spans="1:3" ht="15.5" x14ac:dyDescent="0.35">
      <c r="B16" s="260" t="s">
        <v>680</v>
      </c>
    </row>
    <row r="17" spans="2:2" ht="31" x14ac:dyDescent="0.35">
      <c r="B17" s="262" t="s">
        <v>681</v>
      </c>
    </row>
    <row r="18" spans="2:2" ht="93" x14ac:dyDescent="0.35">
      <c r="B18" s="262" t="s">
        <v>682</v>
      </c>
    </row>
    <row r="19" spans="2:2" ht="15.5" x14ac:dyDescent="0.35">
      <c r="B19" s="262"/>
    </row>
    <row r="20" spans="2:2" ht="15.5" x14ac:dyDescent="0.35">
      <c r="B20" s="261" t="s">
        <v>830</v>
      </c>
    </row>
    <row r="21" spans="2:2" ht="15.5" x14ac:dyDescent="0.35">
      <c r="B21" s="260" t="s">
        <v>842</v>
      </c>
    </row>
    <row r="22" spans="2:2" ht="15.5" x14ac:dyDescent="0.35">
      <c r="B22" s="260"/>
    </row>
    <row r="23" spans="2:2" ht="15.5" x14ac:dyDescent="0.35">
      <c r="B23" s="261" t="s">
        <v>683</v>
      </c>
    </row>
    <row r="24" spans="2:2" ht="27" customHeight="1" x14ac:dyDescent="0.35">
      <c r="B24" s="260" t="s">
        <v>684</v>
      </c>
    </row>
    <row r="25" spans="2:2" ht="15.5" x14ac:dyDescent="0.35">
      <c r="B25" s="260"/>
    </row>
    <row r="26" spans="2:2" ht="15.5" x14ac:dyDescent="0.35">
      <c r="B26" s="261" t="s">
        <v>685</v>
      </c>
    </row>
    <row r="27" spans="2:2" ht="15.5" x14ac:dyDescent="0.35">
      <c r="B27" s="260" t="s">
        <v>686</v>
      </c>
    </row>
    <row r="28" spans="2:2" ht="15.5" x14ac:dyDescent="0.35">
      <c r="B28" s="260"/>
    </row>
    <row r="29" spans="2:2" ht="15.5" x14ac:dyDescent="0.35">
      <c r="B29" s="261" t="s">
        <v>687</v>
      </c>
    </row>
    <row r="30" spans="2:2" ht="62" x14ac:dyDescent="0.35">
      <c r="B30" s="260" t="s">
        <v>840</v>
      </c>
    </row>
    <row r="31" spans="2:2" ht="15.5" x14ac:dyDescent="0.35">
      <c r="B31" s="260"/>
    </row>
    <row r="32" spans="2:2" ht="15.5" x14ac:dyDescent="0.35">
      <c r="B32" s="261" t="s">
        <v>9</v>
      </c>
    </row>
    <row r="33" spans="2:2" ht="46.5" customHeight="1" x14ac:dyDescent="0.35">
      <c r="B33" s="260" t="s">
        <v>688</v>
      </c>
    </row>
    <row r="34" spans="2:2" ht="63.65" customHeight="1" x14ac:dyDescent="0.35">
      <c r="B34" s="260" t="s">
        <v>843</v>
      </c>
    </row>
    <row r="35" spans="2:2" ht="46.5" customHeight="1" x14ac:dyDescent="0.35">
      <c r="B35" s="260" t="s">
        <v>844</v>
      </c>
    </row>
    <row r="36" spans="2:2" ht="31" x14ac:dyDescent="0.35">
      <c r="B36" s="260" t="s">
        <v>689</v>
      </c>
    </row>
    <row r="37" spans="2:2" ht="15.5" x14ac:dyDescent="0.35">
      <c r="B37" s="260"/>
    </row>
    <row r="38" spans="2:2" ht="15.5" x14ac:dyDescent="0.35">
      <c r="B38" s="261" t="s">
        <v>2</v>
      </c>
    </row>
    <row r="39" spans="2:2" ht="62" x14ac:dyDescent="0.35">
      <c r="B39" s="260" t="s">
        <v>690</v>
      </c>
    </row>
    <row r="40" spans="2:2" ht="15.5" x14ac:dyDescent="0.35">
      <c r="B40" s="260"/>
    </row>
    <row r="41" spans="2:2" ht="15.5" x14ac:dyDescent="0.35">
      <c r="B41" s="261" t="s">
        <v>691</v>
      </c>
    </row>
    <row r="42" spans="2:2" ht="15.5" x14ac:dyDescent="0.35">
      <c r="B42" s="260" t="s">
        <v>692</v>
      </c>
    </row>
    <row r="43" spans="2:2" ht="15.5" x14ac:dyDescent="0.35">
      <c r="B43" s="260"/>
    </row>
    <row r="44" spans="2:2" ht="15.5" x14ac:dyDescent="0.35">
      <c r="B44" s="261" t="s">
        <v>693</v>
      </c>
    </row>
    <row r="45" spans="2:2" ht="77.5" x14ac:dyDescent="0.35">
      <c r="B45" s="260" t="s">
        <v>845</v>
      </c>
    </row>
    <row r="46" spans="2:2" ht="15.5" x14ac:dyDescent="0.35">
      <c r="B46" s="260"/>
    </row>
    <row r="47" spans="2:2" ht="15.5" x14ac:dyDescent="0.35">
      <c r="B47" s="261" t="s">
        <v>694</v>
      </c>
    </row>
    <row r="48" spans="2:2" ht="31" x14ac:dyDescent="0.35">
      <c r="B48" s="260" t="s">
        <v>846</v>
      </c>
    </row>
    <row r="49" spans="2:2" ht="14.5" x14ac:dyDescent="0.35">
      <c r="B49" s="263"/>
    </row>
    <row r="50" spans="2:2" ht="15.5" x14ac:dyDescent="0.35">
      <c r="B50" s="261" t="s">
        <v>695</v>
      </c>
    </row>
    <row r="51" spans="2:2" ht="31" x14ac:dyDescent="0.35">
      <c r="B51" s="260" t="s">
        <v>847</v>
      </c>
    </row>
    <row r="52" spans="2:2" ht="15.5" x14ac:dyDescent="0.35">
      <c r="B52" s="260"/>
    </row>
    <row r="53" spans="2:2" ht="15.5" x14ac:dyDescent="0.35">
      <c r="B53" s="261" t="s">
        <v>696</v>
      </c>
    </row>
    <row r="54" spans="2:2" ht="77.5" x14ac:dyDescent="0.35">
      <c r="B54" s="260" t="s">
        <v>697</v>
      </c>
    </row>
    <row r="55" spans="2:2" ht="15.5" x14ac:dyDescent="0.35">
      <c r="B55" s="260"/>
    </row>
    <row r="56" spans="2:2" ht="15.5" x14ac:dyDescent="0.35">
      <c r="B56" s="261" t="s">
        <v>698</v>
      </c>
    </row>
    <row r="57" spans="2:2" ht="63" customHeight="1" x14ac:dyDescent="0.35">
      <c r="B57" s="260" t="s">
        <v>848</v>
      </c>
    </row>
    <row r="58" spans="2:2" ht="46.5" customHeight="1" x14ac:dyDescent="0.35">
      <c r="B58" s="260" t="s">
        <v>699</v>
      </c>
    </row>
    <row r="59" spans="2:2" ht="15.5" x14ac:dyDescent="0.35">
      <c r="B59" s="260"/>
    </row>
    <row r="60" spans="2:2" ht="15.5" x14ac:dyDescent="0.35">
      <c r="B60" s="261" t="s">
        <v>700</v>
      </c>
    </row>
    <row r="61" spans="2:2" ht="62" x14ac:dyDescent="0.35">
      <c r="B61" s="260" t="s">
        <v>701</v>
      </c>
    </row>
    <row r="62" spans="2:2" ht="15.5" x14ac:dyDescent="0.35">
      <c r="B62" s="260"/>
    </row>
    <row r="63" spans="2:2" ht="15.5" x14ac:dyDescent="0.35">
      <c r="B63" s="261" t="s">
        <v>702</v>
      </c>
    </row>
    <row r="64" spans="2:2" ht="31" x14ac:dyDescent="0.35">
      <c r="B64" s="260" t="s">
        <v>849</v>
      </c>
    </row>
    <row r="65" spans="2:2" ht="15.5" x14ac:dyDescent="0.35">
      <c r="B65" s="260"/>
    </row>
    <row r="66" spans="2:2" ht="15.5" x14ac:dyDescent="0.35">
      <c r="B66" s="261" t="s">
        <v>850</v>
      </c>
    </row>
    <row r="67" spans="2:2" ht="31" x14ac:dyDescent="0.35">
      <c r="B67" s="260" t="s">
        <v>851</v>
      </c>
    </row>
    <row r="68" spans="2:2" ht="15.5" x14ac:dyDescent="0.35">
      <c r="B68" s="260"/>
    </row>
    <row r="69" spans="2:2" ht="15.5" x14ac:dyDescent="0.35">
      <c r="B69" s="261" t="s">
        <v>703</v>
      </c>
    </row>
    <row r="70" spans="2:2" ht="31" x14ac:dyDescent="0.35">
      <c r="B70" s="260" t="s">
        <v>852</v>
      </c>
    </row>
    <row r="71" spans="2:2" ht="15.5" x14ac:dyDescent="0.35">
      <c r="B71" s="260"/>
    </row>
    <row r="72" spans="2:2" ht="15.5" x14ac:dyDescent="0.35">
      <c r="B72" s="261" t="s">
        <v>5</v>
      </c>
    </row>
    <row r="73" spans="2:2" ht="31" x14ac:dyDescent="0.35">
      <c r="B73" s="264" t="s">
        <v>853</v>
      </c>
    </row>
    <row r="74" spans="2:2" ht="15.5" x14ac:dyDescent="0.35">
      <c r="B74" s="260"/>
    </row>
    <row r="75" spans="2:2" ht="15.5" hidden="1" x14ac:dyDescent="0.35">
      <c r="B75" s="261"/>
    </row>
    <row r="76" spans="2:2" ht="15.5" hidden="1" x14ac:dyDescent="0.35">
      <c r="B76" s="260"/>
    </row>
    <row r="77" spans="2:2" ht="15.5" hidden="1" x14ac:dyDescent="0.35">
      <c r="B77" s="260"/>
    </row>
    <row r="78" spans="2:2" ht="15.5" hidden="1" x14ac:dyDescent="0.35">
      <c r="B78" s="260"/>
    </row>
    <row r="79" spans="2:2" ht="15.5" hidden="1" x14ac:dyDescent="0.35">
      <c r="B79" s="260"/>
    </row>
    <row r="80" spans="2:2" ht="15.5" hidden="1" x14ac:dyDescent="0.35">
      <c r="B80" s="261"/>
    </row>
    <row r="81" spans="2:2" ht="15.5" hidden="1" x14ac:dyDescent="0.35">
      <c r="B81" s="260"/>
    </row>
    <row r="82" spans="2:2" ht="15.5" hidden="1" x14ac:dyDescent="0.35">
      <c r="B82" s="260"/>
    </row>
    <row r="83" spans="2:2" ht="15.5" hidden="1" x14ac:dyDescent="0.35">
      <c r="B83" s="261"/>
    </row>
    <row r="84" spans="2:2" ht="15.5" hidden="1" x14ac:dyDescent="0.35">
      <c r="B84" s="260"/>
    </row>
    <row r="85" spans="2:2" ht="15.5" hidden="1" x14ac:dyDescent="0.35">
      <c r="B85" s="260"/>
    </row>
    <row r="86" spans="2:2" ht="15.5" hidden="1" x14ac:dyDescent="0.35">
      <c r="B86" s="261"/>
    </row>
    <row r="87" spans="2:2" ht="15.5" hidden="1" x14ac:dyDescent="0.35">
      <c r="B87" s="260"/>
    </row>
    <row r="88" spans="2:2" ht="15.5" hidden="1" x14ac:dyDescent="0.35">
      <c r="B88" s="260"/>
    </row>
    <row r="89" spans="2:2" ht="15.5" hidden="1" x14ac:dyDescent="0.35">
      <c r="B89" s="261"/>
    </row>
    <row r="90" spans="2:2" ht="15.5" hidden="1" x14ac:dyDescent="0.35">
      <c r="B90" s="260"/>
    </row>
    <row r="91" spans="2:2" ht="15.5" hidden="1" x14ac:dyDescent="0.35">
      <c r="B91" s="260"/>
    </row>
    <row r="92" spans="2:2" ht="15.5" hidden="1" x14ac:dyDescent="0.35">
      <c r="B92" s="261"/>
    </row>
    <row r="93" spans="2:2" ht="15.5" hidden="1" x14ac:dyDescent="0.35">
      <c r="B93" s="260"/>
    </row>
    <row r="94" spans="2:2" ht="15.5" hidden="1" x14ac:dyDescent="0.35">
      <c r="B94" s="260"/>
    </row>
    <row r="95" spans="2:2" ht="15.5" hidden="1" x14ac:dyDescent="0.35">
      <c r="B95" s="261"/>
    </row>
    <row r="96" spans="2:2" ht="15.5" hidden="1" x14ac:dyDescent="0.35">
      <c r="B96" s="261"/>
    </row>
    <row r="97" spans="2:2" ht="15.5" hidden="1" x14ac:dyDescent="0.35">
      <c r="B97" s="261"/>
    </row>
    <row r="98" spans="2:2" ht="15.5" hidden="1" x14ac:dyDescent="0.35">
      <c r="B98" s="260"/>
    </row>
    <row r="99" spans="2:2" ht="15.5" hidden="1" x14ac:dyDescent="0.35">
      <c r="B99" s="260"/>
    </row>
    <row r="100" spans="2:2" ht="15.5" hidden="1" x14ac:dyDescent="0.35">
      <c r="B100" s="261"/>
    </row>
    <row r="101" spans="2:2" ht="15.5" hidden="1" x14ac:dyDescent="0.35">
      <c r="B101" s="260"/>
    </row>
    <row r="102" spans="2:2" ht="15.5" hidden="1" x14ac:dyDescent="0.35">
      <c r="B102" s="260"/>
    </row>
    <row r="103" spans="2:2" ht="15.5" hidden="1" x14ac:dyDescent="0.35">
      <c r="B103" s="260"/>
    </row>
    <row r="104" spans="2:2" ht="15.5" hidden="1" x14ac:dyDescent="0.35">
      <c r="B104" s="261"/>
    </row>
    <row r="105" spans="2:2" ht="15.5" hidden="1" x14ac:dyDescent="0.35">
      <c r="B105" s="260"/>
    </row>
    <row r="106" spans="2:2" ht="15.5" hidden="1" x14ac:dyDescent="0.35">
      <c r="B106" s="260"/>
    </row>
    <row r="107" spans="2:2" ht="15.5" hidden="1" x14ac:dyDescent="0.35">
      <c r="B107" s="261"/>
    </row>
    <row r="108" spans="2:2" ht="15.5" hidden="1" x14ac:dyDescent="0.35">
      <c r="B108" s="260"/>
    </row>
    <row r="109" spans="2:2" ht="15.5" hidden="1" x14ac:dyDescent="0.35">
      <c r="B109" s="260"/>
    </row>
    <row r="110" spans="2:2" ht="15.5" hidden="1" x14ac:dyDescent="0.35">
      <c r="B110" s="261"/>
    </row>
    <row r="111" spans="2:2" ht="15.5" hidden="1" x14ac:dyDescent="0.35">
      <c r="B111" s="260"/>
    </row>
    <row r="112" spans="2:2" ht="15.5" hidden="1" x14ac:dyDescent="0.35">
      <c r="B112" s="260"/>
    </row>
    <row r="113" spans="2:2" ht="15.5" hidden="1" x14ac:dyDescent="0.35">
      <c r="B113" s="261"/>
    </row>
    <row r="114" spans="2:2" ht="15.5" hidden="1" x14ac:dyDescent="0.35">
      <c r="B114" s="260"/>
    </row>
    <row r="115" spans="2:2" ht="15.5" hidden="1" x14ac:dyDescent="0.35">
      <c r="B115" s="260"/>
    </row>
    <row r="116" spans="2:2" ht="15.5" hidden="1" x14ac:dyDescent="0.35">
      <c r="B116" s="261"/>
    </row>
    <row r="117" spans="2:2" ht="15.5" hidden="1" x14ac:dyDescent="0.35">
      <c r="B117" s="260"/>
    </row>
    <row r="118" spans="2:2" ht="15.5" hidden="1" x14ac:dyDescent="0.35">
      <c r="B118" s="260"/>
    </row>
    <row r="119" spans="2:2" ht="15.5" hidden="1" x14ac:dyDescent="0.35">
      <c r="B119" s="261"/>
    </row>
    <row r="120" spans="2:2" ht="15.5" hidden="1" x14ac:dyDescent="0.35">
      <c r="B120" s="260"/>
    </row>
    <row r="121" spans="2:2" ht="15.5" hidden="1" x14ac:dyDescent="0.35">
      <c r="B121" s="260"/>
    </row>
    <row r="122" spans="2:2" ht="15.5" hidden="1" x14ac:dyDescent="0.35">
      <c r="B122" s="261"/>
    </row>
    <row r="123" spans="2:2" ht="15.5" hidden="1" x14ac:dyDescent="0.35">
      <c r="B123" s="260"/>
    </row>
    <row r="124" spans="2:2" ht="15.5" hidden="1" x14ac:dyDescent="0.35">
      <c r="B124" s="260"/>
    </row>
    <row r="125" spans="2:2" ht="15.5" hidden="1" x14ac:dyDescent="0.35">
      <c r="B125" s="261"/>
    </row>
    <row r="126" spans="2:2" ht="15.5" hidden="1" x14ac:dyDescent="0.35">
      <c r="B126" s="261"/>
    </row>
    <row r="127" spans="2:2" ht="15.5" hidden="1" x14ac:dyDescent="0.35">
      <c r="B127" s="261"/>
    </row>
    <row r="128" spans="2:2" ht="15.5" hidden="1" x14ac:dyDescent="0.35">
      <c r="B128" s="260"/>
    </row>
    <row r="129" spans="2:2" ht="15.5" hidden="1" x14ac:dyDescent="0.35">
      <c r="B129" s="260"/>
    </row>
    <row r="130" spans="2:2" ht="15.5" hidden="1" x14ac:dyDescent="0.35">
      <c r="B130" s="261"/>
    </row>
    <row r="131" spans="2:2" ht="15.5" hidden="1" x14ac:dyDescent="0.35">
      <c r="B131" s="260"/>
    </row>
    <row r="132" spans="2:2" ht="15.5" hidden="1" x14ac:dyDescent="0.35">
      <c r="B132" s="260"/>
    </row>
    <row r="133" spans="2:2" ht="15.5" hidden="1" x14ac:dyDescent="0.35">
      <c r="B133" s="261"/>
    </row>
    <row r="134" spans="2:2" ht="15.5" hidden="1" x14ac:dyDescent="0.35">
      <c r="B134" s="260"/>
    </row>
    <row r="135" spans="2:2" ht="15.5" hidden="1" x14ac:dyDescent="0.35">
      <c r="B135" s="260"/>
    </row>
    <row r="136" spans="2:2" ht="15.5" hidden="1" x14ac:dyDescent="0.35">
      <c r="B136" s="261"/>
    </row>
    <row r="137" spans="2:2" ht="15.5" hidden="1" x14ac:dyDescent="0.35">
      <c r="B137" s="260"/>
    </row>
    <row r="138" spans="2:2" ht="15.5" hidden="1" x14ac:dyDescent="0.35">
      <c r="B138" s="260"/>
    </row>
    <row r="139" spans="2:2" ht="15.5" hidden="1" x14ac:dyDescent="0.35">
      <c r="B139" s="261"/>
    </row>
    <row r="140" spans="2:2" ht="15.5" hidden="1" x14ac:dyDescent="0.35">
      <c r="B140" s="260"/>
    </row>
    <row r="141" spans="2:2" ht="15.5" hidden="1" x14ac:dyDescent="0.35">
      <c r="B141" s="260"/>
    </row>
    <row r="142" spans="2:2" ht="14.5" hidden="1" x14ac:dyDescent="0.35"/>
    <row r="143" spans="2:2" ht="18" hidden="1" x14ac:dyDescent="0.35">
      <c r="B143" s="265"/>
    </row>
    <row r="144" spans="2:2" ht="15.5" hidden="1" x14ac:dyDescent="0.35">
      <c r="B144" s="266"/>
    </row>
    <row r="145" ht="14.5" hidden="1" x14ac:dyDescent="0.35"/>
    <row r="146" ht="12.75" customHeight="1" x14ac:dyDescent="0.35"/>
    <row r="147" ht="12.75" customHeight="1" x14ac:dyDescent="0.35"/>
    <row r="148" ht="12.75" customHeight="1" x14ac:dyDescent="0.35"/>
  </sheetData>
  <sheetProtection algorithmName="SHA-512" hashValue="duY8gox5gq0jNAJexbu8Ht1QTixUlbrXTRsw8giUCVMhGkeTuZEW+dO84OPqdSbLnQlU/5hpxgkXdZgCM/fwsg==" saltValue="Wkx2M8r10Qc3VSKXCdhbEQ==" spinCount="100000" sheet="1" formatColumns="0" formatRows="0"/>
  <hyperlinks>
    <hyperlink ref="B30" r:id="rId1" display="https://www.london.gov.uk/what-we-do/housing-and-land/homes-londoners-affordable-homes-programmes/homes-londoners-affordable-homes-programme-2016-2023" xr:uid="{649E0211-A4B3-4318-9EE3-3D52C1087871}"/>
    <hyperlink ref="B48" r:id="rId2" display="https://www.gov.uk/government/publications/direction-on-the-rent-standard-from-1-april-2020" xr:uid="{E97487A2-33E0-4411-A3F5-90CC2EA49DEF}"/>
  </hyperlinks>
  <pageMargins left="0.7" right="0.7" top="0.75" bottom="0.75" header="0.3" footer="0.3"/>
  <pageSetup paperSize="9" scale="61" orientation="portrait" r:id="rId3"/>
  <headerFooter>
    <oddFooter>&amp;C&amp;1#&amp;"Calibri"&amp;12&amp;K0078D7OFFICIAL</oddFooter>
  </headerFooter>
  <rowBreaks count="1" manualBreakCount="1">
    <brk id="40"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BF2D-59F9-4379-A165-01A42211CB19}">
  <sheetPr codeName="Sheet3">
    <tabColor rgb="FF59468D"/>
    <pageSetUpPr fitToPage="1"/>
  </sheetPr>
  <dimension ref="A1:V28"/>
  <sheetViews>
    <sheetView workbookViewId="0">
      <selection activeCell="B8" sqref="B8"/>
    </sheetView>
  </sheetViews>
  <sheetFormatPr defaultColWidth="0" defaultRowHeight="14.5" x14ac:dyDescent="0.35"/>
  <cols>
    <col min="1" max="1" width="1.54296875" style="213" customWidth="1"/>
    <col min="2" max="2" width="11" style="280" customWidth="1"/>
    <col min="3" max="3" width="24.54296875" style="281" customWidth="1"/>
    <col min="4" max="4" width="101" style="281" customWidth="1"/>
    <col min="5" max="5" width="4.54296875" style="281" customWidth="1"/>
    <col min="6" max="22" width="0" style="281" hidden="1" customWidth="1"/>
    <col min="23" max="16384" width="9.1796875" style="281" hidden="1"/>
  </cols>
  <sheetData>
    <row r="1" spans="2:21" s="267" customFormat="1" ht="23" x14ac:dyDescent="0.5">
      <c r="B1" s="372"/>
      <c r="C1" s="372"/>
      <c r="D1" s="372"/>
      <c r="E1" s="268"/>
      <c r="F1" s="268"/>
      <c r="G1" s="268"/>
      <c r="H1" s="268"/>
      <c r="I1" s="268"/>
      <c r="J1" s="268"/>
      <c r="K1" s="268"/>
      <c r="L1" s="268"/>
      <c r="M1" s="268"/>
      <c r="N1" s="268"/>
      <c r="O1" s="268"/>
      <c r="P1" s="268"/>
      <c r="Q1" s="268"/>
      <c r="R1" s="268"/>
      <c r="S1" s="268"/>
      <c r="T1" s="268"/>
    </row>
    <row r="2" spans="2:21" s="267" customFormat="1" ht="30" x14ac:dyDescent="0.6">
      <c r="B2" s="269"/>
      <c r="C2" s="269"/>
      <c r="D2" s="255" t="s">
        <v>678</v>
      </c>
      <c r="E2" s="213"/>
      <c r="F2" s="213"/>
      <c r="G2" s="213"/>
      <c r="H2" s="213"/>
      <c r="I2" s="213"/>
      <c r="J2" s="213"/>
      <c r="K2" s="213"/>
      <c r="L2" s="213"/>
      <c r="M2" s="213"/>
      <c r="N2" s="213"/>
      <c r="O2" s="213"/>
      <c r="P2" s="213"/>
      <c r="Q2" s="213"/>
      <c r="R2" s="213"/>
      <c r="S2" s="213"/>
      <c r="T2" s="213"/>
    </row>
    <row r="3" spans="2:21" s="267" customFormat="1" ht="30" x14ac:dyDescent="0.6">
      <c r="B3" s="269"/>
      <c r="C3" s="269"/>
      <c r="D3" s="255"/>
      <c r="E3" s="213"/>
      <c r="F3" s="213"/>
      <c r="G3" s="213"/>
      <c r="H3" s="213"/>
      <c r="I3" s="213"/>
      <c r="J3" s="213"/>
      <c r="K3" s="213"/>
      <c r="L3" s="213"/>
      <c r="M3" s="213"/>
      <c r="N3" s="213"/>
      <c r="O3" s="213"/>
      <c r="P3" s="213"/>
      <c r="Q3" s="213"/>
      <c r="R3" s="213"/>
      <c r="S3" s="213"/>
      <c r="T3" s="213"/>
    </row>
    <row r="4" spans="2:21" s="267" customFormat="1" ht="23" x14ac:dyDescent="0.5">
      <c r="B4" s="269"/>
      <c r="C4" s="269"/>
      <c r="D4" s="269"/>
      <c r="E4" s="213"/>
      <c r="F4" s="213"/>
      <c r="G4" s="213"/>
      <c r="H4" s="213"/>
      <c r="I4" s="213"/>
      <c r="J4" s="213"/>
      <c r="K4" s="213"/>
      <c r="L4" s="213"/>
      <c r="M4" s="213"/>
      <c r="N4" s="213"/>
      <c r="O4" s="213"/>
      <c r="P4" s="213"/>
      <c r="Q4" s="213"/>
      <c r="R4" s="213"/>
      <c r="S4" s="213"/>
      <c r="T4" s="213"/>
    </row>
    <row r="5" spans="2:21" s="267" customFormat="1" ht="23" x14ac:dyDescent="0.5">
      <c r="B5" s="269"/>
      <c r="C5" s="269"/>
      <c r="D5" s="269"/>
      <c r="E5" s="213"/>
      <c r="F5" s="213"/>
      <c r="G5" s="213"/>
      <c r="H5" s="213"/>
      <c r="I5" s="213"/>
      <c r="J5" s="213"/>
      <c r="K5" s="213"/>
      <c r="L5" s="213"/>
      <c r="M5" s="213"/>
      <c r="N5" s="213"/>
      <c r="O5" s="213"/>
      <c r="P5" s="213"/>
      <c r="Q5" s="213"/>
      <c r="R5" s="213"/>
      <c r="S5" s="213"/>
      <c r="T5" s="213"/>
    </row>
    <row r="6" spans="2:21" s="270" customFormat="1" ht="15.5" x14ac:dyDescent="0.35">
      <c r="B6" s="271"/>
      <c r="C6" s="272"/>
      <c r="D6" s="272"/>
      <c r="E6" s="273"/>
      <c r="F6" s="273"/>
      <c r="G6" s="273"/>
      <c r="H6" s="273"/>
      <c r="I6" s="274"/>
      <c r="J6" s="274"/>
      <c r="K6" s="275"/>
      <c r="L6" s="273"/>
      <c r="M6" s="273"/>
      <c r="N6" s="274"/>
      <c r="O6" s="275"/>
      <c r="P6" s="273"/>
      <c r="Q6" s="274"/>
      <c r="R6" s="275"/>
      <c r="S6" s="273"/>
      <c r="T6" s="276"/>
      <c r="U6" s="277"/>
    </row>
    <row r="7" spans="2:21" ht="15.5" x14ac:dyDescent="0.35">
      <c r="B7" s="278" t="s">
        <v>704</v>
      </c>
      <c r="C7" s="278" t="s">
        <v>705</v>
      </c>
      <c r="D7" s="279" t="s">
        <v>706</v>
      </c>
      <c r="E7" s="280"/>
    </row>
    <row r="8" spans="2:21" ht="15.5" x14ac:dyDescent="0.35">
      <c r="B8" s="282">
        <v>1</v>
      </c>
      <c r="C8" s="283" t="s">
        <v>894</v>
      </c>
      <c r="D8" s="284" t="s">
        <v>707</v>
      </c>
      <c r="E8" s="280"/>
    </row>
    <row r="9" spans="2:21" ht="15.5" x14ac:dyDescent="0.35">
      <c r="B9" s="285">
        <v>1.1000000000000001</v>
      </c>
      <c r="C9" s="283" t="s">
        <v>914</v>
      </c>
      <c r="D9" s="284" t="s">
        <v>917</v>
      </c>
      <c r="E9" s="280"/>
    </row>
    <row r="10" spans="2:21" ht="15.5" x14ac:dyDescent="0.35">
      <c r="B10" s="285"/>
      <c r="C10" s="286"/>
      <c r="D10" s="287"/>
      <c r="E10" s="280"/>
    </row>
    <row r="11" spans="2:21" ht="15.5" x14ac:dyDescent="0.35">
      <c r="B11" s="285"/>
      <c r="C11" s="288"/>
      <c r="D11" s="289"/>
      <c r="E11" s="280"/>
    </row>
    <row r="12" spans="2:21" ht="15.5" x14ac:dyDescent="0.35">
      <c r="B12" s="290"/>
      <c r="C12" s="291"/>
      <c r="D12" s="292"/>
      <c r="E12" s="280"/>
    </row>
    <row r="13" spans="2:21" ht="15.5" x14ac:dyDescent="0.35">
      <c r="B13" s="293"/>
      <c r="C13" s="291"/>
      <c r="D13" s="289"/>
      <c r="E13" s="280"/>
    </row>
    <row r="14" spans="2:21" ht="15.5" x14ac:dyDescent="0.35">
      <c r="B14" s="294"/>
      <c r="C14" s="295"/>
      <c r="D14" s="296"/>
      <c r="E14" s="280"/>
    </row>
    <row r="15" spans="2:21" ht="15.5" x14ac:dyDescent="0.35">
      <c r="B15" s="297"/>
      <c r="C15" s="291"/>
      <c r="D15" s="291"/>
    </row>
    <row r="16" spans="2:21" ht="15.5" x14ac:dyDescent="0.35">
      <c r="B16" s="297"/>
      <c r="C16" s="291"/>
      <c r="D16" s="291"/>
    </row>
    <row r="17" spans="1:4" ht="15.5" x14ac:dyDescent="0.35">
      <c r="B17" s="297"/>
      <c r="C17" s="291"/>
      <c r="D17" s="291"/>
    </row>
    <row r="18" spans="1:4" ht="15.5" x14ac:dyDescent="0.35">
      <c r="B18" s="297"/>
      <c r="C18" s="291"/>
      <c r="D18" s="291"/>
    </row>
    <row r="19" spans="1:4" ht="15.5" x14ac:dyDescent="0.35">
      <c r="B19" s="298" t="s">
        <v>708</v>
      </c>
      <c r="C19" s="291"/>
      <c r="D19" s="291"/>
    </row>
    <row r="20" spans="1:4" s="301" customFormat="1" ht="15.5" x14ac:dyDescent="0.35">
      <c r="A20" s="213"/>
      <c r="B20" s="299" t="s">
        <v>709</v>
      </c>
      <c r="C20" s="300"/>
      <c r="D20" s="300"/>
    </row>
    <row r="21" spans="1:4" s="301" customFormat="1" ht="15.5" x14ac:dyDescent="0.35">
      <c r="A21" s="213"/>
      <c r="B21" s="254" t="s">
        <v>677</v>
      </c>
      <c r="C21" s="300"/>
      <c r="D21" s="300"/>
    </row>
    <row r="22" spans="1:4" s="301" customFormat="1" ht="15.5" x14ac:dyDescent="0.35">
      <c r="A22" s="213"/>
      <c r="B22" s="299"/>
      <c r="C22" s="300"/>
      <c r="D22" s="300"/>
    </row>
    <row r="23" spans="1:4" s="301" customFormat="1" ht="15.5" x14ac:dyDescent="0.35">
      <c r="A23" s="213"/>
      <c r="B23" s="302" t="s">
        <v>916</v>
      </c>
      <c r="C23" s="300"/>
      <c r="D23" s="300"/>
    </row>
    <row r="24" spans="1:4" ht="15.5" x14ac:dyDescent="0.35">
      <c r="B24" s="233" t="s">
        <v>915</v>
      </c>
      <c r="C24" s="291"/>
      <c r="D24" s="291"/>
    </row>
    <row r="25" spans="1:4" ht="15.5" x14ac:dyDescent="0.35">
      <c r="B25" s="252"/>
      <c r="C25" s="291"/>
      <c r="D25" s="291"/>
    </row>
    <row r="26" spans="1:4" ht="15.5" x14ac:dyDescent="0.35">
      <c r="B26" s="297"/>
      <c r="C26" s="291"/>
      <c r="D26" s="291"/>
    </row>
    <row r="27" spans="1:4" ht="15.5" x14ac:dyDescent="0.35">
      <c r="B27" s="297"/>
      <c r="C27" s="291"/>
      <c r="D27" s="291"/>
    </row>
    <row r="28" spans="1:4" ht="15.5" x14ac:dyDescent="0.35">
      <c r="B28" s="297"/>
      <c r="C28" s="291"/>
      <c r="D28" s="291"/>
    </row>
  </sheetData>
  <sheetProtection algorithmName="SHA-512" hashValue="b+rYf9LZSWC86htnCjdV5hmPz8IF5H/C3Dz3L5a9qzoC+q8Po6uyF55gQ67kf3YlLj7ODvsFytUAU7UurKOgIA==" saltValue="NYpuy1RYkRNphJUPlC4RXw==" spinCount="100000" sheet="1" objects="1" scenarios="1"/>
  <mergeCells count="1">
    <mergeCell ref="B1:D1"/>
  </mergeCells>
  <hyperlinks>
    <hyperlink ref="B21" r:id="rId1" xr:uid="{15D22BEF-AA89-404B-B492-3046B13C3EFF}"/>
  </hyperlinks>
  <pageMargins left="0.70866141732283472" right="0.70866141732283472" top="0.74803149606299213" bottom="0.74803149606299213" header="0.31496062992125984" footer="0.31496062992125984"/>
  <pageSetup paperSize="9" scale="91" orientation="landscape" r:id="rId2"/>
  <headerFooter>
    <oddFooter>&amp;C&amp;1#&amp;"Calibri"&amp;12&amp;K0078D7OFFICIAL</oddFooter>
  </headerFooter>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0C65D-48D1-4CFA-9492-E5906752AD27}">
  <sheetPr codeName="Sheet4">
    <tabColor rgb="FFFCBE37"/>
  </sheetPr>
  <dimension ref="A1:AF219"/>
  <sheetViews>
    <sheetView showGridLines="0" zoomScaleNormal="100" zoomScaleSheetLayoutView="100" workbookViewId="0">
      <pane ySplit="6" topLeftCell="A7" activePane="bottomLeft" state="frozen"/>
      <selection pane="bottomLeft" activeCell="E3" sqref="E3:G3"/>
    </sheetView>
  </sheetViews>
  <sheetFormatPr defaultColWidth="0" defaultRowHeight="14" zeroHeight="1" x14ac:dyDescent="0.3"/>
  <cols>
    <col min="1" max="1" width="4" style="12" customWidth="1"/>
    <col min="2" max="2" width="22.7265625" style="18" customWidth="1"/>
    <col min="3" max="7" width="14.1796875" style="18" customWidth="1"/>
    <col min="8" max="8" width="3.1796875" style="18" customWidth="1"/>
    <col min="9" max="10" width="15.1796875" style="18" customWidth="1"/>
    <col min="11" max="15" width="12.1796875" style="18" customWidth="1"/>
    <col min="16" max="16" width="8.1796875" style="18" customWidth="1"/>
    <col min="17" max="32" width="0" style="18" hidden="1" customWidth="1"/>
    <col min="33" max="16384" width="9.1796875" style="18" hidden="1"/>
  </cols>
  <sheetData>
    <row r="1" spans="1:18" s="2" customFormat="1" ht="33" customHeight="1" x14ac:dyDescent="0.35">
      <c r="A1" s="1"/>
      <c r="B1" s="373" t="s">
        <v>895</v>
      </c>
      <c r="C1" s="373"/>
      <c r="D1" s="373"/>
      <c r="E1" s="373"/>
      <c r="F1" s="373"/>
      <c r="G1" s="373"/>
      <c r="H1" s="373"/>
      <c r="I1" s="373"/>
      <c r="J1" s="373"/>
      <c r="K1" s="373"/>
      <c r="L1" s="373"/>
      <c r="M1" s="373"/>
      <c r="N1" s="373"/>
      <c r="O1" s="373"/>
    </row>
    <row r="2" spans="1:18" s="2" customFormat="1" ht="14.5" thickBot="1" x14ac:dyDescent="0.4">
      <c r="A2" s="1"/>
      <c r="B2" s="3"/>
      <c r="H2" s="4"/>
      <c r="K2" s="215"/>
      <c r="L2" s="215"/>
      <c r="M2" s="215"/>
    </row>
    <row r="3" spans="1:18" s="2" customFormat="1" ht="15" customHeight="1" thickBot="1" x14ac:dyDescent="0.35">
      <c r="A3" s="1"/>
      <c r="B3" s="5"/>
      <c r="C3" s="6"/>
      <c r="D3" s="323" t="s">
        <v>771</v>
      </c>
      <c r="E3" s="382"/>
      <c r="F3" s="383"/>
      <c r="G3" s="384"/>
      <c r="H3" s="345"/>
      <c r="J3" s="92" t="str">
        <f>IF(E3="","","Region:")</f>
        <v/>
      </c>
      <c r="K3" s="325" t="str">
        <f>IFERROR(IF($E$3="Please select a local authority area.","",VLOOKUP(E3,LADR_FF,3,0)),"")</f>
        <v/>
      </c>
      <c r="L3" s="315"/>
      <c r="M3" s="315"/>
      <c r="O3" s="7"/>
      <c r="Q3" s="2" t="b">
        <f>E3=K3</f>
        <v>1</v>
      </c>
    </row>
    <row r="4" spans="1:18" s="320" customFormat="1" ht="15.65" customHeight="1" x14ac:dyDescent="0.3">
      <c r="A4" s="317"/>
      <c r="B4" s="318"/>
      <c r="C4" s="319"/>
      <c r="D4" s="323" t="str">
        <f>IF(E3="","","LARP code:")</f>
        <v/>
      </c>
      <c r="E4" s="324" t="str">
        <f>IFERROR(IF(E3="","Please select a LARP in the box above",(VLOOKUP($E$3,LADR_FF,82,0))),"")</f>
        <v>Please select a LARP in the box above</v>
      </c>
      <c r="J4" s="323" t="str">
        <f>IF(E3="","","LARPs operating in region:")</f>
        <v/>
      </c>
      <c r="K4" s="326" t="str">
        <f>IFERROR(IF($E$3="","",VLOOKUP($K$3,LADR!A3:D12,4,0)),"")</f>
        <v/>
      </c>
      <c r="O4" s="321"/>
      <c r="Q4" s="322" t="s">
        <v>1</v>
      </c>
    </row>
    <row r="5" spans="1:18" s="2" customFormat="1" x14ac:dyDescent="0.25">
      <c r="A5" s="1"/>
      <c r="B5" s="8"/>
      <c r="E5" s="316" t="s">
        <v>713</v>
      </c>
      <c r="F5" s="316"/>
      <c r="G5" s="316"/>
      <c r="M5" s="9"/>
      <c r="N5" s="9"/>
      <c r="O5" s="7"/>
      <c r="Q5" s="10" t="str">
        <f>IF($E$3="","",(IFERROR((VLOOKUP(E3,LADR!A3:A209,1,0)),"No")))</f>
        <v/>
      </c>
    </row>
    <row r="6" spans="1:18" x14ac:dyDescent="0.3">
      <c r="B6" s="13" t="str">
        <f>IF($E$4="","",IF($G$19=0,"This LARP is registered but does not currently own any stock.",""))</f>
        <v>This LARP is registered but does not currently own any stock.</v>
      </c>
      <c r="C6" s="14"/>
      <c r="D6" s="15"/>
      <c r="E6" s="15"/>
      <c r="F6" s="15"/>
      <c r="G6" s="15"/>
      <c r="H6" s="16"/>
      <c r="I6" s="17"/>
      <c r="J6" s="17"/>
      <c r="K6" s="17"/>
      <c r="L6" s="17"/>
      <c r="M6" s="17"/>
      <c r="N6" s="17"/>
    </row>
    <row r="7" spans="1:18" ht="13.5" customHeight="1" x14ac:dyDescent="0.3">
      <c r="A7" s="374">
        <v>1</v>
      </c>
      <c r="B7" s="375" t="str">
        <f>IF($E$3="Please select a local authority area.","",IF($E$3="","Total social units by provision type","Total social units by provision type in "&amp;$E$3))</f>
        <v>Total social units by provision type</v>
      </c>
      <c r="C7" s="376"/>
      <c r="D7" s="376"/>
      <c r="E7" s="376"/>
      <c r="F7" s="376"/>
      <c r="G7" s="377"/>
      <c r="H7" s="19"/>
      <c r="L7" s="17"/>
      <c r="M7" s="17"/>
      <c r="N7" s="17"/>
      <c r="P7" s="20" t="str">
        <f>IF(E3="","Total low cost rental units by provision type","Total low cost rental units by provision type in "&amp;E3)</f>
        <v>Total low cost rental units by provision type</v>
      </c>
    </row>
    <row r="8" spans="1:18" ht="12.75" customHeight="1" x14ac:dyDescent="0.3">
      <c r="A8" s="374"/>
      <c r="B8" s="378"/>
      <c r="C8" s="379"/>
      <c r="D8" s="379"/>
      <c r="E8" s="379"/>
      <c r="F8" s="379"/>
      <c r="G8" s="380"/>
      <c r="L8" s="17"/>
      <c r="M8" s="17"/>
      <c r="N8" s="17"/>
    </row>
    <row r="9" spans="1:18" x14ac:dyDescent="0.3">
      <c r="A9" s="21"/>
      <c r="B9" s="381"/>
      <c r="C9" s="379"/>
      <c r="D9" s="379"/>
      <c r="E9" s="379"/>
      <c r="F9" s="379"/>
      <c r="G9" s="380"/>
      <c r="L9" s="17"/>
      <c r="M9" s="17"/>
      <c r="N9" s="17"/>
    </row>
    <row r="10" spans="1:18" x14ac:dyDescent="0.3">
      <c r="B10" s="22"/>
      <c r="C10" s="23"/>
      <c r="D10" s="23"/>
      <c r="E10" s="23"/>
      <c r="F10" s="24"/>
      <c r="G10" s="25"/>
      <c r="L10" s="17"/>
      <c r="M10" s="17"/>
      <c r="N10" s="17"/>
    </row>
    <row r="11" spans="1:18" x14ac:dyDescent="0.3">
      <c r="B11" s="26"/>
      <c r="G11" s="27"/>
      <c r="L11" s="17"/>
      <c r="M11" s="17"/>
      <c r="N11" s="17"/>
    </row>
    <row r="12" spans="1:18" x14ac:dyDescent="0.3">
      <c r="B12" s="28" t="s">
        <v>2</v>
      </c>
      <c r="C12" s="29"/>
      <c r="D12" s="29"/>
      <c r="E12" s="30"/>
      <c r="F12" s="31"/>
      <c r="G12" s="32" t="s">
        <v>839</v>
      </c>
      <c r="L12" s="17"/>
      <c r="M12" s="17"/>
      <c r="N12" s="17"/>
      <c r="Q12" s="19" t="s">
        <v>3</v>
      </c>
    </row>
    <row r="13" spans="1:18" x14ac:dyDescent="0.3">
      <c r="B13" s="33" t="s">
        <v>888</v>
      </c>
      <c r="C13" s="34" t="s">
        <v>4</v>
      </c>
      <c r="D13" s="29"/>
      <c r="E13" s="35"/>
      <c r="F13" s="35"/>
      <c r="G13" s="334" t="str">
        <f>IFERROR((VLOOKUP($E$3,LADR_FF,10,0)),"-")</f>
        <v>-</v>
      </c>
      <c r="H13" s="36"/>
      <c r="L13" s="17"/>
      <c r="M13" s="17"/>
      <c r="N13" s="17"/>
      <c r="Q13" s="37" t="s">
        <v>889</v>
      </c>
      <c r="R13" s="38" t="str">
        <f>IF(G13=0,"",G13)</f>
        <v>-</v>
      </c>
    </row>
    <row r="14" spans="1:18" x14ac:dyDescent="0.3">
      <c r="B14" s="39"/>
      <c r="C14" s="402" t="s">
        <v>5</v>
      </c>
      <c r="D14" s="403"/>
      <c r="E14" s="40"/>
      <c r="F14" s="41"/>
      <c r="G14" s="335" t="str">
        <f>IFERROR((VLOOKUP($E$3,LADR_FF,30,0)),"-")</f>
        <v>-</v>
      </c>
      <c r="H14" s="36"/>
      <c r="L14" s="17"/>
      <c r="M14" s="17"/>
      <c r="N14" s="17"/>
      <c r="Q14" s="37" t="s">
        <v>890</v>
      </c>
      <c r="R14" s="38" t="str">
        <f>IF(G14=0,"",G14)</f>
        <v>-</v>
      </c>
    </row>
    <row r="15" spans="1:18" x14ac:dyDescent="0.3">
      <c r="B15" s="33" t="s">
        <v>6</v>
      </c>
      <c r="C15" s="42" t="s">
        <v>4</v>
      </c>
      <c r="D15" s="29"/>
      <c r="E15" s="35"/>
      <c r="F15" s="35"/>
      <c r="G15" s="334" t="str">
        <f>IFERROR((VLOOKUP($E$3,LADR_FF,46,0)),"-")</f>
        <v>-</v>
      </c>
      <c r="H15" s="36"/>
      <c r="L15" s="17"/>
      <c r="M15" s="17"/>
      <c r="N15" s="17"/>
      <c r="Q15" s="37" t="s">
        <v>7</v>
      </c>
      <c r="R15" s="38" t="str">
        <f>IF(G15=0,"",G15)</f>
        <v>-</v>
      </c>
    </row>
    <row r="16" spans="1:18" ht="15" customHeight="1" x14ac:dyDescent="0.3">
      <c r="B16" s="39"/>
      <c r="C16" s="403" t="s">
        <v>5</v>
      </c>
      <c r="D16" s="403"/>
      <c r="E16" s="40"/>
      <c r="F16" s="40"/>
      <c r="G16" s="335" t="str">
        <f>IFERROR((VLOOKUP($E$3,LADR_FF,66,0)),"-")</f>
        <v>-</v>
      </c>
      <c r="H16" s="36"/>
      <c r="L16" s="17"/>
      <c r="M16" s="17"/>
      <c r="N16" s="17"/>
      <c r="Q16" s="37" t="s">
        <v>8</v>
      </c>
      <c r="R16" s="38" t="str">
        <f>IF(G16=0,"",G16)</f>
        <v>-</v>
      </c>
    </row>
    <row r="17" spans="1:32" ht="15" customHeight="1" x14ac:dyDescent="0.3">
      <c r="B17" s="43" t="s">
        <v>9</v>
      </c>
      <c r="C17" s="44"/>
      <c r="D17" s="29"/>
      <c r="E17" s="45"/>
      <c r="F17" s="46"/>
      <c r="G17" s="335" t="str">
        <f>IFERROR((VLOOKUP($E$3,LADR_FF,81,0)),"-")</f>
        <v>-</v>
      </c>
      <c r="H17" s="36"/>
      <c r="L17" s="17"/>
      <c r="M17" s="17"/>
      <c r="N17" s="17"/>
      <c r="Q17" s="37" t="s">
        <v>9</v>
      </c>
      <c r="R17" s="38" t="str">
        <f>IF(G17=0,"",G17)</f>
        <v>-</v>
      </c>
    </row>
    <row r="18" spans="1:32" x14ac:dyDescent="0.3">
      <c r="B18" s="47"/>
      <c r="C18" s="48"/>
      <c r="D18" s="49"/>
      <c r="E18" s="50"/>
      <c r="F18" s="51"/>
      <c r="G18" s="52"/>
      <c r="L18" s="17"/>
      <c r="M18" s="17"/>
      <c r="N18" s="17"/>
      <c r="P18" s="36"/>
    </row>
    <row r="19" spans="1:32" x14ac:dyDescent="0.3">
      <c r="B19" s="53" t="str">
        <f>"Total "&amp;$E$3</f>
        <v xml:space="preserve">Total </v>
      </c>
      <c r="C19" s="49"/>
      <c r="D19" s="49"/>
      <c r="E19" s="332"/>
      <c r="F19" s="54"/>
      <c r="G19" s="336">
        <f>IFERROR(SUM($G$13,$G$14:$G$17),"")</f>
        <v>0</v>
      </c>
      <c r="L19" s="17"/>
      <c r="M19" s="17"/>
      <c r="N19" s="17"/>
      <c r="P19" s="36"/>
    </row>
    <row r="20" spans="1:32" x14ac:dyDescent="0.3">
      <c r="A20" s="385"/>
      <c r="B20" s="53"/>
      <c r="C20" s="55"/>
      <c r="D20" s="55"/>
      <c r="E20" s="56"/>
      <c r="F20" s="51"/>
      <c r="G20" s="57"/>
      <c r="L20" s="17"/>
      <c r="M20" s="17"/>
      <c r="N20" s="17"/>
      <c r="P20" s="36"/>
    </row>
    <row r="21" spans="1:32" x14ac:dyDescent="0.3">
      <c r="A21" s="386"/>
      <c r="B21" s="43" t="str">
        <f>K3</f>
        <v/>
      </c>
      <c r="C21" s="58"/>
      <c r="D21" s="55"/>
      <c r="E21" s="59"/>
      <c r="F21" s="60"/>
      <c r="G21" s="61" t="str">
        <f>IFERROR(VLOOKUP($K$3,LADR_FF,5,0),"-")</f>
        <v>-</v>
      </c>
      <c r="L21" s="17"/>
      <c r="M21" s="17"/>
      <c r="N21" s="17"/>
    </row>
    <row r="22" spans="1:32" x14ac:dyDescent="0.3">
      <c r="B22" s="53"/>
      <c r="C22" s="62"/>
      <c r="D22" s="55"/>
      <c r="E22" s="56"/>
      <c r="F22" s="51"/>
      <c r="G22" s="57"/>
      <c r="L22" s="17"/>
      <c r="M22" s="17"/>
      <c r="N22" s="17"/>
    </row>
    <row r="23" spans="1:32" ht="14.5" customHeight="1" x14ac:dyDescent="0.3">
      <c r="B23" s="43" t="s">
        <v>10</v>
      </c>
      <c r="C23" s="55"/>
      <c r="D23" s="55"/>
      <c r="E23" s="56"/>
      <c r="F23" s="63"/>
      <c r="G23" s="64">
        <f>IFERROR(VLOOKUP($B$23,LADR_FF,5,0),"")</f>
        <v>1564429</v>
      </c>
      <c r="L23" s="17"/>
      <c r="M23" s="17"/>
      <c r="N23" s="17"/>
    </row>
    <row r="24" spans="1:32" ht="14.5" customHeight="1" x14ac:dyDescent="0.3">
      <c r="B24" s="65" t="s">
        <v>11</v>
      </c>
      <c r="E24" s="66"/>
      <c r="F24" s="67"/>
      <c r="G24" s="68"/>
      <c r="M24" s="17"/>
      <c r="N24" s="17"/>
      <c r="Z24" s="69"/>
      <c r="AA24" s="69"/>
      <c r="AB24" s="69"/>
      <c r="AC24" s="69"/>
      <c r="AD24" s="69"/>
      <c r="AE24" s="69"/>
      <c r="AF24" s="69"/>
    </row>
    <row r="25" spans="1:32" ht="14.5" customHeight="1" x14ac:dyDescent="0.3">
      <c r="B25" s="70" t="s">
        <v>896</v>
      </c>
      <c r="C25" s="55"/>
      <c r="D25" s="55"/>
      <c r="E25" s="71"/>
      <c r="F25" s="71"/>
      <c r="G25" s="333"/>
      <c r="L25" s="17"/>
      <c r="M25" s="17"/>
      <c r="N25" s="17"/>
      <c r="Z25" s="72"/>
      <c r="AA25" s="72"/>
      <c r="AB25" s="72"/>
      <c r="AC25" s="72"/>
      <c r="AD25" s="72"/>
      <c r="AE25" s="72"/>
      <c r="AF25" s="72"/>
    </row>
    <row r="26" spans="1:32" x14ac:dyDescent="0.3">
      <c r="B26" s="13" t="str">
        <f>IF($E$4="","",IF($G$19=0,"This LARP is registered but does not currently own any stock.",""))</f>
        <v>This LARP is registered but does not currently own any stock.</v>
      </c>
      <c r="L26" s="73"/>
      <c r="M26" s="17"/>
      <c r="N26" s="17"/>
      <c r="Z26" s="72"/>
      <c r="AA26" s="72"/>
      <c r="AB26" s="72"/>
      <c r="AC26" s="72"/>
      <c r="AD26" s="72"/>
      <c r="AE26" s="72"/>
      <c r="AF26" s="72"/>
    </row>
    <row r="27" spans="1:32" ht="15.5" x14ac:dyDescent="0.3">
      <c r="A27" s="385">
        <v>2</v>
      </c>
      <c r="B27" s="74" t="s">
        <v>833</v>
      </c>
      <c r="C27" s="75"/>
      <c r="D27" s="75"/>
      <c r="E27" s="75"/>
      <c r="F27" s="75"/>
      <c r="G27" s="76"/>
      <c r="H27" s="14"/>
    </row>
    <row r="28" spans="1:32" x14ac:dyDescent="0.3">
      <c r="A28" s="386"/>
      <c r="B28" s="381" t="str">
        <f>$Q$31</f>
        <v>Average weekly net rent (£ per week) and units for England - LARPs only</v>
      </c>
      <c r="C28" s="399"/>
      <c r="D28" s="399"/>
      <c r="E28" s="399"/>
      <c r="F28" s="399"/>
      <c r="G28" s="400"/>
      <c r="H28" s="14"/>
      <c r="Q28" s="13" t="s">
        <v>857</v>
      </c>
      <c r="W28" s="77"/>
    </row>
    <row r="29" spans="1:32" x14ac:dyDescent="0.3">
      <c r="B29" s="401"/>
      <c r="C29" s="399"/>
      <c r="D29" s="399"/>
      <c r="E29" s="399"/>
      <c r="F29" s="399"/>
      <c r="G29" s="400"/>
      <c r="H29" s="14"/>
      <c r="P29" s="78"/>
      <c r="Q29" s="78"/>
      <c r="T29" s="77"/>
      <c r="W29" s="77"/>
      <c r="X29" s="78"/>
      <c r="Y29" s="78"/>
    </row>
    <row r="30" spans="1:32" ht="12.75" customHeight="1" x14ac:dyDescent="0.3">
      <c r="B30" s="401"/>
      <c r="C30" s="399"/>
      <c r="D30" s="399"/>
      <c r="E30" s="399"/>
      <c r="F30" s="399"/>
      <c r="G30" s="400"/>
      <c r="H30" s="79" t="str">
        <f>IFERROR(IF(B37="","Average weekly net rent (£ per week) for England - Large PRPs","Average weekly net rent (£ per week) for "&amp;$V$50&amp;" - Large PRPs"),"")</f>
        <v>Average weekly net rent (£ per week) for England - Large PRPs</v>
      </c>
      <c r="Q30" s="80" t="str">
        <f>IF($E$3="Please select a local authority area.","",IFERROR(IF($B$37="","Average weekly net rent (£ per week) and units for England - LARPs only","Average weekly net rent (£ per week) and units for "&amp;$V$35&amp;" - LARPs only"),""))</f>
        <v>Average weekly net rent (£ per week) and units for England - LARPs only</v>
      </c>
      <c r="R30" s="81"/>
      <c r="S30" s="81"/>
      <c r="T30" s="81"/>
      <c r="U30" s="81"/>
      <c r="V30" s="82"/>
      <c r="W30" s="81"/>
      <c r="X30" s="83"/>
    </row>
    <row r="31" spans="1:32" ht="12.75" customHeight="1" x14ac:dyDescent="0.3">
      <c r="B31" s="401"/>
      <c r="C31" s="399"/>
      <c r="D31" s="399"/>
      <c r="E31" s="399"/>
      <c r="F31" s="399"/>
      <c r="G31" s="400"/>
      <c r="H31" s="14"/>
      <c r="Q31" s="84" t="str">
        <f>IF($E$3="Please select a local authority area.","",IF($H$3="No","Average weekly net rent (£ per week) and units for "&amp;$V$35&amp;" - LARPs only",$Q$30))</f>
        <v>Average weekly net rent (£ per week) and units for England - LARPs only</v>
      </c>
      <c r="R31" s="77"/>
      <c r="S31" s="77"/>
      <c r="T31" s="77"/>
      <c r="U31" s="77"/>
      <c r="V31" s="77"/>
      <c r="X31" s="85"/>
    </row>
    <row r="32" spans="1:32" x14ac:dyDescent="0.3">
      <c r="B32" s="86"/>
      <c r="C32" s="30"/>
      <c r="D32" s="87"/>
      <c r="E32" s="88"/>
      <c r="F32" s="343" t="s">
        <v>18</v>
      </c>
      <c r="G32" s="31"/>
      <c r="H32" s="14"/>
      <c r="Q32" s="89" t="str">
        <f>IF(E3="Please select a local authority area.","",IFERROR(IF($B$37="","Average weekly net rent (£ per week) for England - LARPs only","Average weekly net rent (£ per week) for "&amp;$V$35&amp;" - LARPs only"),""))</f>
        <v>Average weekly net rent (£ per week) for England - LARPs only</v>
      </c>
      <c r="R32" s="77"/>
      <c r="S32" s="77"/>
      <c r="T32" s="77"/>
      <c r="U32" s="77"/>
      <c r="V32" s="77"/>
      <c r="X32" s="85"/>
    </row>
    <row r="33" spans="2:24" x14ac:dyDescent="0.3">
      <c r="B33" s="90" t="str">
        <f>"Average weekly NET RENT (£ per week) for "&amp;$E$3&amp;", "&amp;$K$3&amp; " and England - Large PRPs"</f>
        <v>Average weekly NET RENT (£ per week) for ,  and England - Large PRPs</v>
      </c>
      <c r="C33" s="91"/>
      <c r="D33" s="92"/>
      <c r="F33" s="93" t="s">
        <v>12</v>
      </c>
      <c r="G33" s="94" t="s">
        <v>13</v>
      </c>
      <c r="H33" s="14"/>
      <c r="Q33" s="84" t="str">
        <f>IF($H$3="No","Average weekly net rent (£ per week) for "&amp;$V$35&amp;" - Large PRPs only",$Q$32)</f>
        <v>Average weekly net rent (£ per week) for England - LARPs only</v>
      </c>
      <c r="R33" s="77"/>
      <c r="S33" s="77"/>
      <c r="T33" s="77"/>
      <c r="U33" s="77"/>
      <c r="V33" s="77"/>
      <c r="X33" s="85"/>
    </row>
    <row r="34" spans="2:24" x14ac:dyDescent="0.3">
      <c r="B34" s="95" t="s">
        <v>4</v>
      </c>
      <c r="C34" s="96"/>
      <c r="D34" s="97"/>
      <c r="F34" s="98" t="s">
        <v>14</v>
      </c>
      <c r="G34" s="99" t="s">
        <v>15</v>
      </c>
      <c r="H34" s="14"/>
      <c r="Q34" s="100"/>
      <c r="R34" s="77"/>
      <c r="S34" s="77"/>
      <c r="T34" s="77"/>
      <c r="U34" s="77"/>
      <c r="V34" s="77"/>
      <c r="X34" s="85"/>
    </row>
    <row r="35" spans="2:24" ht="12.75" customHeight="1" x14ac:dyDescent="0.3">
      <c r="B35" s="101" t="str">
        <f>IFERROR(IF($E$3="Please select a local authority area.","",IF(E3=K3,"",E3)),"")</f>
        <v/>
      </c>
      <c r="C35" s="102"/>
      <c r="D35" s="103"/>
      <c r="E35" s="104"/>
      <c r="F35" s="340" t="str">
        <f>IFERROR(IF($E$3=$K$3,"",(IFERROR((VLOOKUP($E$3,LADR_FF,9,0)),""))),"")</f>
        <v/>
      </c>
      <c r="G35" s="338" t="str">
        <f>IFERROR((VLOOKUP($E$3,LADR_FF,10,0)),"")</f>
        <v/>
      </c>
      <c r="H35" s="14"/>
      <c r="I35" s="20"/>
      <c r="J35" s="20"/>
      <c r="L35" s="107"/>
      <c r="M35" s="107"/>
      <c r="N35" s="107"/>
      <c r="O35" s="107"/>
      <c r="Q35" s="84">
        <f>$E$3</f>
        <v>0</v>
      </c>
      <c r="R35" s="108">
        <f>IF($Q$35=$Q$36,"",$Q$35)</f>
        <v>0</v>
      </c>
      <c r="S35" s="108" t="str">
        <f>$R$35&amp;", "&amp;$R$36&amp;" and England"</f>
        <v>0,  and England</v>
      </c>
      <c r="T35" s="108"/>
      <c r="U35" s="108"/>
      <c r="V35" s="108" t="str">
        <f>IF($B$35="",$S$36,$S$35)</f>
        <v xml:space="preserve"> and England</v>
      </c>
      <c r="X35" s="109"/>
    </row>
    <row r="36" spans="2:24" x14ac:dyDescent="0.3">
      <c r="B36" s="110"/>
      <c r="F36" s="340"/>
      <c r="G36" s="111"/>
      <c r="H36" s="14"/>
      <c r="I36" s="17"/>
      <c r="J36" s="17"/>
      <c r="K36" s="17"/>
      <c r="L36" s="17"/>
      <c r="M36" s="17"/>
      <c r="N36" s="17"/>
      <c r="Q36" s="84" t="str">
        <f>$K$3</f>
        <v/>
      </c>
      <c r="R36" s="108" t="str">
        <f>IF($Q$36=$Q$37,"",$Q$36)</f>
        <v/>
      </c>
      <c r="S36" s="108" t="str">
        <f>$R$36&amp;" and England"</f>
        <v xml:space="preserve"> and England</v>
      </c>
      <c r="T36" s="108"/>
      <c r="U36" s="108"/>
      <c r="V36" s="108"/>
      <c r="X36" s="109"/>
    </row>
    <row r="37" spans="2:24" x14ac:dyDescent="0.3">
      <c r="B37" s="112" t="str">
        <f>IFERROR(IF(K3="England","",K3),"")</f>
        <v/>
      </c>
      <c r="C37" s="102"/>
      <c r="D37" s="103"/>
      <c r="F37" s="340" t="str">
        <f>IFERROR(IF($E$3="England","",(IFERROR((VLOOKUP($K$3,LADR_FF,9,0)),""))),"")</f>
        <v/>
      </c>
      <c r="G37" s="106" t="str">
        <f>IFERROR(VLOOKUP($K$3,LADR_FF,10,0),"")</f>
        <v/>
      </c>
      <c r="H37" s="14"/>
      <c r="I37" s="17"/>
      <c r="J37" s="17"/>
      <c r="K37" s="17"/>
      <c r="L37" s="17"/>
      <c r="M37" s="17"/>
      <c r="N37" s="17"/>
      <c r="Q37" s="113" t="s">
        <v>10</v>
      </c>
      <c r="R37" s="114" t="s">
        <v>10</v>
      </c>
      <c r="S37" s="114" t="str">
        <f>$R$37</f>
        <v>England</v>
      </c>
      <c r="T37" s="114"/>
      <c r="U37" s="114"/>
      <c r="V37" s="114"/>
      <c r="W37" s="55"/>
      <c r="X37" s="115"/>
    </row>
    <row r="38" spans="2:24" x14ac:dyDescent="0.3">
      <c r="B38" s="110"/>
      <c r="F38" s="340"/>
      <c r="G38" s="111"/>
      <c r="H38" s="14"/>
      <c r="I38" s="17"/>
      <c r="J38" s="17"/>
      <c r="K38" s="17"/>
      <c r="L38" s="17"/>
      <c r="M38" s="17"/>
      <c r="N38" s="17"/>
      <c r="R38" s="77"/>
      <c r="S38" s="77"/>
      <c r="T38" s="77"/>
      <c r="U38" s="77"/>
      <c r="V38" s="77"/>
      <c r="W38" s="77"/>
    </row>
    <row r="39" spans="2:24" x14ac:dyDescent="0.3">
      <c r="B39" s="116" t="str">
        <f>IF($E$3="Please select a local authority area.","","England")</f>
        <v>England</v>
      </c>
      <c r="C39" s="117"/>
      <c r="D39" s="118"/>
      <c r="E39" s="119"/>
      <c r="F39" s="342">
        <f>IFERROR(VLOOKUP($B$39,LADR_FF,9,0),"")</f>
        <v>93.1</v>
      </c>
      <c r="G39" s="121">
        <f>IFERROR(VLOOKUP($B$39,LADR_FF,10,0),"")</f>
        <v>1419475</v>
      </c>
      <c r="H39" s="14"/>
      <c r="I39" s="17"/>
      <c r="J39" s="17"/>
      <c r="K39" s="17"/>
      <c r="L39" s="17"/>
      <c r="M39" s="17"/>
      <c r="N39" s="17"/>
      <c r="R39" s="77"/>
      <c r="S39" s="77"/>
      <c r="T39" s="77"/>
      <c r="U39" s="77"/>
      <c r="V39" s="77"/>
      <c r="W39" s="77"/>
    </row>
    <row r="40" spans="2:24" x14ac:dyDescent="0.3">
      <c r="B40" s="122"/>
      <c r="C40" s="123"/>
      <c r="D40" s="123"/>
      <c r="E40" s="123"/>
      <c r="F40" s="123"/>
      <c r="G40" s="124"/>
      <c r="H40" s="14"/>
      <c r="I40" s="17"/>
      <c r="J40" s="17"/>
      <c r="K40" s="17"/>
      <c r="L40" s="17"/>
      <c r="M40" s="17"/>
      <c r="N40" s="17"/>
      <c r="R40" s="77"/>
      <c r="S40" s="77"/>
      <c r="T40" s="77"/>
      <c r="U40" s="77"/>
      <c r="V40" s="77"/>
      <c r="W40" s="77"/>
    </row>
    <row r="41" spans="2:24" x14ac:dyDescent="0.3">
      <c r="B41" s="337" t="s">
        <v>832</v>
      </c>
      <c r="C41" s="123"/>
      <c r="D41" s="123"/>
      <c r="E41" s="123"/>
      <c r="F41" s="123"/>
      <c r="G41" s="124"/>
      <c r="H41" s="14"/>
      <c r="I41" s="17"/>
      <c r="J41" s="17"/>
      <c r="K41" s="17"/>
      <c r="L41" s="17"/>
      <c r="M41" s="17"/>
      <c r="N41" s="17"/>
      <c r="R41" s="77"/>
      <c r="S41" s="77"/>
      <c r="T41" s="77"/>
      <c r="U41" s="77"/>
      <c r="V41" s="77"/>
      <c r="W41" s="77"/>
    </row>
    <row r="42" spans="2:24" x14ac:dyDescent="0.3">
      <c r="B42" s="110"/>
      <c r="C42" s="123"/>
      <c r="D42" s="123"/>
      <c r="E42" s="123"/>
      <c r="F42" s="123"/>
      <c r="G42" s="124"/>
      <c r="H42" s="14"/>
      <c r="I42" s="17"/>
      <c r="J42" s="17"/>
      <c r="K42" s="17"/>
      <c r="L42" s="17"/>
      <c r="M42" s="17"/>
      <c r="N42" s="17"/>
      <c r="R42" s="77"/>
      <c r="S42" s="77"/>
      <c r="T42" s="77"/>
      <c r="U42" s="77"/>
      <c r="V42" s="77"/>
      <c r="W42" s="77"/>
    </row>
    <row r="43" spans="2:24" x14ac:dyDescent="0.3">
      <c r="B43" s="126" t="s">
        <v>16</v>
      </c>
      <c r="G43" s="85"/>
      <c r="H43" s="14"/>
      <c r="I43" s="17"/>
      <c r="J43" s="17"/>
      <c r="K43" s="17"/>
      <c r="L43" s="17"/>
      <c r="M43" s="17"/>
      <c r="N43" s="17"/>
      <c r="R43" s="77"/>
      <c r="S43" s="77"/>
      <c r="T43" s="77"/>
      <c r="U43" s="77"/>
      <c r="V43" s="77"/>
      <c r="W43" s="77"/>
    </row>
    <row r="44" spans="2:24" ht="12.75" customHeight="1" x14ac:dyDescent="0.3">
      <c r="B44" s="110"/>
      <c r="C44" s="127"/>
      <c r="G44" s="85"/>
      <c r="H44" s="14"/>
      <c r="I44" s="17"/>
      <c r="J44" s="17"/>
      <c r="K44" s="17"/>
      <c r="L44" s="17"/>
      <c r="M44" s="17"/>
      <c r="N44" s="17"/>
      <c r="R44" s="77"/>
      <c r="S44" s="77"/>
      <c r="T44" s="77"/>
      <c r="U44" s="77"/>
      <c r="V44" s="77"/>
      <c r="W44" s="77"/>
    </row>
    <row r="45" spans="2:24" x14ac:dyDescent="0.3">
      <c r="B45" s="126"/>
      <c r="C45" s="128"/>
      <c r="D45" s="128"/>
      <c r="E45" s="128"/>
      <c r="F45" s="128"/>
      <c r="G45" s="129"/>
      <c r="H45" s="14"/>
      <c r="I45" s="17"/>
      <c r="J45" s="17"/>
      <c r="K45" s="17"/>
      <c r="L45" s="17"/>
      <c r="M45" s="17"/>
      <c r="N45" s="17"/>
      <c r="R45" s="77"/>
      <c r="S45" s="77"/>
      <c r="T45" s="77"/>
      <c r="U45" s="77"/>
      <c r="V45" s="77"/>
      <c r="W45" s="77"/>
    </row>
    <row r="46" spans="2:24" x14ac:dyDescent="0.3">
      <c r="B46" s="130"/>
      <c r="C46" s="128"/>
      <c r="D46" s="128"/>
      <c r="E46" s="128"/>
      <c r="F46" s="128"/>
      <c r="G46" s="129"/>
      <c r="H46" s="14"/>
      <c r="I46" s="17"/>
      <c r="J46" s="17"/>
      <c r="K46" s="17"/>
      <c r="L46" s="17"/>
      <c r="M46" s="17"/>
      <c r="N46" s="17"/>
      <c r="R46" s="77"/>
      <c r="S46" s="77"/>
      <c r="T46" s="77"/>
      <c r="U46" s="77"/>
      <c r="V46" s="77"/>
      <c r="W46" s="77"/>
    </row>
    <row r="47" spans="2:24" x14ac:dyDescent="0.3">
      <c r="B47" s="110"/>
      <c r="C47" s="128"/>
      <c r="D47" s="128"/>
      <c r="E47" s="128"/>
      <c r="F47" s="128"/>
      <c r="G47" s="129"/>
      <c r="H47" s="14"/>
      <c r="I47" s="17"/>
      <c r="J47" s="17"/>
      <c r="K47" s="17"/>
      <c r="L47" s="17"/>
      <c r="M47" s="17"/>
      <c r="N47" s="17"/>
      <c r="R47" s="77"/>
      <c r="S47" s="77"/>
      <c r="T47" s="77"/>
      <c r="U47" s="77"/>
      <c r="V47" s="77"/>
      <c r="W47" s="77"/>
    </row>
    <row r="48" spans="2:24" x14ac:dyDescent="0.3">
      <c r="B48" s="70" t="s">
        <v>896</v>
      </c>
      <c r="C48" s="55"/>
      <c r="D48" s="55"/>
      <c r="E48" s="55"/>
      <c r="F48" s="55"/>
      <c r="G48" s="131"/>
      <c r="H48" s="14"/>
      <c r="I48" s="17"/>
      <c r="J48" s="17"/>
      <c r="K48" s="17"/>
      <c r="L48" s="17"/>
      <c r="M48" s="17"/>
      <c r="N48" s="17"/>
      <c r="R48" s="77"/>
      <c r="S48" s="77"/>
      <c r="T48" s="77"/>
      <c r="U48" s="77"/>
      <c r="V48" s="77"/>
      <c r="W48" s="77"/>
    </row>
    <row r="49" spans="1:25" x14ac:dyDescent="0.3">
      <c r="B49" s="13" t="str">
        <f>IF($E$4="","",IF($G$19=0,"This LARP is registered but does not currently own any stock.",""))</f>
        <v>This LARP is registered but does not currently own any stock.</v>
      </c>
      <c r="H49" s="14"/>
      <c r="I49" s="132"/>
      <c r="J49" s="132"/>
      <c r="K49" s="17"/>
      <c r="L49" s="17"/>
      <c r="M49" s="17"/>
      <c r="N49" s="17"/>
      <c r="R49" s="77"/>
      <c r="S49" s="77"/>
      <c r="T49" s="77"/>
      <c r="U49" s="77"/>
      <c r="V49" s="77"/>
      <c r="W49" s="77"/>
    </row>
    <row r="50" spans="1:25" ht="15.5" x14ac:dyDescent="0.3">
      <c r="A50" s="385">
        <v>3</v>
      </c>
      <c r="B50" s="74" t="s">
        <v>834</v>
      </c>
      <c r="C50" s="75"/>
      <c r="D50" s="75"/>
      <c r="E50" s="75"/>
      <c r="F50" s="75"/>
      <c r="G50" s="76"/>
      <c r="H50" s="14"/>
      <c r="I50" s="17"/>
      <c r="J50" s="17"/>
      <c r="K50" s="17"/>
      <c r="L50" s="17"/>
      <c r="M50" s="17"/>
      <c r="N50" s="17"/>
      <c r="R50" s="77"/>
      <c r="S50" s="77"/>
      <c r="T50" s="77"/>
      <c r="U50" s="77"/>
      <c r="V50" s="77"/>
      <c r="W50" s="77"/>
    </row>
    <row r="51" spans="1:25" ht="12.75" customHeight="1" x14ac:dyDescent="0.3">
      <c r="A51" s="386"/>
      <c r="B51" s="381" t="str">
        <f>$Q$31</f>
        <v>Average weekly net rent (£ per week) and units for England - LARPs only</v>
      </c>
      <c r="C51" s="379"/>
      <c r="D51" s="379"/>
      <c r="E51" s="379"/>
      <c r="F51" s="379"/>
      <c r="G51" s="380"/>
      <c r="H51" s="14"/>
      <c r="I51" s="17"/>
      <c r="J51" s="17"/>
      <c r="K51" s="17"/>
      <c r="L51" s="17"/>
      <c r="M51" s="17"/>
      <c r="N51" s="17"/>
      <c r="R51" s="77"/>
      <c r="S51" s="77"/>
      <c r="T51" s="77"/>
      <c r="U51" s="77"/>
      <c r="V51" s="77"/>
      <c r="W51" s="77"/>
    </row>
    <row r="52" spans="1:25" x14ac:dyDescent="0.3">
      <c r="A52" s="21"/>
      <c r="B52" s="381"/>
      <c r="C52" s="379"/>
      <c r="D52" s="379"/>
      <c r="E52" s="379"/>
      <c r="F52" s="379"/>
      <c r="G52" s="380"/>
      <c r="H52" s="133"/>
      <c r="I52" s="17"/>
      <c r="J52" s="17"/>
      <c r="K52" s="17"/>
      <c r="L52" s="17"/>
      <c r="M52" s="17"/>
      <c r="N52" s="17"/>
      <c r="P52" s="78"/>
      <c r="Q52" s="78"/>
      <c r="R52" s="77"/>
      <c r="S52" s="77"/>
      <c r="T52" s="77"/>
      <c r="U52" s="77"/>
      <c r="V52" s="77"/>
      <c r="W52" s="77"/>
      <c r="X52" s="78"/>
      <c r="Y52" s="78"/>
    </row>
    <row r="53" spans="1:25" x14ac:dyDescent="0.3">
      <c r="A53" s="21"/>
      <c r="B53" s="381"/>
      <c r="C53" s="379"/>
      <c r="D53" s="379"/>
      <c r="E53" s="379"/>
      <c r="F53" s="379"/>
      <c r="G53" s="380"/>
      <c r="H53" s="14"/>
      <c r="I53" s="17"/>
      <c r="J53" s="17"/>
      <c r="K53" s="17"/>
      <c r="L53" s="17"/>
      <c r="M53" s="17"/>
      <c r="N53" s="17"/>
      <c r="R53" s="77"/>
      <c r="S53" s="77"/>
      <c r="T53" s="77"/>
      <c r="U53" s="77"/>
      <c r="V53" s="77"/>
      <c r="W53" s="77"/>
    </row>
    <row r="54" spans="1:25" x14ac:dyDescent="0.3">
      <c r="B54" s="387"/>
      <c r="C54" s="388"/>
      <c r="D54" s="388"/>
      <c r="E54" s="388"/>
      <c r="F54" s="388"/>
      <c r="G54" s="389"/>
      <c r="H54" s="14"/>
      <c r="I54" s="17"/>
      <c r="J54" s="17"/>
      <c r="K54" s="17"/>
      <c r="L54" s="17"/>
      <c r="M54" s="17"/>
      <c r="N54" s="17"/>
      <c r="R54" s="77"/>
      <c r="S54" s="77"/>
      <c r="T54" s="77"/>
      <c r="U54" s="77"/>
      <c r="V54" s="77"/>
      <c r="W54" s="77"/>
    </row>
    <row r="55" spans="1:25" x14ac:dyDescent="0.3">
      <c r="B55" s="86" t="str">
        <f>B51</f>
        <v>Average weekly net rent (£ per week) and units for England - LARPs only</v>
      </c>
      <c r="C55" s="30"/>
      <c r="D55" s="30"/>
      <c r="E55" s="119"/>
      <c r="F55" s="343" t="s">
        <v>18</v>
      </c>
      <c r="G55" s="31"/>
      <c r="H55" s="14"/>
      <c r="I55" s="17"/>
      <c r="J55" s="17"/>
      <c r="K55" s="17"/>
      <c r="L55" s="17"/>
      <c r="M55" s="17"/>
      <c r="N55" s="17"/>
      <c r="R55" s="77"/>
      <c r="S55" s="77"/>
      <c r="T55" s="77"/>
      <c r="U55" s="77"/>
      <c r="V55" s="77"/>
      <c r="W55" s="77"/>
    </row>
    <row r="56" spans="1:25" x14ac:dyDescent="0.3">
      <c r="B56" s="134" t="str">
        <f>"Average weekly NET RENT (£ per week) for "&amp;$E$3&amp;", "&amp;$K$3&amp; " and England - Large PRPs"</f>
        <v>Average weekly NET RENT (£ per week) for ,  and England - Large PRPs</v>
      </c>
      <c r="C56" s="92"/>
      <c r="D56" s="92"/>
      <c r="F56" s="93" t="s">
        <v>12</v>
      </c>
      <c r="G56" s="94" t="s">
        <v>13</v>
      </c>
      <c r="H56" s="14"/>
      <c r="I56" s="17"/>
      <c r="J56" s="17"/>
      <c r="K56" s="17"/>
      <c r="L56" s="17"/>
      <c r="M56" s="17"/>
      <c r="N56" s="17"/>
      <c r="R56" s="77"/>
      <c r="S56" s="77"/>
      <c r="T56" s="77"/>
      <c r="U56" s="77"/>
      <c r="V56" s="77"/>
      <c r="W56" s="77"/>
    </row>
    <row r="57" spans="1:25" x14ac:dyDescent="0.3">
      <c r="B57" s="95" t="s">
        <v>17</v>
      </c>
      <c r="C57" s="96"/>
      <c r="D57" s="97"/>
      <c r="E57" s="119"/>
      <c r="F57" s="98" t="s">
        <v>14</v>
      </c>
      <c r="G57" s="99" t="s">
        <v>15</v>
      </c>
      <c r="H57" s="14"/>
      <c r="I57" s="17"/>
      <c r="J57" s="17"/>
      <c r="K57" s="17"/>
      <c r="L57" s="17"/>
      <c r="M57" s="17"/>
      <c r="N57" s="17"/>
      <c r="R57" s="77"/>
      <c r="S57" s="77"/>
      <c r="T57" s="77"/>
      <c r="U57" s="77"/>
      <c r="V57" s="77"/>
      <c r="W57" s="77"/>
    </row>
    <row r="58" spans="1:25" x14ac:dyDescent="0.3">
      <c r="B58" s="101" t="str">
        <f>IFERROR(IF(E3="Please select a local authority area.","",IF($E$3=$K$3,"",$E$3)),"")</f>
        <v/>
      </c>
      <c r="C58" s="102"/>
      <c r="D58" s="103"/>
      <c r="F58" s="340" t="str">
        <f>IFERROR(IF($E$3=$K$3,"",(IFERROR((VLOOKUP($E$3,LADR_FF,29,0)),""))),"")</f>
        <v/>
      </c>
      <c r="G58" s="338" t="str">
        <f>IFERROR((VLOOKUP($E$3,LADR_FF,30,0)),"")</f>
        <v/>
      </c>
      <c r="H58" s="14"/>
      <c r="I58" s="17"/>
      <c r="J58" s="17"/>
      <c r="K58" s="17"/>
      <c r="L58" s="17"/>
      <c r="M58" s="17"/>
      <c r="N58" s="17"/>
      <c r="R58" s="77"/>
      <c r="S58" s="77"/>
      <c r="T58" s="77"/>
      <c r="U58" s="77"/>
      <c r="V58" s="77"/>
      <c r="W58" s="77"/>
    </row>
    <row r="59" spans="1:25" x14ac:dyDescent="0.3">
      <c r="B59" s="110"/>
      <c r="F59" s="340"/>
      <c r="G59" s="111"/>
      <c r="H59" s="14"/>
      <c r="I59" s="17"/>
      <c r="J59" s="17"/>
      <c r="K59" s="17"/>
      <c r="L59" s="17"/>
      <c r="M59" s="17"/>
      <c r="N59" s="17"/>
      <c r="R59" s="77"/>
      <c r="S59" s="77"/>
      <c r="T59" s="77"/>
      <c r="U59" s="77"/>
      <c r="V59" s="77"/>
      <c r="W59" s="77"/>
    </row>
    <row r="60" spans="1:25" x14ac:dyDescent="0.3">
      <c r="B60" s="112" t="str">
        <f>IFERROR(IF($E$3="England","",$K$3),"")</f>
        <v/>
      </c>
      <c r="C60" s="102"/>
      <c r="D60" s="103"/>
      <c r="F60" s="340" t="str">
        <f>IFERROR(IF($E$3="England","",(IFERROR((VLOOKUP($K$3,LADR_FF,29,0)),""))),"")</f>
        <v/>
      </c>
      <c r="G60" s="106" t="str">
        <f>IF($B$60="","",VLOOKUP($K$3,LADR_FF,30,0))</f>
        <v/>
      </c>
      <c r="H60" s="14"/>
      <c r="I60" s="17"/>
      <c r="J60" s="17"/>
      <c r="K60" s="17"/>
      <c r="L60" s="17"/>
      <c r="M60" s="17"/>
      <c r="N60" s="17"/>
      <c r="R60" s="77"/>
      <c r="S60" s="77"/>
      <c r="T60" s="77"/>
      <c r="U60" s="77"/>
      <c r="V60" s="77"/>
      <c r="W60" s="77"/>
    </row>
    <row r="61" spans="1:25" x14ac:dyDescent="0.3">
      <c r="B61" s="110"/>
      <c r="F61" s="340"/>
      <c r="G61" s="111"/>
      <c r="H61" s="14"/>
      <c r="I61" s="17"/>
      <c r="J61" s="17"/>
      <c r="K61" s="17"/>
      <c r="L61" s="17"/>
      <c r="M61" s="17"/>
      <c r="N61" s="17"/>
      <c r="R61" s="77"/>
      <c r="S61" s="77"/>
      <c r="T61" s="77"/>
      <c r="U61" s="77"/>
      <c r="V61" s="77"/>
      <c r="W61" s="77"/>
    </row>
    <row r="62" spans="1:25" x14ac:dyDescent="0.3">
      <c r="B62" s="116" t="s">
        <v>10</v>
      </c>
      <c r="C62" s="117"/>
      <c r="D62" s="136"/>
      <c r="E62" s="119"/>
      <c r="F62" s="342">
        <f>VLOOKUP($B$23,LADR_FF,29,0)</f>
        <v>81.459999999999994</v>
      </c>
      <c r="G62" s="121">
        <f>VLOOKUP($B$23,LADR_FF,30,0)</f>
        <v>101628</v>
      </c>
      <c r="H62" s="14"/>
      <c r="I62" s="17"/>
      <c r="J62" s="17"/>
      <c r="K62" s="17"/>
      <c r="L62" s="17"/>
      <c r="M62" s="17"/>
      <c r="N62" s="17"/>
      <c r="R62" s="77"/>
      <c r="S62" s="77"/>
      <c r="T62" s="77"/>
      <c r="U62" s="77"/>
      <c r="V62" s="77"/>
      <c r="W62" s="77"/>
    </row>
    <row r="63" spans="1:25" x14ac:dyDescent="0.3">
      <c r="B63" s="125"/>
      <c r="G63" s="85"/>
      <c r="H63" s="14"/>
      <c r="I63" s="17"/>
      <c r="J63" s="17"/>
      <c r="K63" s="17"/>
      <c r="L63" s="17"/>
      <c r="M63" s="17"/>
      <c r="N63" s="17"/>
      <c r="R63" s="77"/>
      <c r="S63" s="77"/>
      <c r="T63" s="77"/>
      <c r="U63" s="77"/>
      <c r="V63" s="77"/>
      <c r="W63" s="77"/>
    </row>
    <row r="64" spans="1:25" x14ac:dyDescent="0.3">
      <c r="B64" s="337" t="s">
        <v>832</v>
      </c>
      <c r="G64" s="85"/>
      <c r="H64" s="14"/>
      <c r="I64" s="17"/>
      <c r="J64" s="17"/>
      <c r="K64" s="17"/>
      <c r="L64" s="17"/>
      <c r="M64" s="17"/>
      <c r="N64" s="17"/>
      <c r="R64" s="77"/>
      <c r="S64" s="77"/>
      <c r="T64" s="77"/>
      <c r="U64" s="77"/>
      <c r="V64" s="77"/>
      <c r="W64" s="77"/>
    </row>
    <row r="65" spans="1:25" x14ac:dyDescent="0.3">
      <c r="B65" s="126" t="s">
        <v>16</v>
      </c>
      <c r="G65" s="85"/>
      <c r="H65" s="14"/>
      <c r="I65" s="17"/>
      <c r="J65" s="17"/>
      <c r="K65" s="17"/>
      <c r="L65" s="17"/>
      <c r="M65" s="17"/>
      <c r="N65" s="17"/>
      <c r="R65" s="77"/>
      <c r="S65" s="77"/>
      <c r="T65" s="77"/>
      <c r="U65" s="77"/>
      <c r="V65" s="77"/>
      <c r="W65" s="77"/>
    </row>
    <row r="66" spans="1:25" x14ac:dyDescent="0.3">
      <c r="B66" s="110"/>
      <c r="C66" s="127"/>
      <c r="G66" s="85"/>
      <c r="H66" s="14"/>
      <c r="I66" s="17"/>
      <c r="J66" s="17"/>
      <c r="K66" s="17"/>
      <c r="L66" s="17"/>
      <c r="M66" s="17"/>
      <c r="N66" s="17"/>
      <c r="R66" s="77"/>
      <c r="S66" s="77"/>
      <c r="T66" s="77"/>
      <c r="U66" s="77"/>
      <c r="V66" s="77"/>
      <c r="W66" s="77"/>
    </row>
    <row r="67" spans="1:25" ht="14.5" customHeight="1" x14ac:dyDescent="0.3">
      <c r="B67" s="126"/>
      <c r="C67" s="128"/>
      <c r="D67" s="128"/>
      <c r="E67" s="128"/>
      <c r="F67" s="128"/>
      <c r="G67" s="129"/>
      <c r="H67" s="14"/>
      <c r="I67" s="17"/>
      <c r="J67" s="17"/>
      <c r="K67" s="17"/>
      <c r="L67" s="17"/>
      <c r="M67" s="17"/>
      <c r="N67" s="17"/>
      <c r="R67" s="77"/>
      <c r="S67" s="77"/>
      <c r="T67" s="77"/>
      <c r="U67" s="77"/>
      <c r="V67" s="77"/>
      <c r="W67" s="77"/>
    </row>
    <row r="68" spans="1:25" x14ac:dyDescent="0.3">
      <c r="B68" s="130"/>
      <c r="C68" s="128"/>
      <c r="D68" s="128"/>
      <c r="E68" s="128"/>
      <c r="F68" s="128"/>
      <c r="G68" s="129"/>
      <c r="H68" s="14"/>
      <c r="I68" s="17"/>
      <c r="J68" s="17"/>
      <c r="K68" s="17"/>
      <c r="L68" s="17"/>
      <c r="M68" s="17"/>
      <c r="N68" s="17"/>
      <c r="R68" s="77"/>
      <c r="S68" s="77"/>
      <c r="T68" s="77"/>
      <c r="U68" s="77"/>
      <c r="V68" s="77"/>
      <c r="W68" s="77"/>
    </row>
    <row r="69" spans="1:25" x14ac:dyDescent="0.3">
      <c r="B69" s="110"/>
      <c r="C69" s="128"/>
      <c r="D69" s="128"/>
      <c r="E69" s="128"/>
      <c r="F69" s="128"/>
      <c r="G69" s="129"/>
      <c r="H69" s="14"/>
      <c r="I69" s="17"/>
      <c r="J69" s="17"/>
      <c r="K69" s="17"/>
      <c r="L69" s="17"/>
      <c r="M69" s="17"/>
      <c r="N69" s="17"/>
      <c r="R69" s="77"/>
      <c r="S69" s="77"/>
      <c r="T69" s="77"/>
      <c r="U69" s="77"/>
      <c r="V69" s="77"/>
      <c r="W69" s="77"/>
    </row>
    <row r="70" spans="1:25" x14ac:dyDescent="0.3">
      <c r="B70" s="70" t="s">
        <v>896</v>
      </c>
      <c r="C70" s="55"/>
      <c r="D70" s="55"/>
      <c r="E70" s="55"/>
      <c r="F70" s="55"/>
      <c r="G70" s="131"/>
      <c r="H70" s="14"/>
      <c r="R70" s="77"/>
      <c r="S70" s="77"/>
      <c r="T70" s="77"/>
      <c r="U70" s="77"/>
      <c r="V70" s="77"/>
      <c r="W70" s="77"/>
    </row>
    <row r="71" spans="1:25" x14ac:dyDescent="0.3">
      <c r="B71" s="13" t="str">
        <f>IF($E$4="","",IF($G$19=0,"This LARP is registered but does not currently own any stock.",""))</f>
        <v>This LARP is registered but does not currently own any stock.</v>
      </c>
      <c r="C71" s="2"/>
      <c r="D71" s="2"/>
      <c r="E71" s="2"/>
      <c r="F71" s="2"/>
      <c r="G71" s="2"/>
      <c r="H71" s="16"/>
      <c r="I71" s="132"/>
      <c r="J71" s="132"/>
      <c r="K71" s="17"/>
      <c r="L71" s="17"/>
      <c r="M71" s="17"/>
      <c r="N71" s="17"/>
      <c r="R71" s="77"/>
      <c r="S71" s="77"/>
      <c r="T71" s="77"/>
      <c r="U71" s="77"/>
      <c r="V71" s="77"/>
      <c r="W71" s="77"/>
    </row>
    <row r="72" spans="1:25" ht="15.75" customHeight="1" x14ac:dyDescent="0.3">
      <c r="A72" s="374">
        <v>4</v>
      </c>
      <c r="B72" s="137" t="s">
        <v>833</v>
      </c>
      <c r="C72" s="75"/>
      <c r="D72" s="75"/>
      <c r="E72" s="75"/>
      <c r="F72" s="75"/>
      <c r="G72" s="76"/>
      <c r="I72" s="17"/>
      <c r="J72" s="17"/>
      <c r="K72" s="17"/>
      <c r="L72" s="17"/>
      <c r="M72" s="17"/>
      <c r="N72" s="17"/>
      <c r="Q72" s="138" t="s">
        <v>854</v>
      </c>
      <c r="R72" s="77"/>
      <c r="S72" s="77"/>
      <c r="T72" s="77"/>
      <c r="U72" s="77"/>
      <c r="V72" s="77"/>
      <c r="W72" s="77"/>
    </row>
    <row r="73" spans="1:25" ht="12.75" customHeight="1" x14ac:dyDescent="0.3">
      <c r="A73" s="386"/>
      <c r="B73" s="381" t="str">
        <f>IFERROR($Q$76,"")</f>
        <v>Average weekly net rent (£ per week) and units by unit size for  LARPs only</v>
      </c>
      <c r="C73" s="390"/>
      <c r="D73" s="390"/>
      <c r="E73" s="390"/>
      <c r="F73" s="390"/>
      <c r="G73" s="391"/>
      <c r="I73" s="17"/>
      <c r="J73" s="17"/>
      <c r="K73" s="17"/>
      <c r="L73" s="17"/>
      <c r="M73" s="17"/>
      <c r="N73" s="17"/>
      <c r="R73" s="77"/>
      <c r="S73" s="77"/>
      <c r="T73" s="77"/>
      <c r="U73" s="77"/>
      <c r="V73" s="77"/>
      <c r="W73" s="77"/>
    </row>
    <row r="74" spans="1:25" ht="12.75" customHeight="1" x14ac:dyDescent="0.3">
      <c r="A74" s="21"/>
      <c r="B74" s="392"/>
      <c r="C74" s="390"/>
      <c r="D74" s="390"/>
      <c r="E74" s="390"/>
      <c r="F74" s="390"/>
      <c r="G74" s="391"/>
      <c r="I74" s="17"/>
      <c r="J74" s="17"/>
      <c r="K74" s="17"/>
      <c r="L74" s="17"/>
      <c r="M74" s="17"/>
      <c r="N74" s="17"/>
      <c r="Q74" s="78"/>
      <c r="R74" s="77"/>
      <c r="S74" s="77"/>
      <c r="T74" s="77"/>
      <c r="U74" s="77"/>
      <c r="V74" s="77"/>
      <c r="W74" s="77"/>
    </row>
    <row r="75" spans="1:25" x14ac:dyDescent="0.3">
      <c r="B75" s="393"/>
      <c r="C75" s="394"/>
      <c r="D75" s="394"/>
      <c r="E75" s="394"/>
      <c r="F75" s="394"/>
      <c r="G75" s="395"/>
      <c r="I75" s="17"/>
      <c r="J75" s="17"/>
      <c r="K75" s="17"/>
      <c r="L75" s="17"/>
      <c r="M75" s="17"/>
      <c r="N75" s="17"/>
      <c r="P75" s="78"/>
      <c r="Q75" s="80" t="str">
        <f>IF($E$3=$K$3,"Average weekly net rent (£ per week) and units by unit size for "&amp;$E$3&amp; " LARPs only","Average weekly net rent (£ per week) and units by unit size for "&amp;$E$3&amp; " LARP only")</f>
        <v>Average weekly net rent (£ per week) and units by unit size for  LARPs only</v>
      </c>
      <c r="R75" s="81"/>
      <c r="S75" s="81"/>
      <c r="T75" s="81"/>
      <c r="U75" s="81"/>
      <c r="V75" s="82"/>
      <c r="W75" s="81"/>
      <c r="X75" s="83"/>
      <c r="Y75" s="78"/>
    </row>
    <row r="76" spans="1:25" x14ac:dyDescent="0.3">
      <c r="B76" s="139"/>
      <c r="C76" s="30"/>
      <c r="D76" s="30"/>
      <c r="E76" s="119"/>
      <c r="F76" s="344" t="s">
        <v>18</v>
      </c>
      <c r="G76" s="31"/>
      <c r="I76" s="17"/>
      <c r="J76" s="17"/>
      <c r="K76" s="17"/>
      <c r="L76" s="17"/>
      <c r="M76" s="17"/>
      <c r="N76" s="17"/>
      <c r="Q76" s="84" t="str">
        <f>IF(Q3="TRUE","Average weekly net rent (£ per week) and units by unit size for "&amp;$E$3&amp;" - LARPs only",Q75)</f>
        <v>Average weekly net rent (£ per week) and units by unit size for  LARPs only</v>
      </c>
      <c r="R76" s="77"/>
      <c r="S76" s="77"/>
      <c r="T76" s="77"/>
      <c r="U76" s="77"/>
      <c r="V76" s="77"/>
      <c r="X76" s="85"/>
    </row>
    <row r="77" spans="1:25" x14ac:dyDescent="0.3">
      <c r="B77" s="140" t="s">
        <v>19</v>
      </c>
      <c r="C77" s="92"/>
      <c r="D77" s="92"/>
      <c r="F77" s="93" t="s">
        <v>12</v>
      </c>
      <c r="G77" s="94" t="s">
        <v>13</v>
      </c>
      <c r="I77" s="17"/>
      <c r="J77" s="17"/>
      <c r="K77" s="17"/>
      <c r="L77" s="17"/>
      <c r="M77" s="17"/>
      <c r="N77" s="17"/>
      <c r="P77" s="20"/>
      <c r="Q77" s="89" t="str">
        <f>IF($E$3=$K$3,"Average weekly net rent (£ per week) by unit size for "&amp;$E$3&amp; " LARPs only","Average weekly net rent (£ per week) by unit size for "&amp;$E$3&amp; " LARP only")</f>
        <v>Average weekly net rent (£ per week) by unit size for  LARPs only</v>
      </c>
      <c r="R77" s="77"/>
      <c r="S77" s="77"/>
      <c r="T77" s="77"/>
      <c r="U77" s="77"/>
      <c r="V77" s="77"/>
      <c r="X77" s="85"/>
    </row>
    <row r="78" spans="1:25" ht="12.75" customHeight="1" x14ac:dyDescent="0.3">
      <c r="B78" s="141"/>
      <c r="C78" s="96"/>
      <c r="D78" s="97"/>
      <c r="E78" s="119"/>
      <c r="F78" s="98" t="s">
        <v>14</v>
      </c>
      <c r="G78" s="99" t="s">
        <v>15</v>
      </c>
      <c r="I78" s="17"/>
      <c r="J78" s="17"/>
      <c r="K78" s="17"/>
      <c r="L78" s="17"/>
      <c r="M78" s="17"/>
      <c r="N78" s="17"/>
      <c r="P78" s="20"/>
      <c r="Q78" s="84" t="str">
        <f>IF(H3="No","Average weekly net rent (£ per week) by unit size for "&amp;$E$3&amp;" - Large PRPs only",Q77)</f>
        <v>Average weekly net rent (£ per week) by unit size for  LARPs only</v>
      </c>
      <c r="R78" s="77"/>
      <c r="S78" s="77"/>
      <c r="T78" s="77"/>
      <c r="U78" s="77"/>
      <c r="V78" s="77"/>
      <c r="X78" s="85"/>
    </row>
    <row r="79" spans="1:25" x14ac:dyDescent="0.3">
      <c r="B79" s="142" t="s">
        <v>20</v>
      </c>
      <c r="C79" s="143"/>
      <c r="D79" s="103"/>
      <c r="F79" s="340" t="str">
        <f>IFERROR((VLOOKUP($E$3,LADR_FF,13,0)),"")</f>
        <v/>
      </c>
      <c r="G79" s="338" t="str">
        <f>IFERROR((VLOOKUP($E$3,LADR_FF,14,0)),"")</f>
        <v/>
      </c>
      <c r="I79" s="17"/>
      <c r="J79" s="17"/>
      <c r="K79" s="17"/>
      <c r="L79" s="17"/>
      <c r="M79" s="17"/>
      <c r="N79" s="17"/>
      <c r="P79" s="20"/>
      <c r="Q79" s="100"/>
      <c r="R79" s="77"/>
      <c r="S79" s="77"/>
      <c r="T79" s="77"/>
      <c r="U79" s="77"/>
      <c r="V79" s="77"/>
      <c r="X79" s="85"/>
    </row>
    <row r="80" spans="1:25" x14ac:dyDescent="0.3">
      <c r="A80" s="12">
        <f t="shared" ref="A80:A88" si="0">$E$3</f>
        <v>0</v>
      </c>
      <c r="B80" s="142" t="s">
        <v>21</v>
      </c>
      <c r="C80" s="143"/>
      <c r="D80" s="103"/>
      <c r="F80" s="340" t="str">
        <f>IFERROR((VLOOKUP($E$3,LADR_FF,15,0)),"")</f>
        <v/>
      </c>
      <c r="G80" s="338" t="str">
        <f>IFERROR((VLOOKUP($E$3,LADR_FF,16,0)),"")</f>
        <v/>
      </c>
      <c r="I80" s="17"/>
      <c r="J80" s="17"/>
      <c r="K80" s="17"/>
      <c r="L80" s="17"/>
      <c r="M80" s="17"/>
      <c r="N80" s="17"/>
      <c r="P80" s="78"/>
      <c r="Q80" s="84"/>
      <c r="R80" s="108"/>
      <c r="S80" s="108"/>
      <c r="T80" s="108"/>
      <c r="U80" s="108"/>
      <c r="V80" s="108"/>
      <c r="X80" s="109"/>
      <c r="Y80" s="78"/>
    </row>
    <row r="81" spans="1:24" x14ac:dyDescent="0.3">
      <c r="A81" s="12">
        <f t="shared" si="0"/>
        <v>0</v>
      </c>
      <c r="B81" s="142" t="s">
        <v>22</v>
      </c>
      <c r="C81" s="143"/>
      <c r="D81" s="144"/>
      <c r="F81" s="340" t="str">
        <f>IFERROR((VLOOKUP($E$3,LADR_FF,17,0)),"")</f>
        <v/>
      </c>
      <c r="G81" s="338" t="str">
        <f>IFERROR((VLOOKUP($E$3,LADR_FF,18,0)),"")</f>
        <v/>
      </c>
      <c r="I81" s="17"/>
      <c r="J81" s="17"/>
      <c r="K81" s="17"/>
      <c r="L81" s="17"/>
      <c r="M81" s="17"/>
      <c r="N81" s="17"/>
      <c r="P81" s="146"/>
      <c r="Q81" s="84"/>
      <c r="R81" s="108"/>
      <c r="S81" s="108"/>
      <c r="T81" s="108"/>
      <c r="U81" s="108"/>
      <c r="V81" s="108"/>
      <c r="X81" s="109"/>
    </row>
    <row r="82" spans="1:24" x14ac:dyDescent="0.3">
      <c r="A82" s="12">
        <f t="shared" si="0"/>
        <v>0</v>
      </c>
      <c r="B82" s="142" t="s">
        <v>23</v>
      </c>
      <c r="C82" s="143"/>
      <c r="D82" s="144"/>
      <c r="F82" s="340" t="str">
        <f>IFERROR((VLOOKUP($E$3,LADR_FF,19,0)),"")</f>
        <v/>
      </c>
      <c r="G82" s="338" t="str">
        <f>IFERROR((VLOOKUP($E$3,LADR_FF,20,0)),"")</f>
        <v/>
      </c>
      <c r="I82" s="17"/>
      <c r="J82" s="17"/>
      <c r="K82" s="17"/>
      <c r="L82" s="17"/>
      <c r="M82" s="17"/>
      <c r="N82" s="17"/>
      <c r="P82" s="20"/>
      <c r="Q82" s="113"/>
      <c r="R82" s="114"/>
      <c r="S82" s="114"/>
      <c r="T82" s="114"/>
      <c r="U82" s="114"/>
      <c r="V82" s="114"/>
      <c r="W82" s="55"/>
      <c r="X82" s="115"/>
    </row>
    <row r="83" spans="1:24" ht="14.5" x14ac:dyDescent="0.35">
      <c r="A83" s="12">
        <f t="shared" si="0"/>
        <v>0</v>
      </c>
      <c r="B83" s="142" t="s">
        <v>24</v>
      </c>
      <c r="C83" s="143"/>
      <c r="D83" s="144"/>
      <c r="F83" s="340" t="str">
        <f>IFERROR((VLOOKUP($E$3,LADR_FF,21,0)),"")</f>
        <v/>
      </c>
      <c r="G83" s="338" t="str">
        <f>IFERROR((VLOOKUP($E$3,LADR_FF,22,0)),"")</f>
        <v/>
      </c>
      <c r="I83" s="17"/>
      <c r="J83" s="17"/>
      <c r="K83" s="17"/>
      <c r="L83" s="17"/>
      <c r="M83" s="17"/>
      <c r="N83" s="17"/>
      <c r="P83" s="20"/>
      <c r="Q83" t="s">
        <v>647</v>
      </c>
      <c r="R83"/>
      <c r="S83"/>
      <c r="T83" s="77"/>
      <c r="U83" s="77"/>
      <c r="V83" s="77"/>
      <c r="W83" s="77"/>
    </row>
    <row r="84" spans="1:24" ht="14.5" x14ac:dyDescent="0.35">
      <c r="A84" s="12">
        <f t="shared" si="0"/>
        <v>0</v>
      </c>
      <c r="B84" s="142" t="s">
        <v>25</v>
      </c>
      <c r="C84" s="143"/>
      <c r="D84" s="144"/>
      <c r="F84" s="340" t="str">
        <f>IFERROR((VLOOKUP($E$3,LADR_FF,23,0)),"")</f>
        <v/>
      </c>
      <c r="G84" s="338" t="str">
        <f>IFERROR((VLOOKUP($E$3,LADR_FF,24,0)),"")</f>
        <v/>
      </c>
      <c r="I84" s="17"/>
      <c r="J84" s="17"/>
      <c r="K84" s="17"/>
      <c r="L84" s="17"/>
      <c r="M84" s="17"/>
      <c r="N84" s="17"/>
      <c r="P84" s="20"/>
      <c r="Q84" s="202">
        <v>13</v>
      </c>
      <c r="R84" s="203" t="s">
        <v>714</v>
      </c>
      <c r="S84" s="204">
        <f>HLOOKUP($R84,LADR!$I$2:$AB$3,2,0)</f>
        <v>55.11</v>
      </c>
      <c r="T84" s="77"/>
      <c r="U84" s="77"/>
      <c r="V84" s="77"/>
      <c r="W84" s="77"/>
    </row>
    <row r="85" spans="1:24" ht="14.5" x14ac:dyDescent="0.35">
      <c r="A85" s="12">
        <f t="shared" si="0"/>
        <v>0</v>
      </c>
      <c r="B85" s="142" t="s">
        <v>26</v>
      </c>
      <c r="C85" s="143"/>
      <c r="D85" s="144"/>
      <c r="F85" s="340" t="str">
        <f>IFERROR((VLOOKUP($E$3,LADR_FF,25,0)),"")</f>
        <v/>
      </c>
      <c r="G85" s="338" t="str">
        <f>IFERROR((VLOOKUP($E$3,LADR_FF,26,0)),"")</f>
        <v/>
      </c>
      <c r="I85" s="17"/>
      <c r="J85" s="17"/>
      <c r="K85" s="17"/>
      <c r="L85" s="17"/>
      <c r="M85" s="17"/>
      <c r="N85" s="17"/>
      <c r="P85" s="20"/>
      <c r="Q85" s="202">
        <v>15</v>
      </c>
      <c r="R85" s="203" t="s">
        <v>715</v>
      </c>
      <c r="S85" s="204">
        <f>HLOOKUP($R85,LADR!$I$2:$AB$3,2,0)</f>
        <v>79.22</v>
      </c>
      <c r="T85" s="77"/>
      <c r="U85" s="77"/>
      <c r="V85" s="77"/>
      <c r="W85" s="77"/>
    </row>
    <row r="86" spans="1:24" ht="14.5" x14ac:dyDescent="0.35">
      <c r="A86" s="12">
        <f t="shared" si="0"/>
        <v>0</v>
      </c>
      <c r="B86" s="142" t="s">
        <v>27</v>
      </c>
      <c r="C86" s="143"/>
      <c r="D86" s="144"/>
      <c r="F86" s="340" t="str">
        <f>IFERROR((VLOOKUP($E$3,LADR_FF,27,0)),"")</f>
        <v/>
      </c>
      <c r="G86" s="338" t="str">
        <f>IFERROR((VLOOKUP($E$3,LADR_FF,28,0)),"")</f>
        <v/>
      </c>
      <c r="I86" s="17"/>
      <c r="J86" s="17"/>
      <c r="K86" s="17"/>
      <c r="L86" s="17"/>
      <c r="M86" s="17"/>
      <c r="N86" s="17"/>
      <c r="P86" s="20"/>
      <c r="Q86" s="202">
        <v>17</v>
      </c>
      <c r="R86" s="203" t="s">
        <v>716</v>
      </c>
      <c r="S86" s="204">
        <f>HLOOKUP($R86,LADR!$I$2:$AB$3,2,0)</f>
        <v>81.55</v>
      </c>
      <c r="T86" s="77"/>
      <c r="U86" s="77"/>
      <c r="V86" s="77"/>
      <c r="W86" s="77"/>
    </row>
    <row r="87" spans="1:24" ht="14.5" x14ac:dyDescent="0.35">
      <c r="A87" s="12">
        <f t="shared" si="0"/>
        <v>0</v>
      </c>
      <c r="B87" s="47" t="s">
        <v>28</v>
      </c>
      <c r="C87" s="143"/>
      <c r="D87" s="144"/>
      <c r="E87" s="119"/>
      <c r="F87" s="340" t="str">
        <f>IFERROR((VLOOKUP($E$3,LADR_FF,11,0)),"")</f>
        <v/>
      </c>
      <c r="G87" s="338" t="str">
        <f>IFERROR((VLOOKUP($E$3,LADR_FF,12,0)),"")</f>
        <v/>
      </c>
      <c r="I87" s="17"/>
      <c r="J87" s="17"/>
      <c r="K87" s="17"/>
      <c r="L87" s="17"/>
      <c r="M87" s="17"/>
      <c r="N87" s="17"/>
      <c r="P87" s="20"/>
      <c r="Q87" s="202">
        <v>19</v>
      </c>
      <c r="R87" s="203" t="s">
        <v>717</v>
      </c>
      <c r="S87" s="204">
        <f>HLOOKUP($R87,LADR!$I$2:$AB$3,2,0)</f>
        <v>92.03</v>
      </c>
      <c r="T87" s="77"/>
      <c r="U87" s="77"/>
      <c r="V87" s="77"/>
      <c r="W87" s="77"/>
    </row>
    <row r="88" spans="1:24" ht="14.5" x14ac:dyDescent="0.35">
      <c r="A88" s="12">
        <f t="shared" si="0"/>
        <v>0</v>
      </c>
      <c r="B88" s="53" t="s">
        <v>29</v>
      </c>
      <c r="C88" s="147"/>
      <c r="D88" s="148"/>
      <c r="E88" s="119"/>
      <c r="F88" s="341" t="str">
        <f>IFERROR((VLOOKUP($E$3,LADR_FF,9,0)),"")</f>
        <v/>
      </c>
      <c r="G88" s="339" t="str">
        <f>IFERROR((VLOOKUP($E$3,LADR_FF,10,0)),"")</f>
        <v/>
      </c>
      <c r="I88" s="17"/>
      <c r="J88" s="17"/>
      <c r="K88" s="17"/>
      <c r="L88" s="17"/>
      <c r="M88" s="17"/>
      <c r="N88" s="17"/>
      <c r="P88" s="20"/>
      <c r="Q88" s="202">
        <v>21</v>
      </c>
      <c r="R88" s="203" t="s">
        <v>718</v>
      </c>
      <c r="S88" s="204">
        <f>HLOOKUP($R88,LADR!$I$2:$AB$3,2,0)</f>
        <v>101.45</v>
      </c>
      <c r="T88" s="77"/>
      <c r="U88" s="77"/>
      <c r="V88" s="77"/>
      <c r="W88" s="77"/>
    </row>
    <row r="89" spans="1:24" ht="14.5" customHeight="1" x14ac:dyDescent="0.35">
      <c r="B89" s="150"/>
      <c r="F89" s="81"/>
      <c r="G89" s="83"/>
      <c r="I89" s="17"/>
      <c r="J89" s="17"/>
      <c r="K89" s="17"/>
      <c r="L89" s="17"/>
      <c r="M89" s="17"/>
      <c r="N89" s="17"/>
      <c r="P89" s="20"/>
      <c r="Q89" s="202">
        <v>23</v>
      </c>
      <c r="R89" s="203" t="s">
        <v>719</v>
      </c>
      <c r="S89" s="204">
        <f>HLOOKUP($R89,LADR!$I$2:$AB$3,2,0)</f>
        <v>120.91</v>
      </c>
      <c r="T89" s="77"/>
      <c r="U89" s="77"/>
      <c r="V89" s="77"/>
      <c r="W89" s="77"/>
    </row>
    <row r="90" spans="1:24" ht="12.75" customHeight="1" x14ac:dyDescent="0.35">
      <c r="B90" s="337" t="s">
        <v>832</v>
      </c>
      <c r="C90" s="152"/>
      <c r="D90" s="152"/>
      <c r="E90" s="152"/>
      <c r="F90" s="152"/>
      <c r="G90" s="153"/>
      <c r="I90" s="17"/>
      <c r="J90" s="17"/>
      <c r="K90" s="17"/>
      <c r="L90" s="17"/>
      <c r="M90" s="17"/>
      <c r="N90" s="17"/>
      <c r="P90" s="20"/>
      <c r="Q90" s="202">
        <v>25</v>
      </c>
      <c r="R90" s="203" t="s">
        <v>720</v>
      </c>
      <c r="S90" s="204">
        <f>HLOOKUP($R90,LADR!$I$2:$AB$3,2,0)</f>
        <v>142.44999999999999</v>
      </c>
      <c r="T90" s="77"/>
      <c r="U90" s="77"/>
      <c r="V90" s="77"/>
      <c r="W90" s="77"/>
    </row>
    <row r="91" spans="1:24" ht="14.5" x14ac:dyDescent="0.35">
      <c r="B91" s="151" t="s">
        <v>16</v>
      </c>
      <c r="C91" s="152"/>
      <c r="D91" s="152"/>
      <c r="E91" s="152"/>
      <c r="F91" s="152"/>
      <c r="G91" s="153"/>
      <c r="I91" s="17"/>
      <c r="J91" s="17"/>
      <c r="K91" s="17"/>
      <c r="L91" s="17"/>
      <c r="M91" s="17"/>
      <c r="N91" s="17"/>
      <c r="P91" s="20"/>
      <c r="Q91" s="202">
        <v>27</v>
      </c>
      <c r="R91" s="203" t="s">
        <v>721</v>
      </c>
      <c r="S91" s="204">
        <f>HLOOKUP($R91,LADR!$I$2:$AB$3,2,0)</f>
        <v>155.05000000000001</v>
      </c>
      <c r="T91" s="77"/>
      <c r="U91" s="77"/>
      <c r="V91" s="77"/>
      <c r="W91" s="77"/>
    </row>
    <row r="92" spans="1:24" ht="14.5" x14ac:dyDescent="0.35">
      <c r="B92" s="70" t="s">
        <v>896</v>
      </c>
      <c r="C92" s="55"/>
      <c r="D92" s="154"/>
      <c r="E92" s="55"/>
      <c r="F92" s="55"/>
      <c r="G92" s="131"/>
      <c r="I92" s="17"/>
      <c r="J92" s="17"/>
      <c r="K92" s="17"/>
      <c r="L92" s="17"/>
      <c r="M92" s="17"/>
      <c r="N92" s="17"/>
      <c r="P92" s="20"/>
      <c r="Q92" s="202">
        <v>11</v>
      </c>
      <c r="R92" s="203" t="s">
        <v>39</v>
      </c>
      <c r="S92" s="204">
        <f>HLOOKUP($R92,LADR!$I$2:$AB$3,2,0)</f>
        <v>93.17</v>
      </c>
      <c r="T92" s="77"/>
      <c r="U92" s="77"/>
      <c r="V92" s="77"/>
      <c r="W92" s="77"/>
    </row>
    <row r="93" spans="1:24" ht="14.5" x14ac:dyDescent="0.35">
      <c r="B93" s="13" t="str">
        <f>IF($E$4="","",IF($G$19=0,"This LARP is registered but does not currently own any stock.",""))</f>
        <v>This LARP is registered but does not currently own any stock.</v>
      </c>
      <c r="I93" s="132"/>
      <c r="J93" s="132"/>
      <c r="K93" s="17"/>
      <c r="L93" s="17"/>
      <c r="M93" s="17"/>
      <c r="N93" s="17"/>
      <c r="Q93" s="202">
        <v>9</v>
      </c>
      <c r="R93" s="203" t="s">
        <v>40</v>
      </c>
      <c r="S93" s="204">
        <f>HLOOKUP($R93,LADR!$I$2:$AB$3,2,0)</f>
        <v>93.1</v>
      </c>
      <c r="T93" s="77"/>
      <c r="U93" s="77"/>
      <c r="V93" s="77"/>
      <c r="W93" s="77"/>
    </row>
    <row r="94" spans="1:24" ht="15.5" x14ac:dyDescent="0.3">
      <c r="A94" s="396">
        <v>5</v>
      </c>
      <c r="B94" s="74" t="s">
        <v>834</v>
      </c>
      <c r="C94" s="75"/>
      <c r="D94" s="75"/>
      <c r="E94" s="75"/>
      <c r="F94" s="75"/>
      <c r="G94" s="76"/>
      <c r="I94" s="17"/>
      <c r="J94" s="17"/>
      <c r="K94" s="17"/>
      <c r="L94" s="17"/>
      <c r="M94" s="17"/>
      <c r="N94" s="17"/>
      <c r="R94" s="77"/>
      <c r="S94" s="77"/>
      <c r="T94" s="77"/>
      <c r="U94" s="77"/>
      <c r="V94" s="77"/>
      <c r="W94" s="77"/>
    </row>
    <row r="95" spans="1:24" x14ac:dyDescent="0.3">
      <c r="A95" s="397"/>
      <c r="B95" s="398" t="str">
        <f>IFERROR($Q$76,"")</f>
        <v>Average weekly net rent (£ per week) and units by unit size for  LARPs only</v>
      </c>
      <c r="C95" s="399"/>
      <c r="D95" s="399"/>
      <c r="E95" s="399"/>
      <c r="F95" s="399"/>
      <c r="G95" s="400"/>
      <c r="I95" s="17"/>
      <c r="J95" s="17"/>
      <c r="K95" s="17"/>
      <c r="L95" s="17"/>
      <c r="M95" s="17"/>
      <c r="N95" s="17"/>
      <c r="R95" s="77"/>
      <c r="S95" s="77"/>
      <c r="T95" s="77"/>
      <c r="U95" s="77"/>
      <c r="V95" s="77"/>
      <c r="W95" s="77"/>
    </row>
    <row r="96" spans="1:24" x14ac:dyDescent="0.3">
      <c r="B96" s="401"/>
      <c r="C96" s="399"/>
      <c r="D96" s="399"/>
      <c r="E96" s="399"/>
      <c r="F96" s="399"/>
      <c r="G96" s="400"/>
      <c r="I96" s="17"/>
      <c r="J96" s="17"/>
      <c r="K96" s="17"/>
      <c r="L96" s="17"/>
      <c r="M96" s="17"/>
      <c r="N96" s="17"/>
      <c r="R96" s="77"/>
      <c r="S96" s="77"/>
      <c r="T96" s="77"/>
      <c r="U96" s="77"/>
      <c r="V96" s="77"/>
      <c r="W96" s="77"/>
    </row>
    <row r="97" spans="1:23" ht="14.5" x14ac:dyDescent="0.35">
      <c r="B97" s="393"/>
      <c r="C97" s="394"/>
      <c r="D97" s="394"/>
      <c r="E97" s="394"/>
      <c r="F97" s="394"/>
      <c r="G97" s="395"/>
      <c r="I97" s="17"/>
      <c r="J97" s="17"/>
      <c r="K97" s="17"/>
      <c r="L97" s="17"/>
      <c r="M97" s="17"/>
      <c r="N97" s="17"/>
      <c r="Q97" s="307" t="s">
        <v>38</v>
      </c>
      <c r="R97" s="307"/>
      <c r="S97" s="307"/>
      <c r="T97" s="77"/>
      <c r="U97" s="77"/>
      <c r="V97" s="77"/>
      <c r="W97" s="77"/>
    </row>
    <row r="98" spans="1:23" ht="14.5" x14ac:dyDescent="0.35">
      <c r="B98" s="155" t="str">
        <f>$B$95</f>
        <v>Average weekly net rent (£ per week) and units by unit size for  LARPs only</v>
      </c>
      <c r="C98" s="30"/>
      <c r="D98" s="30"/>
      <c r="E98" s="55"/>
      <c r="F98" s="343" t="s">
        <v>18</v>
      </c>
      <c r="G98" s="31"/>
      <c r="I98" s="17"/>
      <c r="J98" s="17"/>
      <c r="K98" s="17"/>
      <c r="L98" s="17"/>
      <c r="M98" s="17"/>
      <c r="N98" s="17"/>
      <c r="Q98" s="308">
        <v>33</v>
      </c>
      <c r="R98" s="309" t="s">
        <v>722</v>
      </c>
      <c r="S98" s="310">
        <f>HLOOKUP($R98,LADR!$AC$2:$AR$3,2,0)</f>
        <v>80.19</v>
      </c>
      <c r="T98" s="77"/>
      <c r="U98" s="77"/>
      <c r="V98" s="77"/>
      <c r="W98" s="77"/>
    </row>
    <row r="99" spans="1:23" ht="12.75" customHeight="1" x14ac:dyDescent="0.35">
      <c r="B99" s="156" t="s">
        <v>30</v>
      </c>
      <c r="C99" s="92"/>
      <c r="D99" s="92"/>
      <c r="F99" s="93" t="s">
        <v>12</v>
      </c>
      <c r="G99" s="94" t="s">
        <v>13</v>
      </c>
      <c r="I99" s="17"/>
      <c r="J99" s="17"/>
      <c r="K99" s="17"/>
      <c r="L99" s="17"/>
      <c r="M99" s="17"/>
      <c r="N99" s="17"/>
      <c r="Q99" s="308">
        <v>35</v>
      </c>
      <c r="R99" s="309" t="s">
        <v>723</v>
      </c>
      <c r="S99" s="310">
        <f>HLOOKUP($R99,LADR!$AC$2:$AR$3,2,0)</f>
        <v>72.98</v>
      </c>
      <c r="T99" s="77"/>
      <c r="U99" s="77"/>
      <c r="V99" s="77"/>
      <c r="W99" s="77"/>
    </row>
    <row r="100" spans="1:23" ht="14.5" x14ac:dyDescent="0.35">
      <c r="B100" s="157"/>
      <c r="C100" s="96"/>
      <c r="D100" s="97"/>
      <c r="E100" s="55"/>
      <c r="F100" s="98" t="s">
        <v>14</v>
      </c>
      <c r="G100" s="99" t="s">
        <v>15</v>
      </c>
      <c r="I100" s="17"/>
      <c r="J100" s="17"/>
      <c r="K100" s="17"/>
      <c r="L100" s="17"/>
      <c r="M100" s="17"/>
      <c r="N100" s="17"/>
      <c r="Q100" s="308">
        <v>37</v>
      </c>
      <c r="R100" s="309" t="s">
        <v>724</v>
      </c>
      <c r="S100" s="310">
        <f>HLOOKUP($R100,LADR!$AC$2:$AR$3,2,0)</f>
        <v>80.69</v>
      </c>
      <c r="T100" s="77"/>
      <c r="U100" s="77"/>
      <c r="V100" s="77"/>
      <c r="W100" s="77"/>
    </row>
    <row r="101" spans="1:23" ht="14.5" customHeight="1" x14ac:dyDescent="0.35">
      <c r="A101" s="12">
        <f t="shared" ref="A101:A108" si="1">$E$3</f>
        <v>0</v>
      </c>
      <c r="B101" s="158" t="s">
        <v>20</v>
      </c>
      <c r="C101" s="102"/>
      <c r="D101" s="144"/>
      <c r="F101" s="340" t="str">
        <f>IFERROR((VLOOKUP($E$3,LADR_FF,33,0)),"")</f>
        <v/>
      </c>
      <c r="G101" s="338" t="str">
        <f>IFERROR((VLOOKUP($E$3,LADR_FF,34,0)),"")</f>
        <v/>
      </c>
      <c r="I101" s="17"/>
      <c r="J101" s="17"/>
      <c r="K101" s="17"/>
      <c r="L101" s="17"/>
      <c r="M101" s="17"/>
      <c r="N101" s="17"/>
      <c r="P101" s="408"/>
      <c r="Q101" s="308">
        <v>39</v>
      </c>
      <c r="R101" s="309" t="s">
        <v>725</v>
      </c>
      <c r="S101" s="310">
        <f>HLOOKUP($R101,LADR!$AC$2:$AR$3,2,0)</f>
        <v>87.79</v>
      </c>
      <c r="T101" s="77"/>
      <c r="U101" s="77"/>
      <c r="V101" s="77"/>
      <c r="W101" s="77"/>
    </row>
    <row r="102" spans="1:23" ht="14.5" x14ac:dyDescent="0.35">
      <c r="A102" s="12">
        <f t="shared" si="1"/>
        <v>0</v>
      </c>
      <c r="B102" s="158" t="s">
        <v>21</v>
      </c>
      <c r="C102" s="102"/>
      <c r="D102" s="144"/>
      <c r="F102" s="340" t="str">
        <f>IFERROR((VLOOKUP($E$3,LADR_FF,35,0)),"")</f>
        <v/>
      </c>
      <c r="G102" s="338" t="str">
        <f>IFERROR((VLOOKUP($E$3,LADR_FF,36,0)),"")</f>
        <v/>
      </c>
      <c r="I102" s="17"/>
      <c r="J102" s="17"/>
      <c r="K102" s="17"/>
      <c r="L102" s="17"/>
      <c r="M102" s="17"/>
      <c r="N102" s="17"/>
      <c r="P102" s="408"/>
      <c r="Q102" s="308">
        <v>41</v>
      </c>
      <c r="R102" s="309" t="s">
        <v>726</v>
      </c>
      <c r="S102" s="310">
        <f>HLOOKUP($R102,LADR!$AC$2:$AR$3,2,0)</f>
        <v>101.01</v>
      </c>
      <c r="T102" s="77"/>
      <c r="U102" s="77"/>
      <c r="V102" s="77"/>
      <c r="W102" s="77"/>
    </row>
    <row r="103" spans="1:23" ht="14.5" x14ac:dyDescent="0.35">
      <c r="A103" s="12">
        <f t="shared" si="1"/>
        <v>0</v>
      </c>
      <c r="B103" s="158" t="s">
        <v>22</v>
      </c>
      <c r="C103" s="102"/>
      <c r="D103" s="144"/>
      <c r="F103" s="340" t="str">
        <f>IFERROR((VLOOKUP($E$3,LADR_FF,37,0)),"")</f>
        <v/>
      </c>
      <c r="G103" s="338" t="str">
        <f>IFERROR((VLOOKUP($E$3,LADR_FF,38,0)),"")</f>
        <v/>
      </c>
      <c r="I103" s="17"/>
      <c r="J103" s="17"/>
      <c r="K103" s="17"/>
      <c r="L103" s="17"/>
      <c r="M103" s="17"/>
      <c r="N103" s="17"/>
      <c r="P103" s="408"/>
      <c r="Q103" s="308">
        <v>43</v>
      </c>
      <c r="R103" s="309" t="s">
        <v>727</v>
      </c>
      <c r="S103" s="310">
        <f>HLOOKUP($R103,LADR!$AC$2:$AR$3,2,0)</f>
        <v>123.63</v>
      </c>
      <c r="T103" s="77"/>
      <c r="U103" s="77"/>
      <c r="V103" s="77"/>
      <c r="W103" s="77"/>
    </row>
    <row r="104" spans="1:23" ht="14.5" x14ac:dyDescent="0.35">
      <c r="A104" s="12">
        <f t="shared" si="1"/>
        <v>0</v>
      </c>
      <c r="B104" s="158" t="s">
        <v>23</v>
      </c>
      <c r="C104" s="102"/>
      <c r="D104" s="144"/>
      <c r="F104" s="340" t="str">
        <f>IFERROR((VLOOKUP($E$3,LADR_FF,39,0)),"")</f>
        <v/>
      </c>
      <c r="G104" s="338" t="str">
        <f>IFERROR((VLOOKUP($E$3,LADR_FF,40,0)),"")</f>
        <v/>
      </c>
      <c r="I104" s="17"/>
      <c r="J104" s="17"/>
      <c r="K104" s="17"/>
      <c r="L104" s="17"/>
      <c r="M104" s="17"/>
      <c r="N104" s="17"/>
      <c r="P104" s="408"/>
      <c r="Q104" s="308">
        <v>31</v>
      </c>
      <c r="R104" s="309" t="s">
        <v>41</v>
      </c>
      <c r="S104" s="310">
        <f>HLOOKUP($R104,LADR!$AC$2:$AR$3,2,0)</f>
        <v>81.489999999999995</v>
      </c>
      <c r="T104" s="77"/>
      <c r="U104" s="77"/>
      <c r="V104" s="77"/>
      <c r="W104" s="77"/>
    </row>
    <row r="105" spans="1:23" ht="14.5" x14ac:dyDescent="0.35">
      <c r="A105" s="12">
        <f t="shared" si="1"/>
        <v>0</v>
      </c>
      <c r="B105" s="158" t="s">
        <v>24</v>
      </c>
      <c r="C105" s="102"/>
      <c r="D105" s="144"/>
      <c r="F105" s="340" t="str">
        <f>IFERROR((VLOOKUP($E$3,LADR_FF,41,0)),"")</f>
        <v/>
      </c>
      <c r="G105" s="338" t="str">
        <f>IFERROR((VLOOKUP($E$3,LADR_FF,42,0)),"")</f>
        <v/>
      </c>
      <c r="I105" s="17"/>
      <c r="J105" s="17"/>
      <c r="K105" s="17"/>
      <c r="L105" s="17"/>
      <c r="M105" s="17"/>
      <c r="N105" s="17"/>
      <c r="P105" s="408"/>
      <c r="Q105" s="308">
        <v>29</v>
      </c>
      <c r="R105" s="309" t="s">
        <v>42</v>
      </c>
      <c r="S105" s="310">
        <f>HLOOKUP($R105,LADR!$AC$2:$AR$3,2,0)</f>
        <v>81.459999999999994</v>
      </c>
      <c r="T105" s="77"/>
      <c r="U105" s="77"/>
      <c r="V105" s="77"/>
      <c r="W105" s="77"/>
    </row>
    <row r="106" spans="1:23" x14ac:dyDescent="0.3">
      <c r="A106" s="12">
        <f t="shared" si="1"/>
        <v>0</v>
      </c>
      <c r="B106" s="158" t="s">
        <v>31</v>
      </c>
      <c r="C106" s="102"/>
      <c r="D106" s="144"/>
      <c r="F106" s="340" t="str">
        <f>IFERROR((VLOOKUP($E$3,LADR_FF,43,0)),"")</f>
        <v/>
      </c>
      <c r="G106" s="338" t="str">
        <f>IFERROR((VLOOKUP($E$3,LADR_FF,44,0)),"")</f>
        <v/>
      </c>
      <c r="I106" s="17"/>
      <c r="J106" s="17"/>
      <c r="K106" s="17"/>
      <c r="L106" s="17"/>
      <c r="M106" s="17"/>
      <c r="N106" s="17"/>
      <c r="P106" s="408"/>
      <c r="R106" s="77"/>
      <c r="S106" s="77"/>
      <c r="T106" s="77"/>
      <c r="U106" s="77"/>
      <c r="V106" s="77"/>
      <c r="W106" s="77"/>
    </row>
    <row r="107" spans="1:23" x14ac:dyDescent="0.3">
      <c r="A107" s="12">
        <f t="shared" si="1"/>
        <v>0</v>
      </c>
      <c r="B107" s="142" t="s">
        <v>28</v>
      </c>
      <c r="C107" s="159"/>
      <c r="D107" s="144"/>
      <c r="E107" s="55"/>
      <c r="F107" s="340" t="str">
        <f>IFERROR((VLOOKUP($E$3,LADR_FF,31,0)),"")</f>
        <v/>
      </c>
      <c r="G107" s="338" t="str">
        <f>IFERROR((VLOOKUP($E$3,LADR_FF,32,0)),"")</f>
        <v/>
      </c>
      <c r="I107" s="17"/>
      <c r="J107" s="17"/>
      <c r="K107" s="17"/>
      <c r="L107" s="17"/>
      <c r="M107" s="17"/>
      <c r="N107" s="17"/>
      <c r="P107" s="408"/>
      <c r="R107" s="77"/>
      <c r="S107" s="77"/>
      <c r="T107" s="77"/>
      <c r="U107" s="77"/>
      <c r="V107" s="77"/>
      <c r="W107" s="77"/>
    </row>
    <row r="108" spans="1:23" x14ac:dyDescent="0.3">
      <c r="A108" s="12">
        <f t="shared" si="1"/>
        <v>0</v>
      </c>
      <c r="B108" s="43" t="s">
        <v>29</v>
      </c>
      <c r="C108" s="161"/>
      <c r="D108" s="162"/>
      <c r="E108" s="55"/>
      <c r="F108" s="341" t="str">
        <f>IFERROR((VLOOKUP($E$3,LADR_FF,29,0)),"")</f>
        <v/>
      </c>
      <c r="G108" s="339" t="str">
        <f>IFERROR((VLOOKUP($E$3,LADR_FF,30,0)),"")</f>
        <v/>
      </c>
      <c r="I108" s="17"/>
      <c r="J108" s="17"/>
      <c r="K108" s="17"/>
      <c r="L108" s="17"/>
      <c r="M108" s="17"/>
      <c r="N108" s="17"/>
      <c r="P108" s="408"/>
      <c r="R108" s="77"/>
      <c r="S108" s="77"/>
      <c r="T108" s="77"/>
      <c r="U108" s="77"/>
      <c r="V108" s="77"/>
      <c r="W108" s="77"/>
    </row>
    <row r="109" spans="1:23" x14ac:dyDescent="0.3">
      <c r="B109" s="163"/>
      <c r="C109" s="164"/>
      <c r="D109" s="164"/>
      <c r="E109" s="164"/>
      <c r="F109" s="164"/>
      <c r="G109" s="165"/>
      <c r="I109" s="17"/>
      <c r="J109" s="17"/>
      <c r="K109" s="17"/>
      <c r="L109" s="17"/>
      <c r="M109" s="17"/>
      <c r="N109" s="17"/>
      <c r="P109" s="408"/>
      <c r="R109" s="77"/>
      <c r="S109" s="77"/>
      <c r="T109" s="77"/>
      <c r="U109" s="77"/>
      <c r="V109" s="77"/>
      <c r="W109" s="77"/>
    </row>
    <row r="110" spans="1:23" x14ac:dyDescent="0.3">
      <c r="B110" s="337" t="s">
        <v>832</v>
      </c>
      <c r="C110" s="164"/>
      <c r="D110" s="164"/>
      <c r="E110" s="164"/>
      <c r="F110" s="164"/>
      <c r="G110" s="165"/>
      <c r="I110" s="17"/>
      <c r="J110" s="17"/>
      <c r="K110" s="17"/>
      <c r="L110" s="17"/>
      <c r="M110" s="17"/>
      <c r="N110" s="17"/>
      <c r="P110" s="408"/>
      <c r="R110" s="77"/>
      <c r="S110" s="77"/>
      <c r="T110" s="77"/>
      <c r="U110" s="77"/>
      <c r="V110" s="77"/>
      <c r="W110" s="77"/>
    </row>
    <row r="111" spans="1:23" ht="14.5" customHeight="1" x14ac:dyDescent="0.3">
      <c r="B111" s="151" t="s">
        <v>32</v>
      </c>
      <c r="C111" s="167"/>
      <c r="D111" s="167"/>
      <c r="E111" s="167"/>
      <c r="F111" s="167"/>
      <c r="G111" s="168"/>
      <c r="I111" s="17"/>
      <c r="J111" s="17"/>
      <c r="K111" s="17"/>
      <c r="L111" s="17"/>
      <c r="M111" s="17"/>
      <c r="N111" s="17"/>
      <c r="P111" s="408"/>
      <c r="R111" s="77"/>
      <c r="S111" s="77"/>
      <c r="T111" s="77"/>
      <c r="U111" s="77"/>
      <c r="V111" s="77"/>
      <c r="W111" s="77"/>
    </row>
    <row r="112" spans="1:23" x14ac:dyDescent="0.3">
      <c r="B112" s="151"/>
      <c r="C112" s="167"/>
      <c r="D112" s="167"/>
      <c r="E112" s="167"/>
      <c r="F112" s="167"/>
      <c r="G112" s="168"/>
      <c r="I112" s="17"/>
      <c r="J112" s="17"/>
      <c r="K112" s="17"/>
      <c r="L112" s="17"/>
      <c r="M112" s="17"/>
      <c r="N112" s="17"/>
      <c r="P112" s="408"/>
      <c r="R112" s="77"/>
      <c r="S112" s="77"/>
      <c r="T112" s="77"/>
      <c r="U112" s="77"/>
      <c r="V112" s="77"/>
      <c r="W112" s="77"/>
    </row>
    <row r="113" spans="1:24" x14ac:dyDescent="0.3">
      <c r="B113" s="125"/>
      <c r="D113" s="169"/>
      <c r="G113" s="85"/>
      <c r="I113" s="17"/>
      <c r="J113" s="17"/>
      <c r="K113" s="17"/>
      <c r="L113" s="17"/>
      <c r="M113" s="17"/>
      <c r="N113" s="17"/>
      <c r="R113" s="77"/>
      <c r="S113" s="77"/>
      <c r="T113" s="77"/>
      <c r="U113" s="77"/>
      <c r="V113" s="77"/>
      <c r="W113" s="77"/>
    </row>
    <row r="114" spans="1:24" ht="14.25" customHeight="1" x14ac:dyDescent="0.3">
      <c r="B114" s="70" t="s">
        <v>896</v>
      </c>
      <c r="C114" s="55"/>
      <c r="D114" s="55"/>
      <c r="E114" s="55"/>
      <c r="F114" s="55"/>
      <c r="G114" s="131"/>
      <c r="I114" s="17"/>
      <c r="J114" s="17"/>
      <c r="K114" s="17"/>
      <c r="L114" s="17"/>
      <c r="M114" s="17"/>
      <c r="N114" s="17"/>
      <c r="R114" s="77"/>
      <c r="S114" s="77"/>
      <c r="T114" s="77"/>
      <c r="U114" s="77"/>
      <c r="V114" s="77"/>
      <c r="W114" s="77"/>
    </row>
    <row r="115" spans="1:24" x14ac:dyDescent="0.3">
      <c r="B115" s="13" t="str">
        <f>IF($E$4="","",IF($G$19=0,"This LARP is registered but does not currently own any stock.",""))</f>
        <v>This LARP is registered but does not currently own any stock.</v>
      </c>
      <c r="H115" s="14"/>
      <c r="I115" s="132"/>
      <c r="J115" s="132"/>
      <c r="R115" s="77"/>
      <c r="S115" s="77"/>
      <c r="T115" s="77"/>
      <c r="U115" s="77"/>
      <c r="V115" s="77"/>
      <c r="W115" s="77"/>
    </row>
    <row r="116" spans="1:24" ht="15.5" x14ac:dyDescent="0.3">
      <c r="A116" s="385">
        <v>6</v>
      </c>
      <c r="B116" s="74" t="s">
        <v>33</v>
      </c>
      <c r="C116" s="75"/>
      <c r="D116" s="75"/>
      <c r="E116" s="75"/>
      <c r="F116" s="75"/>
      <c r="G116" s="76"/>
      <c r="H116" s="14"/>
      <c r="R116" s="77"/>
      <c r="S116" s="77"/>
      <c r="T116" s="77"/>
      <c r="U116" s="77"/>
      <c r="V116" s="77"/>
      <c r="W116" s="77"/>
    </row>
    <row r="117" spans="1:24" ht="12.75" customHeight="1" x14ac:dyDescent="0.3">
      <c r="A117" s="386"/>
      <c r="B117" s="409" t="str">
        <f>$Q$120</f>
        <v>Average weekly gross rent (£ per week) and units for England - LARPs only</v>
      </c>
      <c r="C117" s="410"/>
      <c r="D117" s="410"/>
      <c r="E117" s="410"/>
      <c r="F117" s="410"/>
      <c r="G117" s="411"/>
      <c r="H117" s="14"/>
      <c r="Q117" s="138" t="s">
        <v>855</v>
      </c>
      <c r="R117" s="77"/>
      <c r="S117" s="77"/>
      <c r="T117" s="77"/>
      <c r="U117" s="77"/>
      <c r="V117" s="77"/>
      <c r="W117" s="77"/>
    </row>
    <row r="118" spans="1:24" x14ac:dyDescent="0.3">
      <c r="B118" s="409"/>
      <c r="C118" s="410"/>
      <c r="D118" s="410"/>
      <c r="E118" s="410"/>
      <c r="F118" s="410"/>
      <c r="G118" s="411"/>
      <c r="H118" s="170" t="str">
        <f>IFERROR(IF(B147="","Average weekly gross rent (£ per week) for England","Average weekly gross rent (£ per week) for "&amp;#REF!),"")</f>
        <v>Average weekly gross rent (£ per week) for England</v>
      </c>
      <c r="Q118" s="78"/>
      <c r="R118" s="77"/>
      <c r="S118" s="77"/>
      <c r="T118" s="77"/>
      <c r="U118" s="77"/>
      <c r="V118" s="77"/>
      <c r="W118" s="77"/>
    </row>
    <row r="119" spans="1:24" x14ac:dyDescent="0.3">
      <c r="B119" s="409"/>
      <c r="C119" s="410"/>
      <c r="D119" s="410"/>
      <c r="E119" s="410"/>
      <c r="F119" s="410"/>
      <c r="G119" s="411"/>
      <c r="H119" s="14"/>
      <c r="Q119" s="80" t="str">
        <f>IFERROR(IF($B$37="","Average weekly gross rent (£ per week) and units for England - LARPs only","Average weekly gross rent (£ per week) and units for "&amp;$V$35&amp;" - LARPs only"),"")</f>
        <v>Average weekly gross rent (£ per week) and units for England - LARPs only</v>
      </c>
      <c r="R119" s="81"/>
      <c r="S119" s="81"/>
      <c r="T119" s="81"/>
      <c r="U119" s="81"/>
      <c r="V119" s="82"/>
      <c r="W119" s="81"/>
      <c r="X119" s="83"/>
    </row>
    <row r="120" spans="1:24" x14ac:dyDescent="0.3">
      <c r="B120" s="409"/>
      <c r="C120" s="410"/>
      <c r="D120" s="410"/>
      <c r="E120" s="410"/>
      <c r="F120" s="410"/>
      <c r="G120" s="411"/>
      <c r="H120" s="14"/>
      <c r="Q120" s="84" t="str">
        <f>IF(H3="No","Average weekly gross rent (£ per week) and units for "&amp;$V$35&amp;" - LARPs only",$Q$119)</f>
        <v>Average weekly gross rent (£ per week) and units for England - LARPs only</v>
      </c>
      <c r="R120" s="77"/>
      <c r="S120" s="77"/>
      <c r="T120" s="77"/>
      <c r="U120" s="77"/>
      <c r="V120" s="77"/>
      <c r="X120" s="85"/>
    </row>
    <row r="121" spans="1:24" x14ac:dyDescent="0.3">
      <c r="B121" s="171"/>
      <c r="C121" s="172"/>
      <c r="D121" s="172"/>
      <c r="E121" s="172"/>
      <c r="F121" s="172"/>
      <c r="G121" s="173"/>
      <c r="H121" s="14"/>
      <c r="Q121" s="89" t="str">
        <f>IFERROR(IF($B$37="","Average weekly gross rent (£ per week) for England - LARPs only","Average weekly gross rent (£ per week) for "&amp;$V$35&amp;" - LARPs only"),"")</f>
        <v>Average weekly gross rent (£ per week) for England - LARPs only</v>
      </c>
      <c r="R121" s="77"/>
      <c r="S121" s="77"/>
      <c r="T121" s="77"/>
      <c r="U121" s="77"/>
      <c r="V121" s="77"/>
      <c r="X121" s="85"/>
    </row>
    <row r="122" spans="1:24" x14ac:dyDescent="0.3">
      <c r="B122" s="174"/>
      <c r="C122" s="30"/>
      <c r="D122" s="30"/>
      <c r="E122" s="55"/>
      <c r="F122" s="343" t="s">
        <v>18</v>
      </c>
      <c r="G122" s="31"/>
      <c r="H122" s="14"/>
      <c r="Q122" s="84" t="str">
        <f>IF(H3="No","Average weekly gross rent (£ per week) for "&amp;$V$35&amp;" - LARP only",$Q$121)</f>
        <v>Average weekly gross rent (£ per week) for England - LARPs only</v>
      </c>
      <c r="R122" s="77"/>
      <c r="S122" s="77"/>
      <c r="T122" s="77"/>
      <c r="U122" s="77"/>
      <c r="V122" s="77"/>
      <c r="X122" s="85"/>
    </row>
    <row r="123" spans="1:24" ht="14.5" customHeight="1" x14ac:dyDescent="0.3">
      <c r="B123" s="26"/>
      <c r="C123" s="175"/>
      <c r="D123" s="176"/>
      <c r="F123" s="93" t="s">
        <v>34</v>
      </c>
      <c r="G123" s="94" t="s">
        <v>13</v>
      </c>
      <c r="H123" s="14"/>
      <c r="Q123" s="100"/>
      <c r="R123" s="77"/>
      <c r="S123" s="77"/>
      <c r="T123" s="77"/>
      <c r="U123" s="77"/>
      <c r="V123" s="77"/>
      <c r="X123" s="85"/>
    </row>
    <row r="124" spans="1:24" ht="12.75" customHeight="1" x14ac:dyDescent="0.3">
      <c r="B124" s="174" t="s">
        <v>33</v>
      </c>
      <c r="C124" s="177"/>
      <c r="D124" s="97"/>
      <c r="E124" s="119"/>
      <c r="F124" s="98" t="s">
        <v>14</v>
      </c>
      <c r="G124" s="99" t="s">
        <v>15</v>
      </c>
      <c r="H124" s="14"/>
      <c r="Q124" s="84">
        <f>$E$3</f>
        <v>0</v>
      </c>
      <c r="R124" s="108">
        <f>IF($Q$35=$Q$36,"",$Q$35)</f>
        <v>0</v>
      </c>
      <c r="S124" s="108" t="str">
        <f>$R$35&amp;", the "&amp;$R$36&amp;" and England"</f>
        <v>0, the  and England</v>
      </c>
      <c r="T124" s="108"/>
      <c r="U124" s="108"/>
      <c r="V124" s="108" t="str">
        <f>IF($B$35="",$S$36,$S$35)</f>
        <v xml:space="preserve"> and England</v>
      </c>
      <c r="X124" s="109"/>
    </row>
    <row r="125" spans="1:24" ht="12.75" customHeight="1" x14ac:dyDescent="0.3">
      <c r="B125" s="101" t="str">
        <f>IFERROR(IF($E$3=$K$3,"",$E$3),"")</f>
        <v/>
      </c>
      <c r="C125" s="102"/>
      <c r="D125" s="103"/>
      <c r="F125" s="135" t="str">
        <f>IFERROR(IF($E$3=$K$3,"",(IFERROR((VLOOKUP($E$3,LADR_FF,45,0)),""))),"")</f>
        <v/>
      </c>
      <c r="G125" s="106" t="str">
        <f>IFERROR((VLOOKUP($E$3,LADR_FF,46,0)),"")</f>
        <v/>
      </c>
      <c r="H125" s="14"/>
      <c r="Q125" s="84" t="str">
        <f>$K$3</f>
        <v/>
      </c>
      <c r="R125" s="108" t="str">
        <f>IF($Q$36=$Q$37,"",$Q$36)</f>
        <v/>
      </c>
      <c r="S125" s="108" t="str">
        <f>"the "&amp;$R$36&amp;" and England"</f>
        <v>the  and England</v>
      </c>
      <c r="T125" s="108"/>
      <c r="U125" s="108"/>
      <c r="V125" s="108"/>
      <c r="X125" s="109"/>
    </row>
    <row r="126" spans="1:24" ht="12.75" customHeight="1" x14ac:dyDescent="0.3">
      <c r="B126" s="110"/>
      <c r="F126" s="105"/>
      <c r="G126" s="111"/>
      <c r="H126" s="14"/>
      <c r="Q126" s="113" t="s">
        <v>10</v>
      </c>
      <c r="R126" s="114" t="s">
        <v>10</v>
      </c>
      <c r="S126" s="114" t="str">
        <f>$R$37</f>
        <v>England</v>
      </c>
      <c r="T126" s="114"/>
      <c r="U126" s="114"/>
      <c r="V126" s="114"/>
      <c r="W126" s="55"/>
      <c r="X126" s="115"/>
    </row>
    <row r="127" spans="1:24" ht="12.75" customHeight="1" x14ac:dyDescent="0.3">
      <c r="B127" s="112" t="str">
        <f>IFERROR(IF($E$3="England","",$K$3),"")</f>
        <v/>
      </c>
      <c r="C127" s="102"/>
      <c r="D127" s="103"/>
      <c r="F127" s="105" t="str">
        <f>IFERROR(IF($E$3="England","",(IFERROR((VLOOKUP($K$3,LADR_FF,45,0)),""))),"")</f>
        <v/>
      </c>
      <c r="G127" s="106" t="str">
        <f>IFERROR(IF(K3="","",VLOOKUP($K$3,LADR_FF,46,0)),"")</f>
        <v/>
      </c>
      <c r="H127" s="14"/>
      <c r="R127" s="77"/>
      <c r="S127" s="77"/>
      <c r="T127" s="77"/>
      <c r="U127" s="77"/>
      <c r="V127" s="77"/>
      <c r="W127" s="77"/>
    </row>
    <row r="128" spans="1:24" x14ac:dyDescent="0.3">
      <c r="B128" s="110"/>
      <c r="F128" s="105"/>
      <c r="G128" s="111"/>
      <c r="H128" s="14"/>
      <c r="R128" s="77"/>
      <c r="S128" s="77"/>
      <c r="T128" s="77"/>
      <c r="U128" s="77"/>
      <c r="V128" s="77"/>
      <c r="W128" s="77"/>
    </row>
    <row r="129" spans="1:23" x14ac:dyDescent="0.3">
      <c r="B129" s="116" t="s">
        <v>10</v>
      </c>
      <c r="C129" s="117"/>
      <c r="D129" s="136"/>
      <c r="E129" s="119"/>
      <c r="F129" s="120">
        <f>VLOOKUP($B$129,LADR_FF,45,0)</f>
        <v>137.65</v>
      </c>
      <c r="G129" s="121">
        <f>VLOOKUP($B$129,LADR_FF,46,0)</f>
        <v>32505</v>
      </c>
      <c r="H129" s="14"/>
      <c r="R129" s="77"/>
      <c r="S129" s="77"/>
      <c r="T129" s="77"/>
      <c r="U129" s="77"/>
      <c r="V129" s="77"/>
      <c r="W129" s="77"/>
    </row>
    <row r="130" spans="1:23" x14ac:dyDescent="0.3">
      <c r="B130" s="178"/>
      <c r="G130" s="85"/>
      <c r="H130" s="14"/>
      <c r="R130" s="77"/>
      <c r="S130" s="77"/>
      <c r="T130" s="77"/>
      <c r="U130" s="77"/>
      <c r="V130" s="77"/>
      <c r="W130" s="77"/>
    </row>
    <row r="131" spans="1:23" x14ac:dyDescent="0.3">
      <c r="B131" s="166"/>
      <c r="G131" s="85"/>
      <c r="H131" s="14"/>
      <c r="R131" s="77"/>
      <c r="S131" s="77"/>
      <c r="T131" s="77"/>
      <c r="U131" s="77"/>
      <c r="V131" s="77"/>
      <c r="W131" s="77"/>
    </row>
    <row r="132" spans="1:23" x14ac:dyDescent="0.3">
      <c r="B132" s="337" t="s">
        <v>832</v>
      </c>
      <c r="G132" s="85"/>
      <c r="H132" s="14"/>
      <c r="R132" s="77"/>
      <c r="S132" s="77"/>
      <c r="T132" s="77"/>
      <c r="U132" s="77"/>
      <c r="V132" s="77"/>
      <c r="W132" s="77"/>
    </row>
    <row r="133" spans="1:23" ht="14.5" customHeight="1" x14ac:dyDescent="0.3">
      <c r="B133" s="179" t="s">
        <v>35</v>
      </c>
      <c r="C133" s="180"/>
      <c r="D133" s="180"/>
      <c r="E133" s="180"/>
      <c r="F133" s="180"/>
      <c r="G133" s="181"/>
      <c r="H133" s="14"/>
      <c r="R133" s="77"/>
      <c r="S133" s="77"/>
      <c r="T133" s="77"/>
      <c r="U133" s="77"/>
      <c r="V133" s="77"/>
      <c r="W133" s="77"/>
    </row>
    <row r="134" spans="1:23" x14ac:dyDescent="0.3">
      <c r="B134" s="179"/>
      <c r="C134" s="180"/>
      <c r="D134" s="180"/>
      <c r="E134" s="180"/>
      <c r="F134" s="180"/>
      <c r="G134" s="181"/>
      <c r="H134" s="14"/>
      <c r="R134" s="77"/>
      <c r="S134" s="77"/>
      <c r="T134" s="77"/>
      <c r="U134" s="77"/>
      <c r="V134" s="77"/>
      <c r="W134" s="77"/>
    </row>
    <row r="135" spans="1:23" x14ac:dyDescent="0.3">
      <c r="B135" s="179"/>
      <c r="C135" s="180"/>
      <c r="D135" s="180"/>
      <c r="E135" s="180"/>
      <c r="F135" s="180"/>
      <c r="G135" s="181"/>
      <c r="H135" s="14"/>
      <c r="R135" s="77"/>
      <c r="S135" s="77"/>
      <c r="T135" s="77"/>
      <c r="U135" s="77"/>
      <c r="V135" s="77"/>
      <c r="W135" s="77"/>
    </row>
    <row r="136" spans="1:23" x14ac:dyDescent="0.3">
      <c r="B136" s="70" t="s">
        <v>896</v>
      </c>
      <c r="C136" s="55"/>
      <c r="D136" s="55"/>
      <c r="E136" s="55"/>
      <c r="F136" s="55"/>
      <c r="G136" s="131"/>
      <c r="H136" s="14"/>
      <c r="R136" s="77"/>
      <c r="S136" s="77"/>
      <c r="T136" s="77"/>
      <c r="U136" s="77"/>
      <c r="V136" s="77"/>
      <c r="W136" s="77"/>
    </row>
    <row r="137" spans="1:23" x14ac:dyDescent="0.3">
      <c r="B137" s="13" t="str">
        <f>IF($E$4="","",IF($G$19=0,"This LARP is registered but does not currently own any stock.",""))</f>
        <v>This LARP is registered but does not currently own any stock.</v>
      </c>
      <c r="H137" s="14"/>
      <c r="I137" s="132"/>
      <c r="J137" s="132"/>
      <c r="R137" s="77"/>
      <c r="S137" s="77"/>
      <c r="T137" s="77"/>
      <c r="U137" s="77"/>
      <c r="V137" s="77"/>
      <c r="W137" s="77"/>
    </row>
    <row r="138" spans="1:23" ht="15.75" customHeight="1" x14ac:dyDescent="0.3">
      <c r="A138" s="374">
        <v>7</v>
      </c>
      <c r="B138" s="74" t="s">
        <v>36</v>
      </c>
      <c r="C138" s="75"/>
      <c r="D138" s="75"/>
      <c r="E138" s="75"/>
      <c r="F138" s="75"/>
      <c r="G138" s="76"/>
      <c r="H138" s="14"/>
      <c r="R138" s="77"/>
      <c r="S138" s="77"/>
      <c r="T138" s="77"/>
      <c r="U138" s="77"/>
      <c r="V138" s="77"/>
      <c r="W138" s="77"/>
    </row>
    <row r="139" spans="1:23" ht="12.75" customHeight="1" x14ac:dyDescent="0.3">
      <c r="A139" s="404"/>
      <c r="B139" s="381" t="str">
        <f>$Q$120</f>
        <v>Average weekly gross rent (£ per week) and units for England - LARPs only</v>
      </c>
      <c r="C139" s="379" t="str">
        <f t="shared" ref="C139:G141" si="2">"Average weekly GROSS RENT (£ per week) for "&amp;$E$3&amp;", "&amp;$K$3&amp; " and England"</f>
        <v>Average weekly GROSS RENT (£ per week) for ,  and England</v>
      </c>
      <c r="D139" s="379" t="str">
        <f t="shared" si="2"/>
        <v>Average weekly GROSS RENT (£ per week) for ,  and England</v>
      </c>
      <c r="E139" s="379" t="str">
        <f t="shared" si="2"/>
        <v>Average weekly GROSS RENT (£ per week) for ,  and England</v>
      </c>
      <c r="F139" s="379" t="str">
        <f t="shared" si="2"/>
        <v>Average weekly GROSS RENT (£ per week) for ,  and England</v>
      </c>
      <c r="G139" s="380" t="str">
        <f t="shared" si="2"/>
        <v>Average weekly GROSS RENT (£ per week) for ,  and England</v>
      </c>
      <c r="H139" s="14"/>
      <c r="R139" s="77"/>
      <c r="S139" s="77"/>
      <c r="T139" s="77"/>
      <c r="U139" s="77"/>
      <c r="V139" s="77"/>
      <c r="W139" s="77"/>
    </row>
    <row r="140" spans="1:23" ht="12.75" customHeight="1" x14ac:dyDescent="0.3">
      <c r="A140" s="21"/>
      <c r="B140" s="381" t="str">
        <f>"Average weekly GROSS RENT (£ per week) for "&amp;$E$3&amp;", "&amp;$K$3&amp; " and England"</f>
        <v>Average weekly GROSS RENT (£ per week) for ,  and England</v>
      </c>
      <c r="C140" s="379" t="str">
        <f t="shared" si="2"/>
        <v>Average weekly GROSS RENT (£ per week) for ,  and England</v>
      </c>
      <c r="D140" s="379" t="str">
        <f t="shared" si="2"/>
        <v>Average weekly GROSS RENT (£ per week) for ,  and England</v>
      </c>
      <c r="E140" s="379" t="str">
        <f t="shared" si="2"/>
        <v>Average weekly GROSS RENT (£ per week) for ,  and England</v>
      </c>
      <c r="F140" s="379" t="str">
        <f t="shared" si="2"/>
        <v>Average weekly GROSS RENT (£ per week) for ,  and England</v>
      </c>
      <c r="G140" s="380" t="str">
        <f t="shared" si="2"/>
        <v>Average weekly GROSS RENT (£ per week) for ,  and England</v>
      </c>
      <c r="H140" s="79" t="str">
        <f>IFERROR(IF(B147="","Average weekly gross rent (£ per week) for England","Average weekly gross rent (£ per week) for "&amp;#REF!),"")</f>
        <v>Average weekly gross rent (£ per week) for England</v>
      </c>
      <c r="R140" s="77"/>
      <c r="S140" s="77"/>
      <c r="T140" s="77"/>
      <c r="U140" s="77"/>
      <c r="V140" s="77"/>
      <c r="W140" s="77"/>
    </row>
    <row r="141" spans="1:23" ht="12.75" customHeight="1" x14ac:dyDescent="0.3">
      <c r="B141" s="387" t="str">
        <f>"Average weekly GROSS RENT (£ per week) for "&amp;$E$3&amp;", "&amp;$K$3&amp; " and England"</f>
        <v>Average weekly GROSS RENT (£ per week) for ,  and England</v>
      </c>
      <c r="C141" s="379" t="str">
        <f t="shared" si="2"/>
        <v>Average weekly GROSS RENT (£ per week) for ,  and England</v>
      </c>
      <c r="D141" s="379" t="str">
        <f t="shared" si="2"/>
        <v>Average weekly GROSS RENT (£ per week) for ,  and England</v>
      </c>
      <c r="E141" s="388" t="str">
        <f t="shared" si="2"/>
        <v>Average weekly GROSS RENT (£ per week) for ,  and England</v>
      </c>
      <c r="F141" s="388" t="str">
        <f t="shared" si="2"/>
        <v>Average weekly GROSS RENT (£ per week) for ,  and England</v>
      </c>
      <c r="G141" s="389" t="str">
        <f t="shared" si="2"/>
        <v>Average weekly GROSS RENT (£ per week) for ,  and England</v>
      </c>
      <c r="H141" s="14"/>
      <c r="R141" s="77"/>
      <c r="S141" s="77"/>
      <c r="T141" s="77"/>
      <c r="U141" s="77"/>
      <c r="V141" s="77"/>
      <c r="W141" s="77"/>
    </row>
    <row r="142" spans="1:23" x14ac:dyDescent="0.3">
      <c r="B142" s="86"/>
      <c r="C142" s="30"/>
      <c r="D142" s="30"/>
      <c r="E142" s="55"/>
      <c r="F142" s="343" t="s">
        <v>18</v>
      </c>
      <c r="G142" s="31"/>
      <c r="H142" s="14"/>
      <c r="R142" s="77"/>
      <c r="S142" s="77"/>
      <c r="T142" s="77"/>
      <c r="U142" s="77"/>
      <c r="V142" s="77"/>
      <c r="W142" s="77"/>
    </row>
    <row r="143" spans="1:23" ht="14.5" customHeight="1" x14ac:dyDescent="0.3">
      <c r="B143" s="90" t="str">
        <f>"Average weekly GROSS RENT (£ per week) for "&amp;$E$3&amp;", "&amp;$K$3&amp; " and England"</f>
        <v>Average weekly GROSS RENT (£ per week) for ,  and England</v>
      </c>
      <c r="C143" s="182"/>
      <c r="D143" s="183"/>
      <c r="F143" s="93" t="s">
        <v>34</v>
      </c>
      <c r="G143" s="94" t="s">
        <v>13</v>
      </c>
      <c r="H143" s="14"/>
      <c r="R143" s="77"/>
      <c r="S143" s="77"/>
      <c r="T143" s="77"/>
      <c r="U143" s="77"/>
      <c r="V143" s="77"/>
      <c r="W143" s="77"/>
    </row>
    <row r="144" spans="1:23" x14ac:dyDescent="0.3">
      <c r="B144" s="174" t="s">
        <v>37</v>
      </c>
      <c r="C144" s="177"/>
      <c r="D144" s="97"/>
      <c r="E144" s="119"/>
      <c r="F144" s="98" t="s">
        <v>14</v>
      </c>
      <c r="G144" s="99" t="s">
        <v>15</v>
      </c>
      <c r="H144" s="14"/>
      <c r="R144" s="77"/>
      <c r="S144" s="77"/>
      <c r="T144" s="77"/>
      <c r="U144" s="77"/>
      <c r="V144" s="77"/>
      <c r="W144" s="77"/>
    </row>
    <row r="145" spans="1:23" x14ac:dyDescent="0.3">
      <c r="B145" s="101" t="str">
        <f>IFERROR(IF($E$3=$K$3,"",$E$3),"")</f>
        <v/>
      </c>
      <c r="C145" s="102"/>
      <c r="D145" s="103"/>
      <c r="F145" s="135" t="str">
        <f>IFERROR(IF($E$3=$K$3,"",(IFERROR((VLOOKUP($E$3,LADR_FF,65,0)),""))),"")</f>
        <v/>
      </c>
      <c r="G145" s="106" t="str">
        <f>IFERROR((VLOOKUP($E$3,LADR_FF,66,0)),"")</f>
        <v/>
      </c>
      <c r="H145" s="14"/>
      <c r="R145" s="77"/>
      <c r="S145" s="77"/>
      <c r="T145" s="77"/>
      <c r="U145" s="77"/>
      <c r="V145" s="77"/>
      <c r="W145" s="77"/>
    </row>
    <row r="146" spans="1:23" x14ac:dyDescent="0.3">
      <c r="B146" s="110"/>
      <c r="F146" s="105"/>
      <c r="G146" s="111"/>
      <c r="H146" s="14"/>
      <c r="R146" s="77"/>
      <c r="S146" s="77"/>
      <c r="T146" s="77"/>
      <c r="U146" s="77"/>
      <c r="V146" s="77"/>
      <c r="W146" s="77"/>
    </row>
    <row r="147" spans="1:23" x14ac:dyDescent="0.3">
      <c r="B147" s="112" t="str">
        <f>IFERROR(IF($E$3="England","",$K$3),"")</f>
        <v/>
      </c>
      <c r="C147" s="102"/>
      <c r="D147" s="103"/>
      <c r="F147" s="105" t="str">
        <f>IFERROR(IF(E3="England","",VLOOKUP($K$3,LADR_FF,65,0)),"")</f>
        <v/>
      </c>
      <c r="G147" s="106" t="str">
        <f>IFERROR(IF(K3="","",VLOOKUP($K$3,LADR_FF,66,0)),"")</f>
        <v/>
      </c>
      <c r="H147" s="14"/>
      <c r="R147" s="77"/>
      <c r="S147" s="77"/>
      <c r="T147" s="77"/>
      <c r="U147" s="77"/>
      <c r="V147" s="77"/>
      <c r="W147" s="77"/>
    </row>
    <row r="148" spans="1:23" x14ac:dyDescent="0.3">
      <c r="B148" s="110"/>
      <c r="F148" s="105"/>
      <c r="G148" s="111"/>
      <c r="H148" s="14"/>
      <c r="R148" s="77"/>
      <c r="S148" s="77"/>
      <c r="T148" s="77"/>
      <c r="U148" s="77"/>
      <c r="V148" s="77"/>
      <c r="W148" s="77"/>
    </row>
    <row r="149" spans="1:23" x14ac:dyDescent="0.3">
      <c r="B149" s="116" t="s">
        <v>10</v>
      </c>
      <c r="C149" s="117"/>
      <c r="D149" s="136"/>
      <c r="E149" s="119"/>
      <c r="F149" s="120">
        <f>VLOOKUP($B$149,LADR_FF,65,0)</f>
        <v>143.80000000000001</v>
      </c>
      <c r="G149" s="121">
        <f>VLOOKUP($B$149,LADR_FF,66,0)</f>
        <v>4715</v>
      </c>
      <c r="H149" s="14"/>
      <c r="R149" s="77"/>
      <c r="S149" s="77"/>
      <c r="T149" s="77"/>
      <c r="U149" s="77"/>
      <c r="V149" s="77"/>
      <c r="W149" s="77"/>
    </row>
    <row r="150" spans="1:23" x14ac:dyDescent="0.3">
      <c r="B150" s="110"/>
      <c r="G150" s="85"/>
      <c r="H150" s="14"/>
      <c r="R150" s="77"/>
      <c r="S150" s="77"/>
      <c r="T150" s="77"/>
      <c r="U150" s="77"/>
      <c r="V150" s="77"/>
      <c r="W150" s="77"/>
    </row>
    <row r="151" spans="1:23" x14ac:dyDescent="0.3">
      <c r="B151" s="110"/>
      <c r="G151" s="85"/>
      <c r="H151" s="14"/>
      <c r="R151" s="77"/>
      <c r="S151" s="77"/>
      <c r="T151" s="77"/>
      <c r="U151" s="77"/>
      <c r="V151" s="77"/>
      <c r="W151" s="77"/>
    </row>
    <row r="152" spans="1:23" x14ac:dyDescent="0.3">
      <c r="B152" s="178"/>
      <c r="G152" s="85"/>
      <c r="H152" s="14"/>
      <c r="R152" s="77"/>
      <c r="S152" s="77"/>
      <c r="T152" s="77"/>
      <c r="U152" s="77"/>
      <c r="V152" s="77"/>
      <c r="W152" s="77"/>
    </row>
    <row r="153" spans="1:23" x14ac:dyDescent="0.3">
      <c r="B153" s="166"/>
      <c r="G153" s="85"/>
      <c r="H153" s="14"/>
      <c r="R153" s="77"/>
      <c r="S153" s="77"/>
      <c r="T153" s="77"/>
      <c r="U153" s="77"/>
      <c r="V153" s="77"/>
      <c r="W153" s="77"/>
    </row>
    <row r="154" spans="1:23" x14ac:dyDescent="0.3">
      <c r="B154" s="337" t="s">
        <v>832</v>
      </c>
      <c r="G154" s="85"/>
      <c r="H154" s="14"/>
      <c r="R154" s="77"/>
      <c r="S154" s="77"/>
      <c r="T154" s="77"/>
      <c r="U154" s="77"/>
      <c r="V154" s="77"/>
      <c r="W154" s="77"/>
    </row>
    <row r="155" spans="1:23" ht="14.5" customHeight="1" x14ac:dyDescent="0.3">
      <c r="B155" s="179" t="s">
        <v>35</v>
      </c>
      <c r="C155" s="180"/>
      <c r="D155" s="180"/>
      <c r="E155" s="180"/>
      <c r="F155" s="180"/>
      <c r="G155" s="181"/>
      <c r="H155" s="14"/>
      <c r="R155" s="77"/>
      <c r="S155" s="77"/>
      <c r="T155" s="77"/>
      <c r="U155" s="77"/>
      <c r="V155" s="77"/>
      <c r="W155" s="77"/>
    </row>
    <row r="156" spans="1:23" x14ac:dyDescent="0.3">
      <c r="B156" s="179"/>
      <c r="C156" s="180"/>
      <c r="D156" s="180"/>
      <c r="E156" s="180"/>
      <c r="F156" s="180"/>
      <c r="G156" s="181"/>
      <c r="H156" s="14"/>
      <c r="R156" s="77"/>
      <c r="S156" s="77"/>
      <c r="T156" s="77"/>
      <c r="U156" s="77"/>
      <c r="V156" s="77"/>
      <c r="W156" s="77"/>
    </row>
    <row r="157" spans="1:23" x14ac:dyDescent="0.3">
      <c r="B157" s="179"/>
      <c r="C157" s="180"/>
      <c r="D157" s="180"/>
      <c r="E157" s="180"/>
      <c r="F157" s="180"/>
      <c r="G157" s="181"/>
      <c r="H157" s="14"/>
      <c r="R157" s="77"/>
      <c r="S157" s="77"/>
      <c r="T157" s="77"/>
      <c r="U157" s="77"/>
      <c r="V157" s="77"/>
      <c r="W157" s="77"/>
    </row>
    <row r="158" spans="1:23" x14ac:dyDescent="0.3">
      <c r="B158" s="70" t="s">
        <v>896</v>
      </c>
      <c r="C158" s="55"/>
      <c r="D158" s="55"/>
      <c r="E158" s="55"/>
      <c r="F158" s="55"/>
      <c r="G158" s="131"/>
      <c r="H158" s="14"/>
      <c r="I158" s="17"/>
      <c r="J158" s="17"/>
      <c r="K158" s="17"/>
      <c r="L158" s="17"/>
      <c r="M158" s="17"/>
      <c r="N158" s="17"/>
      <c r="R158" s="77"/>
      <c r="S158" s="77"/>
      <c r="T158" s="77"/>
      <c r="U158" s="77"/>
      <c r="V158" s="77"/>
      <c r="W158" s="77"/>
    </row>
    <row r="159" spans="1:23" x14ac:dyDescent="0.3">
      <c r="B159" s="13" t="str">
        <f>IF($E$4="","",IF($G$19=0,"This LARP is registered but does not currently own any stock.",""))</f>
        <v>This LARP is registered but does not currently own any stock.</v>
      </c>
      <c r="C159" s="2"/>
      <c r="D159" s="2"/>
      <c r="E159" s="2"/>
      <c r="F159" s="2"/>
      <c r="G159" s="2"/>
      <c r="H159" s="16"/>
      <c r="I159" s="132"/>
      <c r="J159" s="132"/>
      <c r="K159" s="17"/>
      <c r="L159" s="17"/>
      <c r="M159" s="17"/>
      <c r="N159" s="17"/>
      <c r="R159" s="77"/>
      <c r="S159" s="77"/>
      <c r="T159" s="77"/>
      <c r="U159" s="77"/>
      <c r="V159" s="77"/>
      <c r="W159" s="77"/>
    </row>
    <row r="160" spans="1:23" ht="15.5" x14ac:dyDescent="0.3">
      <c r="A160" s="374">
        <v>8</v>
      </c>
      <c r="B160" s="74" t="s">
        <v>33</v>
      </c>
      <c r="C160" s="75"/>
      <c r="D160" s="75"/>
      <c r="E160" s="75"/>
      <c r="F160" s="184"/>
      <c r="G160" s="76"/>
      <c r="I160" s="17"/>
      <c r="J160" s="17"/>
      <c r="K160" s="17"/>
      <c r="L160" s="17"/>
      <c r="M160" s="17"/>
      <c r="N160" s="17"/>
      <c r="Q160" s="138" t="s">
        <v>856</v>
      </c>
    </row>
    <row r="161" spans="1:19" x14ac:dyDescent="0.3">
      <c r="A161" s="386"/>
      <c r="B161" s="381" t="str">
        <f>IFERROR($Q$164,"")</f>
        <v>Average weekly gross rent (£ per week) and units by unit size for  LARPs</v>
      </c>
      <c r="C161" s="399"/>
      <c r="D161" s="399"/>
      <c r="E161" s="399"/>
      <c r="F161" s="399"/>
      <c r="G161" s="400"/>
      <c r="I161" s="17"/>
      <c r="J161" s="17"/>
      <c r="K161" s="17"/>
      <c r="L161" s="17"/>
      <c r="M161" s="17"/>
      <c r="N161" s="17"/>
    </row>
    <row r="162" spans="1:19" x14ac:dyDescent="0.3">
      <c r="B162" s="401"/>
      <c r="C162" s="399"/>
      <c r="D162" s="399"/>
      <c r="E162" s="399"/>
      <c r="F162" s="399"/>
      <c r="G162" s="400"/>
      <c r="I162" s="17"/>
      <c r="J162" s="17"/>
      <c r="K162" s="17"/>
      <c r="L162" s="17"/>
      <c r="M162" s="17"/>
      <c r="N162" s="17"/>
      <c r="Q162" s="78"/>
    </row>
    <row r="163" spans="1:19" x14ac:dyDescent="0.3">
      <c r="B163" s="393"/>
      <c r="C163" s="394"/>
      <c r="D163" s="394"/>
      <c r="E163" s="394"/>
      <c r="F163" s="394"/>
      <c r="G163" s="395"/>
      <c r="I163" s="17"/>
      <c r="J163" s="17"/>
      <c r="K163" s="17"/>
      <c r="L163" s="17"/>
      <c r="M163" s="17"/>
      <c r="N163" s="17"/>
      <c r="Q163" s="80" t="str">
        <f>IF($E$3=$K$3,"Average weekly gross rent (£ per week) and units by unit size for "&amp;$E$3&amp; " LARPs","Average weekly gross rent (£ per week) and units by unit size for "&amp;$E$3&amp; " LARP only")</f>
        <v>Average weekly gross rent (£ per week) and units by unit size for  LARPs</v>
      </c>
    </row>
    <row r="164" spans="1:19" x14ac:dyDescent="0.3">
      <c r="B164" s="139"/>
      <c r="C164" s="30"/>
      <c r="D164" s="30"/>
      <c r="E164" s="119"/>
      <c r="F164" s="343" t="s">
        <v>18</v>
      </c>
      <c r="G164" s="31"/>
      <c r="I164" s="17"/>
      <c r="J164" s="17"/>
      <c r="K164" s="17"/>
      <c r="L164" s="17"/>
      <c r="M164" s="17"/>
      <c r="N164" s="17"/>
      <c r="Q164" s="84" t="str">
        <f>IF(H3="No","Average weekly gross rent (£ per week) and units by unit size for "&amp;E3&amp;" - LARPs only",Q163)</f>
        <v>Average weekly gross rent (£ per week) and units by unit size for  LARPs</v>
      </c>
    </row>
    <row r="165" spans="1:19" ht="12.75" customHeight="1" x14ac:dyDescent="0.3">
      <c r="B165" s="185" t="s">
        <v>19</v>
      </c>
      <c r="C165" s="175"/>
      <c r="D165" s="183"/>
      <c r="F165" s="93" t="s">
        <v>34</v>
      </c>
      <c r="G165" s="94" t="s">
        <v>13</v>
      </c>
      <c r="I165" s="17"/>
      <c r="J165" s="17"/>
      <c r="K165" s="17"/>
      <c r="L165" s="17"/>
      <c r="M165" s="17"/>
      <c r="N165" s="17"/>
      <c r="Q165" s="89" t="str">
        <f>IF($E$3=$K$3,"Average weekly gross rent (£ per week) by unit size for "&amp;$E$3&amp; " LARPs only","Average weekly gross rent (£ per week) by unit size for "&amp;$E$3&amp; " LARP only")</f>
        <v>Average weekly gross rent (£ per week) by unit size for  LARPs only</v>
      </c>
    </row>
    <row r="166" spans="1:19" x14ac:dyDescent="0.3">
      <c r="B166" s="186"/>
      <c r="C166" s="177"/>
      <c r="D166" s="97"/>
      <c r="E166" s="119"/>
      <c r="F166" s="98" t="s">
        <v>14</v>
      </c>
      <c r="G166" s="99" t="s">
        <v>15</v>
      </c>
      <c r="I166" s="17"/>
      <c r="J166" s="17"/>
      <c r="K166" s="17"/>
      <c r="L166" s="17"/>
      <c r="M166" s="17"/>
      <c r="N166" s="17"/>
      <c r="Q166" s="84" t="str">
        <f>IF(H3="No","Average weekly gross rent (£ per week) by unit size for "&amp;E3&amp;" - LARP only",Q165)</f>
        <v>Average weekly gross rent (£ per week) by unit size for  LARPs only</v>
      </c>
    </row>
    <row r="167" spans="1:19" ht="14.5" x14ac:dyDescent="0.35">
      <c r="A167" s="12">
        <f t="shared" ref="A167:A176" si="3">$E$3</f>
        <v>0</v>
      </c>
      <c r="B167" s="142" t="s">
        <v>20</v>
      </c>
      <c r="C167" s="102"/>
      <c r="D167" s="144"/>
      <c r="F167" s="135" t="str">
        <f>IFERROR((VLOOKUP($E$3,LADR_FF,49,0)),"")</f>
        <v/>
      </c>
      <c r="G167" s="106" t="str">
        <f>IFERROR((VLOOKUP($E$3,LADR_FF,50,0)),"")</f>
        <v/>
      </c>
      <c r="I167" s="17"/>
      <c r="J167" s="17"/>
      <c r="K167" s="17"/>
      <c r="L167" s="17"/>
      <c r="M167" s="17"/>
      <c r="N167" s="17"/>
      <c r="Q167" s="307" t="s">
        <v>648</v>
      </c>
      <c r="R167" s="307"/>
      <c r="S167" s="307"/>
    </row>
    <row r="168" spans="1:19" ht="14.5" x14ac:dyDescent="0.35">
      <c r="A168" s="12">
        <f t="shared" si="3"/>
        <v>0</v>
      </c>
      <c r="B168" s="142" t="s">
        <v>21</v>
      </c>
      <c r="C168" s="102"/>
      <c r="D168" s="144"/>
      <c r="F168" s="135" t="str">
        <f>IFERROR((VLOOKUP($E$3,LADR_FF,51,0)),"")</f>
        <v/>
      </c>
      <c r="G168" s="106" t="str">
        <f>IFERROR((VLOOKUP($E$3,LADR_FF,52,0)),"")</f>
        <v/>
      </c>
      <c r="I168" s="17"/>
      <c r="J168" s="17"/>
      <c r="K168" s="17"/>
      <c r="L168" s="17"/>
      <c r="M168" s="17"/>
      <c r="N168" s="17"/>
      <c r="Q168" s="308">
        <v>49</v>
      </c>
      <c r="R168" s="311" t="s">
        <v>728</v>
      </c>
      <c r="S168" s="310">
        <f>HLOOKUP($R168,LADR!$AS$2:$BL$3,2,0)</f>
        <v>99.37</v>
      </c>
    </row>
    <row r="169" spans="1:19" ht="14.5" x14ac:dyDescent="0.35">
      <c r="A169" s="12">
        <f t="shared" si="3"/>
        <v>0</v>
      </c>
      <c r="B169" s="142" t="s">
        <v>22</v>
      </c>
      <c r="C169" s="102"/>
      <c r="D169" s="144"/>
      <c r="F169" s="135" t="str">
        <f>IFERROR((VLOOKUP($E$3,LADR_FF,53,0)),"")</f>
        <v/>
      </c>
      <c r="G169" s="145" t="str">
        <f>IFERROR((VLOOKUP($E$3,LADR_FF,54,0)),"")</f>
        <v/>
      </c>
      <c r="I169" s="17"/>
      <c r="J169" s="17"/>
      <c r="K169" s="17"/>
      <c r="L169" s="17"/>
      <c r="M169" s="17"/>
      <c r="N169" s="17"/>
      <c r="Q169" s="308">
        <v>51</v>
      </c>
      <c r="R169" s="311" t="s">
        <v>729</v>
      </c>
      <c r="S169" s="310">
        <f>HLOOKUP($R169,LADR!$AS$2:$BL$3,2,0)</f>
        <v>102.86</v>
      </c>
    </row>
    <row r="170" spans="1:19" ht="14.5" x14ac:dyDescent="0.35">
      <c r="A170" s="12">
        <f t="shared" si="3"/>
        <v>0</v>
      </c>
      <c r="B170" s="142" t="s">
        <v>23</v>
      </c>
      <c r="C170" s="102"/>
      <c r="D170" s="144"/>
      <c r="F170" s="135" t="str">
        <f>IFERROR((VLOOKUP($E$3,LADR_FF,55,0)),"")</f>
        <v/>
      </c>
      <c r="G170" s="145" t="str">
        <f>IFERROR((VLOOKUP($E$3,LADR_FF,56,0)),"")</f>
        <v/>
      </c>
      <c r="I170" s="17"/>
      <c r="J170" s="17"/>
      <c r="K170" s="17"/>
      <c r="L170" s="17"/>
      <c r="M170" s="17"/>
      <c r="N170" s="17"/>
      <c r="Q170" s="308">
        <v>53</v>
      </c>
      <c r="R170" s="311" t="s">
        <v>730</v>
      </c>
      <c r="S170" s="310">
        <f>HLOOKUP($R170,LADR!$AS$2:$BL$3,2,0)</f>
        <v>120</v>
      </c>
    </row>
    <row r="171" spans="1:19" ht="14.5" x14ac:dyDescent="0.35">
      <c r="A171" s="12">
        <f t="shared" si="3"/>
        <v>0</v>
      </c>
      <c r="B171" s="142" t="s">
        <v>24</v>
      </c>
      <c r="C171" s="102"/>
      <c r="D171" s="144"/>
      <c r="F171" s="135" t="str">
        <f>IFERROR((VLOOKUP($E$3,LADR_FF,57,0)),"")</f>
        <v/>
      </c>
      <c r="G171" s="145" t="str">
        <f>IFERROR((VLOOKUP($E$3,LADR_FF,58,0)),"")</f>
        <v/>
      </c>
      <c r="I171" s="17"/>
      <c r="J171" s="17"/>
      <c r="K171" s="17"/>
      <c r="L171" s="17"/>
      <c r="M171" s="17"/>
      <c r="N171" s="17"/>
      <c r="Q171" s="308">
        <v>55</v>
      </c>
      <c r="R171" s="311" t="s">
        <v>731</v>
      </c>
      <c r="S171" s="310">
        <f>HLOOKUP($R171,LADR!$AS$2:$BL$3,2,0)</f>
        <v>134.38999999999999</v>
      </c>
    </row>
    <row r="172" spans="1:19" ht="14.5" x14ac:dyDescent="0.35">
      <c r="A172" s="12">
        <f t="shared" si="3"/>
        <v>0</v>
      </c>
      <c r="B172" s="142" t="s">
        <v>25</v>
      </c>
      <c r="C172" s="102"/>
      <c r="D172" s="144"/>
      <c r="F172" s="135" t="str">
        <f>IFERROR((VLOOKUP($E$3,LADR_FF,59,0)),"")</f>
        <v/>
      </c>
      <c r="G172" s="145" t="str">
        <f>IFERROR((VLOOKUP($E$3,LADR_FF,60,0)),"")</f>
        <v/>
      </c>
      <c r="I172" s="17"/>
      <c r="J172" s="17"/>
      <c r="K172" s="17"/>
      <c r="L172" s="17"/>
      <c r="M172" s="17"/>
      <c r="N172" s="17"/>
      <c r="Q172" s="308">
        <v>57</v>
      </c>
      <c r="R172" s="311" t="s">
        <v>732</v>
      </c>
      <c r="S172" s="310">
        <f>HLOOKUP($R172,LADR!$AS$2:$BL$3,2,0)</f>
        <v>150.05000000000001</v>
      </c>
    </row>
    <row r="173" spans="1:19" ht="14.5" x14ac:dyDescent="0.35">
      <c r="A173" s="12">
        <f t="shared" si="3"/>
        <v>0</v>
      </c>
      <c r="B173" s="142" t="s">
        <v>26</v>
      </c>
      <c r="C173" s="102"/>
      <c r="D173" s="144"/>
      <c r="F173" s="135" t="str">
        <f>IFERROR((VLOOKUP($E$3,LADR_FF,61,0)),"")</f>
        <v/>
      </c>
      <c r="G173" s="145" t="str">
        <f>IFERROR((VLOOKUP($E$3,LADR_FF,62,0)),"")</f>
        <v/>
      </c>
      <c r="I173" s="17"/>
      <c r="J173" s="17"/>
      <c r="K173" s="17"/>
      <c r="L173" s="17"/>
      <c r="M173" s="17"/>
      <c r="N173" s="17"/>
      <c r="Q173" s="308">
        <v>59</v>
      </c>
      <c r="R173" s="311" t="s">
        <v>733</v>
      </c>
      <c r="S173" s="310">
        <f>HLOOKUP($R173,LADR!$AS$2:$BL$3,2,0)</f>
        <v>175.25</v>
      </c>
    </row>
    <row r="174" spans="1:19" ht="14.5" x14ac:dyDescent="0.35">
      <c r="A174" s="12">
        <f t="shared" si="3"/>
        <v>0</v>
      </c>
      <c r="B174" s="142" t="s">
        <v>27</v>
      </c>
      <c r="C174" s="102"/>
      <c r="D174" s="144"/>
      <c r="F174" s="135" t="str">
        <f>IFERROR((VLOOKUP($E$3,LADR_FF,63,0)),"")</f>
        <v/>
      </c>
      <c r="G174" s="145" t="str">
        <f>IFERROR((VLOOKUP($E$3,LADR_FF,64,0)),"")</f>
        <v/>
      </c>
      <c r="I174" s="17"/>
      <c r="J174" s="17"/>
      <c r="K174" s="17"/>
      <c r="L174" s="17"/>
      <c r="M174" s="17"/>
      <c r="N174" s="17"/>
      <c r="Q174" s="308">
        <v>61</v>
      </c>
      <c r="R174" s="311" t="s">
        <v>734</v>
      </c>
      <c r="S174" s="310">
        <f>HLOOKUP($R174,LADR!$AS$2:$BL$3,2,0)</f>
        <v>185.55</v>
      </c>
    </row>
    <row r="175" spans="1:19" ht="14.5" x14ac:dyDescent="0.35">
      <c r="A175" s="12">
        <f t="shared" si="3"/>
        <v>0</v>
      </c>
      <c r="B175" s="47" t="s">
        <v>28</v>
      </c>
      <c r="C175" s="102"/>
      <c r="D175" s="144"/>
      <c r="E175" s="119"/>
      <c r="F175" s="330" t="str">
        <f>IFERROR((VLOOKUP($E$3,LADR_FF,47,0)),"")</f>
        <v/>
      </c>
      <c r="G175" s="145" t="str">
        <f>IFERROR((VLOOKUP($E$3,LADR_FF,48,0)),"")</f>
        <v/>
      </c>
      <c r="I175" s="17"/>
      <c r="J175" s="17"/>
      <c r="K175" s="17"/>
      <c r="L175" s="17"/>
      <c r="M175" s="17"/>
      <c r="N175" s="17"/>
      <c r="Q175" s="308">
        <v>63</v>
      </c>
      <c r="R175" s="311" t="s">
        <v>735</v>
      </c>
      <c r="S175" s="310">
        <f>HLOOKUP($R175,LADR!$AS$2:$BL$3,2,0)</f>
        <v>229.89</v>
      </c>
    </row>
    <row r="176" spans="1:19" ht="14.5" x14ac:dyDescent="0.35">
      <c r="A176" s="12">
        <f t="shared" si="3"/>
        <v>0</v>
      </c>
      <c r="B176" s="43" t="s">
        <v>29</v>
      </c>
      <c r="C176" s="187"/>
      <c r="D176" s="188"/>
      <c r="E176" s="119"/>
      <c r="F176" s="349" t="str">
        <f>IFERROR((VLOOKUP($E$3,LADR_FF,45,0)),"")</f>
        <v/>
      </c>
      <c r="G176" s="149" t="str">
        <f>IFERROR((VLOOKUP($E$3,LADR_FF,46,0)),"")</f>
        <v/>
      </c>
      <c r="I176" s="17"/>
      <c r="J176" s="17"/>
      <c r="K176" s="17"/>
      <c r="L176" s="17"/>
      <c r="M176" s="17"/>
      <c r="N176" s="17"/>
      <c r="Q176" s="308">
        <v>47</v>
      </c>
      <c r="R176" s="311" t="s">
        <v>43</v>
      </c>
      <c r="S176" s="310">
        <f>HLOOKUP($R176,LADR!$AS$2:$BL$3,2,0)</f>
        <v>137.71</v>
      </c>
    </row>
    <row r="177" spans="1:19" ht="14.5" x14ac:dyDescent="0.35">
      <c r="B177" s="26"/>
      <c r="G177" s="85"/>
      <c r="I177" s="17"/>
      <c r="J177" s="17"/>
      <c r="K177" s="17"/>
      <c r="L177" s="17"/>
      <c r="M177" s="17"/>
      <c r="N177" s="17"/>
      <c r="Q177" s="308">
        <v>45</v>
      </c>
      <c r="R177" s="311" t="s">
        <v>44</v>
      </c>
      <c r="S177" s="310">
        <f>HLOOKUP($R177,LADR!$AS$2:$BL$3,2,0)</f>
        <v>137.65</v>
      </c>
    </row>
    <row r="178" spans="1:19" ht="14.5" customHeight="1" x14ac:dyDescent="0.3">
      <c r="B178" s="337" t="s">
        <v>832</v>
      </c>
      <c r="C178" s="167"/>
      <c r="D178" s="167"/>
      <c r="E178" s="167"/>
      <c r="F178" s="167"/>
      <c r="G178" s="168"/>
      <c r="I178" s="17"/>
      <c r="J178" s="17"/>
      <c r="K178" s="17"/>
      <c r="L178" s="17"/>
      <c r="M178" s="17"/>
      <c r="N178" s="17"/>
    </row>
    <row r="179" spans="1:19" ht="12.75" customHeight="1" x14ac:dyDescent="0.3">
      <c r="B179" s="179" t="s">
        <v>35</v>
      </c>
      <c r="C179" s="167"/>
      <c r="D179" s="167"/>
      <c r="E179" s="167"/>
      <c r="F179" s="167"/>
      <c r="G179" s="168"/>
      <c r="I179" s="17"/>
      <c r="J179" s="17"/>
      <c r="K179" s="17"/>
      <c r="L179" s="17"/>
      <c r="M179" s="17"/>
      <c r="N179" s="17"/>
    </row>
    <row r="180" spans="1:19" x14ac:dyDescent="0.3">
      <c r="B180" s="70" t="s">
        <v>896</v>
      </c>
      <c r="C180" s="55"/>
      <c r="D180" s="55"/>
      <c r="E180" s="55"/>
      <c r="F180" s="55"/>
      <c r="G180" s="131"/>
      <c r="I180" s="17"/>
      <c r="J180" s="17"/>
      <c r="K180" s="17"/>
      <c r="L180" s="17"/>
      <c r="M180" s="17"/>
      <c r="N180" s="17"/>
    </row>
    <row r="181" spans="1:19" x14ac:dyDescent="0.3">
      <c r="B181" s="13" t="str">
        <f>IF($E$4="","",IF($G$19=0,"This LARP is registered but does not currently own any stock.",""))</f>
        <v>This LARP is registered but does not currently own any stock.</v>
      </c>
      <c r="E181" s="15"/>
      <c r="F181" s="15"/>
      <c r="G181" s="15"/>
      <c r="I181" s="132"/>
      <c r="J181" s="132"/>
      <c r="K181" s="17"/>
      <c r="L181" s="17"/>
      <c r="M181" s="17"/>
      <c r="N181" s="17"/>
    </row>
    <row r="182" spans="1:19" ht="15.5" x14ac:dyDescent="0.3">
      <c r="A182" s="374">
        <v>9</v>
      </c>
      <c r="B182" s="74" t="s">
        <v>36</v>
      </c>
      <c r="C182" s="75"/>
      <c r="D182" s="75"/>
      <c r="E182" s="75"/>
      <c r="F182" s="184"/>
      <c r="G182" s="76"/>
      <c r="I182" s="17"/>
      <c r="J182" s="17"/>
      <c r="K182" s="17"/>
      <c r="L182" s="17"/>
      <c r="M182" s="17"/>
      <c r="N182" s="17"/>
    </row>
    <row r="183" spans="1:19" ht="15" customHeight="1" x14ac:dyDescent="0.3">
      <c r="A183" s="404"/>
      <c r="B183" s="405" t="str">
        <f>IFERROR($Q$164,"")</f>
        <v>Average weekly gross rent (£ per week) and units by unit size for  LARPs</v>
      </c>
      <c r="C183" s="406"/>
      <c r="D183" s="406"/>
      <c r="E183" s="406"/>
      <c r="F183" s="406"/>
      <c r="G183" s="407"/>
      <c r="I183" s="17"/>
      <c r="J183" s="17"/>
      <c r="K183" s="17"/>
      <c r="L183" s="17"/>
      <c r="M183" s="17"/>
      <c r="N183" s="17"/>
    </row>
    <row r="184" spans="1:19" ht="15" customHeight="1" x14ac:dyDescent="0.3">
      <c r="B184" s="405"/>
      <c r="C184" s="406"/>
      <c r="D184" s="406"/>
      <c r="E184" s="406"/>
      <c r="F184" s="406"/>
      <c r="G184" s="407"/>
      <c r="I184" s="17"/>
      <c r="J184" s="17"/>
      <c r="K184" s="17"/>
      <c r="L184" s="17"/>
      <c r="M184" s="17"/>
      <c r="N184" s="17"/>
    </row>
    <row r="185" spans="1:19" ht="14.5" x14ac:dyDescent="0.35">
      <c r="B185" s="189"/>
      <c r="C185" s="190"/>
      <c r="D185" s="190"/>
      <c r="E185" s="191"/>
      <c r="F185" s="190"/>
      <c r="G185" s="192"/>
      <c r="I185" s="17"/>
      <c r="J185" s="17"/>
      <c r="K185" s="17"/>
      <c r="L185" s="17"/>
      <c r="M185" s="17"/>
      <c r="N185" s="17"/>
      <c r="Q185" t="s">
        <v>649</v>
      </c>
      <c r="R185"/>
      <c r="S185"/>
    </row>
    <row r="186" spans="1:19" ht="12.75" customHeight="1" x14ac:dyDescent="0.35">
      <c r="B186" s="193" t="str">
        <f>B183</f>
        <v>Average weekly gross rent (£ per week) and units by unit size for  LARPs</v>
      </c>
      <c r="C186" s="30"/>
      <c r="D186" s="30"/>
      <c r="E186" s="55"/>
      <c r="F186" s="343" t="s">
        <v>18</v>
      </c>
      <c r="G186" s="31"/>
      <c r="I186" s="17"/>
      <c r="J186" s="17"/>
      <c r="K186" s="17"/>
      <c r="L186" s="17"/>
      <c r="M186" s="17"/>
      <c r="N186" s="17"/>
      <c r="Q186" s="308">
        <v>69</v>
      </c>
      <c r="R186" s="312" t="s">
        <v>736</v>
      </c>
      <c r="S186" s="310">
        <f>HLOOKUP($R186,LADR!$BM$2:$CB$3,2,0)</f>
        <v>97.08</v>
      </c>
    </row>
    <row r="187" spans="1:19" ht="14.5" customHeight="1" x14ac:dyDescent="0.35">
      <c r="B187" s="194" t="s">
        <v>19</v>
      </c>
      <c r="C187" s="175"/>
      <c r="D187" s="183"/>
      <c r="F187" s="93" t="s">
        <v>34</v>
      </c>
      <c r="G187" s="94" t="s">
        <v>13</v>
      </c>
      <c r="I187" s="17"/>
      <c r="J187" s="17"/>
      <c r="K187" s="17"/>
      <c r="L187" s="17"/>
      <c r="M187" s="17"/>
      <c r="N187" s="17"/>
      <c r="Q187" s="308">
        <v>71</v>
      </c>
      <c r="R187" s="312" t="s">
        <v>737</v>
      </c>
      <c r="S187" s="310">
        <f>HLOOKUP($R187,LADR!$BM$2:$CB$3,2,0)</f>
        <v>156.19999999999999</v>
      </c>
    </row>
    <row r="188" spans="1:19" ht="14.5" x14ac:dyDescent="0.35">
      <c r="B188" s="195"/>
      <c r="C188" s="177"/>
      <c r="D188" s="97"/>
      <c r="E188" s="55"/>
      <c r="F188" s="98" t="s">
        <v>14</v>
      </c>
      <c r="G188" s="99" t="s">
        <v>15</v>
      </c>
      <c r="I188" s="17"/>
      <c r="J188" s="17"/>
      <c r="K188" s="17"/>
      <c r="L188" s="17"/>
      <c r="M188" s="17"/>
      <c r="N188" s="17"/>
      <c r="Q188" s="308">
        <v>73</v>
      </c>
      <c r="R188" s="312" t="s">
        <v>738</v>
      </c>
      <c r="S188" s="310">
        <f>HLOOKUP($R188,LADR!$BM$2:$CB$3,2,0)</f>
        <v>149.25</v>
      </c>
    </row>
    <row r="189" spans="1:19" ht="14.5" x14ac:dyDescent="0.35">
      <c r="A189" s="12">
        <f t="shared" ref="A189:A196" si="4">$E$3</f>
        <v>0</v>
      </c>
      <c r="B189" s="158" t="s">
        <v>20</v>
      </c>
      <c r="C189" s="102"/>
      <c r="D189" s="196"/>
      <c r="F189" s="135" t="str">
        <f>IFERROR((VLOOKUP($E$3,LADR_FF,69,0)),"")</f>
        <v/>
      </c>
      <c r="G189" s="106" t="str">
        <f>IFERROR((VLOOKUP($E$3,LADR_FF,70,0)),"")</f>
        <v/>
      </c>
      <c r="I189" s="17"/>
      <c r="J189" s="17"/>
      <c r="K189" s="17"/>
      <c r="L189" s="17"/>
      <c r="M189" s="17"/>
      <c r="N189" s="17"/>
      <c r="Q189" s="308">
        <v>75</v>
      </c>
      <c r="R189" s="312" t="s">
        <v>739</v>
      </c>
      <c r="S189" s="310">
        <f>HLOOKUP($R189,LADR!$BM$2:$CB$3,2,0)</f>
        <v>147.02000000000001</v>
      </c>
    </row>
    <row r="190" spans="1:19" ht="14.5" x14ac:dyDescent="0.35">
      <c r="A190" s="12">
        <f t="shared" si="4"/>
        <v>0</v>
      </c>
      <c r="B190" s="158" t="s">
        <v>21</v>
      </c>
      <c r="C190" s="102"/>
      <c r="D190" s="196"/>
      <c r="F190" s="135" t="str">
        <f>IFERROR((VLOOKUP($E$3,LADR_FF,71,0)),"")</f>
        <v/>
      </c>
      <c r="G190" s="106" t="str">
        <f>IFERROR((VLOOKUP($E$3,LADR_FF,72,0)),"")</f>
        <v/>
      </c>
      <c r="I190" s="17"/>
      <c r="J190" s="17"/>
      <c r="K190" s="17"/>
      <c r="L190" s="17"/>
      <c r="M190" s="17"/>
      <c r="N190" s="17"/>
      <c r="Q190" s="308">
        <v>77</v>
      </c>
      <c r="R190" s="312" t="s">
        <v>740</v>
      </c>
      <c r="S190" s="310">
        <f>HLOOKUP($R190,LADR!$BM$2:$CB$3,2,0)</f>
        <v>125.24</v>
      </c>
    </row>
    <row r="191" spans="1:19" ht="14.5" x14ac:dyDescent="0.35">
      <c r="A191" s="12">
        <f t="shared" si="4"/>
        <v>0</v>
      </c>
      <c r="B191" s="158" t="s">
        <v>22</v>
      </c>
      <c r="C191" s="102"/>
      <c r="D191" s="196"/>
      <c r="F191" s="135" t="str">
        <f>IFERROR((VLOOKUP($E$3,LADR_FF,73,0)),"")</f>
        <v/>
      </c>
      <c r="G191" s="145" t="str">
        <f>IFERROR((VLOOKUP($E$3,LADR_FF,74,0)),"")</f>
        <v/>
      </c>
      <c r="I191" s="17"/>
      <c r="J191" s="17"/>
      <c r="K191" s="17"/>
      <c r="L191" s="17"/>
      <c r="M191" s="17"/>
      <c r="N191" s="17"/>
      <c r="Q191" s="308">
        <v>79</v>
      </c>
      <c r="R191" s="313" t="s">
        <v>741</v>
      </c>
      <c r="S191" s="310">
        <f>HLOOKUP($R191,LADR!$BM$2:$CB$3,2,0)</f>
        <v>190.66</v>
      </c>
    </row>
    <row r="192" spans="1:19" ht="14.5" x14ac:dyDescent="0.35">
      <c r="A192" s="12">
        <f t="shared" si="4"/>
        <v>0</v>
      </c>
      <c r="B192" s="158" t="s">
        <v>23</v>
      </c>
      <c r="C192" s="102"/>
      <c r="D192" s="196"/>
      <c r="F192" s="135" t="str">
        <f>IFERROR((VLOOKUP($E$3,LADR_FF,75,0)),"")</f>
        <v/>
      </c>
      <c r="G192" s="145" t="str">
        <f>IFERROR((VLOOKUP($E$3,LADR_FF,76,0)),"")</f>
        <v/>
      </c>
      <c r="I192" s="17"/>
      <c r="J192" s="17"/>
      <c r="K192" s="17"/>
      <c r="L192" s="17"/>
      <c r="M192" s="17"/>
      <c r="N192" s="17"/>
      <c r="Q192" s="308">
        <v>67</v>
      </c>
      <c r="R192" s="314" t="s">
        <v>45</v>
      </c>
      <c r="S192" s="310">
        <f>HLOOKUP($R192,LADR!$BM$2:$CB$3,2,0)</f>
        <v>148.66</v>
      </c>
    </row>
    <row r="193" spans="1:19" ht="14.5" x14ac:dyDescent="0.35">
      <c r="A193" s="12">
        <f t="shared" si="4"/>
        <v>0</v>
      </c>
      <c r="B193" s="158" t="s">
        <v>24</v>
      </c>
      <c r="C193" s="102"/>
      <c r="D193" s="196"/>
      <c r="F193" s="135" t="str">
        <f>IFERROR((VLOOKUP($E$3,LADR_FF,77,0)),"")</f>
        <v/>
      </c>
      <c r="G193" s="145" t="str">
        <f>IFERROR((VLOOKUP($E$3,LADR_FF,78,0)),"")</f>
        <v/>
      </c>
      <c r="I193" s="17"/>
      <c r="J193" s="17"/>
      <c r="K193" s="17"/>
      <c r="L193" s="17"/>
      <c r="M193" s="17"/>
      <c r="N193" s="17"/>
      <c r="Q193" s="308">
        <v>65</v>
      </c>
      <c r="R193" s="314" t="s">
        <v>46</v>
      </c>
      <c r="S193" s="310">
        <f>HLOOKUP($R193,LADR!$BM$2:$CB$3,2,0)</f>
        <v>143.80000000000001</v>
      </c>
    </row>
    <row r="194" spans="1:19" x14ac:dyDescent="0.3">
      <c r="A194" s="12">
        <f t="shared" si="4"/>
        <v>0</v>
      </c>
      <c r="B194" s="158" t="s">
        <v>31</v>
      </c>
      <c r="C194" s="102"/>
      <c r="D194" s="196"/>
      <c r="F194" s="135" t="str">
        <f>IFERROR((VLOOKUP($E$3,LADR_FF,79,0)),"")</f>
        <v/>
      </c>
      <c r="G194" s="145" t="str">
        <f>IFERROR((VLOOKUP($E$3,LADR_FF,80,0)),"")</f>
        <v/>
      </c>
      <c r="I194" s="17"/>
      <c r="J194" s="17"/>
      <c r="K194" s="17"/>
      <c r="L194" s="17"/>
      <c r="M194" s="17"/>
      <c r="N194" s="17"/>
    </row>
    <row r="195" spans="1:19" x14ac:dyDescent="0.3">
      <c r="A195" s="12">
        <f t="shared" si="4"/>
        <v>0</v>
      </c>
      <c r="B195" s="47" t="s">
        <v>28</v>
      </c>
      <c r="C195" s="102"/>
      <c r="D195" s="196"/>
      <c r="E195" s="55"/>
      <c r="F195" s="330" t="str">
        <f>IFERROR((VLOOKUP($E$3,LADR_FF,67,0)),"")</f>
        <v/>
      </c>
      <c r="G195" s="160" t="str">
        <f>IFERROR((VLOOKUP($E$3,LADR_FF,68,0)),"")</f>
        <v/>
      </c>
      <c r="I195" s="17"/>
      <c r="J195" s="17"/>
      <c r="K195" s="17"/>
      <c r="L195" s="17"/>
      <c r="M195" s="17"/>
      <c r="N195" s="17"/>
    </row>
    <row r="196" spans="1:19" x14ac:dyDescent="0.3">
      <c r="A196" s="12">
        <f t="shared" si="4"/>
        <v>0</v>
      </c>
      <c r="B196" s="53" t="s">
        <v>29</v>
      </c>
      <c r="C196" s="187"/>
      <c r="D196" s="197"/>
      <c r="E196" s="55"/>
      <c r="F196" s="349" t="str">
        <f>IFERROR((VLOOKUP($E$3,LADR_FF,65,0)),"")</f>
        <v/>
      </c>
      <c r="G196" s="149" t="str">
        <f>IFERROR((VLOOKUP($E$3,LADR_FF,66,0)),"")</f>
        <v/>
      </c>
      <c r="I196" s="17"/>
      <c r="J196" s="17"/>
      <c r="K196" s="17"/>
      <c r="L196" s="17"/>
      <c r="M196" s="17"/>
      <c r="N196" s="17"/>
    </row>
    <row r="197" spans="1:19" x14ac:dyDescent="0.3">
      <c r="B197" s="26"/>
      <c r="C197" s="81"/>
      <c r="D197" s="81"/>
      <c r="E197" s="81"/>
      <c r="F197" s="81"/>
      <c r="G197" s="83"/>
      <c r="I197" s="17"/>
      <c r="J197" s="17"/>
      <c r="K197" s="17"/>
      <c r="L197" s="17"/>
      <c r="M197" s="17"/>
      <c r="N197" s="17"/>
    </row>
    <row r="198" spans="1:19" ht="14.5" customHeight="1" x14ac:dyDescent="0.3">
      <c r="B198" s="166"/>
      <c r="C198" s="167"/>
      <c r="D198" s="167"/>
      <c r="E198" s="167"/>
      <c r="F198" s="167"/>
      <c r="G198" s="168"/>
      <c r="I198" s="17"/>
      <c r="J198" s="17"/>
      <c r="K198" s="17"/>
      <c r="L198" s="17"/>
      <c r="M198" s="17"/>
      <c r="N198" s="17"/>
    </row>
    <row r="199" spans="1:19" x14ac:dyDescent="0.3">
      <c r="B199" s="337" t="s">
        <v>832</v>
      </c>
      <c r="C199" s="167"/>
      <c r="D199" s="167"/>
      <c r="E199" s="167"/>
      <c r="F199" s="167"/>
      <c r="G199" s="168"/>
      <c r="I199" s="17"/>
      <c r="J199" s="17"/>
      <c r="K199" s="17"/>
      <c r="L199" s="17"/>
      <c r="M199" s="17"/>
      <c r="N199" s="17"/>
    </row>
    <row r="200" spans="1:19" ht="12.75" customHeight="1" x14ac:dyDescent="0.3">
      <c r="B200" s="151" t="s">
        <v>35</v>
      </c>
      <c r="C200" s="2"/>
      <c r="D200" s="2"/>
      <c r="E200" s="2"/>
      <c r="F200" s="2"/>
      <c r="G200" s="198"/>
      <c r="I200" s="17"/>
      <c r="J200" s="17"/>
      <c r="K200" s="17"/>
      <c r="L200" s="17"/>
      <c r="M200" s="17"/>
      <c r="N200" s="17"/>
    </row>
    <row r="201" spans="1:19" x14ac:dyDescent="0.3">
      <c r="B201" s="199"/>
      <c r="C201" s="2"/>
      <c r="D201" s="2"/>
      <c r="E201" s="2"/>
      <c r="F201" s="2"/>
      <c r="G201" s="198"/>
      <c r="I201" s="17"/>
      <c r="J201" s="17"/>
      <c r="K201" s="17"/>
      <c r="L201" s="17"/>
      <c r="M201" s="17"/>
      <c r="N201" s="17"/>
    </row>
    <row r="202" spans="1:19" x14ac:dyDescent="0.3">
      <c r="B202" s="200" t="s">
        <v>896</v>
      </c>
      <c r="C202" s="11"/>
      <c r="D202" s="11"/>
      <c r="E202" s="11"/>
      <c r="F202" s="11"/>
      <c r="G202" s="201"/>
      <c r="I202" s="17"/>
      <c r="J202" s="17"/>
      <c r="K202" s="17"/>
      <c r="L202" s="17"/>
      <c r="M202" s="17"/>
      <c r="N202" s="17"/>
    </row>
    <row r="203" spans="1:19" x14ac:dyDescent="0.3">
      <c r="E203" s="15"/>
      <c r="F203" s="15"/>
      <c r="G203" s="15"/>
      <c r="I203" s="17"/>
      <c r="J203" s="17"/>
      <c r="K203" s="17"/>
      <c r="L203" s="17"/>
      <c r="M203" s="17"/>
      <c r="N203" s="17"/>
    </row>
    <row r="204" spans="1:19" hidden="1" x14ac:dyDescent="0.3">
      <c r="A204" s="18"/>
      <c r="I204" s="17"/>
      <c r="J204" s="17"/>
      <c r="K204" s="17"/>
      <c r="L204" s="17"/>
      <c r="M204" s="17"/>
      <c r="N204" s="17"/>
    </row>
    <row r="205" spans="1:19" hidden="1" x14ac:dyDescent="0.3">
      <c r="A205" s="18"/>
      <c r="I205" s="17"/>
      <c r="J205" s="17"/>
      <c r="K205" s="17"/>
      <c r="L205" s="17"/>
      <c r="M205" s="17"/>
      <c r="N205" s="17"/>
    </row>
    <row r="206" spans="1:19" hidden="1" x14ac:dyDescent="0.3">
      <c r="A206" s="18"/>
      <c r="H206" s="16"/>
      <c r="I206" s="17"/>
      <c r="J206" s="17"/>
      <c r="K206" s="17"/>
      <c r="L206" s="17"/>
      <c r="M206" s="17"/>
      <c r="N206" s="17"/>
    </row>
    <row r="207" spans="1:19" hidden="1" x14ac:dyDescent="0.3">
      <c r="A207" s="18"/>
    </row>
    <row r="208" spans="1:19" hidden="1" x14ac:dyDescent="0.3">
      <c r="A208" s="18"/>
    </row>
    <row r="209" spans="1:1" hidden="1" x14ac:dyDescent="0.3">
      <c r="A209" s="18"/>
    </row>
    <row r="210" spans="1:1" hidden="1" x14ac:dyDescent="0.3">
      <c r="A210" s="18"/>
    </row>
    <row r="211" spans="1:1" hidden="1" x14ac:dyDescent="0.3">
      <c r="A211" s="18"/>
    </row>
    <row r="212" spans="1:1" hidden="1" x14ac:dyDescent="0.3">
      <c r="A212" s="18"/>
    </row>
    <row r="213" spans="1:1" hidden="1" x14ac:dyDescent="0.3">
      <c r="A213" s="18"/>
    </row>
    <row r="214" spans="1:1" hidden="1" x14ac:dyDescent="0.3">
      <c r="A214" s="18"/>
    </row>
    <row r="215" spans="1:1" hidden="1" x14ac:dyDescent="0.3">
      <c r="A215" s="18"/>
    </row>
    <row r="216" spans="1:1" hidden="1" x14ac:dyDescent="0.3">
      <c r="A216" s="18"/>
    </row>
    <row r="217" spans="1:1" hidden="1" x14ac:dyDescent="0.3">
      <c r="A217" s="18"/>
    </row>
    <row r="218" spans="1:1" hidden="1" x14ac:dyDescent="0.3">
      <c r="A218" s="18"/>
    </row>
    <row r="219" spans="1:1" hidden="1" x14ac:dyDescent="0.3">
      <c r="A219" s="18"/>
    </row>
  </sheetData>
  <sheetProtection algorithmName="SHA-512" hashValue="cs9ayjlxEg+uNkjyIn0D3tqccYDC5mG9qr6R2yRhLeGL7QszeugeqALIymkkZKkIcBwPCUix7ChuxMEMkay6fg==" saltValue="vdxDQmNPgY+nfdgpAm119Q==" spinCount="100000" sheet="1" formatRows="0"/>
  <mergeCells count="24">
    <mergeCell ref="A182:A183"/>
    <mergeCell ref="B183:G184"/>
    <mergeCell ref="P101:P112"/>
    <mergeCell ref="A138:A139"/>
    <mergeCell ref="B139:G141"/>
    <mergeCell ref="A160:A161"/>
    <mergeCell ref="B161:G163"/>
    <mergeCell ref="A116:A117"/>
    <mergeCell ref="B117:G120"/>
    <mergeCell ref="A72:A73"/>
    <mergeCell ref="B73:G75"/>
    <mergeCell ref="A94:A95"/>
    <mergeCell ref="B95:G97"/>
    <mergeCell ref="C14:D14"/>
    <mergeCell ref="C16:D16"/>
    <mergeCell ref="A20:A21"/>
    <mergeCell ref="A27:A28"/>
    <mergeCell ref="B28:G31"/>
    <mergeCell ref="B1:O1"/>
    <mergeCell ref="A7:A8"/>
    <mergeCell ref="B7:G9"/>
    <mergeCell ref="E3:G3"/>
    <mergeCell ref="A50:A51"/>
    <mergeCell ref="B51:G54"/>
  </mergeCells>
  <conditionalFormatting sqref="B21:D23 B125:D125 B127:D127 B35:D35 B37:D37 B58:D58 B60:D60 B145:D145 B147:D147 G35 G37 G60 G125 G127 G145 G147">
    <cfRule type="expression" dxfId="23" priority="116">
      <formula>$E$3="England"</formula>
    </cfRule>
  </conditionalFormatting>
  <conditionalFormatting sqref="B21:B22">
    <cfRule type="expression" dxfId="22" priority="125">
      <formula>$E$3="England"</formula>
    </cfRule>
  </conditionalFormatting>
  <conditionalFormatting sqref="C21:D22">
    <cfRule type="expression" dxfId="21" priority="126">
      <formula>$E$3="England"</formula>
    </cfRule>
  </conditionalFormatting>
  <conditionalFormatting sqref="B21:B23 E23:G23 K3:K4">
    <cfRule type="expression" dxfId="20" priority="134">
      <formula>$E$3=""</formula>
    </cfRule>
  </conditionalFormatting>
  <conditionalFormatting sqref="B6 B26 B49 B71 B93 B115 B137 B159 B181">
    <cfRule type="expression" dxfId="19" priority="137">
      <formula>$E$3=""</formula>
    </cfRule>
    <cfRule type="expression" dxfId="18" priority="138">
      <formula>$E$3="Please select a local authority area."</formula>
    </cfRule>
  </conditionalFormatting>
  <conditionalFormatting sqref="H3">
    <cfRule type="expression" dxfId="17" priority="192">
      <formula>$E$3=""</formula>
    </cfRule>
    <cfRule type="expression" dxfId="16" priority="193">
      <formula>$H$3="No"</formula>
    </cfRule>
    <cfRule type="expression" dxfId="15" priority="194">
      <formula>$L$3="No"</formula>
    </cfRule>
  </conditionalFormatting>
  <conditionalFormatting sqref="C127:D127 C129:D129 C39:D39 C33:D35 C37:D37 C62:D62 C55:D58 C60:D60 C142:D145 C147:D147 C149:D149 C32 C76:D88 C98:D108 C122:D125 C164:D176 C186:D188 G39 G37 F98:G98 F76:G76 G62 G60 G55:G57 F122:G122 G129 G127 F142:G142 G149 G147 F164:G164 F186:G186 G32:G35 G77:G78 G99:G100 G123:G125 G143:G145 G165:G176 G187:G195">
    <cfRule type="expression" dxfId="14" priority="224">
      <formula>$H$3="No"</formula>
    </cfRule>
  </conditionalFormatting>
  <conditionalFormatting sqref="B21:D21 B35:D35 B58:D58 B125:D125 B145:D145 G35 G125 G145">
    <cfRule type="expression" dxfId="13" priority="228">
      <formula>$E$3=$K$3</formula>
    </cfRule>
  </conditionalFormatting>
  <conditionalFormatting sqref="B21">
    <cfRule type="expression" dxfId="12" priority="237">
      <formula>$E$3=$K$3</formula>
    </cfRule>
  </conditionalFormatting>
  <conditionalFormatting sqref="C21:D21">
    <cfRule type="expression" dxfId="11" priority="238">
      <formula>$E$3=$K$3</formula>
    </cfRule>
  </conditionalFormatting>
  <conditionalFormatting sqref="F125 F127 F145 F147">
    <cfRule type="expression" dxfId="10" priority="239">
      <formula>"E3=""England"""</formula>
    </cfRule>
  </conditionalFormatting>
  <conditionalFormatting sqref="E4">
    <cfRule type="expression" dxfId="9" priority="31">
      <formula>E3=""</formula>
    </cfRule>
  </conditionalFormatting>
  <conditionalFormatting sqref="G58">
    <cfRule type="expression" dxfId="8" priority="20">
      <formula>$E$3="England"</formula>
    </cfRule>
  </conditionalFormatting>
  <conditionalFormatting sqref="G58">
    <cfRule type="expression" dxfId="7" priority="22">
      <formula>$H$3="No"</formula>
    </cfRule>
  </conditionalFormatting>
  <conditionalFormatting sqref="G58">
    <cfRule type="expression" dxfId="6" priority="23">
      <formula>$E$3=$K$3</formula>
    </cfRule>
  </conditionalFormatting>
  <conditionalFormatting sqref="G79:G88">
    <cfRule type="expression" dxfId="5" priority="17">
      <formula>$H$3="No"</formula>
    </cfRule>
  </conditionalFormatting>
  <conditionalFormatting sqref="F58:F60">
    <cfRule type="expression" dxfId="4" priority="6">
      <formula>$E$3="England"</formula>
    </cfRule>
  </conditionalFormatting>
  <conditionalFormatting sqref="F58">
    <cfRule type="expression" dxfId="3" priority="7">
      <formula>$E$3=$K$3</formula>
    </cfRule>
  </conditionalFormatting>
  <conditionalFormatting sqref="F35:F37">
    <cfRule type="expression" dxfId="2" priority="4">
      <formula>$E$3="England"</formula>
    </cfRule>
  </conditionalFormatting>
  <conditionalFormatting sqref="F35">
    <cfRule type="expression" dxfId="1" priority="5">
      <formula>$E$3=$K$3</formula>
    </cfRule>
  </conditionalFormatting>
  <conditionalFormatting sqref="G196">
    <cfRule type="expression" dxfId="0" priority="3">
      <formula>$H$3="No"</formula>
    </cfRule>
  </conditionalFormatting>
  <dataValidations count="1">
    <dataValidation type="list" allowBlank="1" prompt="_x000a_" sqref="E3" xr:uid="{9D928B8C-7ED4-435D-B7CD-97C582512BA5}">
      <formula1>Validation_List_2</formula1>
    </dataValidation>
  </dataValidations>
  <hyperlinks>
    <hyperlink ref="E5:G5" location="'How to use the search function'!A1" display="Click for help on the search function" xr:uid="{04973FA7-57CD-466D-BB55-44BC6C05A7AA}"/>
  </hyperlinks>
  <pageMargins left="0.70866141732283472" right="0.70866141732283472" top="0.74803149606299213" bottom="0.74803149606299213" header="0.31496062992125984" footer="0.31496062992125984"/>
  <pageSetup paperSize="9" scale="65" fitToHeight="5" orientation="landscape" r:id="rId1"/>
  <headerFooter>
    <oddFooter>&amp;C&amp;1#&amp;"Calibri"&amp;12&amp;K0078D7OFFICIAL</oddFooter>
  </headerFooter>
  <rowBreaks count="4" manualBreakCount="4">
    <brk id="49" max="16383" man="1"/>
    <brk id="93" max="16383" man="1"/>
    <brk id="137" max="16383" man="1"/>
    <brk id="181" max="1638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32A5-2872-4190-BBB4-A63C94213315}">
  <sheetPr codeName="Sheet5">
    <tabColor rgb="FFFFFF00"/>
  </sheetPr>
  <dimension ref="A1:CD233"/>
  <sheetViews>
    <sheetView workbookViewId="0">
      <pane xSplit="3" ySplit="2" topLeftCell="BG3" activePane="bottomRight" state="frozen"/>
      <selection activeCell="A13" sqref="A13:A233"/>
      <selection pane="topRight" activeCell="A13" sqref="A13:A233"/>
      <selection pane="bottomLeft" activeCell="A13" sqref="A13:A233"/>
      <selection pane="bottomRight" activeCell="A13" sqref="A13:A233"/>
    </sheetView>
  </sheetViews>
  <sheetFormatPr defaultColWidth="8.7265625" defaultRowHeight="14.5" x14ac:dyDescent="0.35"/>
  <cols>
    <col min="1" max="1" width="11.1796875" customWidth="1"/>
    <col min="29" max="29" width="10.7265625" customWidth="1"/>
    <col min="31" max="31" width="10.54296875" customWidth="1"/>
    <col min="33" max="33" width="10.453125" bestFit="1" customWidth="1"/>
    <col min="35" max="35" width="12.453125" bestFit="1" customWidth="1"/>
    <col min="37" max="37" width="9.453125" bestFit="1" customWidth="1"/>
    <col min="39" max="39" width="10.453125" bestFit="1" customWidth="1"/>
    <col min="41" max="41" width="10.453125" bestFit="1" customWidth="1"/>
    <col min="43" max="43" width="10.453125" bestFit="1" customWidth="1"/>
    <col min="82" max="82" width="23.1796875" customWidth="1"/>
  </cols>
  <sheetData>
    <row r="1" spans="1:82"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row>
    <row r="2" spans="1:82" s="331" customFormat="1" ht="88" customHeight="1" x14ac:dyDescent="0.35">
      <c r="A2" s="350" t="s">
        <v>47</v>
      </c>
      <c r="B2" s="350" t="s">
        <v>48</v>
      </c>
      <c r="C2" s="350" t="s">
        <v>49</v>
      </c>
      <c r="D2" s="351" t="s">
        <v>50</v>
      </c>
      <c r="E2" s="351" t="s">
        <v>51</v>
      </c>
      <c r="F2" s="352" t="s">
        <v>52</v>
      </c>
      <c r="G2" s="352" t="s">
        <v>53</v>
      </c>
      <c r="H2" s="352" t="s">
        <v>54</v>
      </c>
      <c r="I2" s="353" t="s">
        <v>40</v>
      </c>
      <c r="J2" s="353" t="s">
        <v>55</v>
      </c>
      <c r="K2" s="353" t="s">
        <v>39</v>
      </c>
      <c r="L2" s="353" t="s">
        <v>56</v>
      </c>
      <c r="M2" s="353" t="s">
        <v>714</v>
      </c>
      <c r="N2" s="353" t="s">
        <v>742</v>
      </c>
      <c r="O2" s="353" t="s">
        <v>715</v>
      </c>
      <c r="P2" s="353" t="s">
        <v>743</v>
      </c>
      <c r="Q2" s="353" t="s">
        <v>716</v>
      </c>
      <c r="R2" s="353" t="s">
        <v>744</v>
      </c>
      <c r="S2" s="353" t="s">
        <v>717</v>
      </c>
      <c r="T2" s="353" t="s">
        <v>745</v>
      </c>
      <c r="U2" s="353" t="s">
        <v>718</v>
      </c>
      <c r="V2" s="353" t="s">
        <v>746</v>
      </c>
      <c r="W2" s="353" t="s">
        <v>719</v>
      </c>
      <c r="X2" s="353" t="s">
        <v>747</v>
      </c>
      <c r="Y2" s="353" t="s">
        <v>720</v>
      </c>
      <c r="Z2" s="353" t="s">
        <v>748</v>
      </c>
      <c r="AA2" s="353" t="s">
        <v>721</v>
      </c>
      <c r="AB2" s="353" t="s">
        <v>749</v>
      </c>
      <c r="AC2" s="354" t="s">
        <v>42</v>
      </c>
      <c r="AD2" s="354" t="s">
        <v>57</v>
      </c>
      <c r="AE2" s="354" t="s">
        <v>41</v>
      </c>
      <c r="AF2" s="354" t="s">
        <v>58</v>
      </c>
      <c r="AG2" s="354" t="s">
        <v>722</v>
      </c>
      <c r="AH2" s="354" t="s">
        <v>750</v>
      </c>
      <c r="AI2" s="354" t="s">
        <v>723</v>
      </c>
      <c r="AJ2" s="354" t="s">
        <v>751</v>
      </c>
      <c r="AK2" s="354" t="s">
        <v>724</v>
      </c>
      <c r="AL2" s="354" t="s">
        <v>752</v>
      </c>
      <c r="AM2" s="354" t="s">
        <v>725</v>
      </c>
      <c r="AN2" s="354" t="s">
        <v>753</v>
      </c>
      <c r="AO2" s="354" t="s">
        <v>726</v>
      </c>
      <c r="AP2" s="354" t="s">
        <v>754</v>
      </c>
      <c r="AQ2" s="354" t="s">
        <v>727</v>
      </c>
      <c r="AR2" s="354" t="s">
        <v>755</v>
      </c>
      <c r="AS2" s="355" t="s">
        <v>44</v>
      </c>
      <c r="AT2" s="355" t="s">
        <v>59</v>
      </c>
      <c r="AU2" s="355" t="s">
        <v>43</v>
      </c>
      <c r="AV2" s="355" t="s">
        <v>60</v>
      </c>
      <c r="AW2" s="355" t="s">
        <v>728</v>
      </c>
      <c r="AX2" s="355" t="s">
        <v>756</v>
      </c>
      <c r="AY2" s="355" t="s">
        <v>729</v>
      </c>
      <c r="AZ2" s="355" t="s">
        <v>757</v>
      </c>
      <c r="BA2" s="355" t="s">
        <v>730</v>
      </c>
      <c r="BB2" s="355" t="s">
        <v>758</v>
      </c>
      <c r="BC2" s="355" t="s">
        <v>731</v>
      </c>
      <c r="BD2" s="355" t="s">
        <v>759</v>
      </c>
      <c r="BE2" s="355" t="s">
        <v>732</v>
      </c>
      <c r="BF2" s="355" t="s">
        <v>760</v>
      </c>
      <c r="BG2" s="355" t="s">
        <v>733</v>
      </c>
      <c r="BH2" s="355" t="s">
        <v>761</v>
      </c>
      <c r="BI2" s="355" t="s">
        <v>734</v>
      </c>
      <c r="BJ2" s="355" t="s">
        <v>762</v>
      </c>
      <c r="BK2" s="355" t="s">
        <v>735</v>
      </c>
      <c r="BL2" s="355" t="s">
        <v>763</v>
      </c>
      <c r="BM2" s="356" t="s">
        <v>46</v>
      </c>
      <c r="BN2" s="356" t="s">
        <v>61</v>
      </c>
      <c r="BO2" s="356" t="s">
        <v>45</v>
      </c>
      <c r="BP2" s="356" t="s">
        <v>62</v>
      </c>
      <c r="BQ2" s="357" t="s">
        <v>736</v>
      </c>
      <c r="BR2" s="357" t="s">
        <v>764</v>
      </c>
      <c r="BS2" s="357" t="s">
        <v>737</v>
      </c>
      <c r="BT2" s="357" t="s">
        <v>765</v>
      </c>
      <c r="BU2" s="357" t="s">
        <v>738</v>
      </c>
      <c r="BV2" s="357" t="s">
        <v>766</v>
      </c>
      <c r="BW2" s="357" t="s">
        <v>739</v>
      </c>
      <c r="BX2" s="357" t="s">
        <v>767</v>
      </c>
      <c r="BY2" s="357" t="s">
        <v>740</v>
      </c>
      <c r="BZ2" s="357" t="s">
        <v>768</v>
      </c>
      <c r="CA2" s="358" t="s">
        <v>741</v>
      </c>
      <c r="CB2" s="358" t="s">
        <v>769</v>
      </c>
      <c r="CC2" s="359" t="s">
        <v>770</v>
      </c>
      <c r="CD2" s="350" t="s">
        <v>63</v>
      </c>
    </row>
    <row r="3" spans="1:82" x14ac:dyDescent="0.35">
      <c r="A3" s="360" t="s">
        <v>10</v>
      </c>
      <c r="B3" s="360" t="s">
        <v>64</v>
      </c>
      <c r="C3" s="360" t="s">
        <v>10</v>
      </c>
      <c r="D3" s="360">
        <v>221</v>
      </c>
      <c r="E3" s="360">
        <v>1564429</v>
      </c>
      <c r="F3" s="360">
        <v>1449168</v>
      </c>
      <c r="G3" s="360">
        <v>2812</v>
      </c>
      <c r="H3" s="360">
        <v>106343</v>
      </c>
      <c r="I3" s="361">
        <v>93.1</v>
      </c>
      <c r="J3" s="360">
        <v>1419475</v>
      </c>
      <c r="K3" s="360">
        <v>93.17</v>
      </c>
      <c r="L3" s="360">
        <v>1416712</v>
      </c>
      <c r="M3" s="361">
        <v>55.11</v>
      </c>
      <c r="N3" s="360">
        <v>2763</v>
      </c>
      <c r="O3" s="361">
        <v>79.22</v>
      </c>
      <c r="P3" s="360">
        <v>28624</v>
      </c>
      <c r="Q3" s="361">
        <v>81.55</v>
      </c>
      <c r="R3" s="360">
        <v>373541</v>
      </c>
      <c r="S3" s="361">
        <v>92.03</v>
      </c>
      <c r="T3" s="360">
        <v>491563</v>
      </c>
      <c r="U3" s="361">
        <v>101.45</v>
      </c>
      <c r="V3" s="360">
        <v>478478</v>
      </c>
      <c r="W3" s="361">
        <v>120.91</v>
      </c>
      <c r="X3" s="360">
        <v>39814</v>
      </c>
      <c r="Y3" s="361">
        <v>142.44999999999999</v>
      </c>
      <c r="Z3" s="360">
        <v>3759</v>
      </c>
      <c r="AA3" s="361">
        <v>155.05000000000001</v>
      </c>
      <c r="AB3" s="360">
        <v>933</v>
      </c>
      <c r="AC3" s="361">
        <v>81.459999999999994</v>
      </c>
      <c r="AD3" s="360">
        <v>101628</v>
      </c>
      <c r="AE3" s="361">
        <v>81.489999999999995</v>
      </c>
      <c r="AF3" s="360">
        <v>100024</v>
      </c>
      <c r="AG3" s="361">
        <v>80.19</v>
      </c>
      <c r="AH3" s="360">
        <v>1604</v>
      </c>
      <c r="AI3" s="361">
        <v>72.98</v>
      </c>
      <c r="AJ3" s="360">
        <v>7000</v>
      </c>
      <c r="AK3" s="361">
        <v>80.69</v>
      </c>
      <c r="AL3" s="360">
        <v>75248</v>
      </c>
      <c r="AM3" s="361">
        <v>87.79</v>
      </c>
      <c r="AN3" s="360">
        <v>17247</v>
      </c>
      <c r="AO3" s="361">
        <v>101.01</v>
      </c>
      <c r="AP3" s="360">
        <v>506</v>
      </c>
      <c r="AQ3" s="361">
        <v>123.63</v>
      </c>
      <c r="AR3" s="360">
        <v>23</v>
      </c>
      <c r="AS3" s="361">
        <v>137.65</v>
      </c>
      <c r="AT3" s="360">
        <v>32505</v>
      </c>
      <c r="AU3" s="361">
        <v>137.71</v>
      </c>
      <c r="AV3" s="360">
        <v>32456</v>
      </c>
      <c r="AW3" s="361">
        <v>99.37</v>
      </c>
      <c r="AX3" s="360">
        <v>49</v>
      </c>
      <c r="AY3" s="361">
        <v>102.86</v>
      </c>
      <c r="AZ3" s="360">
        <v>90</v>
      </c>
      <c r="BA3" s="361">
        <v>120</v>
      </c>
      <c r="BB3" s="360">
        <v>6828</v>
      </c>
      <c r="BC3" s="361">
        <v>134.38999999999999</v>
      </c>
      <c r="BD3" s="360">
        <v>14973</v>
      </c>
      <c r="BE3" s="361">
        <v>150.05000000000001</v>
      </c>
      <c r="BF3" s="360">
        <v>8973</v>
      </c>
      <c r="BG3" s="361">
        <v>175.25</v>
      </c>
      <c r="BH3" s="360">
        <v>1410</v>
      </c>
      <c r="BI3" s="361">
        <v>185.55</v>
      </c>
      <c r="BJ3" s="360">
        <v>147</v>
      </c>
      <c r="BK3" s="361">
        <v>229.89</v>
      </c>
      <c r="BL3" s="360">
        <v>35</v>
      </c>
      <c r="BM3" s="361">
        <v>143.80000000000001</v>
      </c>
      <c r="BN3" s="360">
        <v>4715</v>
      </c>
      <c r="BO3" s="361">
        <v>148.66</v>
      </c>
      <c r="BP3" s="360">
        <v>4271</v>
      </c>
      <c r="BQ3" s="361">
        <v>97.08</v>
      </c>
      <c r="BR3" s="360">
        <v>444</v>
      </c>
      <c r="BS3" s="360">
        <v>156.19999999999999</v>
      </c>
      <c r="BT3" s="360">
        <v>84</v>
      </c>
      <c r="BU3" s="361">
        <v>149.25</v>
      </c>
      <c r="BV3" s="360">
        <v>2870</v>
      </c>
      <c r="BW3" s="361">
        <v>147.02000000000001</v>
      </c>
      <c r="BX3" s="360">
        <v>1300</v>
      </c>
      <c r="BY3" s="360">
        <v>125.24</v>
      </c>
      <c r="BZ3" s="360">
        <v>14</v>
      </c>
      <c r="CA3" s="360">
        <v>190.66</v>
      </c>
      <c r="CB3" s="360">
        <v>3</v>
      </c>
      <c r="CC3" s="360">
        <v>6106</v>
      </c>
      <c r="CD3" s="360" t="s">
        <v>65</v>
      </c>
    </row>
    <row r="4" spans="1:82" x14ac:dyDescent="0.35">
      <c r="A4" s="360" t="s">
        <v>66</v>
      </c>
      <c r="B4" s="360" t="s">
        <v>66</v>
      </c>
      <c r="C4" s="360" t="s">
        <v>66</v>
      </c>
      <c r="D4" s="360">
        <v>27</v>
      </c>
      <c r="E4" s="360">
        <v>170827</v>
      </c>
      <c r="F4" s="360">
        <v>148785</v>
      </c>
      <c r="G4" s="360">
        <v>19</v>
      </c>
      <c r="H4" s="360">
        <v>21823</v>
      </c>
      <c r="I4" s="361">
        <v>80.69</v>
      </c>
      <c r="J4" s="360">
        <v>144969</v>
      </c>
      <c r="K4" s="360">
        <v>80.69</v>
      </c>
      <c r="L4" s="360">
        <v>144950</v>
      </c>
      <c r="M4" s="361">
        <v>54.79</v>
      </c>
      <c r="N4" s="360">
        <v>19</v>
      </c>
      <c r="O4" s="361">
        <v>61.44</v>
      </c>
      <c r="P4" s="360">
        <v>1195</v>
      </c>
      <c r="Q4" s="361">
        <v>70.37</v>
      </c>
      <c r="R4" s="360">
        <v>37598</v>
      </c>
      <c r="S4" s="361">
        <v>80.39</v>
      </c>
      <c r="T4" s="360">
        <v>45829</v>
      </c>
      <c r="U4" s="361">
        <v>87.26</v>
      </c>
      <c r="V4" s="360">
        <v>57013</v>
      </c>
      <c r="W4" s="361">
        <v>94.74</v>
      </c>
      <c r="X4" s="360">
        <v>2980</v>
      </c>
      <c r="Y4" s="361">
        <v>106.38</v>
      </c>
      <c r="Z4" s="360">
        <v>291</v>
      </c>
      <c r="AA4" s="361">
        <v>112.12</v>
      </c>
      <c r="AB4" s="360">
        <v>44</v>
      </c>
      <c r="AC4" s="361">
        <v>75.790000000000006</v>
      </c>
      <c r="AD4" s="360">
        <v>20893</v>
      </c>
      <c r="AE4" s="361">
        <v>75.83</v>
      </c>
      <c r="AF4" s="360">
        <v>20820</v>
      </c>
      <c r="AG4" s="361">
        <v>65.959999999999994</v>
      </c>
      <c r="AH4" s="360">
        <v>73</v>
      </c>
      <c r="AI4" s="361">
        <v>61.43</v>
      </c>
      <c r="AJ4" s="360">
        <v>692</v>
      </c>
      <c r="AK4" s="361">
        <v>72.599999999999994</v>
      </c>
      <c r="AL4" s="360">
        <v>12936</v>
      </c>
      <c r="AM4" s="361">
        <v>82.84</v>
      </c>
      <c r="AN4" s="360">
        <v>7047</v>
      </c>
      <c r="AO4" s="361">
        <v>92.25</v>
      </c>
      <c r="AP4" s="360">
        <v>137</v>
      </c>
      <c r="AQ4" s="361">
        <v>91.41</v>
      </c>
      <c r="AR4" s="360">
        <v>8</v>
      </c>
      <c r="AS4" s="361">
        <v>119.24</v>
      </c>
      <c r="AT4" s="360">
        <v>3835</v>
      </c>
      <c r="AU4" s="361">
        <v>119.24</v>
      </c>
      <c r="AV4" s="360">
        <v>3835</v>
      </c>
      <c r="AW4" s="361">
        <v>0</v>
      </c>
      <c r="AX4" s="360">
        <v>0</v>
      </c>
      <c r="AY4" s="361">
        <v>71.08</v>
      </c>
      <c r="AZ4" s="360">
        <v>30</v>
      </c>
      <c r="BA4" s="361">
        <v>101.03</v>
      </c>
      <c r="BB4" s="360">
        <v>745</v>
      </c>
      <c r="BC4" s="361">
        <v>116.14</v>
      </c>
      <c r="BD4" s="360">
        <v>1748</v>
      </c>
      <c r="BE4" s="361">
        <v>131.43</v>
      </c>
      <c r="BF4" s="360">
        <v>1091</v>
      </c>
      <c r="BG4" s="361">
        <v>146.55000000000001</v>
      </c>
      <c r="BH4" s="360">
        <v>174</v>
      </c>
      <c r="BI4" s="361">
        <v>158.43</v>
      </c>
      <c r="BJ4" s="360">
        <v>37</v>
      </c>
      <c r="BK4" s="361">
        <v>213.62</v>
      </c>
      <c r="BL4" s="360">
        <v>10</v>
      </c>
      <c r="BM4" s="361">
        <v>135.08000000000001</v>
      </c>
      <c r="BN4" s="360">
        <v>930</v>
      </c>
      <c r="BO4" s="361">
        <v>135.80000000000001</v>
      </c>
      <c r="BP4" s="360">
        <v>921</v>
      </c>
      <c r="BQ4" s="361">
        <v>61.96</v>
      </c>
      <c r="BR4" s="360">
        <v>9</v>
      </c>
      <c r="BS4" s="360">
        <v>0</v>
      </c>
      <c r="BT4" s="360">
        <v>0</v>
      </c>
      <c r="BU4" s="361">
        <v>143.36000000000001</v>
      </c>
      <c r="BV4" s="360">
        <v>461</v>
      </c>
      <c r="BW4" s="361">
        <v>127.77</v>
      </c>
      <c r="BX4" s="360">
        <v>451</v>
      </c>
      <c r="BY4" s="360">
        <v>149.46</v>
      </c>
      <c r="BZ4" s="360">
        <v>7</v>
      </c>
      <c r="CA4" s="360">
        <v>155.09</v>
      </c>
      <c r="CB4" s="360">
        <v>2</v>
      </c>
      <c r="CC4" s="360">
        <v>200</v>
      </c>
      <c r="CD4" s="360" t="s">
        <v>65</v>
      </c>
    </row>
    <row r="5" spans="1:82" x14ac:dyDescent="0.35">
      <c r="A5" s="360" t="s">
        <v>67</v>
      </c>
      <c r="B5" s="360" t="s">
        <v>67</v>
      </c>
      <c r="C5" s="360" t="s">
        <v>67</v>
      </c>
      <c r="D5" s="360">
        <v>30</v>
      </c>
      <c r="E5" s="360">
        <v>155177</v>
      </c>
      <c r="F5" s="360">
        <v>137718</v>
      </c>
      <c r="G5" s="360">
        <v>139</v>
      </c>
      <c r="H5" s="360">
        <v>16461</v>
      </c>
      <c r="I5" s="361">
        <v>97.42</v>
      </c>
      <c r="J5" s="360">
        <v>134160</v>
      </c>
      <c r="K5" s="360">
        <v>97.42</v>
      </c>
      <c r="L5" s="360">
        <v>134027</v>
      </c>
      <c r="M5" s="361">
        <v>92.03</v>
      </c>
      <c r="N5" s="360">
        <v>133</v>
      </c>
      <c r="O5" s="361">
        <v>72.22</v>
      </c>
      <c r="P5" s="360">
        <v>3343</v>
      </c>
      <c r="Q5" s="361">
        <v>82.54</v>
      </c>
      <c r="R5" s="360">
        <v>30068</v>
      </c>
      <c r="S5" s="361">
        <v>95.02</v>
      </c>
      <c r="T5" s="360">
        <v>43221</v>
      </c>
      <c r="U5" s="361">
        <v>107.61</v>
      </c>
      <c r="V5" s="360">
        <v>53397</v>
      </c>
      <c r="W5" s="361">
        <v>119.82</v>
      </c>
      <c r="X5" s="360">
        <v>3739</v>
      </c>
      <c r="Y5" s="361">
        <v>127.64</v>
      </c>
      <c r="Z5" s="360">
        <v>214</v>
      </c>
      <c r="AA5" s="361">
        <v>136.06</v>
      </c>
      <c r="AB5" s="360">
        <v>45</v>
      </c>
      <c r="AC5" s="361">
        <v>87.92</v>
      </c>
      <c r="AD5" s="360">
        <v>15940</v>
      </c>
      <c r="AE5" s="361">
        <v>88.01</v>
      </c>
      <c r="AF5" s="360">
        <v>15717</v>
      </c>
      <c r="AG5" s="361">
        <v>82.25</v>
      </c>
      <c r="AH5" s="360">
        <v>223</v>
      </c>
      <c r="AI5" s="361">
        <v>77.11</v>
      </c>
      <c r="AJ5" s="360">
        <v>921</v>
      </c>
      <c r="AK5" s="361">
        <v>85.09</v>
      </c>
      <c r="AL5" s="360">
        <v>12396</v>
      </c>
      <c r="AM5" s="361">
        <v>107.24</v>
      </c>
      <c r="AN5" s="360">
        <v>2319</v>
      </c>
      <c r="AO5" s="361">
        <v>107.16</v>
      </c>
      <c r="AP5" s="360">
        <v>79</v>
      </c>
      <c r="AQ5" s="361">
        <v>127.37</v>
      </c>
      <c r="AR5" s="360">
        <v>2</v>
      </c>
      <c r="AS5" s="361">
        <v>142.87</v>
      </c>
      <c r="AT5" s="360">
        <v>3697</v>
      </c>
      <c r="AU5" s="361">
        <v>142.94999999999999</v>
      </c>
      <c r="AV5" s="360">
        <v>3691</v>
      </c>
      <c r="AW5" s="361">
        <v>93.3</v>
      </c>
      <c r="AX5" s="360">
        <v>6</v>
      </c>
      <c r="AY5" s="361">
        <v>120.65</v>
      </c>
      <c r="AZ5" s="360">
        <v>11</v>
      </c>
      <c r="BA5" s="361">
        <v>115.62</v>
      </c>
      <c r="BB5" s="360">
        <v>1129</v>
      </c>
      <c r="BC5" s="361">
        <v>147.03</v>
      </c>
      <c r="BD5" s="360">
        <v>1654</v>
      </c>
      <c r="BE5" s="361">
        <v>166.34</v>
      </c>
      <c r="BF5" s="360">
        <v>817</v>
      </c>
      <c r="BG5" s="361">
        <v>208.91</v>
      </c>
      <c r="BH5" s="360">
        <v>73</v>
      </c>
      <c r="BI5" s="361">
        <v>219.57</v>
      </c>
      <c r="BJ5" s="360">
        <v>6</v>
      </c>
      <c r="BK5" s="361">
        <v>137.07</v>
      </c>
      <c r="BL5" s="360">
        <v>1</v>
      </c>
      <c r="BM5" s="361">
        <v>139.49</v>
      </c>
      <c r="BN5" s="360">
        <v>521</v>
      </c>
      <c r="BO5" s="361">
        <v>139.49</v>
      </c>
      <c r="BP5" s="360">
        <v>521</v>
      </c>
      <c r="BQ5" s="361">
        <v>0</v>
      </c>
      <c r="BR5" s="360">
        <v>0</v>
      </c>
      <c r="BS5" s="360">
        <v>121.52</v>
      </c>
      <c r="BT5" s="360">
        <v>15</v>
      </c>
      <c r="BU5" s="361">
        <v>133.57</v>
      </c>
      <c r="BV5" s="360">
        <v>437</v>
      </c>
      <c r="BW5" s="361">
        <v>181.83</v>
      </c>
      <c r="BX5" s="360">
        <v>68</v>
      </c>
      <c r="BY5" s="360">
        <v>117.7</v>
      </c>
      <c r="BZ5" s="360">
        <v>1</v>
      </c>
      <c r="CA5" s="360">
        <v>0</v>
      </c>
      <c r="CB5" s="360">
        <v>0</v>
      </c>
      <c r="CC5" s="360">
        <v>859</v>
      </c>
      <c r="CD5" s="360" t="s">
        <v>65</v>
      </c>
    </row>
    <row r="6" spans="1:82" x14ac:dyDescent="0.35">
      <c r="A6" s="360" t="s">
        <v>68</v>
      </c>
      <c r="B6" s="360" t="s">
        <v>68</v>
      </c>
      <c r="C6" s="360" t="s">
        <v>68</v>
      </c>
      <c r="D6" s="360">
        <v>32</v>
      </c>
      <c r="E6" s="360">
        <v>388509</v>
      </c>
      <c r="F6" s="360">
        <v>370730</v>
      </c>
      <c r="G6" s="360">
        <v>1526</v>
      </c>
      <c r="H6" s="360">
        <v>14971</v>
      </c>
      <c r="I6" s="361">
        <v>113.86</v>
      </c>
      <c r="J6" s="360">
        <v>366362</v>
      </c>
      <c r="K6" s="360">
        <v>114.1</v>
      </c>
      <c r="L6" s="360">
        <v>364836</v>
      </c>
      <c r="M6" s="361">
        <v>55.82</v>
      </c>
      <c r="N6" s="360">
        <v>1526</v>
      </c>
      <c r="O6" s="361">
        <v>87.69</v>
      </c>
      <c r="P6" s="360">
        <v>15123</v>
      </c>
      <c r="Q6" s="361">
        <v>100.19</v>
      </c>
      <c r="R6" s="360">
        <v>102677</v>
      </c>
      <c r="S6" s="361">
        <v>112.44</v>
      </c>
      <c r="T6" s="360">
        <v>132572</v>
      </c>
      <c r="U6" s="361">
        <v>128.57</v>
      </c>
      <c r="V6" s="360">
        <v>96316</v>
      </c>
      <c r="W6" s="361">
        <v>147.51</v>
      </c>
      <c r="X6" s="360">
        <v>15413</v>
      </c>
      <c r="Y6" s="361">
        <v>162.63</v>
      </c>
      <c r="Z6" s="360">
        <v>2151</v>
      </c>
      <c r="AA6" s="361">
        <v>175.63</v>
      </c>
      <c r="AB6" s="360">
        <v>584</v>
      </c>
      <c r="AC6" s="361">
        <v>94.04</v>
      </c>
      <c r="AD6" s="360">
        <v>14698</v>
      </c>
      <c r="AE6" s="361">
        <v>94.55</v>
      </c>
      <c r="AF6" s="360">
        <v>14028</v>
      </c>
      <c r="AG6" s="361">
        <v>83.41</v>
      </c>
      <c r="AH6" s="360">
        <v>670</v>
      </c>
      <c r="AI6" s="361">
        <v>85.7</v>
      </c>
      <c r="AJ6" s="360">
        <v>1911</v>
      </c>
      <c r="AK6" s="361">
        <v>95.32</v>
      </c>
      <c r="AL6" s="360">
        <v>11669</v>
      </c>
      <c r="AM6" s="361">
        <v>108.92</v>
      </c>
      <c r="AN6" s="360">
        <v>369</v>
      </c>
      <c r="AO6" s="361">
        <v>125.21</v>
      </c>
      <c r="AP6" s="360">
        <v>70</v>
      </c>
      <c r="AQ6" s="361">
        <v>154.47999999999999</v>
      </c>
      <c r="AR6" s="360">
        <v>9</v>
      </c>
      <c r="AS6" s="361">
        <v>189.14</v>
      </c>
      <c r="AT6" s="360">
        <v>5894</v>
      </c>
      <c r="AU6" s="361">
        <v>189.14</v>
      </c>
      <c r="AV6" s="360">
        <v>5894</v>
      </c>
      <c r="AW6" s="361">
        <v>0</v>
      </c>
      <c r="AX6" s="360">
        <v>0</v>
      </c>
      <c r="AY6" s="361">
        <v>112.37</v>
      </c>
      <c r="AZ6" s="360">
        <v>22</v>
      </c>
      <c r="BA6" s="361">
        <v>162.6</v>
      </c>
      <c r="BB6" s="360">
        <v>1407</v>
      </c>
      <c r="BC6" s="361">
        <v>188.72</v>
      </c>
      <c r="BD6" s="360">
        <v>2433</v>
      </c>
      <c r="BE6" s="361">
        <v>205.44</v>
      </c>
      <c r="BF6" s="360">
        <v>1592</v>
      </c>
      <c r="BG6" s="361">
        <v>218.98</v>
      </c>
      <c r="BH6" s="360">
        <v>397</v>
      </c>
      <c r="BI6" s="361">
        <v>237.5</v>
      </c>
      <c r="BJ6" s="360">
        <v>33</v>
      </c>
      <c r="BK6" s="361">
        <v>255.89</v>
      </c>
      <c r="BL6" s="360">
        <v>10</v>
      </c>
      <c r="BM6" s="361">
        <v>197.83</v>
      </c>
      <c r="BN6" s="360">
        <v>273</v>
      </c>
      <c r="BO6" s="361">
        <v>197.83</v>
      </c>
      <c r="BP6" s="360">
        <v>273</v>
      </c>
      <c r="BQ6" s="361">
        <v>0</v>
      </c>
      <c r="BR6" s="360">
        <v>0</v>
      </c>
      <c r="BS6" s="360">
        <v>197.72</v>
      </c>
      <c r="BT6" s="360">
        <v>4</v>
      </c>
      <c r="BU6" s="361">
        <v>198.14</v>
      </c>
      <c r="BV6" s="360">
        <v>248</v>
      </c>
      <c r="BW6" s="361">
        <v>194.25</v>
      </c>
      <c r="BX6" s="360">
        <v>21</v>
      </c>
      <c r="BY6" s="360">
        <v>0</v>
      </c>
      <c r="BZ6" s="360">
        <v>0</v>
      </c>
      <c r="CA6" s="360">
        <v>0</v>
      </c>
      <c r="CB6" s="360">
        <v>0</v>
      </c>
      <c r="CC6" s="360">
        <v>1282</v>
      </c>
      <c r="CD6" s="360" t="s">
        <v>65</v>
      </c>
    </row>
    <row r="7" spans="1:82" x14ac:dyDescent="0.35">
      <c r="A7" s="360" t="s">
        <v>69</v>
      </c>
      <c r="B7" s="360" t="s">
        <v>69</v>
      </c>
      <c r="C7" s="360" t="s">
        <v>69</v>
      </c>
      <c r="D7" s="360">
        <v>10</v>
      </c>
      <c r="E7" s="360">
        <v>87780</v>
      </c>
      <c r="F7" s="360">
        <v>82109</v>
      </c>
      <c r="G7" s="360">
        <v>0</v>
      </c>
      <c r="H7" s="360">
        <v>5664</v>
      </c>
      <c r="I7" s="361">
        <v>79.010000000000005</v>
      </c>
      <c r="J7" s="360">
        <v>79984</v>
      </c>
      <c r="K7" s="360">
        <v>79.010000000000005</v>
      </c>
      <c r="L7" s="360">
        <v>79984</v>
      </c>
      <c r="M7" s="361">
        <v>0</v>
      </c>
      <c r="N7" s="360">
        <v>0</v>
      </c>
      <c r="O7" s="361">
        <v>60.53</v>
      </c>
      <c r="P7" s="360">
        <v>335</v>
      </c>
      <c r="Q7" s="361">
        <v>68.25</v>
      </c>
      <c r="R7" s="360">
        <v>15713</v>
      </c>
      <c r="S7" s="361">
        <v>77.930000000000007</v>
      </c>
      <c r="T7" s="360">
        <v>31923</v>
      </c>
      <c r="U7" s="361">
        <v>85.23</v>
      </c>
      <c r="V7" s="360">
        <v>30346</v>
      </c>
      <c r="W7" s="361">
        <v>91.32</v>
      </c>
      <c r="X7" s="360">
        <v>1569</v>
      </c>
      <c r="Y7" s="361">
        <v>97.68</v>
      </c>
      <c r="Z7" s="360">
        <v>74</v>
      </c>
      <c r="AA7" s="361">
        <v>113.02</v>
      </c>
      <c r="AB7" s="360">
        <v>24</v>
      </c>
      <c r="AC7" s="361">
        <v>72.75</v>
      </c>
      <c r="AD7" s="360">
        <v>5213</v>
      </c>
      <c r="AE7" s="361">
        <v>72.8</v>
      </c>
      <c r="AF7" s="360">
        <v>5200</v>
      </c>
      <c r="AG7" s="361">
        <v>53.71</v>
      </c>
      <c r="AH7" s="360">
        <v>13</v>
      </c>
      <c r="AI7" s="361">
        <v>66.66</v>
      </c>
      <c r="AJ7" s="360">
        <v>78</v>
      </c>
      <c r="AK7" s="361">
        <v>70.819999999999993</v>
      </c>
      <c r="AL7" s="360">
        <v>4139</v>
      </c>
      <c r="AM7" s="361">
        <v>81.459999999999994</v>
      </c>
      <c r="AN7" s="360">
        <v>938</v>
      </c>
      <c r="AO7" s="361">
        <v>85.45</v>
      </c>
      <c r="AP7" s="360">
        <v>45</v>
      </c>
      <c r="AQ7" s="361">
        <v>0</v>
      </c>
      <c r="AR7" s="360">
        <v>0</v>
      </c>
      <c r="AS7" s="361">
        <v>100.32</v>
      </c>
      <c r="AT7" s="360">
        <v>2125</v>
      </c>
      <c r="AU7" s="361">
        <v>100.32</v>
      </c>
      <c r="AV7" s="360">
        <v>2125</v>
      </c>
      <c r="AW7" s="361">
        <v>0</v>
      </c>
      <c r="AX7" s="360">
        <v>0</v>
      </c>
      <c r="AY7" s="361">
        <v>0</v>
      </c>
      <c r="AZ7" s="360">
        <v>0</v>
      </c>
      <c r="BA7" s="361">
        <v>95.39</v>
      </c>
      <c r="BB7" s="360">
        <v>624</v>
      </c>
      <c r="BC7" s="361">
        <v>98.96</v>
      </c>
      <c r="BD7" s="360">
        <v>993</v>
      </c>
      <c r="BE7" s="361">
        <v>107.45</v>
      </c>
      <c r="BF7" s="360">
        <v>470</v>
      </c>
      <c r="BG7" s="361">
        <v>126.54</v>
      </c>
      <c r="BH7" s="360">
        <v>33</v>
      </c>
      <c r="BI7" s="361">
        <v>144.37</v>
      </c>
      <c r="BJ7" s="360">
        <v>4</v>
      </c>
      <c r="BK7" s="361">
        <v>137.66999999999999</v>
      </c>
      <c r="BL7" s="360">
        <v>1</v>
      </c>
      <c r="BM7" s="361">
        <v>163.05000000000001</v>
      </c>
      <c r="BN7" s="360">
        <v>451</v>
      </c>
      <c r="BO7" s="361">
        <v>163.19999999999999</v>
      </c>
      <c r="BP7" s="360">
        <v>449</v>
      </c>
      <c r="BQ7" s="361">
        <v>128.76</v>
      </c>
      <c r="BR7" s="360">
        <v>2</v>
      </c>
      <c r="BS7" s="360">
        <v>0</v>
      </c>
      <c r="BT7" s="360">
        <v>0</v>
      </c>
      <c r="BU7" s="361">
        <v>154.75</v>
      </c>
      <c r="BV7" s="360">
        <v>325</v>
      </c>
      <c r="BW7" s="361">
        <v>185.37</v>
      </c>
      <c r="BX7" s="360">
        <v>124</v>
      </c>
      <c r="BY7" s="360">
        <v>0</v>
      </c>
      <c r="BZ7" s="360">
        <v>0</v>
      </c>
      <c r="CA7" s="360">
        <v>0</v>
      </c>
      <c r="CB7" s="360">
        <v>0</v>
      </c>
      <c r="CC7" s="360">
        <v>7</v>
      </c>
      <c r="CD7" s="360" t="s">
        <v>65</v>
      </c>
    </row>
    <row r="8" spans="1:82" x14ac:dyDescent="0.35">
      <c r="A8" s="360" t="s">
        <v>70</v>
      </c>
      <c r="B8" s="360" t="s">
        <v>70</v>
      </c>
      <c r="C8" s="360" t="s">
        <v>70</v>
      </c>
      <c r="D8" s="360">
        <v>22</v>
      </c>
      <c r="E8" s="360">
        <v>81270</v>
      </c>
      <c r="F8" s="360">
        <v>74114</v>
      </c>
      <c r="G8" s="360">
        <v>3</v>
      </c>
      <c r="H8" s="360">
        <v>7047</v>
      </c>
      <c r="I8" s="361">
        <v>79.92</v>
      </c>
      <c r="J8" s="360">
        <v>71714</v>
      </c>
      <c r="K8" s="360">
        <v>79.92</v>
      </c>
      <c r="L8" s="360">
        <v>71711</v>
      </c>
      <c r="M8" s="361">
        <v>48.06</v>
      </c>
      <c r="N8" s="360">
        <v>3</v>
      </c>
      <c r="O8" s="361">
        <v>62.53</v>
      </c>
      <c r="P8" s="360">
        <v>611</v>
      </c>
      <c r="Q8" s="361">
        <v>70.23</v>
      </c>
      <c r="R8" s="360">
        <v>19926</v>
      </c>
      <c r="S8" s="361">
        <v>79.239999999999995</v>
      </c>
      <c r="T8" s="360">
        <v>22647</v>
      </c>
      <c r="U8" s="361">
        <v>86.87</v>
      </c>
      <c r="V8" s="360">
        <v>26492</v>
      </c>
      <c r="W8" s="361">
        <v>95.88</v>
      </c>
      <c r="X8" s="360">
        <v>1816</v>
      </c>
      <c r="Y8" s="361">
        <v>109.78</v>
      </c>
      <c r="Z8" s="360">
        <v>158</v>
      </c>
      <c r="AA8" s="361">
        <v>110.07</v>
      </c>
      <c r="AB8" s="360">
        <v>61</v>
      </c>
      <c r="AC8" s="361">
        <v>75.56</v>
      </c>
      <c r="AD8" s="360">
        <v>6695</v>
      </c>
      <c r="AE8" s="361">
        <v>76.69</v>
      </c>
      <c r="AF8" s="360">
        <v>6245</v>
      </c>
      <c r="AG8" s="361">
        <v>59.75</v>
      </c>
      <c r="AH8" s="360">
        <v>450</v>
      </c>
      <c r="AI8" s="361">
        <v>64.41</v>
      </c>
      <c r="AJ8" s="360">
        <v>289</v>
      </c>
      <c r="AK8" s="361">
        <v>76.040000000000006</v>
      </c>
      <c r="AL8" s="360">
        <v>5188</v>
      </c>
      <c r="AM8" s="361">
        <v>85.56</v>
      </c>
      <c r="AN8" s="360">
        <v>734</v>
      </c>
      <c r="AO8" s="361">
        <v>90.32</v>
      </c>
      <c r="AP8" s="360">
        <v>33</v>
      </c>
      <c r="AQ8" s="361">
        <v>82.35</v>
      </c>
      <c r="AR8" s="360">
        <v>1</v>
      </c>
      <c r="AS8" s="361">
        <v>112.43</v>
      </c>
      <c r="AT8" s="360">
        <v>2403</v>
      </c>
      <c r="AU8" s="361">
        <v>112.43</v>
      </c>
      <c r="AV8" s="360">
        <v>2403</v>
      </c>
      <c r="AW8" s="361">
        <v>0</v>
      </c>
      <c r="AX8" s="360">
        <v>0</v>
      </c>
      <c r="AY8" s="361">
        <v>0</v>
      </c>
      <c r="AZ8" s="360">
        <v>0</v>
      </c>
      <c r="BA8" s="361">
        <v>105.08</v>
      </c>
      <c r="BB8" s="360">
        <v>605</v>
      </c>
      <c r="BC8" s="361">
        <v>111.6</v>
      </c>
      <c r="BD8" s="360">
        <v>1060</v>
      </c>
      <c r="BE8" s="361">
        <v>118.15</v>
      </c>
      <c r="BF8" s="360">
        <v>699</v>
      </c>
      <c r="BG8" s="361">
        <v>146.47</v>
      </c>
      <c r="BH8" s="360">
        <v>37</v>
      </c>
      <c r="BI8" s="361">
        <v>147.07</v>
      </c>
      <c r="BJ8" s="360">
        <v>2</v>
      </c>
      <c r="BK8" s="361">
        <v>0</v>
      </c>
      <c r="BL8" s="360">
        <v>0</v>
      </c>
      <c r="BM8" s="361">
        <v>181.01</v>
      </c>
      <c r="BN8" s="360">
        <v>352</v>
      </c>
      <c r="BO8" s="361">
        <v>181.01</v>
      </c>
      <c r="BP8" s="360">
        <v>352</v>
      </c>
      <c r="BQ8" s="361">
        <v>0</v>
      </c>
      <c r="BR8" s="360">
        <v>0</v>
      </c>
      <c r="BS8" s="360">
        <v>227.61</v>
      </c>
      <c r="BT8" s="360">
        <v>34</v>
      </c>
      <c r="BU8" s="361">
        <v>180.12</v>
      </c>
      <c r="BV8" s="360">
        <v>218</v>
      </c>
      <c r="BW8" s="361">
        <v>167.12</v>
      </c>
      <c r="BX8" s="360">
        <v>100</v>
      </c>
      <c r="BY8" s="360">
        <v>0</v>
      </c>
      <c r="BZ8" s="360">
        <v>0</v>
      </c>
      <c r="CA8" s="360">
        <v>0</v>
      </c>
      <c r="CB8" s="360">
        <v>0</v>
      </c>
      <c r="CC8" s="360">
        <v>106</v>
      </c>
      <c r="CD8" s="360" t="s">
        <v>65</v>
      </c>
    </row>
    <row r="9" spans="1:82" x14ac:dyDescent="0.35">
      <c r="A9" s="360" t="s">
        <v>71</v>
      </c>
      <c r="B9" s="360" t="s">
        <v>71</v>
      </c>
      <c r="C9" s="360" t="s">
        <v>71</v>
      </c>
      <c r="D9" s="360">
        <v>45</v>
      </c>
      <c r="E9" s="360">
        <v>171057</v>
      </c>
      <c r="F9" s="360">
        <v>153994</v>
      </c>
      <c r="G9" s="360">
        <v>136</v>
      </c>
      <c r="H9" s="360">
        <v>14212</v>
      </c>
      <c r="I9" s="361">
        <v>99.68</v>
      </c>
      <c r="J9" s="360">
        <v>149637</v>
      </c>
      <c r="K9" s="360">
        <v>99.69</v>
      </c>
      <c r="L9" s="360">
        <v>149520</v>
      </c>
      <c r="M9" s="361">
        <v>83.74</v>
      </c>
      <c r="N9" s="360">
        <v>117</v>
      </c>
      <c r="O9" s="361">
        <v>76.349999999999994</v>
      </c>
      <c r="P9" s="360">
        <v>4110</v>
      </c>
      <c r="Q9" s="361">
        <v>85.72</v>
      </c>
      <c r="R9" s="360">
        <v>38725</v>
      </c>
      <c r="S9" s="361">
        <v>97.72</v>
      </c>
      <c r="T9" s="360">
        <v>50193</v>
      </c>
      <c r="U9" s="361">
        <v>112</v>
      </c>
      <c r="V9" s="360">
        <v>52319</v>
      </c>
      <c r="W9" s="361">
        <v>120.65</v>
      </c>
      <c r="X9" s="360">
        <v>3835</v>
      </c>
      <c r="Y9" s="361">
        <v>133.25</v>
      </c>
      <c r="Z9" s="360">
        <v>298</v>
      </c>
      <c r="AA9" s="361">
        <v>157.69</v>
      </c>
      <c r="AB9" s="360">
        <v>40</v>
      </c>
      <c r="AC9" s="361">
        <v>83.08</v>
      </c>
      <c r="AD9" s="360">
        <v>13291</v>
      </c>
      <c r="AE9" s="361">
        <v>83.04</v>
      </c>
      <c r="AF9" s="360">
        <v>13238</v>
      </c>
      <c r="AG9" s="361">
        <v>92.46</v>
      </c>
      <c r="AH9" s="360">
        <v>53</v>
      </c>
      <c r="AI9" s="361">
        <v>71.150000000000006</v>
      </c>
      <c r="AJ9" s="360">
        <v>1616</v>
      </c>
      <c r="AK9" s="361">
        <v>83.41</v>
      </c>
      <c r="AL9" s="360">
        <v>10552</v>
      </c>
      <c r="AM9" s="361">
        <v>96.36</v>
      </c>
      <c r="AN9" s="360">
        <v>1026</v>
      </c>
      <c r="AO9" s="361">
        <v>122.75</v>
      </c>
      <c r="AP9" s="360">
        <v>44</v>
      </c>
      <c r="AQ9" s="361">
        <v>0</v>
      </c>
      <c r="AR9" s="360">
        <v>0</v>
      </c>
      <c r="AS9" s="361">
        <v>167.26</v>
      </c>
      <c r="AT9" s="360">
        <v>4493</v>
      </c>
      <c r="AU9" s="361">
        <v>167.6</v>
      </c>
      <c r="AV9" s="360">
        <v>4474</v>
      </c>
      <c r="AW9" s="361">
        <v>87.96</v>
      </c>
      <c r="AX9" s="360">
        <v>19</v>
      </c>
      <c r="AY9" s="361">
        <v>123.18</v>
      </c>
      <c r="AZ9" s="360">
        <v>27</v>
      </c>
      <c r="BA9" s="361">
        <v>136.46</v>
      </c>
      <c r="BB9" s="360">
        <v>1024</v>
      </c>
      <c r="BC9" s="361">
        <v>166.26</v>
      </c>
      <c r="BD9" s="360">
        <v>2143</v>
      </c>
      <c r="BE9" s="361">
        <v>191.9</v>
      </c>
      <c r="BF9" s="360">
        <v>1152</v>
      </c>
      <c r="BG9" s="361">
        <v>225.16</v>
      </c>
      <c r="BH9" s="360">
        <v>110</v>
      </c>
      <c r="BI9" s="361">
        <v>268.39999999999998</v>
      </c>
      <c r="BJ9" s="360">
        <v>14</v>
      </c>
      <c r="BK9" s="361">
        <v>227.44</v>
      </c>
      <c r="BL9" s="360">
        <v>4</v>
      </c>
      <c r="BM9" s="361">
        <v>140.18</v>
      </c>
      <c r="BN9" s="360">
        <v>921</v>
      </c>
      <c r="BO9" s="361">
        <v>147.1</v>
      </c>
      <c r="BP9" s="360">
        <v>699</v>
      </c>
      <c r="BQ9" s="361">
        <v>118.38</v>
      </c>
      <c r="BR9" s="360">
        <v>222</v>
      </c>
      <c r="BS9" s="360">
        <v>160.53</v>
      </c>
      <c r="BT9" s="360">
        <v>4</v>
      </c>
      <c r="BU9" s="361">
        <v>144.38999999999999</v>
      </c>
      <c r="BV9" s="360">
        <v>518</v>
      </c>
      <c r="BW9" s="361">
        <v>154.76</v>
      </c>
      <c r="BX9" s="360">
        <v>177</v>
      </c>
      <c r="BY9" s="360">
        <v>0</v>
      </c>
      <c r="BZ9" s="360">
        <v>0</v>
      </c>
      <c r="CA9" s="360">
        <v>0</v>
      </c>
      <c r="CB9" s="360">
        <v>0</v>
      </c>
      <c r="CC9" s="360">
        <v>2715</v>
      </c>
      <c r="CD9" s="360" t="s">
        <v>65</v>
      </c>
    </row>
    <row r="10" spans="1:82" x14ac:dyDescent="0.35">
      <c r="A10" s="360" t="s">
        <v>72</v>
      </c>
      <c r="B10" s="360" t="s">
        <v>72</v>
      </c>
      <c r="C10" s="360" t="s">
        <v>72</v>
      </c>
      <c r="D10" s="360">
        <v>22</v>
      </c>
      <c r="E10" s="360">
        <v>93558</v>
      </c>
      <c r="F10" s="360">
        <v>84095</v>
      </c>
      <c r="G10" s="360">
        <v>34</v>
      </c>
      <c r="H10" s="360">
        <v>9178</v>
      </c>
      <c r="I10" s="361">
        <v>85.72</v>
      </c>
      <c r="J10" s="360">
        <v>82517</v>
      </c>
      <c r="K10" s="360">
        <v>85.72</v>
      </c>
      <c r="L10" s="360">
        <v>82502</v>
      </c>
      <c r="M10" s="361">
        <v>63.22</v>
      </c>
      <c r="N10" s="360">
        <v>15</v>
      </c>
      <c r="O10" s="361">
        <v>67.58</v>
      </c>
      <c r="P10" s="360">
        <v>1204</v>
      </c>
      <c r="Q10" s="361">
        <v>75.11</v>
      </c>
      <c r="R10" s="360">
        <v>19279</v>
      </c>
      <c r="S10" s="361">
        <v>83.89</v>
      </c>
      <c r="T10" s="360">
        <v>30807</v>
      </c>
      <c r="U10" s="361">
        <v>94.21</v>
      </c>
      <c r="V10" s="360">
        <v>29434</v>
      </c>
      <c r="W10" s="361">
        <v>103.87</v>
      </c>
      <c r="X10" s="360">
        <v>1669</v>
      </c>
      <c r="Y10" s="361">
        <v>110.71</v>
      </c>
      <c r="Z10" s="360">
        <v>82</v>
      </c>
      <c r="AA10" s="361">
        <v>121.35</v>
      </c>
      <c r="AB10" s="360">
        <v>27</v>
      </c>
      <c r="AC10" s="361">
        <v>80.400000000000006</v>
      </c>
      <c r="AD10" s="360">
        <v>8833</v>
      </c>
      <c r="AE10" s="361">
        <v>79.33</v>
      </c>
      <c r="AF10" s="360">
        <v>8752</v>
      </c>
      <c r="AG10" s="361">
        <v>196.24</v>
      </c>
      <c r="AH10" s="360">
        <v>81</v>
      </c>
      <c r="AI10" s="361">
        <v>70.209999999999994</v>
      </c>
      <c r="AJ10" s="360">
        <v>519</v>
      </c>
      <c r="AK10" s="361">
        <v>78.77</v>
      </c>
      <c r="AL10" s="360">
        <v>6988</v>
      </c>
      <c r="AM10" s="361">
        <v>85.91</v>
      </c>
      <c r="AN10" s="360">
        <v>1204</v>
      </c>
      <c r="AO10" s="361">
        <v>97.04</v>
      </c>
      <c r="AP10" s="360">
        <v>39</v>
      </c>
      <c r="AQ10" s="361">
        <v>119.06</v>
      </c>
      <c r="AR10" s="360">
        <v>2</v>
      </c>
      <c r="AS10" s="361">
        <v>135.41999999999999</v>
      </c>
      <c r="AT10" s="360">
        <v>1612</v>
      </c>
      <c r="AU10" s="361">
        <v>135.68</v>
      </c>
      <c r="AV10" s="360">
        <v>1593</v>
      </c>
      <c r="AW10" s="361">
        <v>113.58</v>
      </c>
      <c r="AX10" s="360">
        <v>19</v>
      </c>
      <c r="AY10" s="361">
        <v>0</v>
      </c>
      <c r="AZ10" s="360">
        <v>0</v>
      </c>
      <c r="BA10" s="361">
        <v>107.75</v>
      </c>
      <c r="BB10" s="360">
        <v>358</v>
      </c>
      <c r="BC10" s="361">
        <v>129.28</v>
      </c>
      <c r="BD10" s="360">
        <v>661</v>
      </c>
      <c r="BE10" s="361">
        <v>153.88999999999999</v>
      </c>
      <c r="BF10" s="360">
        <v>501</v>
      </c>
      <c r="BG10" s="361">
        <v>202.75</v>
      </c>
      <c r="BH10" s="360">
        <v>67</v>
      </c>
      <c r="BI10" s="361">
        <v>201.79</v>
      </c>
      <c r="BJ10" s="360">
        <v>1</v>
      </c>
      <c r="BK10" s="361">
        <v>247.07</v>
      </c>
      <c r="BL10" s="360">
        <v>5</v>
      </c>
      <c r="BM10" s="361">
        <v>141.41</v>
      </c>
      <c r="BN10" s="360">
        <v>345</v>
      </c>
      <c r="BO10" s="361">
        <v>141.21</v>
      </c>
      <c r="BP10" s="360">
        <v>325</v>
      </c>
      <c r="BQ10" s="361">
        <v>144.77000000000001</v>
      </c>
      <c r="BR10" s="360">
        <v>20</v>
      </c>
      <c r="BS10" s="360">
        <v>68.069999999999993</v>
      </c>
      <c r="BT10" s="360">
        <v>25</v>
      </c>
      <c r="BU10" s="361">
        <v>148.68</v>
      </c>
      <c r="BV10" s="360">
        <v>199</v>
      </c>
      <c r="BW10" s="361">
        <v>144.37</v>
      </c>
      <c r="BX10" s="360">
        <v>100</v>
      </c>
      <c r="BY10" s="360">
        <v>168.05</v>
      </c>
      <c r="BZ10" s="360">
        <v>1</v>
      </c>
      <c r="CA10" s="360">
        <v>0</v>
      </c>
      <c r="CB10" s="360">
        <v>0</v>
      </c>
      <c r="CC10" s="360">
        <v>251</v>
      </c>
      <c r="CD10" s="360" t="s">
        <v>65</v>
      </c>
    </row>
    <row r="11" spans="1:82" x14ac:dyDescent="0.35">
      <c r="A11" s="360" t="s">
        <v>73</v>
      </c>
      <c r="B11" s="360" t="s">
        <v>73</v>
      </c>
      <c r="C11" s="360" t="s">
        <v>73</v>
      </c>
      <c r="D11" s="360">
        <v>18</v>
      </c>
      <c r="E11" s="360">
        <v>193503</v>
      </c>
      <c r="F11" s="360">
        <v>184828</v>
      </c>
      <c r="G11" s="360">
        <v>803</v>
      </c>
      <c r="H11" s="360">
        <v>7614</v>
      </c>
      <c r="I11" s="361">
        <v>84.12</v>
      </c>
      <c r="J11" s="360">
        <v>181219</v>
      </c>
      <c r="K11" s="360">
        <v>84.31</v>
      </c>
      <c r="L11" s="360">
        <v>180416</v>
      </c>
      <c r="M11" s="361">
        <v>40.229999999999997</v>
      </c>
      <c r="N11" s="360">
        <v>803</v>
      </c>
      <c r="O11" s="361">
        <v>65.430000000000007</v>
      </c>
      <c r="P11" s="360">
        <v>1831</v>
      </c>
      <c r="Q11" s="361">
        <v>73.75</v>
      </c>
      <c r="R11" s="360">
        <v>50186</v>
      </c>
      <c r="S11" s="361">
        <v>82.16</v>
      </c>
      <c r="T11" s="360">
        <v>57412</v>
      </c>
      <c r="U11" s="361">
        <v>93.31</v>
      </c>
      <c r="V11" s="360">
        <v>66561</v>
      </c>
      <c r="W11" s="361">
        <v>103.49</v>
      </c>
      <c r="X11" s="360">
        <v>4140</v>
      </c>
      <c r="Y11" s="361">
        <v>120.39</v>
      </c>
      <c r="Z11" s="360">
        <v>227</v>
      </c>
      <c r="AA11" s="361">
        <v>117.17</v>
      </c>
      <c r="AB11" s="360">
        <v>59</v>
      </c>
      <c r="AC11" s="361">
        <v>79.239999999999995</v>
      </c>
      <c r="AD11" s="360">
        <v>7212</v>
      </c>
      <c r="AE11" s="361">
        <v>79.239999999999995</v>
      </c>
      <c r="AF11" s="360">
        <v>7212</v>
      </c>
      <c r="AG11" s="361">
        <v>0</v>
      </c>
      <c r="AH11" s="360">
        <v>0</v>
      </c>
      <c r="AI11" s="361">
        <v>65.069999999999993</v>
      </c>
      <c r="AJ11" s="360">
        <v>219</v>
      </c>
      <c r="AK11" s="361">
        <v>77.680000000000007</v>
      </c>
      <c r="AL11" s="360">
        <v>5189</v>
      </c>
      <c r="AM11" s="361">
        <v>85.35</v>
      </c>
      <c r="AN11" s="360">
        <v>1788</v>
      </c>
      <c r="AO11" s="361">
        <v>96.6</v>
      </c>
      <c r="AP11" s="360">
        <v>15</v>
      </c>
      <c r="AQ11" s="361">
        <v>146.66</v>
      </c>
      <c r="AR11" s="360">
        <v>1</v>
      </c>
      <c r="AS11" s="361">
        <v>112.52</v>
      </c>
      <c r="AT11" s="360">
        <v>4412</v>
      </c>
      <c r="AU11" s="361">
        <v>112.52</v>
      </c>
      <c r="AV11" s="360">
        <v>4412</v>
      </c>
      <c r="AW11" s="361">
        <v>0</v>
      </c>
      <c r="AX11" s="360">
        <v>0</v>
      </c>
      <c r="AY11" s="361">
        <v>0</v>
      </c>
      <c r="AZ11" s="360">
        <v>0</v>
      </c>
      <c r="BA11" s="361">
        <v>91.16</v>
      </c>
      <c r="BB11" s="360">
        <v>437</v>
      </c>
      <c r="BC11" s="361">
        <v>107.9</v>
      </c>
      <c r="BD11" s="360">
        <v>2086</v>
      </c>
      <c r="BE11" s="361">
        <v>117.97</v>
      </c>
      <c r="BF11" s="360">
        <v>1443</v>
      </c>
      <c r="BG11" s="361">
        <v>135.72999999999999</v>
      </c>
      <c r="BH11" s="360">
        <v>400</v>
      </c>
      <c r="BI11" s="361">
        <v>149.71</v>
      </c>
      <c r="BJ11" s="360">
        <v>43</v>
      </c>
      <c r="BK11" s="361">
        <v>195.87</v>
      </c>
      <c r="BL11" s="360">
        <v>3</v>
      </c>
      <c r="BM11" s="361">
        <v>116.26</v>
      </c>
      <c r="BN11" s="360">
        <v>402</v>
      </c>
      <c r="BO11" s="361">
        <v>117.7</v>
      </c>
      <c r="BP11" s="360">
        <v>384</v>
      </c>
      <c r="BQ11" s="361">
        <v>85.63</v>
      </c>
      <c r="BR11" s="360">
        <v>18</v>
      </c>
      <c r="BS11" s="360">
        <v>0</v>
      </c>
      <c r="BT11" s="360">
        <v>0</v>
      </c>
      <c r="BU11" s="361">
        <v>116.75</v>
      </c>
      <c r="BV11" s="360">
        <v>281</v>
      </c>
      <c r="BW11" s="361">
        <v>120.45</v>
      </c>
      <c r="BX11" s="360">
        <v>98</v>
      </c>
      <c r="BY11" s="360">
        <v>81.3</v>
      </c>
      <c r="BZ11" s="360">
        <v>4</v>
      </c>
      <c r="CA11" s="360">
        <v>261.79000000000002</v>
      </c>
      <c r="CB11" s="360">
        <v>1</v>
      </c>
      <c r="CC11" s="360">
        <v>258</v>
      </c>
      <c r="CD11" s="360" t="s">
        <v>65</v>
      </c>
    </row>
    <row r="12" spans="1:82" x14ac:dyDescent="0.35">
      <c r="A12" s="360" t="s">
        <v>74</v>
      </c>
      <c r="B12" s="360" t="s">
        <v>74</v>
      </c>
      <c r="C12" s="360" t="s">
        <v>74</v>
      </c>
      <c r="D12" s="360">
        <v>15</v>
      </c>
      <c r="E12" s="360">
        <v>222748</v>
      </c>
      <c r="F12" s="360">
        <v>212795</v>
      </c>
      <c r="G12" s="360">
        <v>152</v>
      </c>
      <c r="H12" s="360">
        <v>9373</v>
      </c>
      <c r="I12" s="361">
        <v>78.430000000000007</v>
      </c>
      <c r="J12" s="360">
        <v>208913</v>
      </c>
      <c r="K12" s="360">
        <v>78.430000000000007</v>
      </c>
      <c r="L12" s="360">
        <v>208766</v>
      </c>
      <c r="M12" s="362">
        <v>72.2</v>
      </c>
      <c r="N12" s="360">
        <v>147</v>
      </c>
      <c r="O12" s="361">
        <v>61.14</v>
      </c>
      <c r="P12" s="360">
        <v>872</v>
      </c>
      <c r="Q12" s="361">
        <v>69.180000000000007</v>
      </c>
      <c r="R12" s="360">
        <v>59369</v>
      </c>
      <c r="S12" s="361">
        <v>78.63</v>
      </c>
      <c r="T12" s="360">
        <v>76959</v>
      </c>
      <c r="U12" s="361">
        <v>85.64</v>
      </c>
      <c r="V12" s="360">
        <v>66600</v>
      </c>
      <c r="W12" s="361">
        <v>92.03</v>
      </c>
      <c r="X12" s="360">
        <v>4653</v>
      </c>
      <c r="Y12" s="361">
        <v>101.14</v>
      </c>
      <c r="Z12" s="360">
        <v>264</v>
      </c>
      <c r="AA12" s="361">
        <v>104.45</v>
      </c>
      <c r="AB12" s="360">
        <v>49</v>
      </c>
      <c r="AC12" s="361">
        <v>72.39</v>
      </c>
      <c r="AD12" s="360">
        <v>8853</v>
      </c>
      <c r="AE12" s="361">
        <v>72.59</v>
      </c>
      <c r="AF12" s="360">
        <v>8812</v>
      </c>
      <c r="AG12" s="361">
        <v>29.32</v>
      </c>
      <c r="AH12" s="360">
        <v>41</v>
      </c>
      <c r="AI12" s="361">
        <v>58.38</v>
      </c>
      <c r="AJ12" s="360">
        <v>755</v>
      </c>
      <c r="AK12" s="361">
        <v>71.8</v>
      </c>
      <c r="AL12" s="360">
        <v>6191</v>
      </c>
      <c r="AM12" s="361">
        <v>80.849999999999994</v>
      </c>
      <c r="AN12" s="360">
        <v>1822</v>
      </c>
      <c r="AO12" s="361">
        <v>86</v>
      </c>
      <c r="AP12" s="360">
        <v>44</v>
      </c>
      <c r="AQ12" s="361">
        <v>0</v>
      </c>
      <c r="AR12" s="360">
        <v>0</v>
      </c>
      <c r="AS12" s="361">
        <v>105.21</v>
      </c>
      <c r="AT12" s="360">
        <v>4034</v>
      </c>
      <c r="AU12" s="361">
        <v>105.23</v>
      </c>
      <c r="AV12" s="360">
        <v>4029</v>
      </c>
      <c r="AW12" s="361">
        <v>96</v>
      </c>
      <c r="AX12" s="360">
        <v>5</v>
      </c>
      <c r="AY12" s="361">
        <v>0</v>
      </c>
      <c r="AZ12" s="360">
        <v>0</v>
      </c>
      <c r="BA12" s="361">
        <v>87.19</v>
      </c>
      <c r="BB12" s="360">
        <v>499</v>
      </c>
      <c r="BC12" s="361">
        <v>101.79</v>
      </c>
      <c r="BD12" s="360">
        <v>2195</v>
      </c>
      <c r="BE12" s="361">
        <v>114.68</v>
      </c>
      <c r="BF12" s="360">
        <v>1208</v>
      </c>
      <c r="BG12" s="361">
        <v>144.33000000000001</v>
      </c>
      <c r="BH12" s="360">
        <v>119</v>
      </c>
      <c r="BI12" s="361">
        <v>141.47999999999999</v>
      </c>
      <c r="BJ12" s="360">
        <v>7</v>
      </c>
      <c r="BK12" s="361">
        <v>343.37</v>
      </c>
      <c r="BL12" s="360">
        <v>1</v>
      </c>
      <c r="BM12" s="361">
        <v>122.74</v>
      </c>
      <c r="BN12" s="360">
        <v>520</v>
      </c>
      <c r="BO12" s="361">
        <v>150.6</v>
      </c>
      <c r="BP12" s="360">
        <v>347</v>
      </c>
      <c r="BQ12" s="361">
        <v>66.88</v>
      </c>
      <c r="BR12" s="360">
        <v>173</v>
      </c>
      <c r="BS12" s="360">
        <v>212</v>
      </c>
      <c r="BT12" s="360">
        <v>2</v>
      </c>
      <c r="BU12" s="361">
        <v>153.07</v>
      </c>
      <c r="BV12" s="360">
        <v>183</v>
      </c>
      <c r="BW12" s="361">
        <v>147.37</v>
      </c>
      <c r="BX12" s="360">
        <v>161</v>
      </c>
      <c r="BY12" s="360">
        <v>96.19</v>
      </c>
      <c r="BZ12" s="360">
        <v>1</v>
      </c>
      <c r="CA12" s="360">
        <v>0</v>
      </c>
      <c r="CB12" s="360">
        <v>0</v>
      </c>
      <c r="CC12" s="360">
        <v>428</v>
      </c>
      <c r="CD12" s="360" t="s">
        <v>65</v>
      </c>
    </row>
    <row r="13" spans="1:82" x14ac:dyDescent="0.35">
      <c r="A13" s="360" t="s">
        <v>75</v>
      </c>
      <c r="B13" s="360" t="s">
        <v>76</v>
      </c>
      <c r="C13" s="360" t="s">
        <v>71</v>
      </c>
      <c r="D13" s="360" t="s">
        <v>77</v>
      </c>
      <c r="E13" s="360">
        <v>2356</v>
      </c>
      <c r="F13" s="360">
        <v>2196</v>
      </c>
      <c r="G13" s="360">
        <v>0</v>
      </c>
      <c r="H13" s="360">
        <v>160</v>
      </c>
      <c r="I13" s="360">
        <v>106.05</v>
      </c>
      <c r="J13" s="360">
        <v>2196</v>
      </c>
      <c r="K13" s="360">
        <v>106.05</v>
      </c>
      <c r="L13" s="360">
        <v>2196</v>
      </c>
      <c r="M13" s="360">
        <v>0</v>
      </c>
      <c r="N13" s="360">
        <v>0</v>
      </c>
      <c r="O13" s="360">
        <v>78.260000000000005</v>
      </c>
      <c r="P13" s="360">
        <v>125</v>
      </c>
      <c r="Q13" s="360">
        <v>93.51</v>
      </c>
      <c r="R13" s="360">
        <v>487</v>
      </c>
      <c r="S13" s="360">
        <v>105.49</v>
      </c>
      <c r="T13" s="360">
        <v>833</v>
      </c>
      <c r="U13" s="360">
        <v>119.02</v>
      </c>
      <c r="V13" s="360">
        <v>719</v>
      </c>
      <c r="W13" s="360">
        <v>128.05000000000001</v>
      </c>
      <c r="X13" s="360">
        <v>31</v>
      </c>
      <c r="Y13" s="360">
        <v>147.83000000000001</v>
      </c>
      <c r="Z13" s="360">
        <v>1</v>
      </c>
      <c r="AA13" s="360">
        <v>0</v>
      </c>
      <c r="AB13" s="360">
        <v>0</v>
      </c>
      <c r="AC13" s="360">
        <v>85.97</v>
      </c>
      <c r="AD13" s="360">
        <v>160</v>
      </c>
      <c r="AE13" s="360">
        <v>85.97</v>
      </c>
      <c r="AF13" s="360">
        <v>160</v>
      </c>
      <c r="AG13" s="360">
        <v>0</v>
      </c>
      <c r="AH13" s="360">
        <v>0</v>
      </c>
      <c r="AI13" s="360">
        <v>71.900000000000006</v>
      </c>
      <c r="AJ13" s="360">
        <v>10</v>
      </c>
      <c r="AK13" s="360">
        <v>86.26</v>
      </c>
      <c r="AL13" s="360">
        <v>143</v>
      </c>
      <c r="AM13" s="360">
        <v>98.47</v>
      </c>
      <c r="AN13" s="360">
        <v>6</v>
      </c>
      <c r="AO13" s="360">
        <v>111.12</v>
      </c>
      <c r="AP13" s="360">
        <v>1</v>
      </c>
      <c r="AQ13" s="360">
        <v>0</v>
      </c>
      <c r="AR13" s="360">
        <v>0</v>
      </c>
      <c r="AS13" s="360">
        <v>0</v>
      </c>
      <c r="AT13" s="360">
        <v>0</v>
      </c>
      <c r="AU13" s="360">
        <v>0</v>
      </c>
      <c r="AV13" s="360">
        <v>0</v>
      </c>
      <c r="AW13" s="360">
        <v>0</v>
      </c>
      <c r="AX13" s="360">
        <v>0</v>
      </c>
      <c r="AY13" s="360">
        <v>0</v>
      </c>
      <c r="AZ13" s="360">
        <v>0</v>
      </c>
      <c r="BA13" s="360">
        <v>0</v>
      </c>
      <c r="BB13" s="360">
        <v>0</v>
      </c>
      <c r="BC13" s="360">
        <v>0</v>
      </c>
      <c r="BD13" s="360">
        <v>0</v>
      </c>
      <c r="BE13" s="360">
        <v>0</v>
      </c>
      <c r="BF13" s="360">
        <v>0</v>
      </c>
      <c r="BG13" s="360">
        <v>0</v>
      </c>
      <c r="BH13" s="360">
        <v>0</v>
      </c>
      <c r="BI13" s="360">
        <v>0</v>
      </c>
      <c r="BJ13" s="360">
        <v>0</v>
      </c>
      <c r="BK13" s="360">
        <v>0</v>
      </c>
      <c r="BL13" s="360">
        <v>0</v>
      </c>
      <c r="BM13" s="360">
        <v>0</v>
      </c>
      <c r="BN13" s="360">
        <v>0</v>
      </c>
      <c r="BO13" s="360">
        <v>0</v>
      </c>
      <c r="BP13" s="360">
        <v>0</v>
      </c>
      <c r="BQ13" s="360">
        <v>0</v>
      </c>
      <c r="BR13" s="360">
        <v>0</v>
      </c>
      <c r="BS13" s="360">
        <v>0</v>
      </c>
      <c r="BT13" s="360">
        <v>0</v>
      </c>
      <c r="BU13" s="360">
        <v>0</v>
      </c>
      <c r="BV13" s="360">
        <v>0</v>
      </c>
      <c r="BW13" s="360">
        <v>0</v>
      </c>
      <c r="BX13" s="360">
        <v>0</v>
      </c>
      <c r="BY13" s="360">
        <v>0</v>
      </c>
      <c r="BZ13" s="360">
        <v>0</v>
      </c>
      <c r="CA13" s="360">
        <v>0</v>
      </c>
      <c r="CB13" s="360">
        <v>0</v>
      </c>
      <c r="CC13" s="360">
        <v>0</v>
      </c>
      <c r="CD13" s="360" t="s">
        <v>78</v>
      </c>
    </row>
    <row r="14" spans="1:82" x14ac:dyDescent="0.35">
      <c r="A14" s="360" t="s">
        <v>897</v>
      </c>
      <c r="B14" s="360" t="s">
        <v>898</v>
      </c>
      <c r="C14" s="360" t="s">
        <v>66</v>
      </c>
      <c r="D14" s="360" t="s">
        <v>77</v>
      </c>
      <c r="E14" s="360">
        <v>0</v>
      </c>
      <c r="F14" s="360">
        <v>0</v>
      </c>
      <c r="G14" s="360">
        <v>0</v>
      </c>
      <c r="H14" s="360">
        <v>0</v>
      </c>
      <c r="I14" s="360">
        <v>0</v>
      </c>
      <c r="J14" s="360">
        <v>0</v>
      </c>
      <c r="K14" s="360">
        <v>0</v>
      </c>
      <c r="L14" s="360">
        <v>0</v>
      </c>
      <c r="M14" s="360">
        <v>0</v>
      </c>
      <c r="N14" s="360">
        <v>0</v>
      </c>
      <c r="O14" s="360">
        <v>0</v>
      </c>
      <c r="P14" s="360">
        <v>0</v>
      </c>
      <c r="Q14" s="360">
        <v>0</v>
      </c>
      <c r="R14" s="360">
        <v>0</v>
      </c>
      <c r="S14" s="360">
        <v>0</v>
      </c>
      <c r="T14" s="360">
        <v>0</v>
      </c>
      <c r="U14" s="360">
        <v>0</v>
      </c>
      <c r="V14" s="360">
        <v>0</v>
      </c>
      <c r="W14" s="360">
        <v>0</v>
      </c>
      <c r="X14" s="360">
        <v>0</v>
      </c>
      <c r="Y14" s="360">
        <v>0</v>
      </c>
      <c r="Z14" s="360">
        <v>0</v>
      </c>
      <c r="AA14" s="360">
        <v>0</v>
      </c>
      <c r="AB14" s="360">
        <v>0</v>
      </c>
      <c r="AC14" s="360">
        <v>0</v>
      </c>
      <c r="AD14" s="360">
        <v>0</v>
      </c>
      <c r="AE14" s="360">
        <v>0</v>
      </c>
      <c r="AF14" s="360">
        <v>0</v>
      </c>
      <c r="AG14" s="360">
        <v>0</v>
      </c>
      <c r="AH14" s="360">
        <v>0</v>
      </c>
      <c r="AI14" s="360">
        <v>0</v>
      </c>
      <c r="AJ14" s="360">
        <v>0</v>
      </c>
      <c r="AK14" s="360">
        <v>0</v>
      </c>
      <c r="AL14" s="360">
        <v>0</v>
      </c>
      <c r="AM14" s="360">
        <v>0</v>
      </c>
      <c r="AN14" s="360">
        <v>0</v>
      </c>
      <c r="AO14" s="360">
        <v>0</v>
      </c>
      <c r="AP14" s="360">
        <v>0</v>
      </c>
      <c r="AQ14" s="360">
        <v>0</v>
      </c>
      <c r="AR14" s="360">
        <v>0</v>
      </c>
      <c r="AS14" s="360">
        <v>0</v>
      </c>
      <c r="AT14" s="360">
        <v>0</v>
      </c>
      <c r="AU14" s="360">
        <v>0</v>
      </c>
      <c r="AV14" s="360">
        <v>0</v>
      </c>
      <c r="AW14" s="360">
        <v>0</v>
      </c>
      <c r="AX14" s="360">
        <v>0</v>
      </c>
      <c r="AY14" s="360">
        <v>0</v>
      </c>
      <c r="AZ14" s="360">
        <v>0</v>
      </c>
      <c r="BA14" s="360">
        <v>0</v>
      </c>
      <c r="BB14" s="360">
        <v>0</v>
      </c>
      <c r="BC14" s="360">
        <v>0</v>
      </c>
      <c r="BD14" s="360">
        <v>0</v>
      </c>
      <c r="BE14" s="360">
        <v>0</v>
      </c>
      <c r="BF14" s="360">
        <v>0</v>
      </c>
      <c r="BG14" s="360">
        <v>0</v>
      </c>
      <c r="BH14" s="360">
        <v>0</v>
      </c>
      <c r="BI14" s="360">
        <v>0</v>
      </c>
      <c r="BJ14" s="360">
        <v>0</v>
      </c>
      <c r="BK14" s="360">
        <v>0</v>
      </c>
      <c r="BL14" s="360">
        <v>0</v>
      </c>
      <c r="BM14" s="360">
        <v>0</v>
      </c>
      <c r="BN14" s="360">
        <v>0</v>
      </c>
      <c r="BO14" s="360">
        <v>0</v>
      </c>
      <c r="BP14" s="360">
        <v>0</v>
      </c>
      <c r="BQ14" s="360">
        <v>0</v>
      </c>
      <c r="BR14" s="360">
        <v>0</v>
      </c>
      <c r="BS14" s="360">
        <v>0</v>
      </c>
      <c r="BT14" s="360">
        <v>0</v>
      </c>
      <c r="BU14" s="360">
        <v>0</v>
      </c>
      <c r="BV14" s="360">
        <v>0</v>
      </c>
      <c r="BW14" s="360">
        <v>0</v>
      </c>
      <c r="BX14" s="360">
        <v>0</v>
      </c>
      <c r="BY14" s="360">
        <v>0</v>
      </c>
      <c r="BZ14" s="360">
        <v>0</v>
      </c>
      <c r="CA14" s="360">
        <v>0</v>
      </c>
      <c r="CB14" s="360">
        <v>0</v>
      </c>
      <c r="CC14" s="360">
        <v>0</v>
      </c>
      <c r="CD14" s="360" t="s">
        <v>899</v>
      </c>
    </row>
    <row r="15" spans="1:82" x14ac:dyDescent="0.35">
      <c r="A15" s="360" t="s">
        <v>0</v>
      </c>
      <c r="B15" s="360" t="s">
        <v>79</v>
      </c>
      <c r="C15" s="360" t="s">
        <v>71</v>
      </c>
      <c r="D15" s="360" t="s">
        <v>77</v>
      </c>
      <c r="E15" s="360">
        <v>3423</v>
      </c>
      <c r="F15" s="360">
        <v>2675</v>
      </c>
      <c r="G15" s="360">
        <v>13</v>
      </c>
      <c r="H15" s="360">
        <v>691</v>
      </c>
      <c r="I15" s="360">
        <v>99.03</v>
      </c>
      <c r="J15" s="360">
        <v>2624</v>
      </c>
      <c r="K15" s="360">
        <v>99.14</v>
      </c>
      <c r="L15" s="360">
        <v>2611</v>
      </c>
      <c r="M15" s="360">
        <v>77.06</v>
      </c>
      <c r="N15" s="360">
        <v>13</v>
      </c>
      <c r="O15" s="360">
        <v>73.03</v>
      </c>
      <c r="P15" s="360">
        <v>10</v>
      </c>
      <c r="Q15" s="360">
        <v>85.61</v>
      </c>
      <c r="R15" s="360">
        <v>702</v>
      </c>
      <c r="S15" s="360">
        <v>99.02</v>
      </c>
      <c r="T15" s="360">
        <v>897</v>
      </c>
      <c r="U15" s="360">
        <v>108.4</v>
      </c>
      <c r="V15" s="360">
        <v>946</v>
      </c>
      <c r="W15" s="360">
        <v>118.19</v>
      </c>
      <c r="X15" s="360">
        <v>50</v>
      </c>
      <c r="Y15" s="360">
        <v>125.75</v>
      </c>
      <c r="Z15" s="360">
        <v>6</v>
      </c>
      <c r="AA15" s="360">
        <v>0</v>
      </c>
      <c r="AB15" s="360">
        <v>0</v>
      </c>
      <c r="AC15" s="360">
        <v>81.900000000000006</v>
      </c>
      <c r="AD15" s="360">
        <v>691</v>
      </c>
      <c r="AE15" s="360">
        <v>81.900000000000006</v>
      </c>
      <c r="AF15" s="360">
        <v>691</v>
      </c>
      <c r="AG15" s="360">
        <v>0</v>
      </c>
      <c r="AH15" s="360">
        <v>0</v>
      </c>
      <c r="AI15" s="360">
        <v>72.510000000000005</v>
      </c>
      <c r="AJ15" s="360">
        <v>159</v>
      </c>
      <c r="AK15" s="360">
        <v>84.37</v>
      </c>
      <c r="AL15" s="360">
        <v>515</v>
      </c>
      <c r="AM15" s="360">
        <v>94.35</v>
      </c>
      <c r="AN15" s="360">
        <v>15</v>
      </c>
      <c r="AO15" s="360">
        <v>101.38</v>
      </c>
      <c r="AP15" s="360">
        <v>2</v>
      </c>
      <c r="AQ15" s="360">
        <v>0</v>
      </c>
      <c r="AR15" s="360">
        <v>0</v>
      </c>
      <c r="AS15" s="360">
        <v>158.84</v>
      </c>
      <c r="AT15" s="360">
        <v>64</v>
      </c>
      <c r="AU15" s="360">
        <v>158.84</v>
      </c>
      <c r="AV15" s="360">
        <v>64</v>
      </c>
      <c r="AW15" s="360">
        <v>0</v>
      </c>
      <c r="AX15" s="360">
        <v>0</v>
      </c>
      <c r="AY15" s="360">
        <v>0</v>
      </c>
      <c r="AZ15" s="360">
        <v>0</v>
      </c>
      <c r="BA15" s="360">
        <v>126.92</v>
      </c>
      <c r="BB15" s="360">
        <v>11</v>
      </c>
      <c r="BC15" s="360">
        <v>165.47</v>
      </c>
      <c r="BD15" s="360">
        <v>53</v>
      </c>
      <c r="BE15" s="360">
        <v>0</v>
      </c>
      <c r="BF15" s="360">
        <v>0</v>
      </c>
      <c r="BG15" s="360">
        <v>0</v>
      </c>
      <c r="BH15" s="360">
        <v>0</v>
      </c>
      <c r="BI15" s="360">
        <v>0</v>
      </c>
      <c r="BJ15" s="360">
        <v>0</v>
      </c>
      <c r="BK15" s="360">
        <v>0</v>
      </c>
      <c r="BL15" s="360">
        <v>0</v>
      </c>
      <c r="BM15" s="360">
        <v>0</v>
      </c>
      <c r="BN15" s="360">
        <v>0</v>
      </c>
      <c r="BO15" s="360">
        <v>0</v>
      </c>
      <c r="BP15" s="360">
        <v>0</v>
      </c>
      <c r="BQ15" s="360">
        <v>0</v>
      </c>
      <c r="BR15" s="360">
        <v>0</v>
      </c>
      <c r="BS15" s="360">
        <v>0</v>
      </c>
      <c r="BT15" s="360">
        <v>0</v>
      </c>
      <c r="BU15" s="360">
        <v>0</v>
      </c>
      <c r="BV15" s="360">
        <v>0</v>
      </c>
      <c r="BW15" s="360">
        <v>0</v>
      </c>
      <c r="BX15" s="360">
        <v>0</v>
      </c>
      <c r="BY15" s="360">
        <v>0</v>
      </c>
      <c r="BZ15" s="360">
        <v>0</v>
      </c>
      <c r="CA15" s="360">
        <v>0</v>
      </c>
      <c r="CB15" s="360">
        <v>0</v>
      </c>
      <c r="CC15" s="360">
        <v>44</v>
      </c>
      <c r="CD15" s="360" t="s">
        <v>80</v>
      </c>
    </row>
    <row r="16" spans="1:82" x14ac:dyDescent="0.35">
      <c r="A16" s="360" t="s">
        <v>81</v>
      </c>
      <c r="B16" s="360" t="s">
        <v>82</v>
      </c>
      <c r="C16" s="360" t="s">
        <v>66</v>
      </c>
      <c r="D16" s="360" t="s">
        <v>77</v>
      </c>
      <c r="E16" s="360">
        <v>6625</v>
      </c>
      <c r="F16" s="360">
        <v>4987</v>
      </c>
      <c r="G16" s="360">
        <v>4</v>
      </c>
      <c r="H16" s="360">
        <v>1634</v>
      </c>
      <c r="I16" s="360">
        <v>73.95</v>
      </c>
      <c r="J16" s="360">
        <v>4885</v>
      </c>
      <c r="K16" s="360">
        <v>73.97</v>
      </c>
      <c r="L16" s="360">
        <v>4881</v>
      </c>
      <c r="M16" s="360">
        <v>54.1</v>
      </c>
      <c r="N16" s="360">
        <v>4</v>
      </c>
      <c r="O16" s="360">
        <v>55.57</v>
      </c>
      <c r="P16" s="360">
        <v>61</v>
      </c>
      <c r="Q16" s="360">
        <v>63.81</v>
      </c>
      <c r="R16" s="360">
        <v>987</v>
      </c>
      <c r="S16" s="360">
        <v>71.37</v>
      </c>
      <c r="T16" s="360">
        <v>1361</v>
      </c>
      <c r="U16" s="360">
        <v>79.760000000000005</v>
      </c>
      <c r="V16" s="360">
        <v>2408</v>
      </c>
      <c r="W16" s="360">
        <v>85.88</v>
      </c>
      <c r="X16" s="360">
        <v>64</v>
      </c>
      <c r="Y16" s="360">
        <v>0</v>
      </c>
      <c r="Z16" s="360">
        <v>0</v>
      </c>
      <c r="AA16" s="360">
        <v>0</v>
      </c>
      <c r="AB16" s="360">
        <v>0</v>
      </c>
      <c r="AC16" s="360">
        <v>71.17</v>
      </c>
      <c r="AD16" s="360">
        <v>1634</v>
      </c>
      <c r="AE16" s="360">
        <v>71.17</v>
      </c>
      <c r="AF16" s="360">
        <v>1634</v>
      </c>
      <c r="AG16" s="360">
        <v>0</v>
      </c>
      <c r="AH16" s="360">
        <v>0</v>
      </c>
      <c r="AI16" s="360">
        <v>56.73</v>
      </c>
      <c r="AJ16" s="360">
        <v>83</v>
      </c>
      <c r="AK16" s="360">
        <v>67.849999999999994</v>
      </c>
      <c r="AL16" s="360">
        <v>859</v>
      </c>
      <c r="AM16" s="360">
        <v>76.92</v>
      </c>
      <c r="AN16" s="360">
        <v>680</v>
      </c>
      <c r="AO16" s="360">
        <v>81.73</v>
      </c>
      <c r="AP16" s="360">
        <v>11</v>
      </c>
      <c r="AQ16" s="360">
        <v>100.22</v>
      </c>
      <c r="AR16" s="360">
        <v>1</v>
      </c>
      <c r="AS16" s="360">
        <v>108.3</v>
      </c>
      <c r="AT16" s="360">
        <v>106</v>
      </c>
      <c r="AU16" s="360">
        <v>108.3</v>
      </c>
      <c r="AV16" s="360">
        <v>106</v>
      </c>
      <c r="AW16" s="360">
        <v>0</v>
      </c>
      <c r="AX16" s="360">
        <v>0</v>
      </c>
      <c r="AY16" s="360">
        <v>0</v>
      </c>
      <c r="AZ16" s="360">
        <v>0</v>
      </c>
      <c r="BA16" s="360">
        <v>99.29</v>
      </c>
      <c r="BB16" s="360">
        <v>7</v>
      </c>
      <c r="BC16" s="360">
        <v>103.75</v>
      </c>
      <c r="BD16" s="360">
        <v>60</v>
      </c>
      <c r="BE16" s="360">
        <v>113.92</v>
      </c>
      <c r="BF16" s="360">
        <v>35</v>
      </c>
      <c r="BG16" s="360">
        <v>143.24</v>
      </c>
      <c r="BH16" s="360">
        <v>4</v>
      </c>
      <c r="BI16" s="360">
        <v>0</v>
      </c>
      <c r="BJ16" s="360">
        <v>0</v>
      </c>
      <c r="BK16" s="360">
        <v>0</v>
      </c>
      <c r="BL16" s="360">
        <v>0</v>
      </c>
      <c r="BM16" s="360">
        <v>0</v>
      </c>
      <c r="BN16" s="360">
        <v>0</v>
      </c>
      <c r="BO16" s="360">
        <v>0</v>
      </c>
      <c r="BP16" s="360">
        <v>0</v>
      </c>
      <c r="BQ16" s="360">
        <v>0</v>
      </c>
      <c r="BR16" s="360">
        <v>0</v>
      </c>
      <c r="BS16" s="360">
        <v>0</v>
      </c>
      <c r="BT16" s="360">
        <v>0</v>
      </c>
      <c r="BU16" s="360">
        <v>0</v>
      </c>
      <c r="BV16" s="360">
        <v>0</v>
      </c>
      <c r="BW16" s="360">
        <v>0</v>
      </c>
      <c r="BX16" s="360">
        <v>0</v>
      </c>
      <c r="BY16" s="360">
        <v>0</v>
      </c>
      <c r="BZ16" s="360">
        <v>0</v>
      </c>
      <c r="CA16" s="360">
        <v>0</v>
      </c>
      <c r="CB16" s="360">
        <v>0</v>
      </c>
      <c r="CC16" s="360">
        <v>0</v>
      </c>
      <c r="CD16" s="360" t="s">
        <v>83</v>
      </c>
    </row>
    <row r="17" spans="1:82" x14ac:dyDescent="0.35">
      <c r="A17" s="360" t="s">
        <v>84</v>
      </c>
      <c r="B17" s="360" t="s">
        <v>85</v>
      </c>
      <c r="C17" s="360" t="s">
        <v>71</v>
      </c>
      <c r="D17" s="360" t="s">
        <v>77</v>
      </c>
      <c r="E17" s="360">
        <v>5100</v>
      </c>
      <c r="F17" s="360">
        <v>4687</v>
      </c>
      <c r="G17" s="360">
        <v>0</v>
      </c>
      <c r="H17" s="360">
        <v>402</v>
      </c>
      <c r="I17" s="360">
        <v>96.23</v>
      </c>
      <c r="J17" s="360">
        <v>4038</v>
      </c>
      <c r="K17" s="360">
        <v>96.23</v>
      </c>
      <c r="L17" s="360">
        <v>4038</v>
      </c>
      <c r="M17" s="360">
        <v>0</v>
      </c>
      <c r="N17" s="360">
        <v>0</v>
      </c>
      <c r="O17" s="360">
        <v>62.58</v>
      </c>
      <c r="P17" s="360">
        <v>29</v>
      </c>
      <c r="Q17" s="360">
        <v>83.31</v>
      </c>
      <c r="R17" s="360">
        <v>1005</v>
      </c>
      <c r="S17" s="360">
        <v>94.81</v>
      </c>
      <c r="T17" s="360">
        <v>1325</v>
      </c>
      <c r="U17" s="360">
        <v>105.36</v>
      </c>
      <c r="V17" s="360">
        <v>1512</v>
      </c>
      <c r="W17" s="360">
        <v>107.46</v>
      </c>
      <c r="X17" s="360">
        <v>162</v>
      </c>
      <c r="Y17" s="360">
        <v>0</v>
      </c>
      <c r="Z17" s="360">
        <v>0</v>
      </c>
      <c r="AA17" s="360">
        <v>140.11000000000001</v>
      </c>
      <c r="AB17" s="360">
        <v>5</v>
      </c>
      <c r="AC17" s="360">
        <v>85.07</v>
      </c>
      <c r="AD17" s="360">
        <v>212</v>
      </c>
      <c r="AE17" s="360">
        <v>85.07</v>
      </c>
      <c r="AF17" s="360">
        <v>212</v>
      </c>
      <c r="AG17" s="360">
        <v>0</v>
      </c>
      <c r="AH17" s="360">
        <v>0</v>
      </c>
      <c r="AI17" s="360">
        <v>64.63</v>
      </c>
      <c r="AJ17" s="360">
        <v>4</v>
      </c>
      <c r="AK17" s="360">
        <v>82.26</v>
      </c>
      <c r="AL17" s="360">
        <v>174</v>
      </c>
      <c r="AM17" s="360">
        <v>100.91</v>
      </c>
      <c r="AN17" s="360">
        <v>30</v>
      </c>
      <c r="AO17" s="360">
        <v>109.39</v>
      </c>
      <c r="AP17" s="360">
        <v>4</v>
      </c>
      <c r="AQ17" s="360">
        <v>0</v>
      </c>
      <c r="AR17" s="360">
        <v>0</v>
      </c>
      <c r="AS17" s="360">
        <v>148.34</v>
      </c>
      <c r="AT17" s="360">
        <v>649</v>
      </c>
      <c r="AU17" s="360">
        <v>148.34</v>
      </c>
      <c r="AV17" s="360">
        <v>649</v>
      </c>
      <c r="AW17" s="360">
        <v>0</v>
      </c>
      <c r="AX17" s="360">
        <v>0</v>
      </c>
      <c r="AY17" s="360">
        <v>0</v>
      </c>
      <c r="AZ17" s="360">
        <v>0</v>
      </c>
      <c r="BA17" s="360">
        <v>125.52</v>
      </c>
      <c r="BB17" s="360">
        <v>65</v>
      </c>
      <c r="BC17" s="360">
        <v>140.38999999999999</v>
      </c>
      <c r="BD17" s="360">
        <v>336</v>
      </c>
      <c r="BE17" s="360">
        <v>164.35</v>
      </c>
      <c r="BF17" s="360">
        <v>240</v>
      </c>
      <c r="BG17" s="360">
        <v>186.71</v>
      </c>
      <c r="BH17" s="360">
        <v>6</v>
      </c>
      <c r="BI17" s="360">
        <v>200.02</v>
      </c>
      <c r="BJ17" s="360">
        <v>1</v>
      </c>
      <c r="BK17" s="360">
        <v>181.93</v>
      </c>
      <c r="BL17" s="360">
        <v>1</v>
      </c>
      <c r="BM17" s="360">
        <v>140.38999999999999</v>
      </c>
      <c r="BN17" s="360">
        <v>190</v>
      </c>
      <c r="BO17" s="360">
        <v>140.38999999999999</v>
      </c>
      <c r="BP17" s="360">
        <v>190</v>
      </c>
      <c r="BQ17" s="360">
        <v>0</v>
      </c>
      <c r="BR17" s="360">
        <v>0</v>
      </c>
      <c r="BS17" s="360">
        <v>0</v>
      </c>
      <c r="BT17" s="360">
        <v>0</v>
      </c>
      <c r="BU17" s="360">
        <v>134.05000000000001</v>
      </c>
      <c r="BV17" s="360">
        <v>135</v>
      </c>
      <c r="BW17" s="360">
        <v>155.97999999999999</v>
      </c>
      <c r="BX17" s="360">
        <v>55</v>
      </c>
      <c r="BY17" s="360">
        <v>0</v>
      </c>
      <c r="BZ17" s="360">
        <v>0</v>
      </c>
      <c r="CA17" s="360">
        <v>0</v>
      </c>
      <c r="CB17" s="360">
        <v>0</v>
      </c>
      <c r="CC17" s="360">
        <v>11</v>
      </c>
      <c r="CD17" s="360" t="s">
        <v>86</v>
      </c>
    </row>
    <row r="18" spans="1:82" x14ac:dyDescent="0.35">
      <c r="A18" s="360" t="s">
        <v>87</v>
      </c>
      <c r="B18" s="360" t="s">
        <v>88</v>
      </c>
      <c r="C18" s="360" t="s">
        <v>67</v>
      </c>
      <c r="D18" s="360" t="s">
        <v>77</v>
      </c>
      <c r="E18" s="360">
        <v>3558</v>
      </c>
      <c r="F18" s="360">
        <v>3214</v>
      </c>
      <c r="G18" s="360">
        <v>26</v>
      </c>
      <c r="H18" s="360">
        <v>260</v>
      </c>
      <c r="I18" s="360">
        <v>96.25</v>
      </c>
      <c r="J18" s="360">
        <v>3047</v>
      </c>
      <c r="K18" s="360">
        <v>96.3</v>
      </c>
      <c r="L18" s="360">
        <v>3021</v>
      </c>
      <c r="M18" s="360">
        <v>90.07</v>
      </c>
      <c r="N18" s="360">
        <v>26</v>
      </c>
      <c r="O18" s="360">
        <v>67.930000000000007</v>
      </c>
      <c r="P18" s="360">
        <v>7</v>
      </c>
      <c r="Q18" s="360">
        <v>85.41</v>
      </c>
      <c r="R18" s="360">
        <v>533</v>
      </c>
      <c r="S18" s="360">
        <v>96.24</v>
      </c>
      <c r="T18" s="360">
        <v>1203</v>
      </c>
      <c r="U18" s="360">
        <v>100.57</v>
      </c>
      <c r="V18" s="360">
        <v>1213</v>
      </c>
      <c r="W18" s="360">
        <v>109.49</v>
      </c>
      <c r="X18" s="360">
        <v>63</v>
      </c>
      <c r="Y18" s="360">
        <v>120.96</v>
      </c>
      <c r="Z18" s="360">
        <v>1</v>
      </c>
      <c r="AA18" s="360">
        <v>151.16</v>
      </c>
      <c r="AB18" s="360">
        <v>1</v>
      </c>
      <c r="AC18" s="360">
        <v>84.35</v>
      </c>
      <c r="AD18" s="360">
        <v>260</v>
      </c>
      <c r="AE18" s="360">
        <v>84.35</v>
      </c>
      <c r="AF18" s="360">
        <v>260</v>
      </c>
      <c r="AG18" s="360">
        <v>0</v>
      </c>
      <c r="AH18" s="360">
        <v>0</v>
      </c>
      <c r="AI18" s="360">
        <v>66.61</v>
      </c>
      <c r="AJ18" s="360">
        <v>2</v>
      </c>
      <c r="AK18" s="360">
        <v>81.650000000000006</v>
      </c>
      <c r="AL18" s="360">
        <v>205</v>
      </c>
      <c r="AM18" s="360">
        <v>95.45</v>
      </c>
      <c r="AN18" s="360">
        <v>52</v>
      </c>
      <c r="AO18" s="360">
        <v>98.55</v>
      </c>
      <c r="AP18" s="360">
        <v>1</v>
      </c>
      <c r="AQ18" s="360">
        <v>0</v>
      </c>
      <c r="AR18" s="360">
        <v>0</v>
      </c>
      <c r="AS18" s="360">
        <v>135.1</v>
      </c>
      <c r="AT18" s="360">
        <v>193</v>
      </c>
      <c r="AU18" s="360">
        <v>135.1</v>
      </c>
      <c r="AV18" s="360">
        <v>193</v>
      </c>
      <c r="AW18" s="360">
        <v>0</v>
      </c>
      <c r="AX18" s="360">
        <v>0</v>
      </c>
      <c r="AY18" s="360">
        <v>0</v>
      </c>
      <c r="AZ18" s="360">
        <v>0</v>
      </c>
      <c r="BA18" s="360">
        <v>109.77</v>
      </c>
      <c r="BB18" s="360">
        <v>50</v>
      </c>
      <c r="BC18" s="360">
        <v>137.84</v>
      </c>
      <c r="BD18" s="360">
        <v>98</v>
      </c>
      <c r="BE18" s="360">
        <v>157.28</v>
      </c>
      <c r="BF18" s="360">
        <v>45</v>
      </c>
      <c r="BG18" s="360">
        <v>0</v>
      </c>
      <c r="BH18" s="360">
        <v>0</v>
      </c>
      <c r="BI18" s="360">
        <v>0</v>
      </c>
      <c r="BJ18" s="360">
        <v>0</v>
      </c>
      <c r="BK18" s="360">
        <v>0</v>
      </c>
      <c r="BL18" s="360">
        <v>0</v>
      </c>
      <c r="BM18" s="360">
        <v>0</v>
      </c>
      <c r="BN18" s="360">
        <v>0</v>
      </c>
      <c r="BO18" s="360">
        <v>0</v>
      </c>
      <c r="BP18" s="360">
        <v>0</v>
      </c>
      <c r="BQ18" s="360">
        <v>0</v>
      </c>
      <c r="BR18" s="360">
        <v>0</v>
      </c>
      <c r="BS18" s="360">
        <v>0</v>
      </c>
      <c r="BT18" s="360">
        <v>0</v>
      </c>
      <c r="BU18" s="360">
        <v>0</v>
      </c>
      <c r="BV18" s="360">
        <v>0</v>
      </c>
      <c r="BW18" s="360">
        <v>0</v>
      </c>
      <c r="BX18" s="360">
        <v>0</v>
      </c>
      <c r="BY18" s="360">
        <v>0</v>
      </c>
      <c r="BZ18" s="360">
        <v>0</v>
      </c>
      <c r="CA18" s="360">
        <v>0</v>
      </c>
      <c r="CB18" s="360">
        <v>0</v>
      </c>
      <c r="CC18" s="360">
        <v>58</v>
      </c>
      <c r="CD18" s="360" t="s">
        <v>89</v>
      </c>
    </row>
    <row r="19" spans="1:82" x14ac:dyDescent="0.35">
      <c r="A19" s="360" t="s">
        <v>90</v>
      </c>
      <c r="B19" s="360" t="s">
        <v>91</v>
      </c>
      <c r="C19" s="360" t="s">
        <v>900</v>
      </c>
      <c r="D19" s="360" t="s">
        <v>77</v>
      </c>
      <c r="E19" s="360">
        <v>17995</v>
      </c>
      <c r="F19" s="360">
        <v>17290</v>
      </c>
      <c r="G19" s="360">
        <v>0</v>
      </c>
      <c r="H19" s="360">
        <v>705</v>
      </c>
      <c r="I19" s="360">
        <v>79.02</v>
      </c>
      <c r="J19" s="360">
        <v>17290</v>
      </c>
      <c r="K19" s="360">
        <v>79.02</v>
      </c>
      <c r="L19" s="360">
        <v>17290</v>
      </c>
      <c r="M19" s="360">
        <v>0</v>
      </c>
      <c r="N19" s="360">
        <v>0</v>
      </c>
      <c r="O19" s="360">
        <v>59.87</v>
      </c>
      <c r="P19" s="360">
        <v>73</v>
      </c>
      <c r="Q19" s="360">
        <v>68.959999999999994</v>
      </c>
      <c r="R19" s="360">
        <v>3658</v>
      </c>
      <c r="S19" s="360">
        <v>78.599999999999994</v>
      </c>
      <c r="T19" s="360">
        <v>6170</v>
      </c>
      <c r="U19" s="360">
        <v>84.33</v>
      </c>
      <c r="V19" s="360">
        <v>7171</v>
      </c>
      <c r="W19" s="360">
        <v>91.75</v>
      </c>
      <c r="X19" s="360">
        <v>210</v>
      </c>
      <c r="Y19" s="360">
        <v>102.42</v>
      </c>
      <c r="Z19" s="360">
        <v>7</v>
      </c>
      <c r="AA19" s="360">
        <v>118.44</v>
      </c>
      <c r="AB19" s="360">
        <v>1</v>
      </c>
      <c r="AC19" s="360">
        <v>68.7</v>
      </c>
      <c r="AD19" s="360">
        <v>705</v>
      </c>
      <c r="AE19" s="360">
        <v>68.7</v>
      </c>
      <c r="AF19" s="360">
        <v>705</v>
      </c>
      <c r="AG19" s="360">
        <v>0</v>
      </c>
      <c r="AH19" s="360">
        <v>0</v>
      </c>
      <c r="AI19" s="360">
        <v>56.73</v>
      </c>
      <c r="AJ19" s="360">
        <v>45</v>
      </c>
      <c r="AK19" s="360">
        <v>66.08</v>
      </c>
      <c r="AL19" s="360">
        <v>416</v>
      </c>
      <c r="AM19" s="360">
        <v>75.150000000000006</v>
      </c>
      <c r="AN19" s="360">
        <v>237</v>
      </c>
      <c r="AO19" s="360">
        <v>83.23</v>
      </c>
      <c r="AP19" s="360">
        <v>7</v>
      </c>
      <c r="AQ19" s="360">
        <v>0</v>
      </c>
      <c r="AR19" s="360">
        <v>0</v>
      </c>
      <c r="AS19" s="360">
        <v>0</v>
      </c>
      <c r="AT19" s="360">
        <v>0</v>
      </c>
      <c r="AU19" s="360">
        <v>0</v>
      </c>
      <c r="AV19" s="360">
        <v>0</v>
      </c>
      <c r="AW19" s="360">
        <v>0</v>
      </c>
      <c r="AX19" s="360">
        <v>0</v>
      </c>
      <c r="AY19" s="360">
        <v>0</v>
      </c>
      <c r="AZ19" s="360">
        <v>0</v>
      </c>
      <c r="BA19" s="360">
        <v>0</v>
      </c>
      <c r="BB19" s="360">
        <v>0</v>
      </c>
      <c r="BC19" s="360">
        <v>0</v>
      </c>
      <c r="BD19" s="360">
        <v>0</v>
      </c>
      <c r="BE19" s="360">
        <v>0</v>
      </c>
      <c r="BF19" s="360">
        <v>0</v>
      </c>
      <c r="BG19" s="360">
        <v>0</v>
      </c>
      <c r="BH19" s="360">
        <v>0</v>
      </c>
      <c r="BI19" s="360">
        <v>0</v>
      </c>
      <c r="BJ19" s="360">
        <v>0</v>
      </c>
      <c r="BK19" s="360">
        <v>0</v>
      </c>
      <c r="BL19" s="360">
        <v>0</v>
      </c>
      <c r="BM19" s="360">
        <v>0</v>
      </c>
      <c r="BN19" s="360">
        <v>0</v>
      </c>
      <c r="BO19" s="360">
        <v>0</v>
      </c>
      <c r="BP19" s="360">
        <v>0</v>
      </c>
      <c r="BQ19" s="360">
        <v>0</v>
      </c>
      <c r="BR19" s="360">
        <v>0</v>
      </c>
      <c r="BS19" s="360">
        <v>0</v>
      </c>
      <c r="BT19" s="360">
        <v>0</v>
      </c>
      <c r="BU19" s="360">
        <v>0</v>
      </c>
      <c r="BV19" s="360">
        <v>0</v>
      </c>
      <c r="BW19" s="360">
        <v>0</v>
      </c>
      <c r="BX19" s="360">
        <v>0</v>
      </c>
      <c r="BY19" s="360">
        <v>0</v>
      </c>
      <c r="BZ19" s="360">
        <v>0</v>
      </c>
      <c r="CA19" s="360">
        <v>0</v>
      </c>
      <c r="CB19" s="360">
        <v>0</v>
      </c>
      <c r="CC19" s="360">
        <v>0</v>
      </c>
      <c r="CD19" s="360" t="s">
        <v>92</v>
      </c>
    </row>
    <row r="20" spans="1:82" x14ac:dyDescent="0.35">
      <c r="A20" s="360" t="s">
        <v>93</v>
      </c>
      <c r="B20" s="360" t="s">
        <v>94</v>
      </c>
      <c r="C20" s="360" t="s">
        <v>70</v>
      </c>
      <c r="D20" s="360" t="s">
        <v>77</v>
      </c>
      <c r="E20" s="360">
        <v>2512</v>
      </c>
      <c r="F20" s="360">
        <v>2512</v>
      </c>
      <c r="G20" s="360">
        <v>0</v>
      </c>
      <c r="H20" s="360">
        <v>0</v>
      </c>
      <c r="I20" s="360">
        <v>79.010000000000005</v>
      </c>
      <c r="J20" s="360">
        <v>2512</v>
      </c>
      <c r="K20" s="360">
        <v>79.010000000000005</v>
      </c>
      <c r="L20" s="360">
        <v>2512</v>
      </c>
      <c r="M20" s="360">
        <v>0</v>
      </c>
      <c r="N20" s="360">
        <v>0</v>
      </c>
      <c r="O20" s="360">
        <v>0</v>
      </c>
      <c r="P20" s="360">
        <v>0</v>
      </c>
      <c r="Q20" s="360">
        <v>69.47</v>
      </c>
      <c r="R20" s="360">
        <v>1059</v>
      </c>
      <c r="S20" s="360">
        <v>79.28</v>
      </c>
      <c r="T20" s="360">
        <v>649</v>
      </c>
      <c r="U20" s="360">
        <v>90.54</v>
      </c>
      <c r="V20" s="360">
        <v>727</v>
      </c>
      <c r="W20" s="360">
        <v>98.9</v>
      </c>
      <c r="X20" s="360">
        <v>74</v>
      </c>
      <c r="Y20" s="360">
        <v>104.58</v>
      </c>
      <c r="Z20" s="360">
        <v>3</v>
      </c>
      <c r="AA20" s="360">
        <v>0</v>
      </c>
      <c r="AB20" s="360">
        <v>0</v>
      </c>
      <c r="AC20" s="360">
        <v>0</v>
      </c>
      <c r="AD20" s="360">
        <v>0</v>
      </c>
      <c r="AE20" s="360">
        <v>0</v>
      </c>
      <c r="AF20" s="360">
        <v>0</v>
      </c>
      <c r="AG20" s="360">
        <v>0</v>
      </c>
      <c r="AH20" s="360">
        <v>0</v>
      </c>
      <c r="AI20" s="360">
        <v>0</v>
      </c>
      <c r="AJ20" s="360">
        <v>0</v>
      </c>
      <c r="AK20" s="360">
        <v>0</v>
      </c>
      <c r="AL20" s="360">
        <v>0</v>
      </c>
      <c r="AM20" s="360">
        <v>0</v>
      </c>
      <c r="AN20" s="360">
        <v>0</v>
      </c>
      <c r="AO20" s="360">
        <v>0</v>
      </c>
      <c r="AP20" s="360">
        <v>0</v>
      </c>
      <c r="AQ20" s="360">
        <v>0</v>
      </c>
      <c r="AR20" s="360">
        <v>0</v>
      </c>
      <c r="AS20" s="360">
        <v>0</v>
      </c>
      <c r="AT20" s="360">
        <v>0</v>
      </c>
      <c r="AU20" s="360">
        <v>0</v>
      </c>
      <c r="AV20" s="360">
        <v>0</v>
      </c>
      <c r="AW20" s="360">
        <v>0</v>
      </c>
      <c r="AX20" s="360">
        <v>0</v>
      </c>
      <c r="AY20" s="360">
        <v>0</v>
      </c>
      <c r="AZ20" s="360">
        <v>0</v>
      </c>
      <c r="BA20" s="360">
        <v>0</v>
      </c>
      <c r="BB20" s="360">
        <v>0</v>
      </c>
      <c r="BC20" s="360">
        <v>0</v>
      </c>
      <c r="BD20" s="360">
        <v>0</v>
      </c>
      <c r="BE20" s="360">
        <v>0</v>
      </c>
      <c r="BF20" s="360">
        <v>0</v>
      </c>
      <c r="BG20" s="360">
        <v>0</v>
      </c>
      <c r="BH20" s="360">
        <v>0</v>
      </c>
      <c r="BI20" s="360">
        <v>0</v>
      </c>
      <c r="BJ20" s="360">
        <v>0</v>
      </c>
      <c r="BK20" s="360">
        <v>0</v>
      </c>
      <c r="BL20" s="360">
        <v>0</v>
      </c>
      <c r="BM20" s="360">
        <v>0</v>
      </c>
      <c r="BN20" s="360">
        <v>0</v>
      </c>
      <c r="BO20" s="360">
        <v>0</v>
      </c>
      <c r="BP20" s="360">
        <v>0</v>
      </c>
      <c r="BQ20" s="360">
        <v>0</v>
      </c>
      <c r="BR20" s="360">
        <v>0</v>
      </c>
      <c r="BS20" s="360">
        <v>0</v>
      </c>
      <c r="BT20" s="360">
        <v>0</v>
      </c>
      <c r="BU20" s="360">
        <v>0</v>
      </c>
      <c r="BV20" s="360">
        <v>0</v>
      </c>
      <c r="BW20" s="360">
        <v>0</v>
      </c>
      <c r="BX20" s="360">
        <v>0</v>
      </c>
      <c r="BY20" s="360">
        <v>0</v>
      </c>
      <c r="BZ20" s="360">
        <v>0</v>
      </c>
      <c r="CA20" s="360">
        <v>0</v>
      </c>
      <c r="CB20" s="360">
        <v>0</v>
      </c>
      <c r="CC20" s="360">
        <v>0</v>
      </c>
      <c r="CD20" s="360" t="s">
        <v>95</v>
      </c>
    </row>
    <row r="21" spans="1:82" x14ac:dyDescent="0.35">
      <c r="A21" s="360" t="s">
        <v>96</v>
      </c>
      <c r="B21" s="360" t="s">
        <v>97</v>
      </c>
      <c r="C21" s="360" t="s">
        <v>67</v>
      </c>
      <c r="D21" s="360" t="s">
        <v>77</v>
      </c>
      <c r="E21" s="360">
        <v>10928</v>
      </c>
      <c r="F21" s="360">
        <v>9018</v>
      </c>
      <c r="G21" s="360">
        <v>0</v>
      </c>
      <c r="H21" s="360">
        <v>1700</v>
      </c>
      <c r="I21" s="360">
        <v>94.42</v>
      </c>
      <c r="J21" s="360">
        <v>9018</v>
      </c>
      <c r="K21" s="360">
        <v>94.42</v>
      </c>
      <c r="L21" s="360">
        <v>9018</v>
      </c>
      <c r="M21" s="360">
        <v>0</v>
      </c>
      <c r="N21" s="360">
        <v>0</v>
      </c>
      <c r="O21" s="360">
        <v>73.430000000000007</v>
      </c>
      <c r="P21" s="360">
        <v>479</v>
      </c>
      <c r="Q21" s="360">
        <v>80.06</v>
      </c>
      <c r="R21" s="360">
        <v>2150</v>
      </c>
      <c r="S21" s="360">
        <v>94.94</v>
      </c>
      <c r="T21" s="360">
        <v>2404</v>
      </c>
      <c r="U21" s="360">
        <v>103.37</v>
      </c>
      <c r="V21" s="360">
        <v>3575</v>
      </c>
      <c r="W21" s="360">
        <v>112.44</v>
      </c>
      <c r="X21" s="360">
        <v>387</v>
      </c>
      <c r="Y21" s="360">
        <v>126.64</v>
      </c>
      <c r="Z21" s="360">
        <v>21</v>
      </c>
      <c r="AA21" s="360">
        <v>125.7</v>
      </c>
      <c r="AB21" s="360">
        <v>2</v>
      </c>
      <c r="AC21" s="360">
        <v>81.739999999999995</v>
      </c>
      <c r="AD21" s="360">
        <v>1700</v>
      </c>
      <c r="AE21" s="360">
        <v>81.739999999999995</v>
      </c>
      <c r="AF21" s="360">
        <v>1700</v>
      </c>
      <c r="AG21" s="360">
        <v>0</v>
      </c>
      <c r="AH21" s="360">
        <v>0</v>
      </c>
      <c r="AI21" s="360">
        <v>75.72</v>
      </c>
      <c r="AJ21" s="360">
        <v>60</v>
      </c>
      <c r="AK21" s="360">
        <v>81.23</v>
      </c>
      <c r="AL21" s="360">
        <v>1516</v>
      </c>
      <c r="AM21" s="360">
        <v>89.79</v>
      </c>
      <c r="AN21" s="360">
        <v>115</v>
      </c>
      <c r="AO21" s="360">
        <v>106.48</v>
      </c>
      <c r="AP21" s="360">
        <v>9</v>
      </c>
      <c r="AQ21" s="360">
        <v>0</v>
      </c>
      <c r="AR21" s="360">
        <v>0</v>
      </c>
      <c r="AS21" s="360">
        <v>0</v>
      </c>
      <c r="AT21" s="360">
        <v>0</v>
      </c>
      <c r="AU21" s="360">
        <v>0</v>
      </c>
      <c r="AV21" s="360">
        <v>0</v>
      </c>
      <c r="AW21" s="360">
        <v>0</v>
      </c>
      <c r="AX21" s="360">
        <v>0</v>
      </c>
      <c r="AY21" s="360">
        <v>0</v>
      </c>
      <c r="AZ21" s="360">
        <v>0</v>
      </c>
      <c r="BA21" s="360">
        <v>0</v>
      </c>
      <c r="BB21" s="360">
        <v>0</v>
      </c>
      <c r="BC21" s="360">
        <v>0</v>
      </c>
      <c r="BD21" s="360">
        <v>0</v>
      </c>
      <c r="BE21" s="360">
        <v>0</v>
      </c>
      <c r="BF21" s="360">
        <v>0</v>
      </c>
      <c r="BG21" s="360">
        <v>0</v>
      </c>
      <c r="BH21" s="360">
        <v>0</v>
      </c>
      <c r="BI21" s="360">
        <v>0</v>
      </c>
      <c r="BJ21" s="360">
        <v>0</v>
      </c>
      <c r="BK21" s="360">
        <v>0</v>
      </c>
      <c r="BL21" s="360">
        <v>0</v>
      </c>
      <c r="BM21" s="360">
        <v>0</v>
      </c>
      <c r="BN21" s="360">
        <v>0</v>
      </c>
      <c r="BO21" s="360">
        <v>0</v>
      </c>
      <c r="BP21" s="360">
        <v>0</v>
      </c>
      <c r="BQ21" s="360">
        <v>0</v>
      </c>
      <c r="BR21" s="360">
        <v>0</v>
      </c>
      <c r="BS21" s="360">
        <v>0</v>
      </c>
      <c r="BT21" s="360">
        <v>0</v>
      </c>
      <c r="BU21" s="360">
        <v>0</v>
      </c>
      <c r="BV21" s="360">
        <v>0</v>
      </c>
      <c r="BW21" s="360">
        <v>0</v>
      </c>
      <c r="BX21" s="360">
        <v>0</v>
      </c>
      <c r="BY21" s="360">
        <v>0</v>
      </c>
      <c r="BZ21" s="360">
        <v>0</v>
      </c>
      <c r="CA21" s="360">
        <v>0</v>
      </c>
      <c r="CB21" s="360">
        <v>0</v>
      </c>
      <c r="CC21" s="360">
        <v>210</v>
      </c>
      <c r="CD21" s="360" t="s">
        <v>98</v>
      </c>
    </row>
    <row r="22" spans="1:82" x14ac:dyDescent="0.35">
      <c r="A22" s="360" t="s">
        <v>99</v>
      </c>
      <c r="B22" s="360" t="s">
        <v>100</v>
      </c>
      <c r="C22" s="360" t="s">
        <v>66</v>
      </c>
      <c r="D22" s="360" t="s">
        <v>77</v>
      </c>
      <c r="E22" s="360">
        <v>6539</v>
      </c>
      <c r="F22" s="360">
        <v>6449</v>
      </c>
      <c r="G22" s="360">
        <v>0</v>
      </c>
      <c r="H22" s="360">
        <v>90</v>
      </c>
      <c r="I22" s="360">
        <v>77.930000000000007</v>
      </c>
      <c r="J22" s="360">
        <v>6342</v>
      </c>
      <c r="K22" s="360">
        <v>77.930000000000007</v>
      </c>
      <c r="L22" s="360">
        <v>6342</v>
      </c>
      <c r="M22" s="360">
        <v>0</v>
      </c>
      <c r="N22" s="360">
        <v>0</v>
      </c>
      <c r="O22" s="360">
        <v>59.87</v>
      </c>
      <c r="P22" s="360">
        <v>53</v>
      </c>
      <c r="Q22" s="360">
        <v>69.22</v>
      </c>
      <c r="R22" s="360">
        <v>1635</v>
      </c>
      <c r="S22" s="360">
        <v>78.86</v>
      </c>
      <c r="T22" s="360">
        <v>2607</v>
      </c>
      <c r="U22" s="360">
        <v>83.74</v>
      </c>
      <c r="V22" s="360">
        <v>1934</v>
      </c>
      <c r="W22" s="360">
        <v>91.23</v>
      </c>
      <c r="X22" s="360">
        <v>110</v>
      </c>
      <c r="Y22" s="360">
        <v>101.67</v>
      </c>
      <c r="Z22" s="360">
        <v>2</v>
      </c>
      <c r="AA22" s="360">
        <v>109.74</v>
      </c>
      <c r="AB22" s="360">
        <v>1</v>
      </c>
      <c r="AC22" s="360">
        <v>67.900000000000006</v>
      </c>
      <c r="AD22" s="360">
        <v>48</v>
      </c>
      <c r="AE22" s="360">
        <v>67.900000000000006</v>
      </c>
      <c r="AF22" s="360">
        <v>48</v>
      </c>
      <c r="AG22" s="360">
        <v>0</v>
      </c>
      <c r="AH22" s="360">
        <v>0</v>
      </c>
      <c r="AI22" s="360">
        <v>0</v>
      </c>
      <c r="AJ22" s="360">
        <v>0</v>
      </c>
      <c r="AK22" s="360">
        <v>67.040000000000006</v>
      </c>
      <c r="AL22" s="360">
        <v>39</v>
      </c>
      <c r="AM22" s="360">
        <v>71.64</v>
      </c>
      <c r="AN22" s="360">
        <v>9</v>
      </c>
      <c r="AO22" s="360">
        <v>0</v>
      </c>
      <c r="AP22" s="360">
        <v>0</v>
      </c>
      <c r="AQ22" s="360">
        <v>0</v>
      </c>
      <c r="AR22" s="360">
        <v>0</v>
      </c>
      <c r="AS22" s="360">
        <v>92.23</v>
      </c>
      <c r="AT22" s="360">
        <v>107</v>
      </c>
      <c r="AU22" s="360">
        <v>92.23</v>
      </c>
      <c r="AV22" s="360">
        <v>107</v>
      </c>
      <c r="AW22" s="360">
        <v>0</v>
      </c>
      <c r="AX22" s="360">
        <v>0</v>
      </c>
      <c r="AY22" s="360">
        <v>0</v>
      </c>
      <c r="AZ22" s="360">
        <v>0</v>
      </c>
      <c r="BA22" s="360">
        <v>78.98</v>
      </c>
      <c r="BB22" s="360">
        <v>15</v>
      </c>
      <c r="BC22" s="360">
        <v>88.47</v>
      </c>
      <c r="BD22" s="360">
        <v>40</v>
      </c>
      <c r="BE22" s="360">
        <v>97.63</v>
      </c>
      <c r="BF22" s="360">
        <v>43</v>
      </c>
      <c r="BG22" s="360">
        <v>102.69</v>
      </c>
      <c r="BH22" s="360">
        <v>8</v>
      </c>
      <c r="BI22" s="360">
        <v>126.34</v>
      </c>
      <c r="BJ22" s="360">
        <v>1</v>
      </c>
      <c r="BK22" s="360">
        <v>0</v>
      </c>
      <c r="BL22" s="360">
        <v>0</v>
      </c>
      <c r="BM22" s="360">
        <v>179.05</v>
      </c>
      <c r="BN22" s="360">
        <v>42</v>
      </c>
      <c r="BO22" s="360">
        <v>179.05</v>
      </c>
      <c r="BP22" s="360">
        <v>42</v>
      </c>
      <c r="BQ22" s="360">
        <v>0</v>
      </c>
      <c r="BR22" s="360">
        <v>0</v>
      </c>
      <c r="BS22" s="360">
        <v>0</v>
      </c>
      <c r="BT22" s="360">
        <v>0</v>
      </c>
      <c r="BU22" s="360">
        <v>170.76</v>
      </c>
      <c r="BV22" s="360">
        <v>28</v>
      </c>
      <c r="BW22" s="360">
        <v>195.63</v>
      </c>
      <c r="BX22" s="360">
        <v>14</v>
      </c>
      <c r="BY22" s="360">
        <v>0</v>
      </c>
      <c r="BZ22" s="360">
        <v>0</v>
      </c>
      <c r="CA22" s="360">
        <v>0</v>
      </c>
      <c r="CB22" s="360">
        <v>0</v>
      </c>
      <c r="CC22" s="360">
        <v>0</v>
      </c>
      <c r="CD22" s="360" t="s">
        <v>101</v>
      </c>
    </row>
    <row r="23" spans="1:82" x14ac:dyDescent="0.35">
      <c r="A23" s="360" t="s">
        <v>776</v>
      </c>
      <c r="B23" s="360" t="s">
        <v>777</v>
      </c>
      <c r="C23" s="360" t="s">
        <v>72</v>
      </c>
      <c r="D23" s="360" t="s">
        <v>77</v>
      </c>
      <c r="E23" s="360">
        <v>36</v>
      </c>
      <c r="F23" s="360">
        <v>7</v>
      </c>
      <c r="G23" s="360">
        <v>0</v>
      </c>
      <c r="H23" s="360">
        <v>27</v>
      </c>
      <c r="I23" s="360">
        <v>103.52</v>
      </c>
      <c r="J23" s="360">
        <v>7</v>
      </c>
      <c r="K23" s="360">
        <v>103.52</v>
      </c>
      <c r="L23" s="360">
        <v>7</v>
      </c>
      <c r="M23" s="360">
        <v>0</v>
      </c>
      <c r="N23" s="360">
        <v>0</v>
      </c>
      <c r="O23" s="360">
        <v>0</v>
      </c>
      <c r="P23" s="360">
        <v>0</v>
      </c>
      <c r="Q23" s="360">
        <v>95.1</v>
      </c>
      <c r="R23" s="360">
        <v>5</v>
      </c>
      <c r="S23" s="360">
        <v>124.58</v>
      </c>
      <c r="T23" s="360">
        <v>2</v>
      </c>
      <c r="U23" s="360">
        <v>0</v>
      </c>
      <c r="V23" s="360">
        <v>0</v>
      </c>
      <c r="W23" s="360">
        <v>0</v>
      </c>
      <c r="X23" s="360">
        <v>0</v>
      </c>
      <c r="Y23" s="360">
        <v>0</v>
      </c>
      <c r="Z23" s="360">
        <v>0</v>
      </c>
      <c r="AA23" s="360">
        <v>0</v>
      </c>
      <c r="AB23" s="360">
        <v>0</v>
      </c>
      <c r="AC23" s="360">
        <v>0</v>
      </c>
      <c r="AD23" s="360">
        <v>0</v>
      </c>
      <c r="AE23" s="360">
        <v>0</v>
      </c>
      <c r="AF23" s="360">
        <v>0</v>
      </c>
      <c r="AG23" s="360">
        <v>0</v>
      </c>
      <c r="AH23" s="360">
        <v>0</v>
      </c>
      <c r="AI23" s="360">
        <v>0</v>
      </c>
      <c r="AJ23" s="360">
        <v>0</v>
      </c>
      <c r="AK23" s="360">
        <v>0</v>
      </c>
      <c r="AL23" s="360">
        <v>0</v>
      </c>
      <c r="AM23" s="360">
        <v>0</v>
      </c>
      <c r="AN23" s="360">
        <v>0</v>
      </c>
      <c r="AO23" s="360">
        <v>0</v>
      </c>
      <c r="AP23" s="360">
        <v>0</v>
      </c>
      <c r="AQ23" s="360">
        <v>0</v>
      </c>
      <c r="AR23" s="360">
        <v>0</v>
      </c>
      <c r="AS23" s="360">
        <v>0</v>
      </c>
      <c r="AT23" s="360">
        <v>0</v>
      </c>
      <c r="AU23" s="360">
        <v>0</v>
      </c>
      <c r="AV23" s="360">
        <v>0</v>
      </c>
      <c r="AW23" s="360">
        <v>0</v>
      </c>
      <c r="AX23" s="360">
        <v>0</v>
      </c>
      <c r="AY23" s="360">
        <v>0</v>
      </c>
      <c r="AZ23" s="360">
        <v>0</v>
      </c>
      <c r="BA23" s="360">
        <v>0</v>
      </c>
      <c r="BB23" s="360">
        <v>0</v>
      </c>
      <c r="BC23" s="360">
        <v>0</v>
      </c>
      <c r="BD23" s="360">
        <v>0</v>
      </c>
      <c r="BE23" s="360">
        <v>0</v>
      </c>
      <c r="BF23" s="360">
        <v>0</v>
      </c>
      <c r="BG23" s="360">
        <v>0</v>
      </c>
      <c r="BH23" s="360">
        <v>0</v>
      </c>
      <c r="BI23" s="360">
        <v>0</v>
      </c>
      <c r="BJ23" s="360">
        <v>0</v>
      </c>
      <c r="BK23" s="360">
        <v>0</v>
      </c>
      <c r="BL23" s="360">
        <v>0</v>
      </c>
      <c r="BM23" s="360">
        <v>266.14</v>
      </c>
      <c r="BN23" s="360">
        <v>27</v>
      </c>
      <c r="BO23" s="360">
        <v>289.44</v>
      </c>
      <c r="BP23" s="360">
        <v>22</v>
      </c>
      <c r="BQ23" s="360">
        <v>163.66</v>
      </c>
      <c r="BR23" s="360">
        <v>5</v>
      </c>
      <c r="BS23" s="360">
        <v>0</v>
      </c>
      <c r="BT23" s="360">
        <v>0</v>
      </c>
      <c r="BU23" s="360">
        <v>289.44</v>
      </c>
      <c r="BV23" s="360">
        <v>22</v>
      </c>
      <c r="BW23" s="360">
        <v>0</v>
      </c>
      <c r="BX23" s="360">
        <v>0</v>
      </c>
      <c r="BY23" s="360">
        <v>0</v>
      </c>
      <c r="BZ23" s="360">
        <v>0</v>
      </c>
      <c r="CA23" s="360">
        <v>0</v>
      </c>
      <c r="CB23" s="360">
        <v>0</v>
      </c>
      <c r="CC23" s="360">
        <v>2</v>
      </c>
      <c r="CD23" s="360" t="s">
        <v>778</v>
      </c>
    </row>
    <row r="24" spans="1:82" x14ac:dyDescent="0.35">
      <c r="A24" s="360" t="s">
        <v>779</v>
      </c>
      <c r="B24" s="360" t="s">
        <v>780</v>
      </c>
      <c r="C24" s="360" t="s">
        <v>67</v>
      </c>
      <c r="D24" s="360" t="s">
        <v>77</v>
      </c>
      <c r="E24" s="360">
        <v>20</v>
      </c>
      <c r="F24" s="360">
        <v>0</v>
      </c>
      <c r="G24" s="360">
        <v>0</v>
      </c>
      <c r="H24" s="360">
        <v>20</v>
      </c>
      <c r="I24" s="360">
        <v>0</v>
      </c>
      <c r="J24" s="360">
        <v>0</v>
      </c>
      <c r="K24" s="360">
        <v>0</v>
      </c>
      <c r="L24" s="360">
        <v>0</v>
      </c>
      <c r="M24" s="360">
        <v>0</v>
      </c>
      <c r="N24" s="360">
        <v>0</v>
      </c>
      <c r="O24" s="360">
        <v>0</v>
      </c>
      <c r="P24" s="360">
        <v>0</v>
      </c>
      <c r="Q24" s="360">
        <v>0</v>
      </c>
      <c r="R24" s="360">
        <v>0</v>
      </c>
      <c r="S24" s="360">
        <v>0</v>
      </c>
      <c r="T24" s="360">
        <v>0</v>
      </c>
      <c r="U24" s="360">
        <v>0</v>
      </c>
      <c r="V24" s="360">
        <v>0</v>
      </c>
      <c r="W24" s="360">
        <v>0</v>
      </c>
      <c r="X24" s="360">
        <v>0</v>
      </c>
      <c r="Y24" s="360">
        <v>0</v>
      </c>
      <c r="Z24" s="360">
        <v>0</v>
      </c>
      <c r="AA24" s="360">
        <v>0</v>
      </c>
      <c r="AB24" s="360">
        <v>0</v>
      </c>
      <c r="AC24" s="360">
        <v>0</v>
      </c>
      <c r="AD24" s="360">
        <v>0</v>
      </c>
      <c r="AE24" s="360">
        <v>0</v>
      </c>
      <c r="AF24" s="360">
        <v>0</v>
      </c>
      <c r="AG24" s="360">
        <v>0</v>
      </c>
      <c r="AH24" s="360">
        <v>0</v>
      </c>
      <c r="AI24" s="360">
        <v>0</v>
      </c>
      <c r="AJ24" s="360">
        <v>0</v>
      </c>
      <c r="AK24" s="360">
        <v>0</v>
      </c>
      <c r="AL24" s="360">
        <v>0</v>
      </c>
      <c r="AM24" s="360">
        <v>0</v>
      </c>
      <c r="AN24" s="360">
        <v>0</v>
      </c>
      <c r="AO24" s="360">
        <v>0</v>
      </c>
      <c r="AP24" s="360">
        <v>0</v>
      </c>
      <c r="AQ24" s="360">
        <v>0</v>
      </c>
      <c r="AR24" s="360">
        <v>0</v>
      </c>
      <c r="AS24" s="360">
        <v>0</v>
      </c>
      <c r="AT24" s="360">
        <v>0</v>
      </c>
      <c r="AU24" s="360">
        <v>0</v>
      </c>
      <c r="AV24" s="360">
        <v>0</v>
      </c>
      <c r="AW24" s="360">
        <v>0</v>
      </c>
      <c r="AX24" s="360">
        <v>0</v>
      </c>
      <c r="AY24" s="360">
        <v>0</v>
      </c>
      <c r="AZ24" s="360">
        <v>0</v>
      </c>
      <c r="BA24" s="360">
        <v>0</v>
      </c>
      <c r="BB24" s="360">
        <v>0</v>
      </c>
      <c r="BC24" s="360">
        <v>0</v>
      </c>
      <c r="BD24" s="360">
        <v>0</v>
      </c>
      <c r="BE24" s="360">
        <v>0</v>
      </c>
      <c r="BF24" s="360">
        <v>0</v>
      </c>
      <c r="BG24" s="360">
        <v>0</v>
      </c>
      <c r="BH24" s="360">
        <v>0</v>
      </c>
      <c r="BI24" s="360">
        <v>0</v>
      </c>
      <c r="BJ24" s="360">
        <v>0</v>
      </c>
      <c r="BK24" s="360">
        <v>0</v>
      </c>
      <c r="BL24" s="360">
        <v>0</v>
      </c>
      <c r="BM24" s="360">
        <v>155</v>
      </c>
      <c r="BN24" s="360">
        <v>20</v>
      </c>
      <c r="BO24" s="360">
        <v>155</v>
      </c>
      <c r="BP24" s="360">
        <v>20</v>
      </c>
      <c r="BQ24" s="360">
        <v>0</v>
      </c>
      <c r="BR24" s="360">
        <v>0</v>
      </c>
      <c r="BS24" s="360">
        <v>0</v>
      </c>
      <c r="BT24" s="360">
        <v>0</v>
      </c>
      <c r="BU24" s="360">
        <v>155</v>
      </c>
      <c r="BV24" s="360">
        <v>20</v>
      </c>
      <c r="BW24" s="360">
        <v>0</v>
      </c>
      <c r="BX24" s="360">
        <v>0</v>
      </c>
      <c r="BY24" s="360">
        <v>0</v>
      </c>
      <c r="BZ24" s="360">
        <v>0</v>
      </c>
      <c r="CA24" s="360">
        <v>0</v>
      </c>
      <c r="CB24" s="360">
        <v>0</v>
      </c>
      <c r="CC24" s="360">
        <v>0</v>
      </c>
      <c r="CD24" s="360" t="s">
        <v>781</v>
      </c>
    </row>
    <row r="25" spans="1:82" x14ac:dyDescent="0.35">
      <c r="A25" s="360" t="s">
        <v>104</v>
      </c>
      <c r="B25" s="360" t="s">
        <v>105</v>
      </c>
      <c r="C25" s="360" t="s">
        <v>73</v>
      </c>
      <c r="D25" s="360" t="s">
        <v>77</v>
      </c>
      <c r="E25" s="360">
        <v>59175</v>
      </c>
      <c r="F25" s="360">
        <v>53411</v>
      </c>
      <c r="G25" s="360">
        <v>803</v>
      </c>
      <c r="H25" s="360">
        <v>4885</v>
      </c>
      <c r="I25" s="360">
        <v>85.92</v>
      </c>
      <c r="J25" s="360">
        <v>52343</v>
      </c>
      <c r="K25" s="360">
        <v>86.64</v>
      </c>
      <c r="L25" s="360">
        <v>51540</v>
      </c>
      <c r="M25" s="360">
        <v>40.229999999999997</v>
      </c>
      <c r="N25" s="360">
        <v>803</v>
      </c>
      <c r="O25" s="360">
        <v>65.58</v>
      </c>
      <c r="P25" s="360">
        <v>676</v>
      </c>
      <c r="Q25" s="360">
        <v>73.959999999999994</v>
      </c>
      <c r="R25" s="360">
        <v>14032</v>
      </c>
      <c r="S25" s="360">
        <v>83.86</v>
      </c>
      <c r="T25" s="360">
        <v>16492</v>
      </c>
      <c r="U25" s="360">
        <v>97.35</v>
      </c>
      <c r="V25" s="360">
        <v>18737</v>
      </c>
      <c r="W25" s="360">
        <v>108.09</v>
      </c>
      <c r="X25" s="360">
        <v>1468</v>
      </c>
      <c r="Y25" s="360">
        <v>129.66999999999999</v>
      </c>
      <c r="Z25" s="360">
        <v>121</v>
      </c>
      <c r="AA25" s="360">
        <v>134.79</v>
      </c>
      <c r="AB25" s="360">
        <v>14</v>
      </c>
      <c r="AC25" s="360">
        <v>76.22</v>
      </c>
      <c r="AD25" s="360">
        <v>4881</v>
      </c>
      <c r="AE25" s="360">
        <v>76.22</v>
      </c>
      <c r="AF25" s="360">
        <v>4881</v>
      </c>
      <c r="AG25" s="360">
        <v>0</v>
      </c>
      <c r="AH25" s="360">
        <v>0</v>
      </c>
      <c r="AI25" s="360">
        <v>66.44</v>
      </c>
      <c r="AJ25" s="360">
        <v>28</v>
      </c>
      <c r="AK25" s="360">
        <v>75.150000000000006</v>
      </c>
      <c r="AL25" s="360">
        <v>3583</v>
      </c>
      <c r="AM25" s="360">
        <v>79.349999999999994</v>
      </c>
      <c r="AN25" s="360">
        <v>1262</v>
      </c>
      <c r="AO25" s="360">
        <v>97.2</v>
      </c>
      <c r="AP25" s="360">
        <v>8</v>
      </c>
      <c r="AQ25" s="360">
        <v>0</v>
      </c>
      <c r="AR25" s="360">
        <v>0</v>
      </c>
      <c r="AS25" s="360">
        <v>108.95</v>
      </c>
      <c r="AT25" s="360">
        <v>1871</v>
      </c>
      <c r="AU25" s="360">
        <v>108.95</v>
      </c>
      <c r="AV25" s="360">
        <v>1871</v>
      </c>
      <c r="AW25" s="360">
        <v>0</v>
      </c>
      <c r="AX25" s="360">
        <v>0</v>
      </c>
      <c r="AY25" s="360">
        <v>0</v>
      </c>
      <c r="AZ25" s="360">
        <v>0</v>
      </c>
      <c r="BA25" s="360">
        <v>87.09</v>
      </c>
      <c r="BB25" s="360">
        <v>35</v>
      </c>
      <c r="BC25" s="360">
        <v>98.75</v>
      </c>
      <c r="BD25" s="360">
        <v>781</v>
      </c>
      <c r="BE25" s="360">
        <v>111.05</v>
      </c>
      <c r="BF25" s="360">
        <v>784</v>
      </c>
      <c r="BG25" s="360">
        <v>133.27000000000001</v>
      </c>
      <c r="BH25" s="360">
        <v>241</v>
      </c>
      <c r="BI25" s="360">
        <v>150.15</v>
      </c>
      <c r="BJ25" s="360">
        <v>30</v>
      </c>
      <c r="BK25" s="360">
        <v>0</v>
      </c>
      <c r="BL25" s="360">
        <v>0</v>
      </c>
      <c r="BM25" s="360">
        <v>116.21</v>
      </c>
      <c r="BN25" s="360">
        <v>4</v>
      </c>
      <c r="BO25" s="360">
        <v>116.21</v>
      </c>
      <c r="BP25" s="360">
        <v>4</v>
      </c>
      <c r="BQ25" s="360">
        <v>0</v>
      </c>
      <c r="BR25" s="360">
        <v>0</v>
      </c>
      <c r="BS25" s="360">
        <v>0</v>
      </c>
      <c r="BT25" s="360">
        <v>0</v>
      </c>
      <c r="BU25" s="360">
        <v>0</v>
      </c>
      <c r="BV25" s="360">
        <v>0</v>
      </c>
      <c r="BW25" s="360">
        <v>116.21</v>
      </c>
      <c r="BX25" s="360">
        <v>4</v>
      </c>
      <c r="BY25" s="360">
        <v>0</v>
      </c>
      <c r="BZ25" s="360">
        <v>0</v>
      </c>
      <c r="CA25" s="360">
        <v>0</v>
      </c>
      <c r="CB25" s="360">
        <v>0</v>
      </c>
      <c r="CC25" s="360">
        <v>76</v>
      </c>
      <c r="CD25" s="360" t="s">
        <v>106</v>
      </c>
    </row>
    <row r="26" spans="1:82" x14ac:dyDescent="0.35">
      <c r="A26" s="360" t="s">
        <v>782</v>
      </c>
      <c r="B26" s="360" t="s">
        <v>107</v>
      </c>
      <c r="C26" s="360" t="s">
        <v>70</v>
      </c>
      <c r="D26" s="360" t="s">
        <v>77</v>
      </c>
      <c r="E26" s="360">
        <v>4774</v>
      </c>
      <c r="F26" s="360">
        <v>3938</v>
      </c>
      <c r="G26" s="360">
        <v>0</v>
      </c>
      <c r="H26" s="360">
        <v>836</v>
      </c>
      <c r="I26" s="360">
        <v>74.25</v>
      </c>
      <c r="J26" s="360">
        <v>3373</v>
      </c>
      <c r="K26" s="360">
        <v>74.25</v>
      </c>
      <c r="L26" s="360">
        <v>3373</v>
      </c>
      <c r="M26" s="360">
        <v>0</v>
      </c>
      <c r="N26" s="360">
        <v>0</v>
      </c>
      <c r="O26" s="360">
        <v>56.01</v>
      </c>
      <c r="P26" s="360">
        <v>13</v>
      </c>
      <c r="Q26" s="360">
        <v>67.38</v>
      </c>
      <c r="R26" s="360">
        <v>1593</v>
      </c>
      <c r="S26" s="360">
        <v>75.959999999999994</v>
      </c>
      <c r="T26" s="360">
        <v>785</v>
      </c>
      <c r="U26" s="360">
        <v>83.2</v>
      </c>
      <c r="V26" s="360">
        <v>902</v>
      </c>
      <c r="W26" s="360">
        <v>95.83</v>
      </c>
      <c r="X26" s="360">
        <v>77</v>
      </c>
      <c r="Y26" s="360">
        <v>115.38</v>
      </c>
      <c r="Z26" s="360">
        <v>1</v>
      </c>
      <c r="AA26" s="360">
        <v>119.25</v>
      </c>
      <c r="AB26" s="360">
        <v>2</v>
      </c>
      <c r="AC26" s="360">
        <v>69.7</v>
      </c>
      <c r="AD26" s="360">
        <v>805</v>
      </c>
      <c r="AE26" s="360">
        <v>69.58</v>
      </c>
      <c r="AF26" s="360">
        <v>737</v>
      </c>
      <c r="AG26" s="360">
        <v>70.97</v>
      </c>
      <c r="AH26" s="360">
        <v>68</v>
      </c>
      <c r="AI26" s="360">
        <v>58.13</v>
      </c>
      <c r="AJ26" s="360">
        <v>42</v>
      </c>
      <c r="AK26" s="360">
        <v>70.02</v>
      </c>
      <c r="AL26" s="360">
        <v>655</v>
      </c>
      <c r="AM26" s="360">
        <v>74.34</v>
      </c>
      <c r="AN26" s="360">
        <v>39</v>
      </c>
      <c r="AO26" s="360">
        <v>82.43</v>
      </c>
      <c r="AP26" s="360">
        <v>1</v>
      </c>
      <c r="AQ26" s="360">
        <v>0</v>
      </c>
      <c r="AR26" s="360">
        <v>0</v>
      </c>
      <c r="AS26" s="360">
        <v>99.4</v>
      </c>
      <c r="AT26" s="360">
        <v>565</v>
      </c>
      <c r="AU26" s="360">
        <v>99.4</v>
      </c>
      <c r="AV26" s="360">
        <v>565</v>
      </c>
      <c r="AW26" s="360">
        <v>0</v>
      </c>
      <c r="AX26" s="360">
        <v>0</v>
      </c>
      <c r="AY26" s="360">
        <v>0</v>
      </c>
      <c r="AZ26" s="360">
        <v>0</v>
      </c>
      <c r="BA26" s="360">
        <v>81.78</v>
      </c>
      <c r="BB26" s="360">
        <v>243</v>
      </c>
      <c r="BC26" s="360">
        <v>106.44</v>
      </c>
      <c r="BD26" s="360">
        <v>174</v>
      </c>
      <c r="BE26" s="360">
        <v>117.8</v>
      </c>
      <c r="BF26" s="360">
        <v>133</v>
      </c>
      <c r="BG26" s="360">
        <v>140.13</v>
      </c>
      <c r="BH26" s="360">
        <v>15</v>
      </c>
      <c r="BI26" s="360">
        <v>0</v>
      </c>
      <c r="BJ26" s="360">
        <v>0</v>
      </c>
      <c r="BK26" s="360">
        <v>0</v>
      </c>
      <c r="BL26" s="360">
        <v>0</v>
      </c>
      <c r="BM26" s="360">
        <v>84.93</v>
      </c>
      <c r="BN26" s="360">
        <v>31</v>
      </c>
      <c r="BO26" s="360">
        <v>84.93</v>
      </c>
      <c r="BP26" s="360">
        <v>31</v>
      </c>
      <c r="BQ26" s="360">
        <v>0</v>
      </c>
      <c r="BR26" s="360">
        <v>0</v>
      </c>
      <c r="BS26" s="360">
        <v>0</v>
      </c>
      <c r="BT26" s="360">
        <v>0</v>
      </c>
      <c r="BU26" s="360">
        <v>84.93</v>
      </c>
      <c r="BV26" s="360">
        <v>31</v>
      </c>
      <c r="BW26" s="360">
        <v>0</v>
      </c>
      <c r="BX26" s="360">
        <v>0</v>
      </c>
      <c r="BY26" s="360">
        <v>0</v>
      </c>
      <c r="BZ26" s="360">
        <v>0</v>
      </c>
      <c r="CA26" s="360">
        <v>0</v>
      </c>
      <c r="CB26" s="360">
        <v>0</v>
      </c>
      <c r="CC26" s="360">
        <v>0</v>
      </c>
      <c r="CD26" s="360" t="s">
        <v>108</v>
      </c>
    </row>
    <row r="27" spans="1:82" x14ac:dyDescent="0.35">
      <c r="A27" s="360" t="s">
        <v>109</v>
      </c>
      <c r="B27" s="360" t="s">
        <v>110</v>
      </c>
      <c r="C27" s="360" t="s">
        <v>66</v>
      </c>
      <c r="D27" s="360" t="s">
        <v>77</v>
      </c>
      <c r="E27" s="360">
        <v>5003</v>
      </c>
      <c r="F27" s="360">
        <v>2681</v>
      </c>
      <c r="G27" s="360">
        <v>0</v>
      </c>
      <c r="H27" s="360">
        <v>2322</v>
      </c>
      <c r="I27" s="360">
        <v>85.63</v>
      </c>
      <c r="J27" s="360">
        <v>2520</v>
      </c>
      <c r="K27" s="360">
        <v>85.63</v>
      </c>
      <c r="L27" s="360">
        <v>2520</v>
      </c>
      <c r="M27" s="360">
        <v>0</v>
      </c>
      <c r="N27" s="360">
        <v>0</v>
      </c>
      <c r="O27" s="360">
        <v>61.07</v>
      </c>
      <c r="P27" s="360">
        <v>4</v>
      </c>
      <c r="Q27" s="360">
        <v>69.650000000000006</v>
      </c>
      <c r="R27" s="360">
        <v>107</v>
      </c>
      <c r="S27" s="360">
        <v>80.97</v>
      </c>
      <c r="T27" s="360">
        <v>880</v>
      </c>
      <c r="U27" s="360">
        <v>89.38</v>
      </c>
      <c r="V27" s="360">
        <v>1495</v>
      </c>
      <c r="W27" s="360">
        <v>94.6</v>
      </c>
      <c r="X27" s="360">
        <v>34</v>
      </c>
      <c r="Y27" s="360">
        <v>0</v>
      </c>
      <c r="Z27" s="360">
        <v>0</v>
      </c>
      <c r="AA27" s="360">
        <v>0</v>
      </c>
      <c r="AB27" s="360">
        <v>0</v>
      </c>
      <c r="AC27" s="360">
        <v>82.56</v>
      </c>
      <c r="AD27" s="360">
        <v>2238</v>
      </c>
      <c r="AE27" s="360">
        <v>82.56</v>
      </c>
      <c r="AF27" s="360">
        <v>2238</v>
      </c>
      <c r="AG27" s="360">
        <v>0</v>
      </c>
      <c r="AH27" s="360">
        <v>0</v>
      </c>
      <c r="AI27" s="360">
        <v>63.42</v>
      </c>
      <c r="AJ27" s="360">
        <v>87</v>
      </c>
      <c r="AK27" s="360">
        <v>74.069999999999993</v>
      </c>
      <c r="AL27" s="360">
        <v>423</v>
      </c>
      <c r="AM27" s="360">
        <v>85.44</v>
      </c>
      <c r="AN27" s="360">
        <v>1711</v>
      </c>
      <c r="AO27" s="360">
        <v>102.59</v>
      </c>
      <c r="AP27" s="360">
        <v>17</v>
      </c>
      <c r="AQ27" s="360">
        <v>0</v>
      </c>
      <c r="AR27" s="360">
        <v>0</v>
      </c>
      <c r="AS27" s="360">
        <v>113.83</v>
      </c>
      <c r="AT27" s="360">
        <v>161</v>
      </c>
      <c r="AU27" s="360">
        <v>113.83</v>
      </c>
      <c r="AV27" s="360">
        <v>161</v>
      </c>
      <c r="AW27" s="360">
        <v>0</v>
      </c>
      <c r="AX27" s="360">
        <v>0</v>
      </c>
      <c r="AY27" s="360">
        <v>0</v>
      </c>
      <c r="AZ27" s="360">
        <v>0</v>
      </c>
      <c r="BA27" s="360">
        <v>89.46</v>
      </c>
      <c r="BB27" s="360">
        <v>10</v>
      </c>
      <c r="BC27" s="360">
        <v>109.23</v>
      </c>
      <c r="BD27" s="360">
        <v>116</v>
      </c>
      <c r="BE27" s="360">
        <v>126.35</v>
      </c>
      <c r="BF27" s="360">
        <v>28</v>
      </c>
      <c r="BG27" s="360">
        <v>175.01</v>
      </c>
      <c r="BH27" s="360">
        <v>7</v>
      </c>
      <c r="BI27" s="360">
        <v>0</v>
      </c>
      <c r="BJ27" s="360">
        <v>0</v>
      </c>
      <c r="BK27" s="360">
        <v>0</v>
      </c>
      <c r="BL27" s="360">
        <v>0</v>
      </c>
      <c r="BM27" s="360">
        <v>107.55</v>
      </c>
      <c r="BN27" s="360">
        <v>84</v>
      </c>
      <c r="BO27" s="360">
        <v>107.55</v>
      </c>
      <c r="BP27" s="360">
        <v>84</v>
      </c>
      <c r="BQ27" s="360">
        <v>0</v>
      </c>
      <c r="BR27" s="360">
        <v>0</v>
      </c>
      <c r="BS27" s="360">
        <v>0</v>
      </c>
      <c r="BT27" s="360">
        <v>0</v>
      </c>
      <c r="BU27" s="360">
        <v>0</v>
      </c>
      <c r="BV27" s="360">
        <v>0</v>
      </c>
      <c r="BW27" s="360">
        <v>106.62</v>
      </c>
      <c r="BX27" s="360">
        <v>81</v>
      </c>
      <c r="BY27" s="360">
        <v>132.69</v>
      </c>
      <c r="BZ27" s="360">
        <v>3</v>
      </c>
      <c r="CA27" s="360">
        <v>0</v>
      </c>
      <c r="CB27" s="360">
        <v>0</v>
      </c>
      <c r="CC27" s="360">
        <v>0</v>
      </c>
      <c r="CD27" s="360" t="s">
        <v>111</v>
      </c>
    </row>
    <row r="28" spans="1:82" x14ac:dyDescent="0.35">
      <c r="A28" s="360" t="s">
        <v>783</v>
      </c>
      <c r="B28" s="360" t="s">
        <v>102</v>
      </c>
      <c r="C28" s="360" t="s">
        <v>72</v>
      </c>
      <c r="D28" s="360" t="s">
        <v>77</v>
      </c>
      <c r="E28" s="360">
        <v>9565</v>
      </c>
      <c r="F28" s="360">
        <v>7389</v>
      </c>
      <c r="G28" s="360">
        <v>0</v>
      </c>
      <c r="H28" s="360">
        <v>2143</v>
      </c>
      <c r="I28" s="360">
        <v>92.16</v>
      </c>
      <c r="J28" s="360">
        <v>7141</v>
      </c>
      <c r="K28" s="360">
        <v>92.16</v>
      </c>
      <c r="L28" s="360">
        <v>7141</v>
      </c>
      <c r="M28" s="362">
        <v>0</v>
      </c>
      <c r="N28" s="360">
        <v>0</v>
      </c>
      <c r="O28" s="360">
        <v>68.17</v>
      </c>
      <c r="P28" s="360">
        <v>219</v>
      </c>
      <c r="Q28" s="360">
        <v>79.48</v>
      </c>
      <c r="R28" s="360">
        <v>1728</v>
      </c>
      <c r="S28" s="360">
        <v>91.57</v>
      </c>
      <c r="T28" s="360">
        <v>2678</v>
      </c>
      <c r="U28" s="360">
        <v>102.63</v>
      </c>
      <c r="V28" s="360">
        <v>2245</v>
      </c>
      <c r="W28" s="360">
        <v>111.34</v>
      </c>
      <c r="X28" s="360">
        <v>258</v>
      </c>
      <c r="Y28" s="360">
        <v>116.91</v>
      </c>
      <c r="Z28" s="360">
        <v>10</v>
      </c>
      <c r="AA28" s="360">
        <v>116.94</v>
      </c>
      <c r="AB28" s="360">
        <v>3</v>
      </c>
      <c r="AC28" s="360">
        <v>82.11</v>
      </c>
      <c r="AD28" s="360">
        <v>2093</v>
      </c>
      <c r="AE28" s="360">
        <v>82.11</v>
      </c>
      <c r="AF28" s="360">
        <v>2093</v>
      </c>
      <c r="AG28" s="360">
        <v>0</v>
      </c>
      <c r="AH28" s="360">
        <v>0</v>
      </c>
      <c r="AI28" s="360">
        <v>71.84</v>
      </c>
      <c r="AJ28" s="360">
        <v>166</v>
      </c>
      <c r="AK28" s="360">
        <v>82.7</v>
      </c>
      <c r="AL28" s="360">
        <v>1859</v>
      </c>
      <c r="AM28" s="360">
        <v>90.78</v>
      </c>
      <c r="AN28" s="360">
        <v>60</v>
      </c>
      <c r="AO28" s="360">
        <v>94.2</v>
      </c>
      <c r="AP28" s="360">
        <v>8</v>
      </c>
      <c r="AQ28" s="360">
        <v>0</v>
      </c>
      <c r="AR28" s="360">
        <v>0</v>
      </c>
      <c r="AS28" s="360">
        <v>165.91</v>
      </c>
      <c r="AT28" s="360">
        <v>248</v>
      </c>
      <c r="AU28" s="360">
        <v>165.91</v>
      </c>
      <c r="AV28" s="360">
        <v>248</v>
      </c>
      <c r="AW28" s="360">
        <v>0</v>
      </c>
      <c r="AX28" s="360">
        <v>0</v>
      </c>
      <c r="AY28" s="360">
        <v>0</v>
      </c>
      <c r="AZ28" s="360">
        <v>0</v>
      </c>
      <c r="BA28" s="360">
        <v>127.76</v>
      </c>
      <c r="BB28" s="360">
        <v>64</v>
      </c>
      <c r="BC28" s="360">
        <v>162.13</v>
      </c>
      <c r="BD28" s="360">
        <v>80</v>
      </c>
      <c r="BE28" s="360">
        <v>179.59</v>
      </c>
      <c r="BF28" s="360">
        <v>85</v>
      </c>
      <c r="BG28" s="360">
        <v>249.2</v>
      </c>
      <c r="BH28" s="360">
        <v>19</v>
      </c>
      <c r="BI28" s="360">
        <v>0</v>
      </c>
      <c r="BJ28" s="360">
        <v>0</v>
      </c>
      <c r="BK28" s="360">
        <v>0</v>
      </c>
      <c r="BL28" s="360">
        <v>0</v>
      </c>
      <c r="BM28" s="360">
        <v>106.24</v>
      </c>
      <c r="BN28" s="360">
        <v>50</v>
      </c>
      <c r="BO28" s="360">
        <v>106.24</v>
      </c>
      <c r="BP28" s="360">
        <v>50</v>
      </c>
      <c r="BQ28" s="360">
        <v>0</v>
      </c>
      <c r="BR28" s="360">
        <v>0</v>
      </c>
      <c r="BS28" s="360">
        <v>0</v>
      </c>
      <c r="BT28" s="360">
        <v>0</v>
      </c>
      <c r="BU28" s="360">
        <v>93.62</v>
      </c>
      <c r="BV28" s="360">
        <v>29</v>
      </c>
      <c r="BW28" s="360">
        <v>123.69</v>
      </c>
      <c r="BX28" s="360">
        <v>21</v>
      </c>
      <c r="BY28" s="360">
        <v>0</v>
      </c>
      <c r="BZ28" s="360">
        <v>0</v>
      </c>
      <c r="CA28" s="360">
        <v>0</v>
      </c>
      <c r="CB28" s="360">
        <v>0</v>
      </c>
      <c r="CC28" s="360">
        <v>33</v>
      </c>
      <c r="CD28" s="360" t="s">
        <v>103</v>
      </c>
    </row>
    <row r="29" spans="1:82" x14ac:dyDescent="0.35">
      <c r="A29" s="360" t="s">
        <v>112</v>
      </c>
      <c r="B29" s="360" t="s">
        <v>113</v>
      </c>
      <c r="C29" s="360" t="s">
        <v>67</v>
      </c>
      <c r="D29" s="360" t="s">
        <v>77</v>
      </c>
      <c r="E29" s="360">
        <v>2397</v>
      </c>
      <c r="F29" s="360">
        <v>1994</v>
      </c>
      <c r="G29" s="360">
        <v>0</v>
      </c>
      <c r="H29" s="360">
        <v>403</v>
      </c>
      <c r="I29" s="360">
        <v>100.86</v>
      </c>
      <c r="J29" s="360">
        <v>1947</v>
      </c>
      <c r="K29" s="360">
        <v>100.86</v>
      </c>
      <c r="L29" s="360">
        <v>1947</v>
      </c>
      <c r="M29" s="360">
        <v>0</v>
      </c>
      <c r="N29" s="360">
        <v>0</v>
      </c>
      <c r="O29" s="360">
        <v>73.31</v>
      </c>
      <c r="P29" s="360">
        <v>55</v>
      </c>
      <c r="Q29" s="360">
        <v>84.6</v>
      </c>
      <c r="R29" s="360">
        <v>395</v>
      </c>
      <c r="S29" s="360">
        <v>97.65</v>
      </c>
      <c r="T29" s="360">
        <v>818</v>
      </c>
      <c r="U29" s="360">
        <v>115.9</v>
      </c>
      <c r="V29" s="360">
        <v>664</v>
      </c>
      <c r="W29" s="360">
        <v>140.43</v>
      </c>
      <c r="X29" s="360">
        <v>15</v>
      </c>
      <c r="Y29" s="360">
        <v>0</v>
      </c>
      <c r="Z29" s="360">
        <v>0</v>
      </c>
      <c r="AA29" s="360">
        <v>0</v>
      </c>
      <c r="AB29" s="360">
        <v>0</v>
      </c>
      <c r="AC29" s="360">
        <v>88.07</v>
      </c>
      <c r="AD29" s="360">
        <v>403</v>
      </c>
      <c r="AE29" s="360">
        <v>88.07</v>
      </c>
      <c r="AF29" s="360">
        <v>403</v>
      </c>
      <c r="AG29" s="360">
        <v>0</v>
      </c>
      <c r="AH29" s="360">
        <v>0</v>
      </c>
      <c r="AI29" s="360">
        <v>72.7</v>
      </c>
      <c r="AJ29" s="360">
        <v>41</v>
      </c>
      <c r="AK29" s="360">
        <v>88.32</v>
      </c>
      <c r="AL29" s="360">
        <v>336</v>
      </c>
      <c r="AM29" s="360">
        <v>109.21</v>
      </c>
      <c r="AN29" s="360">
        <v>26</v>
      </c>
      <c r="AO29" s="360">
        <v>0</v>
      </c>
      <c r="AP29" s="360">
        <v>0</v>
      </c>
      <c r="AQ29" s="360">
        <v>0</v>
      </c>
      <c r="AR29" s="360">
        <v>0</v>
      </c>
      <c r="AS29" s="360">
        <v>194.38</v>
      </c>
      <c r="AT29" s="360">
        <v>47</v>
      </c>
      <c r="AU29" s="360">
        <v>194.38</v>
      </c>
      <c r="AV29" s="360">
        <v>47</v>
      </c>
      <c r="AW29" s="360">
        <v>0</v>
      </c>
      <c r="AX29" s="360">
        <v>0</v>
      </c>
      <c r="AY29" s="360">
        <v>0</v>
      </c>
      <c r="AZ29" s="360">
        <v>0</v>
      </c>
      <c r="BA29" s="360">
        <v>143.47</v>
      </c>
      <c r="BB29" s="360">
        <v>7</v>
      </c>
      <c r="BC29" s="360">
        <v>182.7</v>
      </c>
      <c r="BD29" s="360">
        <v>19</v>
      </c>
      <c r="BE29" s="360">
        <v>221.61</v>
      </c>
      <c r="BF29" s="360">
        <v>19</v>
      </c>
      <c r="BG29" s="360">
        <v>224.94</v>
      </c>
      <c r="BH29" s="360">
        <v>2</v>
      </c>
      <c r="BI29" s="360">
        <v>0</v>
      </c>
      <c r="BJ29" s="360">
        <v>0</v>
      </c>
      <c r="BK29" s="360">
        <v>0</v>
      </c>
      <c r="BL29" s="360">
        <v>0</v>
      </c>
      <c r="BM29" s="360">
        <v>0</v>
      </c>
      <c r="BN29" s="360">
        <v>0</v>
      </c>
      <c r="BO29" s="360">
        <v>0</v>
      </c>
      <c r="BP29" s="360">
        <v>0</v>
      </c>
      <c r="BQ29" s="360">
        <v>0</v>
      </c>
      <c r="BR29" s="360">
        <v>0</v>
      </c>
      <c r="BS29" s="360">
        <v>0</v>
      </c>
      <c r="BT29" s="360">
        <v>0</v>
      </c>
      <c r="BU29" s="360">
        <v>0</v>
      </c>
      <c r="BV29" s="360">
        <v>0</v>
      </c>
      <c r="BW29" s="360">
        <v>0</v>
      </c>
      <c r="BX29" s="360">
        <v>0</v>
      </c>
      <c r="BY29" s="360">
        <v>0</v>
      </c>
      <c r="BZ29" s="360">
        <v>0</v>
      </c>
      <c r="CA29" s="360">
        <v>0</v>
      </c>
      <c r="CB29" s="360">
        <v>0</v>
      </c>
      <c r="CC29" s="360">
        <v>0</v>
      </c>
      <c r="CD29" s="360" t="s">
        <v>114</v>
      </c>
    </row>
    <row r="30" spans="1:82" x14ac:dyDescent="0.35">
      <c r="A30" s="360" t="s">
        <v>115</v>
      </c>
      <c r="B30" s="360" t="s">
        <v>116</v>
      </c>
      <c r="C30" s="360" t="s">
        <v>71</v>
      </c>
      <c r="D30" s="360" t="s">
        <v>77</v>
      </c>
      <c r="E30" s="360">
        <v>11639</v>
      </c>
      <c r="F30" s="360">
        <v>10762</v>
      </c>
      <c r="G30" s="360">
        <v>0</v>
      </c>
      <c r="H30" s="360">
        <v>877</v>
      </c>
      <c r="I30" s="360">
        <v>90.67</v>
      </c>
      <c r="J30" s="360">
        <v>10363</v>
      </c>
      <c r="K30" s="360">
        <v>90.67</v>
      </c>
      <c r="L30" s="360">
        <v>10363</v>
      </c>
      <c r="M30" s="360">
        <v>0</v>
      </c>
      <c r="N30" s="360">
        <v>0</v>
      </c>
      <c r="O30" s="360">
        <v>69.81</v>
      </c>
      <c r="P30" s="360">
        <v>361</v>
      </c>
      <c r="Q30" s="360">
        <v>79.2</v>
      </c>
      <c r="R30" s="360">
        <v>3017</v>
      </c>
      <c r="S30" s="360">
        <v>90.17</v>
      </c>
      <c r="T30" s="360">
        <v>4134</v>
      </c>
      <c r="U30" s="360">
        <v>105.08</v>
      </c>
      <c r="V30" s="360">
        <v>2562</v>
      </c>
      <c r="W30" s="360">
        <v>112.97</v>
      </c>
      <c r="X30" s="360">
        <v>237</v>
      </c>
      <c r="Y30" s="360">
        <v>128.43</v>
      </c>
      <c r="Z30" s="360">
        <v>46</v>
      </c>
      <c r="AA30" s="360">
        <v>149.86000000000001</v>
      </c>
      <c r="AB30" s="360">
        <v>6</v>
      </c>
      <c r="AC30" s="360">
        <v>77.28</v>
      </c>
      <c r="AD30" s="360">
        <v>832</v>
      </c>
      <c r="AE30" s="360">
        <v>77.28</v>
      </c>
      <c r="AF30" s="360">
        <v>832</v>
      </c>
      <c r="AG30" s="360">
        <v>0</v>
      </c>
      <c r="AH30" s="360">
        <v>0</v>
      </c>
      <c r="AI30" s="360">
        <v>68.400000000000006</v>
      </c>
      <c r="AJ30" s="360">
        <v>233</v>
      </c>
      <c r="AK30" s="360">
        <v>79.2</v>
      </c>
      <c r="AL30" s="360">
        <v>508</v>
      </c>
      <c r="AM30" s="360">
        <v>89.18</v>
      </c>
      <c r="AN30" s="360">
        <v>90</v>
      </c>
      <c r="AO30" s="360">
        <v>100.73</v>
      </c>
      <c r="AP30" s="360">
        <v>1</v>
      </c>
      <c r="AQ30" s="360">
        <v>0</v>
      </c>
      <c r="AR30" s="360">
        <v>0</v>
      </c>
      <c r="AS30" s="360">
        <v>196.21</v>
      </c>
      <c r="AT30" s="360">
        <v>399</v>
      </c>
      <c r="AU30" s="360">
        <v>196.21</v>
      </c>
      <c r="AV30" s="360">
        <v>399</v>
      </c>
      <c r="AW30" s="360">
        <v>0</v>
      </c>
      <c r="AX30" s="360">
        <v>0</v>
      </c>
      <c r="AY30" s="360">
        <v>112.62</v>
      </c>
      <c r="AZ30" s="360">
        <v>1</v>
      </c>
      <c r="BA30" s="360">
        <v>168.94</v>
      </c>
      <c r="BB30" s="360">
        <v>90</v>
      </c>
      <c r="BC30" s="360">
        <v>193.98</v>
      </c>
      <c r="BD30" s="360">
        <v>231</v>
      </c>
      <c r="BE30" s="360">
        <v>236.54</v>
      </c>
      <c r="BF30" s="360">
        <v>68</v>
      </c>
      <c r="BG30" s="360">
        <v>228.47</v>
      </c>
      <c r="BH30" s="360">
        <v>8</v>
      </c>
      <c r="BI30" s="360">
        <v>249.38</v>
      </c>
      <c r="BJ30" s="360">
        <v>1</v>
      </c>
      <c r="BK30" s="360">
        <v>0</v>
      </c>
      <c r="BL30" s="360">
        <v>0</v>
      </c>
      <c r="BM30" s="360">
        <v>194.95</v>
      </c>
      <c r="BN30" s="360">
        <v>45</v>
      </c>
      <c r="BO30" s="360">
        <v>194.95</v>
      </c>
      <c r="BP30" s="360">
        <v>45</v>
      </c>
      <c r="BQ30" s="360">
        <v>0</v>
      </c>
      <c r="BR30" s="360">
        <v>0</v>
      </c>
      <c r="BS30" s="360">
        <v>0</v>
      </c>
      <c r="BT30" s="360">
        <v>0</v>
      </c>
      <c r="BU30" s="360">
        <v>194.95</v>
      </c>
      <c r="BV30" s="360">
        <v>45</v>
      </c>
      <c r="BW30" s="360">
        <v>0</v>
      </c>
      <c r="BX30" s="360">
        <v>0</v>
      </c>
      <c r="BY30" s="360">
        <v>0</v>
      </c>
      <c r="BZ30" s="360">
        <v>0</v>
      </c>
      <c r="CA30" s="360">
        <v>0</v>
      </c>
      <c r="CB30" s="360">
        <v>0</v>
      </c>
      <c r="CC30" s="360">
        <v>0</v>
      </c>
      <c r="CD30" s="360" t="s">
        <v>117</v>
      </c>
    </row>
    <row r="31" spans="1:82" x14ac:dyDescent="0.35">
      <c r="A31" s="360" t="s">
        <v>118</v>
      </c>
      <c r="B31" s="360" t="s">
        <v>119</v>
      </c>
      <c r="C31" s="360" t="s">
        <v>72</v>
      </c>
      <c r="D31" s="360" t="s">
        <v>77</v>
      </c>
      <c r="E31" s="360">
        <v>26693</v>
      </c>
      <c r="F31" s="360">
        <v>25722</v>
      </c>
      <c r="G31" s="360">
        <v>0</v>
      </c>
      <c r="H31" s="360">
        <v>971</v>
      </c>
      <c r="I31" s="360">
        <v>85.28</v>
      </c>
      <c r="J31" s="360">
        <v>25722</v>
      </c>
      <c r="K31" s="360">
        <v>85.28</v>
      </c>
      <c r="L31" s="360">
        <v>25722</v>
      </c>
      <c r="M31" s="360">
        <v>0</v>
      </c>
      <c r="N31" s="360">
        <v>0</v>
      </c>
      <c r="O31" s="360">
        <v>65.569999999999993</v>
      </c>
      <c r="P31" s="360">
        <v>307</v>
      </c>
      <c r="Q31" s="360">
        <v>73.73</v>
      </c>
      <c r="R31" s="360">
        <v>5852</v>
      </c>
      <c r="S31" s="360">
        <v>82.41</v>
      </c>
      <c r="T31" s="360">
        <v>10097</v>
      </c>
      <c r="U31" s="360">
        <v>95.77</v>
      </c>
      <c r="V31" s="360">
        <v>9040</v>
      </c>
      <c r="W31" s="360">
        <v>103.51</v>
      </c>
      <c r="X31" s="360">
        <v>397</v>
      </c>
      <c r="Y31" s="360">
        <v>109.94</v>
      </c>
      <c r="Z31" s="360">
        <v>20</v>
      </c>
      <c r="AA31" s="360">
        <v>120.13</v>
      </c>
      <c r="AB31" s="360">
        <v>9</v>
      </c>
      <c r="AC31" s="360">
        <v>78.09</v>
      </c>
      <c r="AD31" s="360">
        <v>971</v>
      </c>
      <c r="AE31" s="360">
        <v>78.099999999999994</v>
      </c>
      <c r="AF31" s="360">
        <v>937</v>
      </c>
      <c r="AG31" s="360">
        <v>78</v>
      </c>
      <c r="AH31" s="360">
        <v>34</v>
      </c>
      <c r="AI31" s="360">
        <v>86.76</v>
      </c>
      <c r="AJ31" s="360">
        <v>11</v>
      </c>
      <c r="AK31" s="360">
        <v>76.94</v>
      </c>
      <c r="AL31" s="360">
        <v>739</v>
      </c>
      <c r="AM31" s="360">
        <v>81.87</v>
      </c>
      <c r="AN31" s="360">
        <v>181</v>
      </c>
      <c r="AO31" s="360">
        <v>91.86</v>
      </c>
      <c r="AP31" s="360">
        <v>6</v>
      </c>
      <c r="AQ31" s="360">
        <v>0</v>
      </c>
      <c r="AR31" s="360">
        <v>0</v>
      </c>
      <c r="AS31" s="360">
        <v>0</v>
      </c>
      <c r="AT31" s="360">
        <v>0</v>
      </c>
      <c r="AU31" s="360">
        <v>0</v>
      </c>
      <c r="AV31" s="360">
        <v>0</v>
      </c>
      <c r="AW31" s="360">
        <v>0</v>
      </c>
      <c r="AX31" s="360">
        <v>0</v>
      </c>
      <c r="AY31" s="360">
        <v>0</v>
      </c>
      <c r="AZ31" s="360">
        <v>0</v>
      </c>
      <c r="BA31" s="360">
        <v>0</v>
      </c>
      <c r="BB31" s="360">
        <v>0</v>
      </c>
      <c r="BC31" s="360">
        <v>0</v>
      </c>
      <c r="BD31" s="360">
        <v>0</v>
      </c>
      <c r="BE31" s="360">
        <v>0</v>
      </c>
      <c r="BF31" s="360">
        <v>0</v>
      </c>
      <c r="BG31" s="360">
        <v>0</v>
      </c>
      <c r="BH31" s="360">
        <v>0</v>
      </c>
      <c r="BI31" s="360">
        <v>0</v>
      </c>
      <c r="BJ31" s="360">
        <v>0</v>
      </c>
      <c r="BK31" s="360">
        <v>0</v>
      </c>
      <c r="BL31" s="360">
        <v>0</v>
      </c>
      <c r="BM31" s="360">
        <v>0</v>
      </c>
      <c r="BN31" s="360">
        <v>0</v>
      </c>
      <c r="BO31" s="360">
        <v>0</v>
      </c>
      <c r="BP31" s="360">
        <v>0</v>
      </c>
      <c r="BQ31" s="360">
        <v>0</v>
      </c>
      <c r="BR31" s="360">
        <v>0</v>
      </c>
      <c r="BS31" s="360">
        <v>0</v>
      </c>
      <c r="BT31" s="360">
        <v>0</v>
      </c>
      <c r="BU31" s="360">
        <v>0</v>
      </c>
      <c r="BV31" s="360">
        <v>0</v>
      </c>
      <c r="BW31" s="360">
        <v>0</v>
      </c>
      <c r="BX31" s="360">
        <v>0</v>
      </c>
      <c r="BY31" s="360">
        <v>0</v>
      </c>
      <c r="BZ31" s="360">
        <v>0</v>
      </c>
      <c r="CA31" s="360">
        <v>0</v>
      </c>
      <c r="CB31" s="360">
        <v>0</v>
      </c>
      <c r="CC31" s="360">
        <v>0</v>
      </c>
      <c r="CD31" s="360" t="s">
        <v>120</v>
      </c>
    </row>
    <row r="32" spans="1:82" x14ac:dyDescent="0.35">
      <c r="A32" s="360" t="s">
        <v>121</v>
      </c>
      <c r="B32" s="360" t="s">
        <v>122</v>
      </c>
      <c r="C32" s="360" t="s">
        <v>66</v>
      </c>
      <c r="D32" s="360" t="s">
        <v>77</v>
      </c>
      <c r="E32" s="360">
        <v>4358</v>
      </c>
      <c r="F32" s="360">
        <v>3252</v>
      </c>
      <c r="G32" s="360">
        <v>0</v>
      </c>
      <c r="H32" s="360">
        <v>1106</v>
      </c>
      <c r="I32" s="360">
        <v>73.319999999999993</v>
      </c>
      <c r="J32" s="360">
        <v>3252</v>
      </c>
      <c r="K32" s="360">
        <v>73.319999999999993</v>
      </c>
      <c r="L32" s="360">
        <v>3252</v>
      </c>
      <c r="M32" s="360">
        <v>0</v>
      </c>
      <c r="N32" s="360">
        <v>0</v>
      </c>
      <c r="O32" s="360">
        <v>60.11</v>
      </c>
      <c r="P32" s="360">
        <v>9</v>
      </c>
      <c r="Q32" s="360">
        <v>66.650000000000006</v>
      </c>
      <c r="R32" s="360">
        <v>733</v>
      </c>
      <c r="S32" s="360">
        <v>72.349999999999994</v>
      </c>
      <c r="T32" s="360">
        <v>1282</v>
      </c>
      <c r="U32" s="360">
        <v>78.11</v>
      </c>
      <c r="V32" s="360">
        <v>1171</v>
      </c>
      <c r="W32" s="360">
        <v>84.37</v>
      </c>
      <c r="X32" s="360">
        <v>56</v>
      </c>
      <c r="Y32" s="360">
        <v>0</v>
      </c>
      <c r="Z32" s="360">
        <v>0</v>
      </c>
      <c r="AA32" s="360">
        <v>102.47</v>
      </c>
      <c r="AB32" s="360">
        <v>1</v>
      </c>
      <c r="AC32" s="360">
        <v>68.349999999999994</v>
      </c>
      <c r="AD32" s="360">
        <v>1106</v>
      </c>
      <c r="AE32" s="360">
        <v>68.349999999999994</v>
      </c>
      <c r="AF32" s="360">
        <v>1106</v>
      </c>
      <c r="AG32" s="360">
        <v>0</v>
      </c>
      <c r="AH32" s="360">
        <v>0</v>
      </c>
      <c r="AI32" s="360">
        <v>0</v>
      </c>
      <c r="AJ32" s="360">
        <v>0</v>
      </c>
      <c r="AK32" s="360">
        <v>67.2</v>
      </c>
      <c r="AL32" s="360">
        <v>912</v>
      </c>
      <c r="AM32" s="360">
        <v>73.39</v>
      </c>
      <c r="AN32" s="360">
        <v>185</v>
      </c>
      <c r="AO32" s="360">
        <v>82.44</v>
      </c>
      <c r="AP32" s="360">
        <v>9</v>
      </c>
      <c r="AQ32" s="360">
        <v>0</v>
      </c>
      <c r="AR32" s="360">
        <v>0</v>
      </c>
      <c r="AS32" s="360">
        <v>0</v>
      </c>
      <c r="AT32" s="360">
        <v>0</v>
      </c>
      <c r="AU32" s="360">
        <v>0</v>
      </c>
      <c r="AV32" s="360">
        <v>0</v>
      </c>
      <c r="AW32" s="360">
        <v>0</v>
      </c>
      <c r="AX32" s="360">
        <v>0</v>
      </c>
      <c r="AY32" s="360">
        <v>0</v>
      </c>
      <c r="AZ32" s="360">
        <v>0</v>
      </c>
      <c r="BA32" s="360">
        <v>0</v>
      </c>
      <c r="BB32" s="360">
        <v>0</v>
      </c>
      <c r="BC32" s="360">
        <v>0</v>
      </c>
      <c r="BD32" s="360">
        <v>0</v>
      </c>
      <c r="BE32" s="360">
        <v>0</v>
      </c>
      <c r="BF32" s="360">
        <v>0</v>
      </c>
      <c r="BG32" s="360">
        <v>0</v>
      </c>
      <c r="BH32" s="360">
        <v>0</v>
      </c>
      <c r="BI32" s="360">
        <v>0</v>
      </c>
      <c r="BJ32" s="360">
        <v>0</v>
      </c>
      <c r="BK32" s="360">
        <v>0</v>
      </c>
      <c r="BL32" s="360">
        <v>0</v>
      </c>
      <c r="BM32" s="360">
        <v>0</v>
      </c>
      <c r="BN32" s="360">
        <v>0</v>
      </c>
      <c r="BO32" s="360">
        <v>0</v>
      </c>
      <c r="BP32" s="360">
        <v>0</v>
      </c>
      <c r="BQ32" s="360">
        <v>0</v>
      </c>
      <c r="BR32" s="360">
        <v>0</v>
      </c>
      <c r="BS32" s="360">
        <v>0</v>
      </c>
      <c r="BT32" s="360">
        <v>0</v>
      </c>
      <c r="BU32" s="360">
        <v>0</v>
      </c>
      <c r="BV32" s="360">
        <v>0</v>
      </c>
      <c r="BW32" s="360">
        <v>0</v>
      </c>
      <c r="BX32" s="360">
        <v>0</v>
      </c>
      <c r="BY32" s="360">
        <v>0</v>
      </c>
      <c r="BZ32" s="360">
        <v>0</v>
      </c>
      <c r="CA32" s="360">
        <v>0</v>
      </c>
      <c r="CB32" s="360">
        <v>0</v>
      </c>
      <c r="CC32" s="360">
        <v>0</v>
      </c>
      <c r="CD32" s="360" t="s">
        <v>123</v>
      </c>
    </row>
    <row r="33" spans="1:82" x14ac:dyDescent="0.35">
      <c r="A33" s="360" t="s">
        <v>858</v>
      </c>
      <c r="B33" s="360" t="s">
        <v>859</v>
      </c>
      <c r="C33" s="360" t="s">
        <v>70</v>
      </c>
      <c r="D33" s="360" t="s">
        <v>77</v>
      </c>
      <c r="E33" s="360">
        <v>11</v>
      </c>
      <c r="F33" s="360">
        <v>11</v>
      </c>
      <c r="G33" s="360">
        <v>0</v>
      </c>
      <c r="H33" s="360">
        <v>0</v>
      </c>
      <c r="I33" s="360">
        <v>95.27</v>
      </c>
      <c r="J33" s="360">
        <v>5</v>
      </c>
      <c r="K33" s="360">
        <v>95.27</v>
      </c>
      <c r="L33" s="360">
        <v>5</v>
      </c>
      <c r="M33" s="360">
        <v>0</v>
      </c>
      <c r="N33" s="360">
        <v>0</v>
      </c>
      <c r="O33" s="360">
        <v>0</v>
      </c>
      <c r="P33" s="360">
        <v>0</v>
      </c>
      <c r="Q33" s="360">
        <v>0</v>
      </c>
      <c r="R33" s="360">
        <v>0</v>
      </c>
      <c r="S33" s="360">
        <v>89.75</v>
      </c>
      <c r="T33" s="360">
        <v>3</v>
      </c>
      <c r="U33" s="360">
        <v>103.56</v>
      </c>
      <c r="V33" s="360">
        <v>2</v>
      </c>
      <c r="W33" s="360">
        <v>0</v>
      </c>
      <c r="X33" s="360">
        <v>0</v>
      </c>
      <c r="Y33" s="360">
        <v>0</v>
      </c>
      <c r="Z33" s="360">
        <v>0</v>
      </c>
      <c r="AA33" s="360">
        <v>0</v>
      </c>
      <c r="AB33" s="360">
        <v>0</v>
      </c>
      <c r="AC33" s="360">
        <v>0</v>
      </c>
      <c r="AD33" s="360">
        <v>0</v>
      </c>
      <c r="AE33" s="360">
        <v>0</v>
      </c>
      <c r="AF33" s="360">
        <v>0</v>
      </c>
      <c r="AG33" s="360">
        <v>0</v>
      </c>
      <c r="AH33" s="360">
        <v>0</v>
      </c>
      <c r="AI33" s="360">
        <v>0</v>
      </c>
      <c r="AJ33" s="360">
        <v>0</v>
      </c>
      <c r="AK33" s="360">
        <v>0</v>
      </c>
      <c r="AL33" s="360">
        <v>0</v>
      </c>
      <c r="AM33" s="360">
        <v>0</v>
      </c>
      <c r="AN33" s="360">
        <v>0</v>
      </c>
      <c r="AO33" s="360">
        <v>0</v>
      </c>
      <c r="AP33" s="360">
        <v>0</v>
      </c>
      <c r="AQ33" s="360">
        <v>0</v>
      </c>
      <c r="AR33" s="360">
        <v>0</v>
      </c>
      <c r="AS33" s="360">
        <v>121.53</v>
      </c>
      <c r="AT33" s="360">
        <v>6</v>
      </c>
      <c r="AU33" s="360">
        <v>121.53</v>
      </c>
      <c r="AV33" s="360">
        <v>6</v>
      </c>
      <c r="AW33" s="360">
        <v>0</v>
      </c>
      <c r="AX33" s="360">
        <v>0</v>
      </c>
      <c r="AY33" s="360">
        <v>0</v>
      </c>
      <c r="AZ33" s="360">
        <v>0</v>
      </c>
      <c r="BA33" s="360">
        <v>0</v>
      </c>
      <c r="BB33" s="360">
        <v>0</v>
      </c>
      <c r="BC33" s="360">
        <v>115.38</v>
      </c>
      <c r="BD33" s="360">
        <v>5</v>
      </c>
      <c r="BE33" s="360">
        <v>152.31</v>
      </c>
      <c r="BF33" s="360">
        <v>1</v>
      </c>
      <c r="BG33" s="360">
        <v>0</v>
      </c>
      <c r="BH33" s="360">
        <v>0</v>
      </c>
      <c r="BI33" s="360">
        <v>0</v>
      </c>
      <c r="BJ33" s="360">
        <v>0</v>
      </c>
      <c r="BK33" s="360">
        <v>0</v>
      </c>
      <c r="BL33" s="360">
        <v>0</v>
      </c>
      <c r="BM33" s="360">
        <v>0</v>
      </c>
      <c r="BN33" s="360">
        <v>0</v>
      </c>
      <c r="BO33" s="360">
        <v>0</v>
      </c>
      <c r="BP33" s="360">
        <v>0</v>
      </c>
      <c r="BQ33" s="360">
        <v>0</v>
      </c>
      <c r="BR33" s="360">
        <v>0</v>
      </c>
      <c r="BS33" s="360">
        <v>0</v>
      </c>
      <c r="BT33" s="360">
        <v>0</v>
      </c>
      <c r="BU33" s="360">
        <v>0</v>
      </c>
      <c r="BV33" s="360">
        <v>0</v>
      </c>
      <c r="BW33" s="360">
        <v>0</v>
      </c>
      <c r="BX33" s="360">
        <v>0</v>
      </c>
      <c r="BY33" s="360">
        <v>0</v>
      </c>
      <c r="BZ33" s="360">
        <v>0</v>
      </c>
      <c r="CA33" s="360">
        <v>0</v>
      </c>
      <c r="CB33" s="360">
        <v>0</v>
      </c>
      <c r="CC33" s="360">
        <v>0</v>
      </c>
      <c r="CD33" s="360" t="s">
        <v>860</v>
      </c>
    </row>
    <row r="34" spans="1:82" x14ac:dyDescent="0.35">
      <c r="A34" s="360" t="s">
        <v>124</v>
      </c>
      <c r="B34" s="360" t="s">
        <v>125</v>
      </c>
      <c r="C34" s="360" t="s">
        <v>70</v>
      </c>
      <c r="D34" s="360" t="s">
        <v>77</v>
      </c>
      <c r="E34" s="360">
        <v>7750</v>
      </c>
      <c r="F34" s="360">
        <v>7237</v>
      </c>
      <c r="G34" s="360">
        <v>0</v>
      </c>
      <c r="H34" s="360">
        <v>508</v>
      </c>
      <c r="I34" s="360">
        <v>78.34</v>
      </c>
      <c r="J34" s="360">
        <v>7216</v>
      </c>
      <c r="K34" s="360">
        <v>78.34</v>
      </c>
      <c r="L34" s="360">
        <v>7216</v>
      </c>
      <c r="M34" s="360">
        <v>0</v>
      </c>
      <c r="N34" s="360">
        <v>0</v>
      </c>
      <c r="O34" s="360">
        <v>63.99</v>
      </c>
      <c r="P34" s="360">
        <v>19</v>
      </c>
      <c r="Q34" s="360">
        <v>71.41</v>
      </c>
      <c r="R34" s="360">
        <v>2754</v>
      </c>
      <c r="S34" s="360">
        <v>78.959999999999994</v>
      </c>
      <c r="T34" s="360">
        <v>2422</v>
      </c>
      <c r="U34" s="360">
        <v>86.84</v>
      </c>
      <c r="V34" s="360">
        <v>1923</v>
      </c>
      <c r="W34" s="360">
        <v>94.08</v>
      </c>
      <c r="X34" s="360">
        <v>96</v>
      </c>
      <c r="Y34" s="360">
        <v>108.16</v>
      </c>
      <c r="Z34" s="360">
        <v>1</v>
      </c>
      <c r="AA34" s="360">
        <v>107.09</v>
      </c>
      <c r="AB34" s="360">
        <v>1</v>
      </c>
      <c r="AC34" s="360">
        <v>70.959999999999994</v>
      </c>
      <c r="AD34" s="360">
        <v>448</v>
      </c>
      <c r="AE34" s="360">
        <v>70.959999999999994</v>
      </c>
      <c r="AF34" s="360">
        <v>448</v>
      </c>
      <c r="AG34" s="360">
        <v>0</v>
      </c>
      <c r="AH34" s="360">
        <v>0</v>
      </c>
      <c r="AI34" s="360">
        <v>64.8</v>
      </c>
      <c r="AJ34" s="360">
        <v>137</v>
      </c>
      <c r="AK34" s="360">
        <v>73.069999999999993</v>
      </c>
      <c r="AL34" s="360">
        <v>290</v>
      </c>
      <c r="AM34" s="360">
        <v>82.08</v>
      </c>
      <c r="AN34" s="360">
        <v>21</v>
      </c>
      <c r="AO34" s="360">
        <v>0</v>
      </c>
      <c r="AP34" s="360">
        <v>0</v>
      </c>
      <c r="AQ34" s="360">
        <v>0</v>
      </c>
      <c r="AR34" s="360">
        <v>0</v>
      </c>
      <c r="AS34" s="360">
        <v>102.48</v>
      </c>
      <c r="AT34" s="360">
        <v>21</v>
      </c>
      <c r="AU34" s="360">
        <v>102.48</v>
      </c>
      <c r="AV34" s="360">
        <v>21</v>
      </c>
      <c r="AW34" s="360">
        <v>0</v>
      </c>
      <c r="AX34" s="360">
        <v>0</v>
      </c>
      <c r="AY34" s="360">
        <v>0</v>
      </c>
      <c r="AZ34" s="360">
        <v>0</v>
      </c>
      <c r="BA34" s="360">
        <v>93.91</v>
      </c>
      <c r="BB34" s="360">
        <v>11</v>
      </c>
      <c r="BC34" s="360">
        <v>104.81</v>
      </c>
      <c r="BD34" s="360">
        <v>8</v>
      </c>
      <c r="BE34" s="360">
        <v>140.34</v>
      </c>
      <c r="BF34" s="360">
        <v>2</v>
      </c>
      <c r="BG34" s="360">
        <v>0</v>
      </c>
      <c r="BH34" s="360">
        <v>0</v>
      </c>
      <c r="BI34" s="360">
        <v>0</v>
      </c>
      <c r="BJ34" s="360">
        <v>0</v>
      </c>
      <c r="BK34" s="360">
        <v>0</v>
      </c>
      <c r="BL34" s="360">
        <v>0</v>
      </c>
      <c r="BM34" s="360">
        <v>188.14</v>
      </c>
      <c r="BN34" s="360">
        <v>60</v>
      </c>
      <c r="BO34" s="360">
        <v>188.14</v>
      </c>
      <c r="BP34" s="360">
        <v>60</v>
      </c>
      <c r="BQ34" s="360">
        <v>0</v>
      </c>
      <c r="BR34" s="360">
        <v>0</v>
      </c>
      <c r="BS34" s="360">
        <v>0</v>
      </c>
      <c r="BT34" s="360">
        <v>0</v>
      </c>
      <c r="BU34" s="360">
        <v>172.9</v>
      </c>
      <c r="BV34" s="360">
        <v>14</v>
      </c>
      <c r="BW34" s="360">
        <v>192.78</v>
      </c>
      <c r="BX34" s="360">
        <v>46</v>
      </c>
      <c r="BY34" s="360">
        <v>0</v>
      </c>
      <c r="BZ34" s="360">
        <v>0</v>
      </c>
      <c r="CA34" s="360">
        <v>0</v>
      </c>
      <c r="CB34" s="360">
        <v>0</v>
      </c>
      <c r="CC34" s="360">
        <v>5</v>
      </c>
      <c r="CD34" s="360" t="s">
        <v>126</v>
      </c>
    </row>
    <row r="35" spans="1:82" x14ac:dyDescent="0.35">
      <c r="A35" s="360" t="s">
        <v>127</v>
      </c>
      <c r="B35" s="360" t="s">
        <v>128</v>
      </c>
      <c r="C35" s="360" t="s">
        <v>67</v>
      </c>
      <c r="D35" s="360" t="s">
        <v>77</v>
      </c>
      <c r="E35" s="360">
        <v>7417</v>
      </c>
      <c r="F35" s="360">
        <v>6772</v>
      </c>
      <c r="G35" s="360">
        <v>21</v>
      </c>
      <c r="H35" s="360">
        <v>538</v>
      </c>
      <c r="I35" s="360">
        <v>108.19</v>
      </c>
      <c r="J35" s="360">
        <v>6107</v>
      </c>
      <c r="K35" s="360">
        <v>108.24</v>
      </c>
      <c r="L35" s="360">
        <v>6086</v>
      </c>
      <c r="M35" s="360">
        <v>94.92</v>
      </c>
      <c r="N35" s="360">
        <v>21</v>
      </c>
      <c r="O35" s="360">
        <v>80.34</v>
      </c>
      <c r="P35" s="360">
        <v>94</v>
      </c>
      <c r="Q35" s="360">
        <v>91.63</v>
      </c>
      <c r="R35" s="360">
        <v>1548</v>
      </c>
      <c r="S35" s="360">
        <v>107.05</v>
      </c>
      <c r="T35" s="360">
        <v>2194</v>
      </c>
      <c r="U35" s="360">
        <v>121.09</v>
      </c>
      <c r="V35" s="360">
        <v>2148</v>
      </c>
      <c r="W35" s="360">
        <v>140.08000000000001</v>
      </c>
      <c r="X35" s="360">
        <v>93</v>
      </c>
      <c r="Y35" s="360">
        <v>145.69</v>
      </c>
      <c r="Z35" s="360">
        <v>7</v>
      </c>
      <c r="AA35" s="360">
        <v>185.61</v>
      </c>
      <c r="AB35" s="360">
        <v>2</v>
      </c>
      <c r="AC35" s="360">
        <v>95.31</v>
      </c>
      <c r="AD35" s="360">
        <v>538</v>
      </c>
      <c r="AE35" s="360">
        <v>95.31</v>
      </c>
      <c r="AF35" s="360">
        <v>538</v>
      </c>
      <c r="AG35" s="360">
        <v>0</v>
      </c>
      <c r="AH35" s="360">
        <v>0</v>
      </c>
      <c r="AI35" s="360">
        <v>0</v>
      </c>
      <c r="AJ35" s="360">
        <v>0</v>
      </c>
      <c r="AK35" s="360">
        <v>94.09</v>
      </c>
      <c r="AL35" s="360">
        <v>482</v>
      </c>
      <c r="AM35" s="360">
        <v>105.77</v>
      </c>
      <c r="AN35" s="360">
        <v>56</v>
      </c>
      <c r="AO35" s="360">
        <v>0</v>
      </c>
      <c r="AP35" s="360">
        <v>0</v>
      </c>
      <c r="AQ35" s="360">
        <v>0</v>
      </c>
      <c r="AR35" s="360">
        <v>0</v>
      </c>
      <c r="AS35" s="360">
        <v>164.3</v>
      </c>
      <c r="AT35" s="360">
        <v>686</v>
      </c>
      <c r="AU35" s="360">
        <v>164.3</v>
      </c>
      <c r="AV35" s="360">
        <v>686</v>
      </c>
      <c r="AW35" s="360">
        <v>0</v>
      </c>
      <c r="AX35" s="360">
        <v>0</v>
      </c>
      <c r="AY35" s="360">
        <v>0</v>
      </c>
      <c r="AZ35" s="360">
        <v>0</v>
      </c>
      <c r="BA35" s="360">
        <v>144.65</v>
      </c>
      <c r="BB35" s="360">
        <v>228</v>
      </c>
      <c r="BC35" s="360">
        <v>166.69</v>
      </c>
      <c r="BD35" s="360">
        <v>371</v>
      </c>
      <c r="BE35" s="360">
        <v>198.07</v>
      </c>
      <c r="BF35" s="360">
        <v>77</v>
      </c>
      <c r="BG35" s="360">
        <v>263.74</v>
      </c>
      <c r="BH35" s="360">
        <v>10</v>
      </c>
      <c r="BI35" s="360">
        <v>0</v>
      </c>
      <c r="BJ35" s="360">
        <v>0</v>
      </c>
      <c r="BK35" s="360">
        <v>0</v>
      </c>
      <c r="BL35" s="360">
        <v>0</v>
      </c>
      <c r="BM35" s="360">
        <v>0</v>
      </c>
      <c r="BN35" s="360">
        <v>0</v>
      </c>
      <c r="BO35" s="360">
        <v>0</v>
      </c>
      <c r="BP35" s="360">
        <v>0</v>
      </c>
      <c r="BQ35" s="360">
        <v>0</v>
      </c>
      <c r="BR35" s="360">
        <v>0</v>
      </c>
      <c r="BS35" s="360">
        <v>0</v>
      </c>
      <c r="BT35" s="360">
        <v>0</v>
      </c>
      <c r="BU35" s="360">
        <v>0</v>
      </c>
      <c r="BV35" s="360">
        <v>0</v>
      </c>
      <c r="BW35" s="360">
        <v>0</v>
      </c>
      <c r="BX35" s="360">
        <v>0</v>
      </c>
      <c r="BY35" s="360">
        <v>0</v>
      </c>
      <c r="BZ35" s="360">
        <v>0</v>
      </c>
      <c r="CA35" s="360">
        <v>0</v>
      </c>
      <c r="CB35" s="360">
        <v>0</v>
      </c>
      <c r="CC35" s="360">
        <v>86</v>
      </c>
      <c r="CD35" s="360" t="s">
        <v>129</v>
      </c>
    </row>
    <row r="36" spans="1:82" x14ac:dyDescent="0.35">
      <c r="A36" s="360" t="s">
        <v>130</v>
      </c>
      <c r="B36" s="360" t="s">
        <v>131</v>
      </c>
      <c r="C36" s="360" t="s">
        <v>73</v>
      </c>
      <c r="D36" s="360" t="s">
        <v>77</v>
      </c>
      <c r="E36" s="360">
        <v>5045</v>
      </c>
      <c r="F36" s="360">
        <v>4951</v>
      </c>
      <c r="G36" s="360">
        <v>0</v>
      </c>
      <c r="H36" s="360">
        <v>94</v>
      </c>
      <c r="I36" s="360">
        <v>78</v>
      </c>
      <c r="J36" s="360">
        <v>4799</v>
      </c>
      <c r="K36" s="360">
        <v>78</v>
      </c>
      <c r="L36" s="360">
        <v>4799</v>
      </c>
      <c r="M36" s="360">
        <v>0</v>
      </c>
      <c r="N36" s="360">
        <v>0</v>
      </c>
      <c r="O36" s="360">
        <v>0</v>
      </c>
      <c r="P36" s="360">
        <v>0</v>
      </c>
      <c r="Q36" s="360">
        <v>70.94</v>
      </c>
      <c r="R36" s="360">
        <v>1962</v>
      </c>
      <c r="S36" s="360">
        <v>80.44</v>
      </c>
      <c r="T36" s="360">
        <v>1346</v>
      </c>
      <c r="U36" s="360">
        <v>84.83</v>
      </c>
      <c r="V36" s="360">
        <v>1438</v>
      </c>
      <c r="W36" s="360">
        <v>91.83</v>
      </c>
      <c r="X36" s="360">
        <v>52</v>
      </c>
      <c r="Y36" s="360">
        <v>89.44</v>
      </c>
      <c r="Z36" s="360">
        <v>1</v>
      </c>
      <c r="AA36" s="360">
        <v>0</v>
      </c>
      <c r="AB36" s="360">
        <v>0</v>
      </c>
      <c r="AC36" s="360">
        <v>66.41</v>
      </c>
      <c r="AD36" s="360">
        <v>94</v>
      </c>
      <c r="AE36" s="360">
        <v>66.41</v>
      </c>
      <c r="AF36" s="360">
        <v>94</v>
      </c>
      <c r="AG36" s="360">
        <v>0</v>
      </c>
      <c r="AH36" s="360">
        <v>0</v>
      </c>
      <c r="AI36" s="360">
        <v>62.87</v>
      </c>
      <c r="AJ36" s="360">
        <v>56</v>
      </c>
      <c r="AK36" s="360">
        <v>70.75</v>
      </c>
      <c r="AL36" s="360">
        <v>35</v>
      </c>
      <c r="AM36" s="360">
        <v>82.13</v>
      </c>
      <c r="AN36" s="360">
        <v>3</v>
      </c>
      <c r="AO36" s="360">
        <v>0</v>
      </c>
      <c r="AP36" s="360">
        <v>0</v>
      </c>
      <c r="AQ36" s="360">
        <v>0</v>
      </c>
      <c r="AR36" s="360">
        <v>0</v>
      </c>
      <c r="AS36" s="360">
        <v>91.47</v>
      </c>
      <c r="AT36" s="360">
        <v>152</v>
      </c>
      <c r="AU36" s="360">
        <v>91.47</v>
      </c>
      <c r="AV36" s="360">
        <v>152</v>
      </c>
      <c r="AW36" s="360">
        <v>0</v>
      </c>
      <c r="AX36" s="360">
        <v>0</v>
      </c>
      <c r="AY36" s="360">
        <v>0</v>
      </c>
      <c r="AZ36" s="360">
        <v>0</v>
      </c>
      <c r="BA36" s="360">
        <v>76.66</v>
      </c>
      <c r="BB36" s="360">
        <v>29</v>
      </c>
      <c r="BC36" s="360">
        <v>91.32</v>
      </c>
      <c r="BD36" s="360">
        <v>88</v>
      </c>
      <c r="BE36" s="360">
        <v>101.66</v>
      </c>
      <c r="BF36" s="360">
        <v>27</v>
      </c>
      <c r="BG36" s="360">
        <v>112.44</v>
      </c>
      <c r="BH36" s="360">
        <v>8</v>
      </c>
      <c r="BI36" s="360">
        <v>0</v>
      </c>
      <c r="BJ36" s="360">
        <v>0</v>
      </c>
      <c r="BK36" s="360">
        <v>0</v>
      </c>
      <c r="BL36" s="360">
        <v>0</v>
      </c>
      <c r="BM36" s="360">
        <v>0</v>
      </c>
      <c r="BN36" s="360">
        <v>0</v>
      </c>
      <c r="BO36" s="360">
        <v>0</v>
      </c>
      <c r="BP36" s="360">
        <v>0</v>
      </c>
      <c r="BQ36" s="360">
        <v>0</v>
      </c>
      <c r="BR36" s="360">
        <v>0</v>
      </c>
      <c r="BS36" s="360">
        <v>0</v>
      </c>
      <c r="BT36" s="360">
        <v>0</v>
      </c>
      <c r="BU36" s="360">
        <v>0</v>
      </c>
      <c r="BV36" s="360">
        <v>0</v>
      </c>
      <c r="BW36" s="360">
        <v>0</v>
      </c>
      <c r="BX36" s="360">
        <v>0</v>
      </c>
      <c r="BY36" s="360">
        <v>0</v>
      </c>
      <c r="BZ36" s="360">
        <v>0</v>
      </c>
      <c r="CA36" s="360">
        <v>0</v>
      </c>
      <c r="CB36" s="360">
        <v>0</v>
      </c>
      <c r="CC36" s="360">
        <v>0</v>
      </c>
      <c r="CD36" s="360" t="s">
        <v>132</v>
      </c>
    </row>
    <row r="37" spans="1:82" x14ac:dyDescent="0.35">
      <c r="A37" s="360" t="s">
        <v>133</v>
      </c>
      <c r="B37" s="360" t="s">
        <v>134</v>
      </c>
      <c r="C37" s="360" t="s">
        <v>71</v>
      </c>
      <c r="D37" s="360" t="s">
        <v>77</v>
      </c>
      <c r="E37" s="360">
        <v>5065</v>
      </c>
      <c r="F37" s="360">
        <v>4459</v>
      </c>
      <c r="G37" s="360">
        <v>22</v>
      </c>
      <c r="H37" s="360">
        <v>584</v>
      </c>
      <c r="I37" s="360">
        <v>95.95</v>
      </c>
      <c r="J37" s="360">
        <v>4481</v>
      </c>
      <c r="K37" s="360">
        <v>96.03</v>
      </c>
      <c r="L37" s="360">
        <v>4459</v>
      </c>
      <c r="M37" s="360">
        <v>80.510000000000005</v>
      </c>
      <c r="N37" s="360">
        <v>22</v>
      </c>
      <c r="O37" s="360">
        <v>77.180000000000007</v>
      </c>
      <c r="P37" s="360">
        <v>246</v>
      </c>
      <c r="Q37" s="360">
        <v>81.78</v>
      </c>
      <c r="R37" s="360">
        <v>1113</v>
      </c>
      <c r="S37" s="360">
        <v>95.38</v>
      </c>
      <c r="T37" s="360">
        <v>1539</v>
      </c>
      <c r="U37" s="360">
        <v>108.65</v>
      </c>
      <c r="V37" s="360">
        <v>1449</v>
      </c>
      <c r="W37" s="360">
        <v>124.64</v>
      </c>
      <c r="X37" s="360">
        <v>103</v>
      </c>
      <c r="Y37" s="360">
        <v>126.74</v>
      </c>
      <c r="Z37" s="360">
        <v>9</v>
      </c>
      <c r="AA37" s="360">
        <v>0</v>
      </c>
      <c r="AB37" s="360">
        <v>0</v>
      </c>
      <c r="AC37" s="360">
        <v>82.57</v>
      </c>
      <c r="AD37" s="360">
        <v>584</v>
      </c>
      <c r="AE37" s="360">
        <v>82.57</v>
      </c>
      <c r="AF37" s="360">
        <v>584</v>
      </c>
      <c r="AG37" s="360">
        <v>0</v>
      </c>
      <c r="AH37" s="360">
        <v>0</v>
      </c>
      <c r="AI37" s="360">
        <v>70.48</v>
      </c>
      <c r="AJ37" s="360">
        <v>122</v>
      </c>
      <c r="AK37" s="360">
        <v>82.27</v>
      </c>
      <c r="AL37" s="360">
        <v>349</v>
      </c>
      <c r="AM37" s="360">
        <v>96.39</v>
      </c>
      <c r="AN37" s="360">
        <v>111</v>
      </c>
      <c r="AO37" s="360">
        <v>106.26</v>
      </c>
      <c r="AP37" s="360">
        <v>2</v>
      </c>
      <c r="AQ37" s="360">
        <v>0</v>
      </c>
      <c r="AR37" s="360">
        <v>0</v>
      </c>
      <c r="AS37" s="360">
        <v>0</v>
      </c>
      <c r="AT37" s="360">
        <v>0</v>
      </c>
      <c r="AU37" s="360">
        <v>0</v>
      </c>
      <c r="AV37" s="360">
        <v>0</v>
      </c>
      <c r="AW37" s="360">
        <v>0</v>
      </c>
      <c r="AX37" s="360">
        <v>0</v>
      </c>
      <c r="AY37" s="360">
        <v>0</v>
      </c>
      <c r="AZ37" s="360">
        <v>0</v>
      </c>
      <c r="BA37" s="360">
        <v>0</v>
      </c>
      <c r="BB37" s="360">
        <v>0</v>
      </c>
      <c r="BC37" s="360">
        <v>0</v>
      </c>
      <c r="BD37" s="360">
        <v>0</v>
      </c>
      <c r="BE37" s="360">
        <v>0</v>
      </c>
      <c r="BF37" s="360">
        <v>0</v>
      </c>
      <c r="BG37" s="360">
        <v>0</v>
      </c>
      <c r="BH37" s="360">
        <v>0</v>
      </c>
      <c r="BI37" s="360">
        <v>0</v>
      </c>
      <c r="BJ37" s="360">
        <v>0</v>
      </c>
      <c r="BK37" s="360">
        <v>0</v>
      </c>
      <c r="BL37" s="360">
        <v>0</v>
      </c>
      <c r="BM37" s="360">
        <v>0</v>
      </c>
      <c r="BN37" s="360">
        <v>0</v>
      </c>
      <c r="BO37" s="360">
        <v>0</v>
      </c>
      <c r="BP37" s="360">
        <v>0</v>
      </c>
      <c r="BQ37" s="360">
        <v>0</v>
      </c>
      <c r="BR37" s="360">
        <v>0</v>
      </c>
      <c r="BS37" s="360">
        <v>0</v>
      </c>
      <c r="BT37" s="360">
        <v>0</v>
      </c>
      <c r="BU37" s="360">
        <v>0</v>
      </c>
      <c r="BV37" s="360">
        <v>0</v>
      </c>
      <c r="BW37" s="360">
        <v>0</v>
      </c>
      <c r="BX37" s="360">
        <v>0</v>
      </c>
      <c r="BY37" s="360">
        <v>0</v>
      </c>
      <c r="BZ37" s="360">
        <v>0</v>
      </c>
      <c r="CA37" s="360">
        <v>0</v>
      </c>
      <c r="CB37" s="360">
        <v>0</v>
      </c>
      <c r="CC37" s="360">
        <v>0</v>
      </c>
      <c r="CD37" s="360" t="s">
        <v>135</v>
      </c>
    </row>
    <row r="38" spans="1:82" x14ac:dyDescent="0.35">
      <c r="A38" s="360" t="s">
        <v>136</v>
      </c>
      <c r="B38" s="360" t="s">
        <v>137</v>
      </c>
      <c r="C38" s="360" t="s">
        <v>67</v>
      </c>
      <c r="D38" s="360" t="s">
        <v>77</v>
      </c>
      <c r="E38" s="360">
        <v>1503</v>
      </c>
      <c r="F38" s="360">
        <v>1192</v>
      </c>
      <c r="G38" s="360">
        <v>0</v>
      </c>
      <c r="H38" s="360">
        <v>311</v>
      </c>
      <c r="I38" s="360">
        <v>97.47</v>
      </c>
      <c r="J38" s="360">
        <v>1183</v>
      </c>
      <c r="K38" s="360">
        <v>97.47</v>
      </c>
      <c r="L38" s="360">
        <v>1183</v>
      </c>
      <c r="M38" s="360">
        <v>0</v>
      </c>
      <c r="N38" s="360">
        <v>0</v>
      </c>
      <c r="O38" s="360">
        <v>75.78</v>
      </c>
      <c r="P38" s="360">
        <v>66</v>
      </c>
      <c r="Q38" s="360">
        <v>86.85</v>
      </c>
      <c r="R38" s="360">
        <v>360</v>
      </c>
      <c r="S38" s="360">
        <v>98.5</v>
      </c>
      <c r="T38" s="360">
        <v>337</v>
      </c>
      <c r="U38" s="360">
        <v>108.86</v>
      </c>
      <c r="V38" s="360">
        <v>408</v>
      </c>
      <c r="W38" s="360">
        <v>120.01</v>
      </c>
      <c r="X38" s="360">
        <v>12</v>
      </c>
      <c r="Y38" s="360">
        <v>0</v>
      </c>
      <c r="Z38" s="360">
        <v>0</v>
      </c>
      <c r="AA38" s="360">
        <v>0</v>
      </c>
      <c r="AB38" s="360">
        <v>0</v>
      </c>
      <c r="AC38" s="360">
        <v>81.78</v>
      </c>
      <c r="AD38" s="360">
        <v>311</v>
      </c>
      <c r="AE38" s="360">
        <v>82.54</v>
      </c>
      <c r="AF38" s="360">
        <v>294</v>
      </c>
      <c r="AG38" s="360">
        <v>68.709999999999994</v>
      </c>
      <c r="AH38" s="360">
        <v>17</v>
      </c>
      <c r="AI38" s="360">
        <v>76.260000000000005</v>
      </c>
      <c r="AJ38" s="360">
        <v>137</v>
      </c>
      <c r="AK38" s="360">
        <v>87.1</v>
      </c>
      <c r="AL38" s="360">
        <v>144</v>
      </c>
      <c r="AM38" s="360">
        <v>98.39</v>
      </c>
      <c r="AN38" s="360">
        <v>12</v>
      </c>
      <c r="AO38" s="360">
        <v>97.45</v>
      </c>
      <c r="AP38" s="360">
        <v>1</v>
      </c>
      <c r="AQ38" s="360">
        <v>0</v>
      </c>
      <c r="AR38" s="360">
        <v>0</v>
      </c>
      <c r="AS38" s="360">
        <v>184.94</v>
      </c>
      <c r="AT38" s="360">
        <v>9</v>
      </c>
      <c r="AU38" s="360">
        <v>184.94</v>
      </c>
      <c r="AV38" s="360">
        <v>9</v>
      </c>
      <c r="AW38" s="360">
        <v>0</v>
      </c>
      <c r="AX38" s="360">
        <v>0</v>
      </c>
      <c r="AY38" s="360">
        <v>0</v>
      </c>
      <c r="AZ38" s="360">
        <v>0</v>
      </c>
      <c r="BA38" s="360">
        <v>0</v>
      </c>
      <c r="BB38" s="360">
        <v>0</v>
      </c>
      <c r="BC38" s="360">
        <v>183.71</v>
      </c>
      <c r="BD38" s="360">
        <v>8</v>
      </c>
      <c r="BE38" s="360">
        <v>194.8</v>
      </c>
      <c r="BF38" s="360">
        <v>1</v>
      </c>
      <c r="BG38" s="360">
        <v>0</v>
      </c>
      <c r="BH38" s="360">
        <v>0</v>
      </c>
      <c r="BI38" s="360">
        <v>0</v>
      </c>
      <c r="BJ38" s="360">
        <v>0</v>
      </c>
      <c r="BK38" s="360">
        <v>0</v>
      </c>
      <c r="BL38" s="360">
        <v>0</v>
      </c>
      <c r="BM38" s="360">
        <v>0</v>
      </c>
      <c r="BN38" s="360">
        <v>0</v>
      </c>
      <c r="BO38" s="360">
        <v>0</v>
      </c>
      <c r="BP38" s="360">
        <v>0</v>
      </c>
      <c r="BQ38" s="360">
        <v>0</v>
      </c>
      <c r="BR38" s="360">
        <v>0</v>
      </c>
      <c r="BS38" s="360">
        <v>0</v>
      </c>
      <c r="BT38" s="360">
        <v>0</v>
      </c>
      <c r="BU38" s="360">
        <v>0</v>
      </c>
      <c r="BV38" s="360">
        <v>0</v>
      </c>
      <c r="BW38" s="360">
        <v>0</v>
      </c>
      <c r="BX38" s="360">
        <v>0</v>
      </c>
      <c r="BY38" s="360">
        <v>0</v>
      </c>
      <c r="BZ38" s="360">
        <v>0</v>
      </c>
      <c r="CA38" s="360">
        <v>0</v>
      </c>
      <c r="CB38" s="360">
        <v>0</v>
      </c>
      <c r="CC38" s="360">
        <v>0</v>
      </c>
      <c r="CD38" s="360" t="s">
        <v>138</v>
      </c>
    </row>
    <row r="39" spans="1:82" x14ac:dyDescent="0.35">
      <c r="A39" s="360" t="s">
        <v>139</v>
      </c>
      <c r="B39" s="360" t="s">
        <v>140</v>
      </c>
      <c r="C39" s="360" t="s">
        <v>67</v>
      </c>
      <c r="D39" s="360" t="s">
        <v>77</v>
      </c>
      <c r="E39" s="360">
        <v>5451</v>
      </c>
      <c r="F39" s="360">
        <v>4595</v>
      </c>
      <c r="G39" s="360">
        <v>62</v>
      </c>
      <c r="H39" s="360">
        <v>708</v>
      </c>
      <c r="I39" s="360">
        <v>108.15</v>
      </c>
      <c r="J39" s="360">
        <v>4508</v>
      </c>
      <c r="K39" s="360">
        <v>108.42</v>
      </c>
      <c r="L39" s="360">
        <v>4452</v>
      </c>
      <c r="M39" s="360">
        <v>87.2</v>
      </c>
      <c r="N39" s="360">
        <v>56</v>
      </c>
      <c r="O39" s="360">
        <v>81.91</v>
      </c>
      <c r="P39" s="360">
        <v>76</v>
      </c>
      <c r="Q39" s="360">
        <v>95.15</v>
      </c>
      <c r="R39" s="360">
        <v>944</v>
      </c>
      <c r="S39" s="360">
        <v>106.97</v>
      </c>
      <c r="T39" s="360">
        <v>1424</v>
      </c>
      <c r="U39" s="360">
        <v>115.97</v>
      </c>
      <c r="V39" s="360">
        <v>1859</v>
      </c>
      <c r="W39" s="360">
        <v>125.19</v>
      </c>
      <c r="X39" s="360">
        <v>146</v>
      </c>
      <c r="Y39" s="360">
        <v>135.78</v>
      </c>
      <c r="Z39" s="360">
        <v>2</v>
      </c>
      <c r="AA39" s="360">
        <v>182.83</v>
      </c>
      <c r="AB39" s="360">
        <v>1</v>
      </c>
      <c r="AC39" s="360">
        <v>97.52</v>
      </c>
      <c r="AD39" s="360">
        <v>496</v>
      </c>
      <c r="AE39" s="360">
        <v>97.52</v>
      </c>
      <c r="AF39" s="360">
        <v>496</v>
      </c>
      <c r="AG39" s="360">
        <v>0</v>
      </c>
      <c r="AH39" s="360">
        <v>0</v>
      </c>
      <c r="AI39" s="360">
        <v>92.25</v>
      </c>
      <c r="AJ39" s="360">
        <v>30</v>
      </c>
      <c r="AK39" s="360">
        <v>96</v>
      </c>
      <c r="AL39" s="360">
        <v>390</v>
      </c>
      <c r="AM39" s="360">
        <v>107.43</v>
      </c>
      <c r="AN39" s="360">
        <v>76</v>
      </c>
      <c r="AO39" s="360">
        <v>0</v>
      </c>
      <c r="AP39" s="360">
        <v>0</v>
      </c>
      <c r="AQ39" s="360">
        <v>0</v>
      </c>
      <c r="AR39" s="360">
        <v>0</v>
      </c>
      <c r="AS39" s="360">
        <v>156.53</v>
      </c>
      <c r="AT39" s="360">
        <v>149</v>
      </c>
      <c r="AU39" s="360">
        <v>159.18</v>
      </c>
      <c r="AV39" s="360">
        <v>143</v>
      </c>
      <c r="AW39" s="360">
        <v>93.3</v>
      </c>
      <c r="AX39" s="360">
        <v>6</v>
      </c>
      <c r="AY39" s="360">
        <v>0</v>
      </c>
      <c r="AZ39" s="360">
        <v>0</v>
      </c>
      <c r="BA39" s="360">
        <v>126.48</v>
      </c>
      <c r="BB39" s="360">
        <v>47</v>
      </c>
      <c r="BC39" s="360">
        <v>156.35</v>
      </c>
      <c r="BD39" s="360">
        <v>41</v>
      </c>
      <c r="BE39" s="360">
        <v>178.71</v>
      </c>
      <c r="BF39" s="360">
        <v>39</v>
      </c>
      <c r="BG39" s="360">
        <v>212.93</v>
      </c>
      <c r="BH39" s="360">
        <v>15</v>
      </c>
      <c r="BI39" s="360">
        <v>245.41</v>
      </c>
      <c r="BJ39" s="360">
        <v>1</v>
      </c>
      <c r="BK39" s="360">
        <v>0</v>
      </c>
      <c r="BL39" s="360">
        <v>0</v>
      </c>
      <c r="BM39" s="360">
        <v>189.66</v>
      </c>
      <c r="BN39" s="360">
        <v>212</v>
      </c>
      <c r="BO39" s="360">
        <v>189.66</v>
      </c>
      <c r="BP39" s="360">
        <v>212</v>
      </c>
      <c r="BQ39" s="360">
        <v>0</v>
      </c>
      <c r="BR39" s="360">
        <v>0</v>
      </c>
      <c r="BS39" s="360">
        <v>148.65</v>
      </c>
      <c r="BT39" s="360">
        <v>5</v>
      </c>
      <c r="BU39" s="360">
        <v>185.68</v>
      </c>
      <c r="BV39" s="360">
        <v>161</v>
      </c>
      <c r="BW39" s="360">
        <v>208.05</v>
      </c>
      <c r="BX39" s="360">
        <v>46</v>
      </c>
      <c r="BY39" s="360">
        <v>0</v>
      </c>
      <c r="BZ39" s="360">
        <v>0</v>
      </c>
      <c r="CA39" s="360">
        <v>0</v>
      </c>
      <c r="CB39" s="360">
        <v>0</v>
      </c>
      <c r="CC39" s="360">
        <v>86</v>
      </c>
      <c r="CD39" s="360" t="s">
        <v>141</v>
      </c>
    </row>
    <row r="40" spans="1:82" x14ac:dyDescent="0.35">
      <c r="A40" s="360" t="s">
        <v>142</v>
      </c>
      <c r="B40" s="360" t="s">
        <v>143</v>
      </c>
      <c r="C40" s="360" t="s">
        <v>66</v>
      </c>
      <c r="D40" s="360" t="s">
        <v>77</v>
      </c>
      <c r="E40" s="360">
        <v>5461</v>
      </c>
      <c r="F40" s="360">
        <v>5028</v>
      </c>
      <c r="G40" s="360">
        <v>0</v>
      </c>
      <c r="H40" s="360">
        <v>433</v>
      </c>
      <c r="I40" s="360">
        <v>79.599999999999994</v>
      </c>
      <c r="J40" s="360">
        <v>5028</v>
      </c>
      <c r="K40" s="360">
        <v>79.599999999999994</v>
      </c>
      <c r="L40" s="360">
        <v>5028</v>
      </c>
      <c r="M40" s="360">
        <v>0</v>
      </c>
      <c r="N40" s="360">
        <v>0</v>
      </c>
      <c r="O40" s="360">
        <v>55.71</v>
      </c>
      <c r="P40" s="360">
        <v>133</v>
      </c>
      <c r="Q40" s="360">
        <v>70.849999999999994</v>
      </c>
      <c r="R40" s="360">
        <v>2044</v>
      </c>
      <c r="S40" s="360">
        <v>79.47</v>
      </c>
      <c r="T40" s="360">
        <v>832</v>
      </c>
      <c r="U40" s="360">
        <v>89.48</v>
      </c>
      <c r="V40" s="360">
        <v>1886</v>
      </c>
      <c r="W40" s="360">
        <v>98.32</v>
      </c>
      <c r="X40" s="360">
        <v>127</v>
      </c>
      <c r="Y40" s="360">
        <v>108.76</v>
      </c>
      <c r="Z40" s="360">
        <v>4</v>
      </c>
      <c r="AA40" s="360">
        <v>107.58</v>
      </c>
      <c r="AB40" s="360">
        <v>2</v>
      </c>
      <c r="AC40" s="360">
        <v>64.23</v>
      </c>
      <c r="AD40" s="360">
        <v>433</v>
      </c>
      <c r="AE40" s="360">
        <v>64.23</v>
      </c>
      <c r="AF40" s="360">
        <v>433</v>
      </c>
      <c r="AG40" s="360">
        <v>0</v>
      </c>
      <c r="AH40" s="360">
        <v>0</v>
      </c>
      <c r="AI40" s="360">
        <v>55.19</v>
      </c>
      <c r="AJ40" s="360">
        <v>163</v>
      </c>
      <c r="AK40" s="360">
        <v>68.709999999999994</v>
      </c>
      <c r="AL40" s="360">
        <v>247</v>
      </c>
      <c r="AM40" s="360">
        <v>78.900000000000006</v>
      </c>
      <c r="AN40" s="360">
        <v>20</v>
      </c>
      <c r="AO40" s="360">
        <v>89.28</v>
      </c>
      <c r="AP40" s="360">
        <v>3</v>
      </c>
      <c r="AQ40" s="360">
        <v>0</v>
      </c>
      <c r="AR40" s="360">
        <v>0</v>
      </c>
      <c r="AS40" s="360">
        <v>0</v>
      </c>
      <c r="AT40" s="360">
        <v>0</v>
      </c>
      <c r="AU40" s="360">
        <v>0</v>
      </c>
      <c r="AV40" s="360">
        <v>0</v>
      </c>
      <c r="AW40" s="360">
        <v>0</v>
      </c>
      <c r="AX40" s="360">
        <v>0</v>
      </c>
      <c r="AY40" s="360">
        <v>0</v>
      </c>
      <c r="AZ40" s="360">
        <v>0</v>
      </c>
      <c r="BA40" s="360">
        <v>0</v>
      </c>
      <c r="BB40" s="360">
        <v>0</v>
      </c>
      <c r="BC40" s="360">
        <v>0</v>
      </c>
      <c r="BD40" s="360">
        <v>0</v>
      </c>
      <c r="BE40" s="360">
        <v>0</v>
      </c>
      <c r="BF40" s="360">
        <v>0</v>
      </c>
      <c r="BG40" s="360">
        <v>0</v>
      </c>
      <c r="BH40" s="360">
        <v>0</v>
      </c>
      <c r="BI40" s="360">
        <v>0</v>
      </c>
      <c r="BJ40" s="360">
        <v>0</v>
      </c>
      <c r="BK40" s="360">
        <v>0</v>
      </c>
      <c r="BL40" s="360">
        <v>0</v>
      </c>
      <c r="BM40" s="360">
        <v>0</v>
      </c>
      <c r="BN40" s="360">
        <v>0</v>
      </c>
      <c r="BO40" s="360">
        <v>0</v>
      </c>
      <c r="BP40" s="360">
        <v>0</v>
      </c>
      <c r="BQ40" s="360">
        <v>0</v>
      </c>
      <c r="BR40" s="360">
        <v>0</v>
      </c>
      <c r="BS40" s="360">
        <v>0</v>
      </c>
      <c r="BT40" s="360">
        <v>0</v>
      </c>
      <c r="BU40" s="360">
        <v>0</v>
      </c>
      <c r="BV40" s="360">
        <v>0</v>
      </c>
      <c r="BW40" s="360">
        <v>0</v>
      </c>
      <c r="BX40" s="360">
        <v>0</v>
      </c>
      <c r="BY40" s="360">
        <v>0</v>
      </c>
      <c r="BZ40" s="360">
        <v>0</v>
      </c>
      <c r="CA40" s="360">
        <v>0</v>
      </c>
      <c r="CB40" s="360">
        <v>0</v>
      </c>
      <c r="CC40" s="360">
        <v>0</v>
      </c>
      <c r="CD40" s="360" t="s">
        <v>144</v>
      </c>
    </row>
    <row r="41" spans="1:82" x14ac:dyDescent="0.35">
      <c r="A41" s="360" t="s">
        <v>784</v>
      </c>
      <c r="B41" s="360" t="s">
        <v>785</v>
      </c>
      <c r="C41" s="360" t="s">
        <v>67</v>
      </c>
      <c r="D41" s="360" t="s">
        <v>77</v>
      </c>
      <c r="E41" s="360">
        <v>76</v>
      </c>
      <c r="F41" s="360">
        <v>76</v>
      </c>
      <c r="G41" s="360">
        <v>0</v>
      </c>
      <c r="H41" s="360">
        <v>0</v>
      </c>
      <c r="I41" s="360">
        <v>216.01</v>
      </c>
      <c r="J41" s="360">
        <v>76</v>
      </c>
      <c r="K41" s="360">
        <v>216.01</v>
      </c>
      <c r="L41" s="360">
        <v>76</v>
      </c>
      <c r="M41" s="360">
        <v>0</v>
      </c>
      <c r="N41" s="360">
        <v>0</v>
      </c>
      <c r="O41" s="360">
        <v>0</v>
      </c>
      <c r="P41" s="360">
        <v>0</v>
      </c>
      <c r="Q41" s="360">
        <v>129.78</v>
      </c>
      <c r="R41" s="360">
        <v>8</v>
      </c>
      <c r="S41" s="360">
        <v>165.86</v>
      </c>
      <c r="T41" s="360">
        <v>11</v>
      </c>
      <c r="U41" s="360">
        <v>224.3</v>
      </c>
      <c r="V41" s="360">
        <v>45</v>
      </c>
      <c r="W41" s="360">
        <v>288.44</v>
      </c>
      <c r="X41" s="360">
        <v>12</v>
      </c>
      <c r="Y41" s="360">
        <v>0</v>
      </c>
      <c r="Z41" s="360">
        <v>0</v>
      </c>
      <c r="AA41" s="360">
        <v>0</v>
      </c>
      <c r="AB41" s="360">
        <v>0</v>
      </c>
      <c r="AC41" s="360">
        <v>0</v>
      </c>
      <c r="AD41" s="360">
        <v>0</v>
      </c>
      <c r="AE41" s="360">
        <v>0</v>
      </c>
      <c r="AF41" s="360">
        <v>0</v>
      </c>
      <c r="AG41" s="360">
        <v>0</v>
      </c>
      <c r="AH41" s="360">
        <v>0</v>
      </c>
      <c r="AI41" s="360">
        <v>0</v>
      </c>
      <c r="AJ41" s="360">
        <v>0</v>
      </c>
      <c r="AK41" s="360">
        <v>0</v>
      </c>
      <c r="AL41" s="360">
        <v>0</v>
      </c>
      <c r="AM41" s="360">
        <v>0</v>
      </c>
      <c r="AN41" s="360">
        <v>0</v>
      </c>
      <c r="AO41" s="360">
        <v>0</v>
      </c>
      <c r="AP41" s="360">
        <v>0</v>
      </c>
      <c r="AQ41" s="360">
        <v>0</v>
      </c>
      <c r="AR41" s="360">
        <v>0</v>
      </c>
      <c r="AS41" s="360">
        <v>0</v>
      </c>
      <c r="AT41" s="360">
        <v>0</v>
      </c>
      <c r="AU41" s="360">
        <v>0</v>
      </c>
      <c r="AV41" s="360">
        <v>0</v>
      </c>
      <c r="AW41" s="360">
        <v>0</v>
      </c>
      <c r="AX41" s="360">
        <v>0</v>
      </c>
      <c r="AY41" s="360">
        <v>0</v>
      </c>
      <c r="AZ41" s="360">
        <v>0</v>
      </c>
      <c r="BA41" s="360">
        <v>0</v>
      </c>
      <c r="BB41" s="360">
        <v>0</v>
      </c>
      <c r="BC41" s="360">
        <v>0</v>
      </c>
      <c r="BD41" s="360">
        <v>0</v>
      </c>
      <c r="BE41" s="360">
        <v>0</v>
      </c>
      <c r="BF41" s="360">
        <v>0</v>
      </c>
      <c r="BG41" s="360">
        <v>0</v>
      </c>
      <c r="BH41" s="360">
        <v>0</v>
      </c>
      <c r="BI41" s="360">
        <v>0</v>
      </c>
      <c r="BJ41" s="360">
        <v>0</v>
      </c>
      <c r="BK41" s="360">
        <v>0</v>
      </c>
      <c r="BL41" s="360">
        <v>0</v>
      </c>
      <c r="BM41" s="360">
        <v>0</v>
      </c>
      <c r="BN41" s="360">
        <v>0</v>
      </c>
      <c r="BO41" s="360">
        <v>0</v>
      </c>
      <c r="BP41" s="360">
        <v>0</v>
      </c>
      <c r="BQ41" s="360">
        <v>0</v>
      </c>
      <c r="BR41" s="360">
        <v>0</v>
      </c>
      <c r="BS41" s="360">
        <v>0</v>
      </c>
      <c r="BT41" s="360">
        <v>0</v>
      </c>
      <c r="BU41" s="360">
        <v>0</v>
      </c>
      <c r="BV41" s="360">
        <v>0</v>
      </c>
      <c r="BW41" s="360">
        <v>0</v>
      </c>
      <c r="BX41" s="360">
        <v>0</v>
      </c>
      <c r="BY41" s="360">
        <v>0</v>
      </c>
      <c r="BZ41" s="360">
        <v>0</v>
      </c>
      <c r="CA41" s="360">
        <v>0</v>
      </c>
      <c r="CB41" s="360">
        <v>0</v>
      </c>
      <c r="CC41" s="360">
        <v>0</v>
      </c>
      <c r="CD41" s="360" t="s">
        <v>786</v>
      </c>
    </row>
    <row r="42" spans="1:82" x14ac:dyDescent="0.35">
      <c r="A42" s="360" t="s">
        <v>145</v>
      </c>
      <c r="B42" s="360" t="s">
        <v>146</v>
      </c>
      <c r="C42" s="360" t="s">
        <v>72</v>
      </c>
      <c r="D42" s="360" t="s">
        <v>77</v>
      </c>
      <c r="E42" s="360">
        <v>4529</v>
      </c>
      <c r="F42" s="360">
        <v>4006</v>
      </c>
      <c r="G42" s="360">
        <v>0</v>
      </c>
      <c r="H42" s="360">
        <v>488</v>
      </c>
      <c r="I42" s="360">
        <v>86.99</v>
      </c>
      <c r="J42" s="360">
        <v>3871</v>
      </c>
      <c r="K42" s="360">
        <v>86.99</v>
      </c>
      <c r="L42" s="360">
        <v>3871</v>
      </c>
      <c r="M42" s="360">
        <v>0</v>
      </c>
      <c r="N42" s="360">
        <v>0</v>
      </c>
      <c r="O42" s="360">
        <v>73.36</v>
      </c>
      <c r="P42" s="360">
        <v>8</v>
      </c>
      <c r="Q42" s="360">
        <v>75.319999999999993</v>
      </c>
      <c r="R42" s="360">
        <v>899</v>
      </c>
      <c r="S42" s="360">
        <v>84.97</v>
      </c>
      <c r="T42" s="360">
        <v>1520</v>
      </c>
      <c r="U42" s="360">
        <v>95.76</v>
      </c>
      <c r="V42" s="360">
        <v>1324</v>
      </c>
      <c r="W42" s="360">
        <v>103.34</v>
      </c>
      <c r="X42" s="360">
        <v>112</v>
      </c>
      <c r="Y42" s="360">
        <v>119.76</v>
      </c>
      <c r="Z42" s="360">
        <v>8</v>
      </c>
      <c r="AA42" s="360">
        <v>0</v>
      </c>
      <c r="AB42" s="360">
        <v>0</v>
      </c>
      <c r="AC42" s="360">
        <v>76.900000000000006</v>
      </c>
      <c r="AD42" s="360">
        <v>488</v>
      </c>
      <c r="AE42" s="360">
        <v>76.900000000000006</v>
      </c>
      <c r="AF42" s="360">
        <v>488</v>
      </c>
      <c r="AG42" s="360">
        <v>0</v>
      </c>
      <c r="AH42" s="360">
        <v>0</v>
      </c>
      <c r="AI42" s="360">
        <v>71.150000000000006</v>
      </c>
      <c r="AJ42" s="360">
        <v>57</v>
      </c>
      <c r="AK42" s="360">
        <v>77.39</v>
      </c>
      <c r="AL42" s="360">
        <v>415</v>
      </c>
      <c r="AM42" s="360">
        <v>84.93</v>
      </c>
      <c r="AN42" s="360">
        <v>16</v>
      </c>
      <c r="AO42" s="360">
        <v>0</v>
      </c>
      <c r="AP42" s="360">
        <v>0</v>
      </c>
      <c r="AQ42" s="360">
        <v>0</v>
      </c>
      <c r="AR42" s="360">
        <v>0</v>
      </c>
      <c r="AS42" s="360">
        <v>137.38999999999999</v>
      </c>
      <c r="AT42" s="360">
        <v>135</v>
      </c>
      <c r="AU42" s="360">
        <v>137.38999999999999</v>
      </c>
      <c r="AV42" s="360">
        <v>135</v>
      </c>
      <c r="AW42" s="360">
        <v>0</v>
      </c>
      <c r="AX42" s="360">
        <v>0</v>
      </c>
      <c r="AY42" s="360">
        <v>0</v>
      </c>
      <c r="AZ42" s="360">
        <v>0</v>
      </c>
      <c r="BA42" s="360">
        <v>106.14</v>
      </c>
      <c r="BB42" s="360">
        <v>26</v>
      </c>
      <c r="BC42" s="360">
        <v>132.91999999999999</v>
      </c>
      <c r="BD42" s="360">
        <v>69</v>
      </c>
      <c r="BE42" s="360">
        <v>163.71</v>
      </c>
      <c r="BF42" s="360">
        <v>37</v>
      </c>
      <c r="BG42" s="360">
        <v>178.89</v>
      </c>
      <c r="BH42" s="360">
        <v>2</v>
      </c>
      <c r="BI42" s="360">
        <v>201.79</v>
      </c>
      <c r="BJ42" s="360">
        <v>1</v>
      </c>
      <c r="BK42" s="360">
        <v>0</v>
      </c>
      <c r="BL42" s="360">
        <v>0</v>
      </c>
      <c r="BM42" s="360">
        <v>0</v>
      </c>
      <c r="BN42" s="360">
        <v>0</v>
      </c>
      <c r="BO42" s="360">
        <v>0</v>
      </c>
      <c r="BP42" s="360">
        <v>0</v>
      </c>
      <c r="BQ42" s="360">
        <v>0</v>
      </c>
      <c r="BR42" s="360">
        <v>0</v>
      </c>
      <c r="BS42" s="360">
        <v>0</v>
      </c>
      <c r="BT42" s="360">
        <v>0</v>
      </c>
      <c r="BU42" s="360">
        <v>0</v>
      </c>
      <c r="BV42" s="360">
        <v>0</v>
      </c>
      <c r="BW42" s="360">
        <v>0</v>
      </c>
      <c r="BX42" s="360">
        <v>0</v>
      </c>
      <c r="BY42" s="360">
        <v>0</v>
      </c>
      <c r="BZ42" s="360">
        <v>0</v>
      </c>
      <c r="CA42" s="360">
        <v>0</v>
      </c>
      <c r="CB42" s="360">
        <v>0</v>
      </c>
      <c r="CC42" s="360">
        <v>35</v>
      </c>
      <c r="CD42" s="360" t="s">
        <v>147</v>
      </c>
    </row>
    <row r="43" spans="1:82" x14ac:dyDescent="0.35">
      <c r="A43" s="360" t="s">
        <v>148</v>
      </c>
      <c r="B43" s="360" t="s">
        <v>149</v>
      </c>
      <c r="C43" s="360" t="s">
        <v>71</v>
      </c>
      <c r="D43" s="360" t="s">
        <v>77</v>
      </c>
      <c r="E43" s="360">
        <v>271</v>
      </c>
      <c r="F43" s="360">
        <v>90</v>
      </c>
      <c r="G43" s="360">
        <v>4</v>
      </c>
      <c r="H43" s="360">
        <v>53</v>
      </c>
      <c r="I43" s="360">
        <v>0</v>
      </c>
      <c r="J43" s="360">
        <v>0</v>
      </c>
      <c r="K43" s="360">
        <v>0</v>
      </c>
      <c r="L43" s="360">
        <v>0</v>
      </c>
      <c r="M43" s="360">
        <v>0</v>
      </c>
      <c r="N43" s="360">
        <v>0</v>
      </c>
      <c r="O43" s="360">
        <v>0</v>
      </c>
      <c r="P43" s="360">
        <v>0</v>
      </c>
      <c r="Q43" s="360">
        <v>0</v>
      </c>
      <c r="R43" s="360">
        <v>0</v>
      </c>
      <c r="S43" s="360">
        <v>0</v>
      </c>
      <c r="T43" s="360">
        <v>0</v>
      </c>
      <c r="U43" s="360">
        <v>0</v>
      </c>
      <c r="V43" s="360">
        <v>0</v>
      </c>
      <c r="W43" s="360">
        <v>0</v>
      </c>
      <c r="X43" s="360">
        <v>0</v>
      </c>
      <c r="Y43" s="360">
        <v>0</v>
      </c>
      <c r="Z43" s="360">
        <v>0</v>
      </c>
      <c r="AA43" s="360">
        <v>0</v>
      </c>
      <c r="AB43" s="360">
        <v>0</v>
      </c>
      <c r="AC43" s="360">
        <v>0</v>
      </c>
      <c r="AD43" s="360">
        <v>0</v>
      </c>
      <c r="AE43" s="360">
        <v>0</v>
      </c>
      <c r="AF43" s="360">
        <v>0</v>
      </c>
      <c r="AG43" s="360">
        <v>0</v>
      </c>
      <c r="AH43" s="360">
        <v>0</v>
      </c>
      <c r="AI43" s="360">
        <v>0</v>
      </c>
      <c r="AJ43" s="360">
        <v>0</v>
      </c>
      <c r="AK43" s="360">
        <v>0</v>
      </c>
      <c r="AL43" s="360">
        <v>0</v>
      </c>
      <c r="AM43" s="360">
        <v>0</v>
      </c>
      <c r="AN43" s="360">
        <v>0</v>
      </c>
      <c r="AO43" s="360">
        <v>0</v>
      </c>
      <c r="AP43" s="360">
        <v>0</v>
      </c>
      <c r="AQ43" s="360">
        <v>0</v>
      </c>
      <c r="AR43" s="360">
        <v>0</v>
      </c>
      <c r="AS43" s="360">
        <v>131.01</v>
      </c>
      <c r="AT43" s="360">
        <v>94</v>
      </c>
      <c r="AU43" s="360">
        <v>133.43</v>
      </c>
      <c r="AV43" s="360">
        <v>90</v>
      </c>
      <c r="AW43" s="360">
        <v>76.540000000000006</v>
      </c>
      <c r="AX43" s="360">
        <v>4</v>
      </c>
      <c r="AY43" s="360">
        <v>0</v>
      </c>
      <c r="AZ43" s="360">
        <v>0</v>
      </c>
      <c r="BA43" s="360">
        <v>118.3</v>
      </c>
      <c r="BB43" s="360">
        <v>57</v>
      </c>
      <c r="BC43" s="360">
        <v>155.72</v>
      </c>
      <c r="BD43" s="360">
        <v>27</v>
      </c>
      <c r="BE43" s="360">
        <v>176.97</v>
      </c>
      <c r="BF43" s="360">
        <v>6</v>
      </c>
      <c r="BG43" s="360">
        <v>0</v>
      </c>
      <c r="BH43" s="360">
        <v>0</v>
      </c>
      <c r="BI43" s="360">
        <v>0</v>
      </c>
      <c r="BJ43" s="360">
        <v>0</v>
      </c>
      <c r="BK43" s="360">
        <v>0</v>
      </c>
      <c r="BL43" s="360">
        <v>0</v>
      </c>
      <c r="BM43" s="360">
        <v>186.07</v>
      </c>
      <c r="BN43" s="360">
        <v>53</v>
      </c>
      <c r="BO43" s="360">
        <v>258.13</v>
      </c>
      <c r="BP43" s="360">
        <v>24</v>
      </c>
      <c r="BQ43" s="360">
        <v>126.43</v>
      </c>
      <c r="BR43" s="360">
        <v>29</v>
      </c>
      <c r="BS43" s="360">
        <v>203.9</v>
      </c>
      <c r="BT43" s="360">
        <v>2</v>
      </c>
      <c r="BU43" s="360">
        <v>263.07</v>
      </c>
      <c r="BV43" s="360">
        <v>22</v>
      </c>
      <c r="BW43" s="360">
        <v>0</v>
      </c>
      <c r="BX43" s="360">
        <v>0</v>
      </c>
      <c r="BY43" s="360">
        <v>0</v>
      </c>
      <c r="BZ43" s="360">
        <v>0</v>
      </c>
      <c r="CA43" s="360">
        <v>0</v>
      </c>
      <c r="CB43" s="360">
        <v>0</v>
      </c>
      <c r="CC43" s="360">
        <v>124</v>
      </c>
      <c r="CD43" s="360" t="s">
        <v>150</v>
      </c>
    </row>
    <row r="44" spans="1:82" x14ac:dyDescent="0.35">
      <c r="A44" s="360" t="s">
        <v>151</v>
      </c>
      <c r="B44" s="360" t="s">
        <v>152</v>
      </c>
      <c r="C44" s="360" t="s">
        <v>70</v>
      </c>
      <c r="D44" s="360" t="s">
        <v>77</v>
      </c>
      <c r="E44" s="360">
        <v>5339</v>
      </c>
      <c r="F44" s="360">
        <v>5301</v>
      </c>
      <c r="G44" s="360">
        <v>0</v>
      </c>
      <c r="H44" s="360">
        <v>18</v>
      </c>
      <c r="I44" s="360">
        <v>82.83</v>
      </c>
      <c r="J44" s="360">
        <v>5101</v>
      </c>
      <c r="K44" s="360">
        <v>82.83</v>
      </c>
      <c r="L44" s="360">
        <v>5101</v>
      </c>
      <c r="M44" s="360">
        <v>0</v>
      </c>
      <c r="N44" s="360">
        <v>0</v>
      </c>
      <c r="O44" s="360">
        <v>0</v>
      </c>
      <c r="P44" s="360">
        <v>0</v>
      </c>
      <c r="Q44" s="360">
        <v>75.430000000000007</v>
      </c>
      <c r="R44" s="360">
        <v>1324</v>
      </c>
      <c r="S44" s="360">
        <v>82.49</v>
      </c>
      <c r="T44" s="360">
        <v>1327</v>
      </c>
      <c r="U44" s="360">
        <v>86.82</v>
      </c>
      <c r="V44" s="360">
        <v>2329</v>
      </c>
      <c r="W44" s="360">
        <v>90.6</v>
      </c>
      <c r="X44" s="360">
        <v>110</v>
      </c>
      <c r="Y44" s="360">
        <v>83.85</v>
      </c>
      <c r="Z44" s="360">
        <v>6</v>
      </c>
      <c r="AA44" s="360">
        <v>108.27</v>
      </c>
      <c r="AB44" s="360">
        <v>5</v>
      </c>
      <c r="AC44" s="360">
        <v>82.22</v>
      </c>
      <c r="AD44" s="360">
        <v>9</v>
      </c>
      <c r="AE44" s="360">
        <v>82.22</v>
      </c>
      <c r="AF44" s="360">
        <v>9</v>
      </c>
      <c r="AG44" s="360">
        <v>0</v>
      </c>
      <c r="AH44" s="360">
        <v>0</v>
      </c>
      <c r="AI44" s="360">
        <v>0</v>
      </c>
      <c r="AJ44" s="360">
        <v>0</v>
      </c>
      <c r="AK44" s="360">
        <v>74.819999999999993</v>
      </c>
      <c r="AL44" s="360">
        <v>3</v>
      </c>
      <c r="AM44" s="360">
        <v>84.93</v>
      </c>
      <c r="AN44" s="360">
        <v>3</v>
      </c>
      <c r="AO44" s="360">
        <v>86.93</v>
      </c>
      <c r="AP44" s="360">
        <v>3</v>
      </c>
      <c r="AQ44" s="360">
        <v>0</v>
      </c>
      <c r="AR44" s="360">
        <v>0</v>
      </c>
      <c r="AS44" s="360">
        <v>106.37</v>
      </c>
      <c r="AT44" s="360">
        <v>200</v>
      </c>
      <c r="AU44" s="360">
        <v>106.37</v>
      </c>
      <c r="AV44" s="360">
        <v>200</v>
      </c>
      <c r="AW44" s="360">
        <v>0</v>
      </c>
      <c r="AX44" s="360">
        <v>0</v>
      </c>
      <c r="AY44" s="360">
        <v>0</v>
      </c>
      <c r="AZ44" s="360">
        <v>0</v>
      </c>
      <c r="BA44" s="360">
        <v>90.39</v>
      </c>
      <c r="BB44" s="360">
        <v>60</v>
      </c>
      <c r="BC44" s="360">
        <v>111.11</v>
      </c>
      <c r="BD44" s="360">
        <v>119</v>
      </c>
      <c r="BE44" s="360">
        <v>125.21</v>
      </c>
      <c r="BF44" s="360">
        <v>21</v>
      </c>
      <c r="BG44" s="360">
        <v>0</v>
      </c>
      <c r="BH44" s="360">
        <v>0</v>
      </c>
      <c r="BI44" s="360">
        <v>0</v>
      </c>
      <c r="BJ44" s="360">
        <v>0</v>
      </c>
      <c r="BK44" s="360">
        <v>0</v>
      </c>
      <c r="BL44" s="360">
        <v>0</v>
      </c>
      <c r="BM44" s="360">
        <v>107.45</v>
      </c>
      <c r="BN44" s="360">
        <v>9</v>
      </c>
      <c r="BO44" s="360">
        <v>107.45</v>
      </c>
      <c r="BP44" s="360">
        <v>9</v>
      </c>
      <c r="BQ44" s="360">
        <v>0</v>
      </c>
      <c r="BR44" s="360">
        <v>0</v>
      </c>
      <c r="BS44" s="360">
        <v>0</v>
      </c>
      <c r="BT44" s="360">
        <v>0</v>
      </c>
      <c r="BU44" s="360">
        <v>95.92</v>
      </c>
      <c r="BV44" s="360">
        <v>4</v>
      </c>
      <c r="BW44" s="360">
        <v>116.69</v>
      </c>
      <c r="BX44" s="360">
        <v>5</v>
      </c>
      <c r="BY44" s="360">
        <v>0</v>
      </c>
      <c r="BZ44" s="360">
        <v>0</v>
      </c>
      <c r="CA44" s="360">
        <v>0</v>
      </c>
      <c r="CB44" s="360">
        <v>0</v>
      </c>
      <c r="CC44" s="360">
        <v>20</v>
      </c>
      <c r="CD44" s="360" t="s">
        <v>153</v>
      </c>
    </row>
    <row r="45" spans="1:82" x14ac:dyDescent="0.35">
      <c r="A45" s="360" t="s">
        <v>154</v>
      </c>
      <c r="B45" s="360" t="s">
        <v>155</v>
      </c>
      <c r="C45" s="360" t="s">
        <v>66</v>
      </c>
      <c r="D45" s="360" t="s">
        <v>77</v>
      </c>
      <c r="E45" s="360">
        <v>8797</v>
      </c>
      <c r="F45" s="360">
        <v>8656</v>
      </c>
      <c r="G45" s="360">
        <v>0</v>
      </c>
      <c r="H45" s="360">
        <v>141</v>
      </c>
      <c r="I45" s="360">
        <v>82.9</v>
      </c>
      <c r="J45" s="360">
        <v>8650</v>
      </c>
      <c r="K45" s="360">
        <v>82.9</v>
      </c>
      <c r="L45" s="360">
        <v>8650</v>
      </c>
      <c r="M45" s="360">
        <v>0</v>
      </c>
      <c r="N45" s="360">
        <v>0</v>
      </c>
      <c r="O45" s="360">
        <v>65.27</v>
      </c>
      <c r="P45" s="360">
        <v>32</v>
      </c>
      <c r="Q45" s="360">
        <v>77.11</v>
      </c>
      <c r="R45" s="360">
        <v>3062</v>
      </c>
      <c r="S45" s="360">
        <v>83.53</v>
      </c>
      <c r="T45" s="360">
        <v>2713</v>
      </c>
      <c r="U45" s="360">
        <v>87.99</v>
      </c>
      <c r="V45" s="360">
        <v>2599</v>
      </c>
      <c r="W45" s="360">
        <v>96.73</v>
      </c>
      <c r="X45" s="360">
        <v>244</v>
      </c>
      <c r="Y45" s="360">
        <v>0</v>
      </c>
      <c r="Z45" s="360">
        <v>0</v>
      </c>
      <c r="AA45" s="360">
        <v>0</v>
      </c>
      <c r="AB45" s="360">
        <v>0</v>
      </c>
      <c r="AC45" s="360">
        <v>84.99</v>
      </c>
      <c r="AD45" s="360">
        <v>141</v>
      </c>
      <c r="AE45" s="360">
        <v>84.99</v>
      </c>
      <c r="AF45" s="360">
        <v>141</v>
      </c>
      <c r="AG45" s="360">
        <v>0</v>
      </c>
      <c r="AH45" s="360">
        <v>0</v>
      </c>
      <c r="AI45" s="360">
        <v>0</v>
      </c>
      <c r="AJ45" s="360">
        <v>0</v>
      </c>
      <c r="AK45" s="360">
        <v>80.08</v>
      </c>
      <c r="AL45" s="360">
        <v>92</v>
      </c>
      <c r="AM45" s="360">
        <v>94.19</v>
      </c>
      <c r="AN45" s="360">
        <v>44</v>
      </c>
      <c r="AO45" s="360">
        <v>94.55</v>
      </c>
      <c r="AP45" s="360">
        <v>5</v>
      </c>
      <c r="AQ45" s="360">
        <v>0</v>
      </c>
      <c r="AR45" s="360">
        <v>0</v>
      </c>
      <c r="AS45" s="360">
        <v>102.27</v>
      </c>
      <c r="AT45" s="360">
        <v>6</v>
      </c>
      <c r="AU45" s="360">
        <v>102.27</v>
      </c>
      <c r="AV45" s="360">
        <v>6</v>
      </c>
      <c r="AW45" s="360">
        <v>0</v>
      </c>
      <c r="AX45" s="360">
        <v>0</v>
      </c>
      <c r="AY45" s="360">
        <v>0</v>
      </c>
      <c r="AZ45" s="360">
        <v>0</v>
      </c>
      <c r="BA45" s="360">
        <v>93.54</v>
      </c>
      <c r="BB45" s="360">
        <v>3</v>
      </c>
      <c r="BC45" s="360">
        <v>100.15</v>
      </c>
      <c r="BD45" s="360">
        <v>2</v>
      </c>
      <c r="BE45" s="360">
        <v>0</v>
      </c>
      <c r="BF45" s="360">
        <v>0</v>
      </c>
      <c r="BG45" s="360">
        <v>0</v>
      </c>
      <c r="BH45" s="360">
        <v>0</v>
      </c>
      <c r="BI45" s="360">
        <v>0</v>
      </c>
      <c r="BJ45" s="360">
        <v>0</v>
      </c>
      <c r="BK45" s="360">
        <v>132.74</v>
      </c>
      <c r="BL45" s="360">
        <v>1</v>
      </c>
      <c r="BM45" s="360">
        <v>0</v>
      </c>
      <c r="BN45" s="360">
        <v>0</v>
      </c>
      <c r="BO45" s="360">
        <v>0</v>
      </c>
      <c r="BP45" s="360">
        <v>0</v>
      </c>
      <c r="BQ45" s="360">
        <v>0</v>
      </c>
      <c r="BR45" s="360">
        <v>0</v>
      </c>
      <c r="BS45" s="360">
        <v>0</v>
      </c>
      <c r="BT45" s="360">
        <v>0</v>
      </c>
      <c r="BU45" s="360">
        <v>0</v>
      </c>
      <c r="BV45" s="360">
        <v>0</v>
      </c>
      <c r="BW45" s="360">
        <v>0</v>
      </c>
      <c r="BX45" s="360">
        <v>0</v>
      </c>
      <c r="BY45" s="360">
        <v>0</v>
      </c>
      <c r="BZ45" s="360">
        <v>0</v>
      </c>
      <c r="CA45" s="360">
        <v>0</v>
      </c>
      <c r="CB45" s="360">
        <v>0</v>
      </c>
      <c r="CC45" s="360">
        <v>0</v>
      </c>
      <c r="CD45" s="360" t="s">
        <v>156</v>
      </c>
    </row>
    <row r="46" spans="1:82" x14ac:dyDescent="0.35">
      <c r="A46" s="360" t="s">
        <v>157</v>
      </c>
      <c r="B46" s="360" t="s">
        <v>158</v>
      </c>
      <c r="C46" s="360" t="s">
        <v>70</v>
      </c>
      <c r="D46" s="360" t="s">
        <v>77</v>
      </c>
      <c r="E46" s="360">
        <v>174</v>
      </c>
      <c r="F46" s="360">
        <v>149</v>
      </c>
      <c r="G46" s="360">
        <v>0</v>
      </c>
      <c r="H46" s="360">
        <v>25</v>
      </c>
      <c r="I46" s="360">
        <v>0</v>
      </c>
      <c r="J46" s="360">
        <v>0</v>
      </c>
      <c r="K46" s="360">
        <v>0</v>
      </c>
      <c r="L46" s="360">
        <v>0</v>
      </c>
      <c r="M46" s="360">
        <v>0</v>
      </c>
      <c r="N46" s="360">
        <v>0</v>
      </c>
      <c r="O46" s="360">
        <v>0</v>
      </c>
      <c r="P46" s="360">
        <v>0</v>
      </c>
      <c r="Q46" s="360">
        <v>0</v>
      </c>
      <c r="R46" s="360">
        <v>0</v>
      </c>
      <c r="S46" s="360">
        <v>0</v>
      </c>
      <c r="T46" s="360">
        <v>0</v>
      </c>
      <c r="U46" s="360">
        <v>0</v>
      </c>
      <c r="V46" s="360">
        <v>0</v>
      </c>
      <c r="W46" s="360">
        <v>0</v>
      </c>
      <c r="X46" s="360">
        <v>0</v>
      </c>
      <c r="Y46" s="360">
        <v>0</v>
      </c>
      <c r="Z46" s="360">
        <v>0</v>
      </c>
      <c r="AA46" s="360">
        <v>0</v>
      </c>
      <c r="AB46" s="360">
        <v>0</v>
      </c>
      <c r="AC46" s="360">
        <v>0</v>
      </c>
      <c r="AD46" s="360">
        <v>0</v>
      </c>
      <c r="AE46" s="360">
        <v>0</v>
      </c>
      <c r="AF46" s="360">
        <v>0</v>
      </c>
      <c r="AG46" s="360">
        <v>0</v>
      </c>
      <c r="AH46" s="360">
        <v>0</v>
      </c>
      <c r="AI46" s="360">
        <v>0</v>
      </c>
      <c r="AJ46" s="360">
        <v>0</v>
      </c>
      <c r="AK46" s="360">
        <v>0</v>
      </c>
      <c r="AL46" s="360">
        <v>0</v>
      </c>
      <c r="AM46" s="360">
        <v>0</v>
      </c>
      <c r="AN46" s="360">
        <v>0</v>
      </c>
      <c r="AO46" s="360">
        <v>0</v>
      </c>
      <c r="AP46" s="360">
        <v>0</v>
      </c>
      <c r="AQ46" s="360">
        <v>0</v>
      </c>
      <c r="AR46" s="360">
        <v>0</v>
      </c>
      <c r="AS46" s="360">
        <v>148.16999999999999</v>
      </c>
      <c r="AT46" s="360">
        <v>149</v>
      </c>
      <c r="AU46" s="360">
        <v>148.16999999999999</v>
      </c>
      <c r="AV46" s="360">
        <v>149</v>
      </c>
      <c r="AW46" s="360">
        <v>0</v>
      </c>
      <c r="AX46" s="360">
        <v>0</v>
      </c>
      <c r="AY46" s="360">
        <v>0</v>
      </c>
      <c r="AZ46" s="360">
        <v>0</v>
      </c>
      <c r="BA46" s="360">
        <v>144.02000000000001</v>
      </c>
      <c r="BB46" s="360">
        <v>107</v>
      </c>
      <c r="BC46" s="360">
        <v>176.12</v>
      </c>
      <c r="BD46" s="360">
        <v>29</v>
      </c>
      <c r="BE46" s="360">
        <v>118.9</v>
      </c>
      <c r="BF46" s="360">
        <v>12</v>
      </c>
      <c r="BG46" s="360">
        <v>133.75</v>
      </c>
      <c r="BH46" s="360">
        <v>1</v>
      </c>
      <c r="BI46" s="360">
        <v>0</v>
      </c>
      <c r="BJ46" s="360">
        <v>0</v>
      </c>
      <c r="BK46" s="360">
        <v>0</v>
      </c>
      <c r="BL46" s="360">
        <v>0</v>
      </c>
      <c r="BM46" s="360">
        <v>195.5</v>
      </c>
      <c r="BN46" s="360">
        <v>25</v>
      </c>
      <c r="BO46" s="360">
        <v>195.5</v>
      </c>
      <c r="BP46" s="360">
        <v>25</v>
      </c>
      <c r="BQ46" s="360">
        <v>0</v>
      </c>
      <c r="BR46" s="360">
        <v>0</v>
      </c>
      <c r="BS46" s="360">
        <v>195.5</v>
      </c>
      <c r="BT46" s="360">
        <v>25</v>
      </c>
      <c r="BU46" s="360">
        <v>0</v>
      </c>
      <c r="BV46" s="360">
        <v>0</v>
      </c>
      <c r="BW46" s="360">
        <v>0</v>
      </c>
      <c r="BX46" s="360">
        <v>0</v>
      </c>
      <c r="BY46" s="360">
        <v>0</v>
      </c>
      <c r="BZ46" s="360">
        <v>0</v>
      </c>
      <c r="CA46" s="360">
        <v>0</v>
      </c>
      <c r="CB46" s="360">
        <v>0</v>
      </c>
      <c r="CC46" s="360">
        <v>0</v>
      </c>
      <c r="CD46" s="360" t="s">
        <v>159</v>
      </c>
    </row>
    <row r="47" spans="1:82" x14ac:dyDescent="0.35">
      <c r="A47" s="360" t="s">
        <v>160</v>
      </c>
      <c r="B47" s="360" t="s">
        <v>161</v>
      </c>
      <c r="C47" s="360" t="s">
        <v>900</v>
      </c>
      <c r="D47" s="360" t="s">
        <v>77</v>
      </c>
      <c r="E47" s="360">
        <v>402</v>
      </c>
      <c r="F47" s="360">
        <v>333</v>
      </c>
      <c r="G47" s="360">
        <v>0</v>
      </c>
      <c r="H47" s="360">
        <v>69</v>
      </c>
      <c r="I47" s="360">
        <v>101.73</v>
      </c>
      <c r="J47" s="360">
        <v>91</v>
      </c>
      <c r="K47" s="360">
        <v>101.73</v>
      </c>
      <c r="L47" s="360">
        <v>91</v>
      </c>
      <c r="M47" s="360">
        <v>0</v>
      </c>
      <c r="N47" s="360">
        <v>0</v>
      </c>
      <c r="O47" s="360">
        <v>0</v>
      </c>
      <c r="P47" s="360">
        <v>0</v>
      </c>
      <c r="Q47" s="360">
        <v>0</v>
      </c>
      <c r="R47" s="360">
        <v>0</v>
      </c>
      <c r="S47" s="360">
        <v>86.99</v>
      </c>
      <c r="T47" s="360">
        <v>14</v>
      </c>
      <c r="U47" s="360">
        <v>98.19</v>
      </c>
      <c r="V47" s="360">
        <v>34</v>
      </c>
      <c r="W47" s="360">
        <v>106.73</v>
      </c>
      <c r="X47" s="360">
        <v>31</v>
      </c>
      <c r="Y47" s="360">
        <v>116.04</v>
      </c>
      <c r="Z47" s="360">
        <v>12</v>
      </c>
      <c r="AA47" s="360">
        <v>0</v>
      </c>
      <c r="AB47" s="360">
        <v>0</v>
      </c>
      <c r="AC47" s="360">
        <v>0</v>
      </c>
      <c r="AD47" s="360">
        <v>0</v>
      </c>
      <c r="AE47" s="360">
        <v>0</v>
      </c>
      <c r="AF47" s="360">
        <v>0</v>
      </c>
      <c r="AG47" s="360">
        <v>0</v>
      </c>
      <c r="AH47" s="360">
        <v>0</v>
      </c>
      <c r="AI47" s="360">
        <v>0</v>
      </c>
      <c r="AJ47" s="360">
        <v>0</v>
      </c>
      <c r="AK47" s="360">
        <v>0</v>
      </c>
      <c r="AL47" s="360">
        <v>0</v>
      </c>
      <c r="AM47" s="360">
        <v>0</v>
      </c>
      <c r="AN47" s="360">
        <v>0</v>
      </c>
      <c r="AO47" s="360">
        <v>0</v>
      </c>
      <c r="AP47" s="360">
        <v>0</v>
      </c>
      <c r="AQ47" s="360">
        <v>0</v>
      </c>
      <c r="AR47" s="360">
        <v>0</v>
      </c>
      <c r="AS47" s="360">
        <v>107.36</v>
      </c>
      <c r="AT47" s="360">
        <v>242</v>
      </c>
      <c r="AU47" s="360">
        <v>107.36</v>
      </c>
      <c r="AV47" s="360">
        <v>242</v>
      </c>
      <c r="AW47" s="360">
        <v>0</v>
      </c>
      <c r="AX47" s="360">
        <v>0</v>
      </c>
      <c r="AY47" s="360">
        <v>0</v>
      </c>
      <c r="AZ47" s="360">
        <v>0</v>
      </c>
      <c r="BA47" s="360">
        <v>0</v>
      </c>
      <c r="BB47" s="360">
        <v>0</v>
      </c>
      <c r="BC47" s="360">
        <v>95.42</v>
      </c>
      <c r="BD47" s="360">
        <v>124</v>
      </c>
      <c r="BE47" s="360">
        <v>116.92</v>
      </c>
      <c r="BF47" s="360">
        <v>111</v>
      </c>
      <c r="BG47" s="360">
        <v>167.43</v>
      </c>
      <c r="BH47" s="360">
        <v>7</v>
      </c>
      <c r="BI47" s="360">
        <v>0</v>
      </c>
      <c r="BJ47" s="360">
        <v>0</v>
      </c>
      <c r="BK47" s="360">
        <v>0</v>
      </c>
      <c r="BL47" s="360">
        <v>0</v>
      </c>
      <c r="BM47" s="360">
        <v>114.65</v>
      </c>
      <c r="BN47" s="360">
        <v>69</v>
      </c>
      <c r="BO47" s="360">
        <v>114.65</v>
      </c>
      <c r="BP47" s="360">
        <v>69</v>
      </c>
      <c r="BQ47" s="360">
        <v>0</v>
      </c>
      <c r="BR47" s="360">
        <v>0</v>
      </c>
      <c r="BS47" s="360">
        <v>0</v>
      </c>
      <c r="BT47" s="360">
        <v>0</v>
      </c>
      <c r="BU47" s="360">
        <v>106.35</v>
      </c>
      <c r="BV47" s="360">
        <v>36</v>
      </c>
      <c r="BW47" s="360">
        <v>123.71</v>
      </c>
      <c r="BX47" s="360">
        <v>33</v>
      </c>
      <c r="BY47" s="360">
        <v>0</v>
      </c>
      <c r="BZ47" s="360">
        <v>0</v>
      </c>
      <c r="CA47" s="360">
        <v>0</v>
      </c>
      <c r="CB47" s="360">
        <v>0</v>
      </c>
      <c r="CC47" s="360">
        <v>0</v>
      </c>
      <c r="CD47" s="360" t="s">
        <v>162</v>
      </c>
    </row>
    <row r="48" spans="1:82" x14ac:dyDescent="0.35">
      <c r="A48" s="360" t="s">
        <v>902</v>
      </c>
      <c r="B48" s="360" t="s">
        <v>201</v>
      </c>
      <c r="C48" s="360" t="s">
        <v>900</v>
      </c>
      <c r="D48" s="360" t="s">
        <v>77</v>
      </c>
      <c r="E48" s="360">
        <v>19893</v>
      </c>
      <c r="F48" s="360">
        <v>19893</v>
      </c>
      <c r="G48" s="360">
        <v>0</v>
      </c>
      <c r="H48" s="360">
        <v>0</v>
      </c>
      <c r="I48" s="360">
        <v>75.53</v>
      </c>
      <c r="J48" s="360">
        <v>19382</v>
      </c>
      <c r="K48" s="360">
        <v>75.53</v>
      </c>
      <c r="L48" s="360">
        <v>19382</v>
      </c>
      <c r="M48" s="360">
        <v>0</v>
      </c>
      <c r="N48" s="360">
        <v>0</v>
      </c>
      <c r="O48" s="360">
        <v>53.62</v>
      </c>
      <c r="P48" s="360">
        <v>32</v>
      </c>
      <c r="Q48" s="360">
        <v>68.099999999999994</v>
      </c>
      <c r="R48" s="360">
        <v>4965</v>
      </c>
      <c r="S48" s="360">
        <v>74.989999999999995</v>
      </c>
      <c r="T48" s="360">
        <v>5916</v>
      </c>
      <c r="U48" s="360">
        <v>79.98</v>
      </c>
      <c r="V48" s="360">
        <v>8095</v>
      </c>
      <c r="W48" s="360">
        <v>88.09</v>
      </c>
      <c r="X48" s="360">
        <v>371</v>
      </c>
      <c r="Y48" s="360">
        <v>115.75</v>
      </c>
      <c r="Z48" s="360">
        <v>1</v>
      </c>
      <c r="AA48" s="360">
        <v>109.11</v>
      </c>
      <c r="AB48" s="360">
        <v>2</v>
      </c>
      <c r="AC48" s="360">
        <v>0</v>
      </c>
      <c r="AD48" s="360">
        <v>0</v>
      </c>
      <c r="AE48" s="360">
        <v>0</v>
      </c>
      <c r="AF48" s="360">
        <v>0</v>
      </c>
      <c r="AG48" s="360">
        <v>0</v>
      </c>
      <c r="AH48" s="360">
        <v>0</v>
      </c>
      <c r="AI48" s="360">
        <v>0</v>
      </c>
      <c r="AJ48" s="360">
        <v>0</v>
      </c>
      <c r="AK48" s="360">
        <v>0</v>
      </c>
      <c r="AL48" s="360">
        <v>0</v>
      </c>
      <c r="AM48" s="360">
        <v>0</v>
      </c>
      <c r="AN48" s="360">
        <v>0</v>
      </c>
      <c r="AO48" s="360">
        <v>0</v>
      </c>
      <c r="AP48" s="360">
        <v>0</v>
      </c>
      <c r="AQ48" s="360">
        <v>0</v>
      </c>
      <c r="AR48" s="360">
        <v>0</v>
      </c>
      <c r="AS48" s="360">
        <v>104.89</v>
      </c>
      <c r="AT48" s="360">
        <v>511</v>
      </c>
      <c r="AU48" s="360">
        <v>104.89</v>
      </c>
      <c r="AV48" s="360">
        <v>511</v>
      </c>
      <c r="AW48" s="360">
        <v>0</v>
      </c>
      <c r="AX48" s="360">
        <v>0</v>
      </c>
      <c r="AY48" s="360">
        <v>0</v>
      </c>
      <c r="AZ48" s="360">
        <v>0</v>
      </c>
      <c r="BA48" s="360">
        <v>87.1</v>
      </c>
      <c r="BB48" s="360">
        <v>21</v>
      </c>
      <c r="BC48" s="360">
        <v>102.64</v>
      </c>
      <c r="BD48" s="360">
        <v>329</v>
      </c>
      <c r="BE48" s="360">
        <v>108.32</v>
      </c>
      <c r="BF48" s="360">
        <v>143</v>
      </c>
      <c r="BG48" s="360">
        <v>138.76</v>
      </c>
      <c r="BH48" s="360">
        <v>16</v>
      </c>
      <c r="BI48" s="360">
        <v>146.15</v>
      </c>
      <c r="BJ48" s="360">
        <v>2</v>
      </c>
      <c r="BK48" s="360">
        <v>0</v>
      </c>
      <c r="BL48" s="360">
        <v>0</v>
      </c>
      <c r="BM48" s="360">
        <v>0</v>
      </c>
      <c r="BN48" s="360">
        <v>0</v>
      </c>
      <c r="BO48" s="360">
        <v>0</v>
      </c>
      <c r="BP48" s="360">
        <v>0</v>
      </c>
      <c r="BQ48" s="360">
        <v>0</v>
      </c>
      <c r="BR48" s="360">
        <v>0</v>
      </c>
      <c r="BS48" s="360">
        <v>0</v>
      </c>
      <c r="BT48" s="360">
        <v>0</v>
      </c>
      <c r="BU48" s="360">
        <v>0</v>
      </c>
      <c r="BV48" s="360">
        <v>0</v>
      </c>
      <c r="BW48" s="360">
        <v>0</v>
      </c>
      <c r="BX48" s="360">
        <v>0</v>
      </c>
      <c r="BY48" s="360">
        <v>0</v>
      </c>
      <c r="BZ48" s="360">
        <v>0</v>
      </c>
      <c r="CA48" s="360">
        <v>0</v>
      </c>
      <c r="CB48" s="360">
        <v>0</v>
      </c>
      <c r="CC48" s="360">
        <v>0</v>
      </c>
      <c r="CD48" s="360" t="s">
        <v>202</v>
      </c>
    </row>
    <row r="49" spans="1:82" x14ac:dyDescent="0.35">
      <c r="A49" s="360" t="s">
        <v>163</v>
      </c>
      <c r="B49" s="360" t="s">
        <v>164</v>
      </c>
      <c r="C49" s="360" t="s">
        <v>66</v>
      </c>
      <c r="D49" s="360" t="s">
        <v>77</v>
      </c>
      <c r="E49" s="360">
        <v>7766</v>
      </c>
      <c r="F49" s="360">
        <v>7311</v>
      </c>
      <c r="G49" s="360">
        <v>0</v>
      </c>
      <c r="H49" s="360">
        <v>455</v>
      </c>
      <c r="I49" s="360">
        <v>73.27</v>
      </c>
      <c r="J49" s="360">
        <v>7004</v>
      </c>
      <c r="K49" s="360">
        <v>73.27</v>
      </c>
      <c r="L49" s="360">
        <v>7004</v>
      </c>
      <c r="M49" s="360">
        <v>0</v>
      </c>
      <c r="N49" s="360">
        <v>0</v>
      </c>
      <c r="O49" s="360">
        <v>0</v>
      </c>
      <c r="P49" s="360">
        <v>0</v>
      </c>
      <c r="Q49" s="360">
        <v>65.66</v>
      </c>
      <c r="R49" s="360">
        <v>2683</v>
      </c>
      <c r="S49" s="360">
        <v>74.63</v>
      </c>
      <c r="T49" s="360">
        <v>2597</v>
      </c>
      <c r="U49" s="360">
        <v>82.61</v>
      </c>
      <c r="V49" s="360">
        <v>1596</v>
      </c>
      <c r="W49" s="360">
        <v>88.03</v>
      </c>
      <c r="X49" s="360">
        <v>116</v>
      </c>
      <c r="Y49" s="360">
        <v>91.73</v>
      </c>
      <c r="Z49" s="360">
        <v>4</v>
      </c>
      <c r="AA49" s="360">
        <v>101.6</v>
      </c>
      <c r="AB49" s="360">
        <v>8</v>
      </c>
      <c r="AC49" s="360">
        <v>68.59</v>
      </c>
      <c r="AD49" s="360">
        <v>385</v>
      </c>
      <c r="AE49" s="360">
        <v>68.59</v>
      </c>
      <c r="AF49" s="360">
        <v>385</v>
      </c>
      <c r="AG49" s="360">
        <v>0</v>
      </c>
      <c r="AH49" s="360">
        <v>0</v>
      </c>
      <c r="AI49" s="360">
        <v>0</v>
      </c>
      <c r="AJ49" s="360">
        <v>0</v>
      </c>
      <c r="AK49" s="360">
        <v>67.459999999999994</v>
      </c>
      <c r="AL49" s="360">
        <v>349</v>
      </c>
      <c r="AM49" s="360">
        <v>79.650000000000006</v>
      </c>
      <c r="AN49" s="360">
        <v>36</v>
      </c>
      <c r="AO49" s="360">
        <v>0</v>
      </c>
      <c r="AP49" s="360">
        <v>0</v>
      </c>
      <c r="AQ49" s="360">
        <v>0</v>
      </c>
      <c r="AR49" s="360">
        <v>0</v>
      </c>
      <c r="AS49" s="360">
        <v>119.75</v>
      </c>
      <c r="AT49" s="360">
        <v>307</v>
      </c>
      <c r="AU49" s="360">
        <v>119.75</v>
      </c>
      <c r="AV49" s="360">
        <v>307</v>
      </c>
      <c r="AW49" s="360">
        <v>0</v>
      </c>
      <c r="AX49" s="360">
        <v>0</v>
      </c>
      <c r="AY49" s="360">
        <v>0</v>
      </c>
      <c r="AZ49" s="360">
        <v>0</v>
      </c>
      <c r="BA49" s="360">
        <v>109.92</v>
      </c>
      <c r="BB49" s="360">
        <v>52</v>
      </c>
      <c r="BC49" s="360">
        <v>116.47</v>
      </c>
      <c r="BD49" s="360">
        <v>115</v>
      </c>
      <c r="BE49" s="360">
        <v>121.88</v>
      </c>
      <c r="BF49" s="360">
        <v>109</v>
      </c>
      <c r="BG49" s="360">
        <v>140.96</v>
      </c>
      <c r="BH49" s="360">
        <v>31</v>
      </c>
      <c r="BI49" s="360">
        <v>0</v>
      </c>
      <c r="BJ49" s="360">
        <v>0</v>
      </c>
      <c r="BK49" s="360">
        <v>0</v>
      </c>
      <c r="BL49" s="360">
        <v>0</v>
      </c>
      <c r="BM49" s="360">
        <v>218.89</v>
      </c>
      <c r="BN49" s="360">
        <v>70</v>
      </c>
      <c r="BO49" s="360">
        <v>218.89</v>
      </c>
      <c r="BP49" s="360">
        <v>70</v>
      </c>
      <c r="BQ49" s="360">
        <v>0</v>
      </c>
      <c r="BR49" s="360">
        <v>0</v>
      </c>
      <c r="BS49" s="360">
        <v>0</v>
      </c>
      <c r="BT49" s="360">
        <v>0</v>
      </c>
      <c r="BU49" s="360">
        <v>214.86</v>
      </c>
      <c r="BV49" s="360">
        <v>50</v>
      </c>
      <c r="BW49" s="360">
        <v>228.97</v>
      </c>
      <c r="BX49" s="360">
        <v>20</v>
      </c>
      <c r="BY49" s="360">
        <v>0</v>
      </c>
      <c r="BZ49" s="360">
        <v>0</v>
      </c>
      <c r="CA49" s="360">
        <v>0</v>
      </c>
      <c r="CB49" s="360">
        <v>0</v>
      </c>
      <c r="CC49" s="360">
        <v>0</v>
      </c>
      <c r="CD49" s="360" t="s">
        <v>165</v>
      </c>
    </row>
    <row r="50" spans="1:82" x14ac:dyDescent="0.35">
      <c r="A50" s="360" t="s">
        <v>166</v>
      </c>
      <c r="B50" s="360" t="s">
        <v>167</v>
      </c>
      <c r="C50" s="360" t="s">
        <v>68</v>
      </c>
      <c r="D50" s="360" t="s">
        <v>77</v>
      </c>
      <c r="E50" s="360">
        <v>1860</v>
      </c>
      <c r="F50" s="360">
        <v>1779</v>
      </c>
      <c r="G50" s="360">
        <v>0</v>
      </c>
      <c r="H50" s="360">
        <v>81</v>
      </c>
      <c r="I50" s="360">
        <v>113.63</v>
      </c>
      <c r="J50" s="360">
        <v>1779</v>
      </c>
      <c r="K50" s="360">
        <v>113.63</v>
      </c>
      <c r="L50" s="360">
        <v>1779</v>
      </c>
      <c r="M50" s="362">
        <v>0</v>
      </c>
      <c r="N50" s="360">
        <v>0</v>
      </c>
      <c r="O50" s="360">
        <v>89.37</v>
      </c>
      <c r="P50" s="360">
        <v>296</v>
      </c>
      <c r="Q50" s="360">
        <v>107.15</v>
      </c>
      <c r="R50" s="360">
        <v>506</v>
      </c>
      <c r="S50" s="360">
        <v>119.83</v>
      </c>
      <c r="T50" s="360">
        <v>581</v>
      </c>
      <c r="U50" s="360">
        <v>130.07</v>
      </c>
      <c r="V50" s="360">
        <v>373</v>
      </c>
      <c r="W50" s="360">
        <v>145.47</v>
      </c>
      <c r="X50" s="360">
        <v>23</v>
      </c>
      <c r="Y50" s="360">
        <v>0</v>
      </c>
      <c r="Z50" s="360">
        <v>0</v>
      </c>
      <c r="AA50" s="360">
        <v>0</v>
      </c>
      <c r="AB50" s="360">
        <v>0</v>
      </c>
      <c r="AC50" s="360">
        <v>90.88</v>
      </c>
      <c r="AD50" s="360">
        <v>81</v>
      </c>
      <c r="AE50" s="360">
        <v>90.88</v>
      </c>
      <c r="AF50" s="360">
        <v>81</v>
      </c>
      <c r="AG50" s="360">
        <v>0</v>
      </c>
      <c r="AH50" s="360">
        <v>0</v>
      </c>
      <c r="AI50" s="360">
        <v>85.94</v>
      </c>
      <c r="AJ50" s="360">
        <v>60</v>
      </c>
      <c r="AK50" s="360">
        <v>104.93</v>
      </c>
      <c r="AL50" s="360">
        <v>20</v>
      </c>
      <c r="AM50" s="360">
        <v>106.51</v>
      </c>
      <c r="AN50" s="360">
        <v>1</v>
      </c>
      <c r="AO50" s="360">
        <v>0</v>
      </c>
      <c r="AP50" s="360">
        <v>0</v>
      </c>
      <c r="AQ50" s="360">
        <v>0</v>
      </c>
      <c r="AR50" s="360">
        <v>0</v>
      </c>
      <c r="AS50" s="360">
        <v>0</v>
      </c>
      <c r="AT50" s="360">
        <v>0</v>
      </c>
      <c r="AU50" s="360">
        <v>0</v>
      </c>
      <c r="AV50" s="360">
        <v>0</v>
      </c>
      <c r="AW50" s="360">
        <v>0</v>
      </c>
      <c r="AX50" s="360">
        <v>0</v>
      </c>
      <c r="AY50" s="360">
        <v>0</v>
      </c>
      <c r="AZ50" s="360">
        <v>0</v>
      </c>
      <c r="BA50" s="360">
        <v>0</v>
      </c>
      <c r="BB50" s="360">
        <v>0</v>
      </c>
      <c r="BC50" s="360">
        <v>0</v>
      </c>
      <c r="BD50" s="360">
        <v>0</v>
      </c>
      <c r="BE50" s="360">
        <v>0</v>
      </c>
      <c r="BF50" s="360">
        <v>0</v>
      </c>
      <c r="BG50" s="360">
        <v>0</v>
      </c>
      <c r="BH50" s="360">
        <v>0</v>
      </c>
      <c r="BI50" s="360">
        <v>0</v>
      </c>
      <c r="BJ50" s="360">
        <v>0</v>
      </c>
      <c r="BK50" s="360">
        <v>0</v>
      </c>
      <c r="BL50" s="360">
        <v>0</v>
      </c>
      <c r="BM50" s="360">
        <v>0</v>
      </c>
      <c r="BN50" s="360">
        <v>0</v>
      </c>
      <c r="BO50" s="360">
        <v>0</v>
      </c>
      <c r="BP50" s="360">
        <v>0</v>
      </c>
      <c r="BQ50" s="360">
        <v>0</v>
      </c>
      <c r="BR50" s="360">
        <v>0</v>
      </c>
      <c r="BS50" s="360">
        <v>0</v>
      </c>
      <c r="BT50" s="360">
        <v>0</v>
      </c>
      <c r="BU50" s="360">
        <v>0</v>
      </c>
      <c r="BV50" s="360">
        <v>0</v>
      </c>
      <c r="BW50" s="360">
        <v>0</v>
      </c>
      <c r="BX50" s="360">
        <v>0</v>
      </c>
      <c r="BY50" s="360">
        <v>0</v>
      </c>
      <c r="BZ50" s="360">
        <v>0</v>
      </c>
      <c r="CA50" s="360">
        <v>0</v>
      </c>
      <c r="CB50" s="360">
        <v>0</v>
      </c>
      <c r="CC50" s="360">
        <v>0</v>
      </c>
      <c r="CD50" s="360" t="s">
        <v>168</v>
      </c>
    </row>
    <row r="51" spans="1:82" x14ac:dyDescent="0.35">
      <c r="A51" s="360" t="s">
        <v>169</v>
      </c>
      <c r="B51" s="360" t="s">
        <v>170</v>
      </c>
      <c r="C51" s="360" t="s">
        <v>68</v>
      </c>
      <c r="D51" s="360" t="s">
        <v>77</v>
      </c>
      <c r="E51" s="360">
        <v>12012</v>
      </c>
      <c r="F51" s="360">
        <v>10977</v>
      </c>
      <c r="G51" s="360">
        <v>0</v>
      </c>
      <c r="H51" s="360">
        <v>1035</v>
      </c>
      <c r="I51" s="360">
        <v>133.87</v>
      </c>
      <c r="J51" s="360">
        <v>10977</v>
      </c>
      <c r="K51" s="360">
        <v>133.87</v>
      </c>
      <c r="L51" s="360">
        <v>10977</v>
      </c>
      <c r="M51" s="360">
        <v>0</v>
      </c>
      <c r="N51" s="360">
        <v>0</v>
      </c>
      <c r="O51" s="360">
        <v>104.37</v>
      </c>
      <c r="P51" s="360">
        <v>1088</v>
      </c>
      <c r="Q51" s="360">
        <v>122.81</v>
      </c>
      <c r="R51" s="360">
        <v>3538</v>
      </c>
      <c r="S51" s="360">
        <v>137.68</v>
      </c>
      <c r="T51" s="360">
        <v>3580</v>
      </c>
      <c r="U51" s="360">
        <v>152.16</v>
      </c>
      <c r="V51" s="360">
        <v>2349</v>
      </c>
      <c r="W51" s="360">
        <v>166.88</v>
      </c>
      <c r="X51" s="360">
        <v>379</v>
      </c>
      <c r="Y51" s="360">
        <v>182.24</v>
      </c>
      <c r="Z51" s="360">
        <v>32</v>
      </c>
      <c r="AA51" s="360">
        <v>188.93</v>
      </c>
      <c r="AB51" s="360">
        <v>11</v>
      </c>
      <c r="AC51" s="360">
        <v>115.31</v>
      </c>
      <c r="AD51" s="360">
        <v>1035</v>
      </c>
      <c r="AE51" s="360">
        <v>115.31</v>
      </c>
      <c r="AF51" s="360">
        <v>1035</v>
      </c>
      <c r="AG51" s="360">
        <v>0</v>
      </c>
      <c r="AH51" s="360">
        <v>0</v>
      </c>
      <c r="AI51" s="360">
        <v>105.58</v>
      </c>
      <c r="AJ51" s="360">
        <v>447</v>
      </c>
      <c r="AK51" s="360">
        <v>122.19</v>
      </c>
      <c r="AL51" s="360">
        <v>573</v>
      </c>
      <c r="AM51" s="360">
        <v>142.34</v>
      </c>
      <c r="AN51" s="360">
        <v>14</v>
      </c>
      <c r="AO51" s="360">
        <v>151.62</v>
      </c>
      <c r="AP51" s="360">
        <v>1</v>
      </c>
      <c r="AQ51" s="360">
        <v>0</v>
      </c>
      <c r="AR51" s="360">
        <v>0</v>
      </c>
      <c r="AS51" s="360">
        <v>0</v>
      </c>
      <c r="AT51" s="360">
        <v>0</v>
      </c>
      <c r="AU51" s="360">
        <v>0</v>
      </c>
      <c r="AV51" s="360">
        <v>0</v>
      </c>
      <c r="AW51" s="360">
        <v>0</v>
      </c>
      <c r="AX51" s="360">
        <v>0</v>
      </c>
      <c r="AY51" s="360">
        <v>0</v>
      </c>
      <c r="AZ51" s="360">
        <v>0</v>
      </c>
      <c r="BA51" s="360">
        <v>0</v>
      </c>
      <c r="BB51" s="360">
        <v>0</v>
      </c>
      <c r="BC51" s="360">
        <v>0</v>
      </c>
      <c r="BD51" s="360">
        <v>0</v>
      </c>
      <c r="BE51" s="360">
        <v>0</v>
      </c>
      <c r="BF51" s="360">
        <v>0</v>
      </c>
      <c r="BG51" s="360">
        <v>0</v>
      </c>
      <c r="BH51" s="360">
        <v>0</v>
      </c>
      <c r="BI51" s="360">
        <v>0</v>
      </c>
      <c r="BJ51" s="360">
        <v>0</v>
      </c>
      <c r="BK51" s="360">
        <v>0</v>
      </c>
      <c r="BL51" s="360">
        <v>0</v>
      </c>
      <c r="BM51" s="360">
        <v>0</v>
      </c>
      <c r="BN51" s="360">
        <v>0</v>
      </c>
      <c r="BO51" s="360">
        <v>0</v>
      </c>
      <c r="BP51" s="360">
        <v>0</v>
      </c>
      <c r="BQ51" s="360">
        <v>0</v>
      </c>
      <c r="BR51" s="360">
        <v>0</v>
      </c>
      <c r="BS51" s="360">
        <v>0</v>
      </c>
      <c r="BT51" s="360">
        <v>0</v>
      </c>
      <c r="BU51" s="360">
        <v>0</v>
      </c>
      <c r="BV51" s="360">
        <v>0</v>
      </c>
      <c r="BW51" s="360">
        <v>0</v>
      </c>
      <c r="BX51" s="360">
        <v>0</v>
      </c>
      <c r="BY51" s="360">
        <v>0</v>
      </c>
      <c r="BZ51" s="360">
        <v>0</v>
      </c>
      <c r="CA51" s="360">
        <v>0</v>
      </c>
      <c r="CB51" s="360">
        <v>0</v>
      </c>
      <c r="CC51" s="360">
        <v>0</v>
      </c>
      <c r="CD51" s="360" t="s">
        <v>171</v>
      </c>
    </row>
    <row r="52" spans="1:82" x14ac:dyDescent="0.35">
      <c r="A52" s="360" t="s">
        <v>172</v>
      </c>
      <c r="B52" s="360" t="s">
        <v>173</v>
      </c>
      <c r="C52" s="360" t="s">
        <v>900</v>
      </c>
      <c r="D52" s="360" t="s">
        <v>77</v>
      </c>
      <c r="E52" s="360">
        <v>7689</v>
      </c>
      <c r="F52" s="360">
        <v>6965</v>
      </c>
      <c r="G52" s="360">
        <v>0</v>
      </c>
      <c r="H52" s="360">
        <v>631</v>
      </c>
      <c r="I52" s="360">
        <v>84.27</v>
      </c>
      <c r="J52" s="360">
        <v>6965</v>
      </c>
      <c r="K52" s="360">
        <v>84.27</v>
      </c>
      <c r="L52" s="360">
        <v>6965</v>
      </c>
      <c r="M52" s="360">
        <v>0</v>
      </c>
      <c r="N52" s="360">
        <v>0</v>
      </c>
      <c r="O52" s="360">
        <v>65.489999999999995</v>
      </c>
      <c r="P52" s="360">
        <v>74</v>
      </c>
      <c r="Q52" s="360">
        <v>74.19</v>
      </c>
      <c r="R52" s="360">
        <v>2455</v>
      </c>
      <c r="S52" s="360">
        <v>85.86</v>
      </c>
      <c r="T52" s="360">
        <v>2145</v>
      </c>
      <c r="U52" s="360">
        <v>93.75</v>
      </c>
      <c r="V52" s="360">
        <v>2098</v>
      </c>
      <c r="W52" s="360">
        <v>98.44</v>
      </c>
      <c r="X52" s="360">
        <v>179</v>
      </c>
      <c r="Y52" s="360">
        <v>108.47</v>
      </c>
      <c r="Z52" s="360">
        <v>14</v>
      </c>
      <c r="AA52" s="360">
        <v>0</v>
      </c>
      <c r="AB52" s="360">
        <v>0</v>
      </c>
      <c r="AC52" s="360">
        <v>76.489999999999995</v>
      </c>
      <c r="AD52" s="360">
        <v>466</v>
      </c>
      <c r="AE52" s="360">
        <v>79.599999999999994</v>
      </c>
      <c r="AF52" s="360">
        <v>438</v>
      </c>
      <c r="AG52" s="360">
        <v>27.93</v>
      </c>
      <c r="AH52" s="360">
        <v>28</v>
      </c>
      <c r="AI52" s="360">
        <v>66.27</v>
      </c>
      <c r="AJ52" s="360">
        <v>13</v>
      </c>
      <c r="AK52" s="360">
        <v>78.84</v>
      </c>
      <c r="AL52" s="360">
        <v>375</v>
      </c>
      <c r="AM52" s="360">
        <v>87.73</v>
      </c>
      <c r="AN52" s="360">
        <v>46</v>
      </c>
      <c r="AO52" s="360">
        <v>101.13</v>
      </c>
      <c r="AP52" s="360">
        <v>4</v>
      </c>
      <c r="AQ52" s="360">
        <v>0</v>
      </c>
      <c r="AR52" s="360">
        <v>0</v>
      </c>
      <c r="AS52" s="360">
        <v>0</v>
      </c>
      <c r="AT52" s="360">
        <v>0</v>
      </c>
      <c r="AU52" s="360">
        <v>0</v>
      </c>
      <c r="AV52" s="360">
        <v>0</v>
      </c>
      <c r="AW52" s="360">
        <v>0</v>
      </c>
      <c r="AX52" s="360">
        <v>0</v>
      </c>
      <c r="AY52" s="360">
        <v>0</v>
      </c>
      <c r="AZ52" s="360">
        <v>0</v>
      </c>
      <c r="BA52" s="360">
        <v>0</v>
      </c>
      <c r="BB52" s="360">
        <v>0</v>
      </c>
      <c r="BC52" s="360">
        <v>0</v>
      </c>
      <c r="BD52" s="360">
        <v>0</v>
      </c>
      <c r="BE52" s="360">
        <v>0</v>
      </c>
      <c r="BF52" s="360">
        <v>0</v>
      </c>
      <c r="BG52" s="360">
        <v>0</v>
      </c>
      <c r="BH52" s="360">
        <v>0</v>
      </c>
      <c r="BI52" s="360">
        <v>0</v>
      </c>
      <c r="BJ52" s="360">
        <v>0</v>
      </c>
      <c r="BK52" s="360">
        <v>0</v>
      </c>
      <c r="BL52" s="360">
        <v>0</v>
      </c>
      <c r="BM52" s="360">
        <v>54.53</v>
      </c>
      <c r="BN52" s="360">
        <v>165</v>
      </c>
      <c r="BO52" s="360">
        <v>120.97</v>
      </c>
      <c r="BP52" s="360">
        <v>6</v>
      </c>
      <c r="BQ52" s="360">
        <v>52.03</v>
      </c>
      <c r="BR52" s="360">
        <v>159</v>
      </c>
      <c r="BS52" s="360">
        <v>0</v>
      </c>
      <c r="BT52" s="360">
        <v>0</v>
      </c>
      <c r="BU52" s="360">
        <v>120.97</v>
      </c>
      <c r="BV52" s="360">
        <v>6</v>
      </c>
      <c r="BW52" s="360">
        <v>0</v>
      </c>
      <c r="BX52" s="360">
        <v>0</v>
      </c>
      <c r="BY52" s="360">
        <v>0</v>
      </c>
      <c r="BZ52" s="360">
        <v>0</v>
      </c>
      <c r="CA52" s="360">
        <v>0</v>
      </c>
      <c r="CB52" s="360">
        <v>0</v>
      </c>
      <c r="CC52" s="360">
        <v>93</v>
      </c>
      <c r="CD52" s="360" t="s">
        <v>174</v>
      </c>
    </row>
    <row r="53" spans="1:82" x14ac:dyDescent="0.35">
      <c r="A53" s="360" t="s">
        <v>901</v>
      </c>
      <c r="B53" s="360" t="s">
        <v>175</v>
      </c>
      <c r="C53" s="360" t="s">
        <v>67</v>
      </c>
      <c r="D53" s="360" t="s">
        <v>77</v>
      </c>
      <c r="E53" s="360">
        <v>5935</v>
      </c>
      <c r="F53" s="360">
        <v>5403</v>
      </c>
      <c r="G53" s="360">
        <v>0</v>
      </c>
      <c r="H53" s="360">
        <v>526</v>
      </c>
      <c r="I53" s="360">
        <v>93.91</v>
      </c>
      <c r="J53" s="360">
        <v>5403</v>
      </c>
      <c r="K53" s="360">
        <v>93.91</v>
      </c>
      <c r="L53" s="360">
        <v>5403</v>
      </c>
      <c r="M53" s="360">
        <v>0</v>
      </c>
      <c r="N53" s="360">
        <v>0</v>
      </c>
      <c r="O53" s="360">
        <v>69.98</v>
      </c>
      <c r="P53" s="360">
        <v>141</v>
      </c>
      <c r="Q53" s="360">
        <v>82.87</v>
      </c>
      <c r="R53" s="360">
        <v>1803</v>
      </c>
      <c r="S53" s="360">
        <v>93.48</v>
      </c>
      <c r="T53" s="360">
        <v>1685</v>
      </c>
      <c r="U53" s="360">
        <v>106.87</v>
      </c>
      <c r="V53" s="360">
        <v>1678</v>
      </c>
      <c r="W53" s="360">
        <v>117.21</v>
      </c>
      <c r="X53" s="360">
        <v>92</v>
      </c>
      <c r="Y53" s="360">
        <v>128.06</v>
      </c>
      <c r="Z53" s="360">
        <v>3</v>
      </c>
      <c r="AA53" s="360">
        <v>149.85</v>
      </c>
      <c r="AB53" s="360">
        <v>1</v>
      </c>
      <c r="AC53" s="360">
        <v>81.5</v>
      </c>
      <c r="AD53" s="360">
        <v>526</v>
      </c>
      <c r="AE53" s="360">
        <v>81.5</v>
      </c>
      <c r="AF53" s="360">
        <v>526</v>
      </c>
      <c r="AG53" s="360">
        <v>0</v>
      </c>
      <c r="AH53" s="360">
        <v>0</v>
      </c>
      <c r="AI53" s="360">
        <v>67.77</v>
      </c>
      <c r="AJ53" s="360">
        <v>38</v>
      </c>
      <c r="AK53" s="360">
        <v>79.739999999999995</v>
      </c>
      <c r="AL53" s="360">
        <v>380</v>
      </c>
      <c r="AM53" s="360">
        <v>92.33</v>
      </c>
      <c r="AN53" s="360">
        <v>106</v>
      </c>
      <c r="AO53" s="360">
        <v>103.62</v>
      </c>
      <c r="AP53" s="360">
        <v>2</v>
      </c>
      <c r="AQ53" s="360">
        <v>0</v>
      </c>
      <c r="AR53" s="360">
        <v>0</v>
      </c>
      <c r="AS53" s="360">
        <v>0</v>
      </c>
      <c r="AT53" s="360">
        <v>0</v>
      </c>
      <c r="AU53" s="360">
        <v>0</v>
      </c>
      <c r="AV53" s="360">
        <v>0</v>
      </c>
      <c r="AW53" s="360">
        <v>0</v>
      </c>
      <c r="AX53" s="360">
        <v>0</v>
      </c>
      <c r="AY53" s="360">
        <v>0</v>
      </c>
      <c r="AZ53" s="360">
        <v>0</v>
      </c>
      <c r="BA53" s="360">
        <v>0</v>
      </c>
      <c r="BB53" s="360">
        <v>0</v>
      </c>
      <c r="BC53" s="360">
        <v>0</v>
      </c>
      <c r="BD53" s="360">
        <v>0</v>
      </c>
      <c r="BE53" s="360">
        <v>0</v>
      </c>
      <c r="BF53" s="360">
        <v>0</v>
      </c>
      <c r="BG53" s="360">
        <v>0</v>
      </c>
      <c r="BH53" s="360">
        <v>0</v>
      </c>
      <c r="BI53" s="360">
        <v>0</v>
      </c>
      <c r="BJ53" s="360">
        <v>0</v>
      </c>
      <c r="BK53" s="360">
        <v>0</v>
      </c>
      <c r="BL53" s="360">
        <v>0</v>
      </c>
      <c r="BM53" s="360">
        <v>0</v>
      </c>
      <c r="BN53" s="360">
        <v>0</v>
      </c>
      <c r="BO53" s="360">
        <v>0</v>
      </c>
      <c r="BP53" s="360">
        <v>0</v>
      </c>
      <c r="BQ53" s="360">
        <v>0</v>
      </c>
      <c r="BR53" s="360">
        <v>0</v>
      </c>
      <c r="BS53" s="360">
        <v>0</v>
      </c>
      <c r="BT53" s="360">
        <v>0</v>
      </c>
      <c r="BU53" s="360">
        <v>0</v>
      </c>
      <c r="BV53" s="360">
        <v>0</v>
      </c>
      <c r="BW53" s="360">
        <v>0</v>
      </c>
      <c r="BX53" s="360">
        <v>0</v>
      </c>
      <c r="BY53" s="360">
        <v>0</v>
      </c>
      <c r="BZ53" s="360">
        <v>0</v>
      </c>
      <c r="CA53" s="360">
        <v>0</v>
      </c>
      <c r="CB53" s="360">
        <v>0</v>
      </c>
      <c r="CC53" s="360">
        <v>6</v>
      </c>
      <c r="CD53" s="360" t="s">
        <v>176</v>
      </c>
    </row>
    <row r="54" spans="1:82" x14ac:dyDescent="0.35">
      <c r="A54" s="360" t="s">
        <v>177</v>
      </c>
      <c r="B54" s="360" t="s">
        <v>178</v>
      </c>
      <c r="C54" s="360" t="s">
        <v>72</v>
      </c>
      <c r="D54" s="360" t="s">
        <v>77</v>
      </c>
      <c r="E54" s="360">
        <v>10302</v>
      </c>
      <c r="F54" s="360">
        <v>10218</v>
      </c>
      <c r="G54" s="360">
        <v>0</v>
      </c>
      <c r="H54" s="360">
        <v>63</v>
      </c>
      <c r="I54" s="360">
        <v>76.05</v>
      </c>
      <c r="J54" s="360">
        <v>10175</v>
      </c>
      <c r="K54" s="360">
        <v>76.05</v>
      </c>
      <c r="L54" s="360">
        <v>10175</v>
      </c>
      <c r="M54" s="360">
        <v>0</v>
      </c>
      <c r="N54" s="360">
        <v>0</v>
      </c>
      <c r="O54" s="360">
        <v>58.25</v>
      </c>
      <c r="P54" s="360">
        <v>26</v>
      </c>
      <c r="Q54" s="360">
        <v>67.099999999999994</v>
      </c>
      <c r="R54" s="360">
        <v>2599</v>
      </c>
      <c r="S54" s="360">
        <v>74.790000000000006</v>
      </c>
      <c r="T54" s="360">
        <v>4156</v>
      </c>
      <c r="U54" s="360">
        <v>84.3</v>
      </c>
      <c r="V54" s="360">
        <v>3256</v>
      </c>
      <c r="W54" s="360">
        <v>91.16</v>
      </c>
      <c r="X54" s="360">
        <v>132</v>
      </c>
      <c r="Y54" s="360">
        <v>103.12</v>
      </c>
      <c r="Z54" s="360">
        <v>2</v>
      </c>
      <c r="AA54" s="360">
        <v>105.64</v>
      </c>
      <c r="AB54" s="360">
        <v>4</v>
      </c>
      <c r="AC54" s="360">
        <v>67.28</v>
      </c>
      <c r="AD54" s="360">
        <v>62</v>
      </c>
      <c r="AE54" s="360">
        <v>67.28</v>
      </c>
      <c r="AF54" s="360">
        <v>62</v>
      </c>
      <c r="AG54" s="360">
        <v>0</v>
      </c>
      <c r="AH54" s="360">
        <v>0</v>
      </c>
      <c r="AI54" s="360">
        <v>66.239999999999995</v>
      </c>
      <c r="AJ54" s="360">
        <v>14</v>
      </c>
      <c r="AK54" s="360">
        <v>63.19</v>
      </c>
      <c r="AL54" s="360">
        <v>42</v>
      </c>
      <c r="AM54" s="360">
        <v>92.93</v>
      </c>
      <c r="AN54" s="360">
        <v>2</v>
      </c>
      <c r="AO54" s="360">
        <v>101.08</v>
      </c>
      <c r="AP54" s="360">
        <v>4</v>
      </c>
      <c r="AQ54" s="360">
        <v>0</v>
      </c>
      <c r="AR54" s="360">
        <v>0</v>
      </c>
      <c r="AS54" s="360">
        <v>129.49</v>
      </c>
      <c r="AT54" s="360">
        <v>43</v>
      </c>
      <c r="AU54" s="360">
        <v>129.49</v>
      </c>
      <c r="AV54" s="360">
        <v>43</v>
      </c>
      <c r="AW54" s="360">
        <v>0</v>
      </c>
      <c r="AX54" s="360">
        <v>0</v>
      </c>
      <c r="AY54" s="360">
        <v>0</v>
      </c>
      <c r="AZ54" s="360">
        <v>0</v>
      </c>
      <c r="BA54" s="360">
        <v>120.62</v>
      </c>
      <c r="BB54" s="360">
        <v>23</v>
      </c>
      <c r="BC54" s="360">
        <v>132.25</v>
      </c>
      <c r="BD54" s="360">
        <v>8</v>
      </c>
      <c r="BE54" s="360">
        <v>148.68</v>
      </c>
      <c r="BF54" s="360">
        <v>9</v>
      </c>
      <c r="BG54" s="360">
        <v>132.62</v>
      </c>
      <c r="BH54" s="360">
        <v>3</v>
      </c>
      <c r="BI54" s="360">
        <v>0</v>
      </c>
      <c r="BJ54" s="360">
        <v>0</v>
      </c>
      <c r="BK54" s="360">
        <v>0</v>
      </c>
      <c r="BL54" s="360">
        <v>0</v>
      </c>
      <c r="BM54" s="360">
        <v>168.05</v>
      </c>
      <c r="BN54" s="360">
        <v>1</v>
      </c>
      <c r="BO54" s="360">
        <v>168.05</v>
      </c>
      <c r="BP54" s="360">
        <v>1</v>
      </c>
      <c r="BQ54" s="360">
        <v>0</v>
      </c>
      <c r="BR54" s="360">
        <v>0</v>
      </c>
      <c r="BS54" s="360">
        <v>0</v>
      </c>
      <c r="BT54" s="360">
        <v>0</v>
      </c>
      <c r="BU54" s="360">
        <v>0</v>
      </c>
      <c r="BV54" s="360">
        <v>0</v>
      </c>
      <c r="BW54" s="360">
        <v>0</v>
      </c>
      <c r="BX54" s="360">
        <v>0</v>
      </c>
      <c r="BY54" s="360">
        <v>168.05</v>
      </c>
      <c r="BZ54" s="360">
        <v>1</v>
      </c>
      <c r="CA54" s="360">
        <v>0</v>
      </c>
      <c r="CB54" s="360">
        <v>0</v>
      </c>
      <c r="CC54" s="360">
        <v>21</v>
      </c>
      <c r="CD54" s="360" t="s">
        <v>179</v>
      </c>
    </row>
    <row r="55" spans="1:82" x14ac:dyDescent="0.35">
      <c r="A55" s="360" t="s">
        <v>180</v>
      </c>
      <c r="B55" s="360" t="s">
        <v>181</v>
      </c>
      <c r="C55" s="360" t="s">
        <v>72</v>
      </c>
      <c r="D55" s="360" t="s">
        <v>77</v>
      </c>
      <c r="E55" s="360">
        <v>103</v>
      </c>
      <c r="F55" s="360">
        <v>103</v>
      </c>
      <c r="G55" s="360">
        <v>0</v>
      </c>
      <c r="H55" s="360">
        <v>0</v>
      </c>
      <c r="I55" s="360">
        <v>79.569999999999993</v>
      </c>
      <c r="J55" s="360">
        <v>100</v>
      </c>
      <c r="K55" s="360">
        <v>79.569999999999993</v>
      </c>
      <c r="L55" s="360">
        <v>100</v>
      </c>
      <c r="M55" s="360">
        <v>0</v>
      </c>
      <c r="N55" s="360">
        <v>0</v>
      </c>
      <c r="O55" s="360">
        <v>69.98</v>
      </c>
      <c r="P55" s="360">
        <v>19</v>
      </c>
      <c r="Q55" s="360">
        <v>75.14</v>
      </c>
      <c r="R55" s="360">
        <v>20</v>
      </c>
      <c r="S55" s="360">
        <v>80.3</v>
      </c>
      <c r="T55" s="360">
        <v>20</v>
      </c>
      <c r="U55" s="360">
        <v>85.46</v>
      </c>
      <c r="V55" s="360">
        <v>38</v>
      </c>
      <c r="W55" s="360">
        <v>90.62</v>
      </c>
      <c r="X55" s="360">
        <v>3</v>
      </c>
      <c r="Y55" s="360">
        <v>0</v>
      </c>
      <c r="Z55" s="360">
        <v>0</v>
      </c>
      <c r="AA55" s="360">
        <v>0</v>
      </c>
      <c r="AB55" s="360">
        <v>0</v>
      </c>
      <c r="AC55" s="360">
        <v>0</v>
      </c>
      <c r="AD55" s="360">
        <v>0</v>
      </c>
      <c r="AE55" s="360">
        <v>0</v>
      </c>
      <c r="AF55" s="360">
        <v>0</v>
      </c>
      <c r="AG55" s="360">
        <v>0</v>
      </c>
      <c r="AH55" s="360">
        <v>0</v>
      </c>
      <c r="AI55" s="360">
        <v>0</v>
      </c>
      <c r="AJ55" s="360">
        <v>0</v>
      </c>
      <c r="AK55" s="360">
        <v>0</v>
      </c>
      <c r="AL55" s="360">
        <v>0</v>
      </c>
      <c r="AM55" s="360">
        <v>0</v>
      </c>
      <c r="AN55" s="360">
        <v>0</v>
      </c>
      <c r="AO55" s="360">
        <v>0</v>
      </c>
      <c r="AP55" s="360">
        <v>0</v>
      </c>
      <c r="AQ55" s="360">
        <v>0</v>
      </c>
      <c r="AR55" s="360">
        <v>0</v>
      </c>
      <c r="AS55" s="360">
        <v>164.06</v>
      </c>
      <c r="AT55" s="360">
        <v>3</v>
      </c>
      <c r="AU55" s="360">
        <v>164.06</v>
      </c>
      <c r="AV55" s="360">
        <v>3</v>
      </c>
      <c r="AW55" s="360">
        <v>0</v>
      </c>
      <c r="AX55" s="360">
        <v>0</v>
      </c>
      <c r="AY55" s="360">
        <v>0</v>
      </c>
      <c r="AZ55" s="360">
        <v>0</v>
      </c>
      <c r="BA55" s="360">
        <v>149.80000000000001</v>
      </c>
      <c r="BB55" s="360">
        <v>1</v>
      </c>
      <c r="BC55" s="360">
        <v>171.2</v>
      </c>
      <c r="BD55" s="360">
        <v>2</v>
      </c>
      <c r="BE55" s="360">
        <v>0</v>
      </c>
      <c r="BF55" s="360">
        <v>0</v>
      </c>
      <c r="BG55" s="360">
        <v>0</v>
      </c>
      <c r="BH55" s="360">
        <v>0</v>
      </c>
      <c r="BI55" s="360">
        <v>0</v>
      </c>
      <c r="BJ55" s="360">
        <v>0</v>
      </c>
      <c r="BK55" s="360">
        <v>0</v>
      </c>
      <c r="BL55" s="360">
        <v>0</v>
      </c>
      <c r="BM55" s="360">
        <v>0</v>
      </c>
      <c r="BN55" s="360">
        <v>0</v>
      </c>
      <c r="BO55" s="360">
        <v>0</v>
      </c>
      <c r="BP55" s="360">
        <v>0</v>
      </c>
      <c r="BQ55" s="360">
        <v>0</v>
      </c>
      <c r="BR55" s="360">
        <v>0</v>
      </c>
      <c r="BS55" s="360">
        <v>0</v>
      </c>
      <c r="BT55" s="360">
        <v>0</v>
      </c>
      <c r="BU55" s="360">
        <v>0</v>
      </c>
      <c r="BV55" s="360">
        <v>0</v>
      </c>
      <c r="BW55" s="360">
        <v>0</v>
      </c>
      <c r="BX55" s="360">
        <v>0</v>
      </c>
      <c r="BY55" s="360">
        <v>0</v>
      </c>
      <c r="BZ55" s="360">
        <v>0</v>
      </c>
      <c r="CA55" s="360">
        <v>0</v>
      </c>
      <c r="CB55" s="360">
        <v>0</v>
      </c>
      <c r="CC55" s="360">
        <v>0</v>
      </c>
      <c r="CD55" s="360" t="s">
        <v>182</v>
      </c>
    </row>
    <row r="56" spans="1:82" x14ac:dyDescent="0.35">
      <c r="A56" s="360" t="s">
        <v>183</v>
      </c>
      <c r="B56" s="360" t="s">
        <v>184</v>
      </c>
      <c r="C56" s="360" t="s">
        <v>900</v>
      </c>
      <c r="D56" s="360" t="s">
        <v>77</v>
      </c>
      <c r="E56" s="360">
        <v>40</v>
      </c>
      <c r="F56" s="360">
        <v>0</v>
      </c>
      <c r="G56" s="360">
        <v>0</v>
      </c>
      <c r="H56" s="360">
        <v>0</v>
      </c>
      <c r="I56" s="360">
        <v>0</v>
      </c>
      <c r="J56" s="360">
        <v>0</v>
      </c>
      <c r="K56" s="360">
        <v>0</v>
      </c>
      <c r="L56" s="360">
        <v>0</v>
      </c>
      <c r="M56" s="360">
        <v>0</v>
      </c>
      <c r="N56" s="360">
        <v>0</v>
      </c>
      <c r="O56" s="360">
        <v>0</v>
      </c>
      <c r="P56" s="360">
        <v>0</v>
      </c>
      <c r="Q56" s="360">
        <v>0</v>
      </c>
      <c r="R56" s="360">
        <v>0</v>
      </c>
      <c r="S56" s="360">
        <v>0</v>
      </c>
      <c r="T56" s="360">
        <v>0</v>
      </c>
      <c r="U56" s="360">
        <v>0</v>
      </c>
      <c r="V56" s="360">
        <v>0</v>
      </c>
      <c r="W56" s="360">
        <v>0</v>
      </c>
      <c r="X56" s="360">
        <v>0</v>
      </c>
      <c r="Y56" s="360">
        <v>0</v>
      </c>
      <c r="Z56" s="360">
        <v>0</v>
      </c>
      <c r="AA56" s="360">
        <v>0</v>
      </c>
      <c r="AB56" s="360">
        <v>0</v>
      </c>
      <c r="AC56" s="360">
        <v>0</v>
      </c>
      <c r="AD56" s="360">
        <v>0</v>
      </c>
      <c r="AE56" s="360">
        <v>0</v>
      </c>
      <c r="AF56" s="360">
        <v>0</v>
      </c>
      <c r="AG56" s="360">
        <v>0</v>
      </c>
      <c r="AH56" s="360">
        <v>0</v>
      </c>
      <c r="AI56" s="360">
        <v>0</v>
      </c>
      <c r="AJ56" s="360">
        <v>0</v>
      </c>
      <c r="AK56" s="360">
        <v>0</v>
      </c>
      <c r="AL56" s="360">
        <v>0</v>
      </c>
      <c r="AM56" s="360">
        <v>0</v>
      </c>
      <c r="AN56" s="360">
        <v>0</v>
      </c>
      <c r="AO56" s="360">
        <v>0</v>
      </c>
      <c r="AP56" s="360">
        <v>0</v>
      </c>
      <c r="AQ56" s="360">
        <v>0</v>
      </c>
      <c r="AR56" s="360">
        <v>0</v>
      </c>
      <c r="AS56" s="360">
        <v>0</v>
      </c>
      <c r="AT56" s="360">
        <v>0</v>
      </c>
      <c r="AU56" s="360">
        <v>0</v>
      </c>
      <c r="AV56" s="360">
        <v>0</v>
      </c>
      <c r="AW56" s="360">
        <v>0</v>
      </c>
      <c r="AX56" s="360">
        <v>0</v>
      </c>
      <c r="AY56" s="360">
        <v>0</v>
      </c>
      <c r="AZ56" s="360">
        <v>0</v>
      </c>
      <c r="BA56" s="360">
        <v>0</v>
      </c>
      <c r="BB56" s="360">
        <v>0</v>
      </c>
      <c r="BC56" s="360">
        <v>0</v>
      </c>
      <c r="BD56" s="360">
        <v>0</v>
      </c>
      <c r="BE56" s="360">
        <v>0</v>
      </c>
      <c r="BF56" s="360">
        <v>0</v>
      </c>
      <c r="BG56" s="360">
        <v>0</v>
      </c>
      <c r="BH56" s="360">
        <v>0</v>
      </c>
      <c r="BI56" s="360">
        <v>0</v>
      </c>
      <c r="BJ56" s="360">
        <v>0</v>
      </c>
      <c r="BK56" s="360">
        <v>0</v>
      </c>
      <c r="BL56" s="360">
        <v>0</v>
      </c>
      <c r="BM56" s="360">
        <v>0</v>
      </c>
      <c r="BN56" s="360">
        <v>0</v>
      </c>
      <c r="BO56" s="360">
        <v>0</v>
      </c>
      <c r="BP56" s="360">
        <v>0</v>
      </c>
      <c r="BQ56" s="360">
        <v>0</v>
      </c>
      <c r="BR56" s="360">
        <v>0</v>
      </c>
      <c r="BS56" s="360">
        <v>0</v>
      </c>
      <c r="BT56" s="360">
        <v>0</v>
      </c>
      <c r="BU56" s="360">
        <v>0</v>
      </c>
      <c r="BV56" s="360">
        <v>0</v>
      </c>
      <c r="BW56" s="360">
        <v>0</v>
      </c>
      <c r="BX56" s="360">
        <v>0</v>
      </c>
      <c r="BY56" s="360">
        <v>0</v>
      </c>
      <c r="BZ56" s="360">
        <v>0</v>
      </c>
      <c r="CA56" s="360">
        <v>0</v>
      </c>
      <c r="CB56" s="360">
        <v>0</v>
      </c>
      <c r="CC56" s="360">
        <v>40</v>
      </c>
      <c r="CD56" s="360" t="s">
        <v>185</v>
      </c>
    </row>
    <row r="57" spans="1:82" x14ac:dyDescent="0.35">
      <c r="A57" s="360" t="s">
        <v>186</v>
      </c>
      <c r="B57" s="360" t="s">
        <v>187</v>
      </c>
      <c r="C57" s="360" t="s">
        <v>71</v>
      </c>
      <c r="D57" s="360" t="s">
        <v>77</v>
      </c>
      <c r="E57" s="360">
        <v>8180</v>
      </c>
      <c r="F57" s="360">
        <v>7506</v>
      </c>
      <c r="G57" s="360">
        <v>0</v>
      </c>
      <c r="H57" s="360">
        <v>558</v>
      </c>
      <c r="I57" s="360">
        <v>111.32</v>
      </c>
      <c r="J57" s="360">
        <v>7245</v>
      </c>
      <c r="K57" s="360">
        <v>111.32</v>
      </c>
      <c r="L57" s="360">
        <v>7245</v>
      </c>
      <c r="M57" s="360">
        <v>0</v>
      </c>
      <c r="N57" s="360">
        <v>0</v>
      </c>
      <c r="O57" s="360">
        <v>77.739999999999995</v>
      </c>
      <c r="P57" s="360">
        <v>68</v>
      </c>
      <c r="Q57" s="360">
        <v>91.93</v>
      </c>
      <c r="R57" s="360">
        <v>1167</v>
      </c>
      <c r="S57" s="360">
        <v>106.51</v>
      </c>
      <c r="T57" s="360">
        <v>2248</v>
      </c>
      <c r="U57" s="360">
        <v>120.11</v>
      </c>
      <c r="V57" s="360">
        <v>3507</v>
      </c>
      <c r="W57" s="360">
        <v>130.25</v>
      </c>
      <c r="X57" s="360">
        <v>248</v>
      </c>
      <c r="Y57" s="360">
        <v>144.72999999999999</v>
      </c>
      <c r="Z57" s="360">
        <v>7</v>
      </c>
      <c r="AA57" s="360">
        <v>0</v>
      </c>
      <c r="AB57" s="360">
        <v>0</v>
      </c>
      <c r="AC57" s="360">
        <v>95.56</v>
      </c>
      <c r="AD57" s="360">
        <v>558</v>
      </c>
      <c r="AE57" s="360">
        <v>95.56</v>
      </c>
      <c r="AF57" s="360">
        <v>558</v>
      </c>
      <c r="AG57" s="360">
        <v>0</v>
      </c>
      <c r="AH57" s="360">
        <v>0</v>
      </c>
      <c r="AI57" s="360">
        <v>0</v>
      </c>
      <c r="AJ57" s="360">
        <v>0</v>
      </c>
      <c r="AK57" s="360">
        <v>92.01</v>
      </c>
      <c r="AL57" s="360">
        <v>362</v>
      </c>
      <c r="AM57" s="360">
        <v>102.17</v>
      </c>
      <c r="AN57" s="360">
        <v>195</v>
      </c>
      <c r="AO57" s="360">
        <v>97.23</v>
      </c>
      <c r="AP57" s="360">
        <v>1</v>
      </c>
      <c r="AQ57" s="360">
        <v>0</v>
      </c>
      <c r="AR57" s="360">
        <v>0</v>
      </c>
      <c r="AS57" s="360">
        <v>194.06</v>
      </c>
      <c r="AT57" s="360">
        <v>261</v>
      </c>
      <c r="AU57" s="360">
        <v>194.06</v>
      </c>
      <c r="AV57" s="360">
        <v>261</v>
      </c>
      <c r="AW57" s="360">
        <v>0</v>
      </c>
      <c r="AX57" s="360">
        <v>0</v>
      </c>
      <c r="AY57" s="360">
        <v>0</v>
      </c>
      <c r="AZ57" s="360">
        <v>0</v>
      </c>
      <c r="BA57" s="360">
        <v>167.11</v>
      </c>
      <c r="BB57" s="360">
        <v>83</v>
      </c>
      <c r="BC57" s="360">
        <v>202.26</v>
      </c>
      <c r="BD57" s="360">
        <v>149</v>
      </c>
      <c r="BE57" s="360">
        <v>226.35</v>
      </c>
      <c r="BF57" s="360">
        <v>28</v>
      </c>
      <c r="BG57" s="360">
        <v>306.66000000000003</v>
      </c>
      <c r="BH57" s="360">
        <v>1</v>
      </c>
      <c r="BI57" s="360">
        <v>0</v>
      </c>
      <c r="BJ57" s="360">
        <v>0</v>
      </c>
      <c r="BK57" s="360">
        <v>0</v>
      </c>
      <c r="BL57" s="360">
        <v>0</v>
      </c>
      <c r="BM57" s="360">
        <v>0</v>
      </c>
      <c r="BN57" s="360">
        <v>0</v>
      </c>
      <c r="BO57" s="360">
        <v>0</v>
      </c>
      <c r="BP57" s="360">
        <v>0</v>
      </c>
      <c r="BQ57" s="360">
        <v>0</v>
      </c>
      <c r="BR57" s="360">
        <v>0</v>
      </c>
      <c r="BS57" s="360">
        <v>0</v>
      </c>
      <c r="BT57" s="360">
        <v>0</v>
      </c>
      <c r="BU57" s="360">
        <v>0</v>
      </c>
      <c r="BV57" s="360">
        <v>0</v>
      </c>
      <c r="BW57" s="360">
        <v>0</v>
      </c>
      <c r="BX57" s="360">
        <v>0</v>
      </c>
      <c r="BY57" s="360">
        <v>0</v>
      </c>
      <c r="BZ57" s="360">
        <v>0</v>
      </c>
      <c r="CA57" s="360">
        <v>0</v>
      </c>
      <c r="CB57" s="360">
        <v>0</v>
      </c>
      <c r="CC57" s="360">
        <v>116</v>
      </c>
      <c r="CD57" s="360" t="s">
        <v>188</v>
      </c>
    </row>
    <row r="58" spans="1:82" x14ac:dyDescent="0.35">
      <c r="A58" s="360" t="s">
        <v>189</v>
      </c>
      <c r="B58" s="360" t="s">
        <v>190</v>
      </c>
      <c r="C58" s="360" t="s">
        <v>67</v>
      </c>
      <c r="D58" s="360" t="s">
        <v>77</v>
      </c>
      <c r="E58" s="360">
        <v>10189</v>
      </c>
      <c r="F58" s="360">
        <v>8311</v>
      </c>
      <c r="G58" s="360">
        <v>0</v>
      </c>
      <c r="H58" s="360">
        <v>1877</v>
      </c>
      <c r="I58" s="360">
        <v>117.21</v>
      </c>
      <c r="J58" s="360">
        <v>8311</v>
      </c>
      <c r="K58" s="360">
        <v>117.21</v>
      </c>
      <c r="L58" s="360">
        <v>8311</v>
      </c>
      <c r="M58" s="360">
        <v>0</v>
      </c>
      <c r="N58" s="360">
        <v>0</v>
      </c>
      <c r="O58" s="360">
        <v>84.5</v>
      </c>
      <c r="P58" s="360">
        <v>245</v>
      </c>
      <c r="Q58" s="360">
        <v>97.94</v>
      </c>
      <c r="R58" s="360">
        <v>1091</v>
      </c>
      <c r="S58" s="360">
        <v>111.87</v>
      </c>
      <c r="T58" s="360">
        <v>2694</v>
      </c>
      <c r="U58" s="360">
        <v>126.41</v>
      </c>
      <c r="V58" s="360">
        <v>3852</v>
      </c>
      <c r="W58" s="360">
        <v>135.47999999999999</v>
      </c>
      <c r="X58" s="360">
        <v>418</v>
      </c>
      <c r="Y58" s="360">
        <v>145.04</v>
      </c>
      <c r="Z58" s="360">
        <v>8</v>
      </c>
      <c r="AA58" s="360">
        <v>159.28</v>
      </c>
      <c r="AB58" s="360">
        <v>3</v>
      </c>
      <c r="AC58" s="360">
        <v>89.17</v>
      </c>
      <c r="AD58" s="360">
        <v>1877</v>
      </c>
      <c r="AE58" s="360">
        <v>89.17</v>
      </c>
      <c r="AF58" s="360">
        <v>1877</v>
      </c>
      <c r="AG58" s="360">
        <v>0</v>
      </c>
      <c r="AH58" s="360">
        <v>0</v>
      </c>
      <c r="AI58" s="360">
        <v>0</v>
      </c>
      <c r="AJ58" s="360">
        <v>0</v>
      </c>
      <c r="AK58" s="360">
        <v>89.04</v>
      </c>
      <c r="AL58" s="360">
        <v>1831</v>
      </c>
      <c r="AM58" s="360">
        <v>94.18</v>
      </c>
      <c r="AN58" s="360">
        <v>41</v>
      </c>
      <c r="AO58" s="360">
        <v>97.06</v>
      </c>
      <c r="AP58" s="360">
        <v>5</v>
      </c>
      <c r="AQ58" s="360">
        <v>0</v>
      </c>
      <c r="AR58" s="360">
        <v>0</v>
      </c>
      <c r="AS58" s="360">
        <v>0</v>
      </c>
      <c r="AT58" s="360">
        <v>0</v>
      </c>
      <c r="AU58" s="360">
        <v>0</v>
      </c>
      <c r="AV58" s="360">
        <v>0</v>
      </c>
      <c r="AW58" s="360">
        <v>0</v>
      </c>
      <c r="AX58" s="360">
        <v>0</v>
      </c>
      <c r="AY58" s="360">
        <v>0</v>
      </c>
      <c r="AZ58" s="360">
        <v>0</v>
      </c>
      <c r="BA58" s="360">
        <v>0</v>
      </c>
      <c r="BB58" s="360">
        <v>0</v>
      </c>
      <c r="BC58" s="360">
        <v>0</v>
      </c>
      <c r="BD58" s="360">
        <v>0</v>
      </c>
      <c r="BE58" s="360">
        <v>0</v>
      </c>
      <c r="BF58" s="360">
        <v>0</v>
      </c>
      <c r="BG58" s="360">
        <v>0</v>
      </c>
      <c r="BH58" s="360">
        <v>0</v>
      </c>
      <c r="BI58" s="360">
        <v>0</v>
      </c>
      <c r="BJ58" s="360">
        <v>0</v>
      </c>
      <c r="BK58" s="360">
        <v>0</v>
      </c>
      <c r="BL58" s="360">
        <v>0</v>
      </c>
      <c r="BM58" s="360">
        <v>0</v>
      </c>
      <c r="BN58" s="360">
        <v>0</v>
      </c>
      <c r="BO58" s="360">
        <v>0</v>
      </c>
      <c r="BP58" s="360">
        <v>0</v>
      </c>
      <c r="BQ58" s="360">
        <v>0</v>
      </c>
      <c r="BR58" s="360">
        <v>0</v>
      </c>
      <c r="BS58" s="360">
        <v>0</v>
      </c>
      <c r="BT58" s="360">
        <v>0</v>
      </c>
      <c r="BU58" s="360">
        <v>0</v>
      </c>
      <c r="BV58" s="360">
        <v>0</v>
      </c>
      <c r="BW58" s="360">
        <v>0</v>
      </c>
      <c r="BX58" s="360">
        <v>0</v>
      </c>
      <c r="BY58" s="360">
        <v>0</v>
      </c>
      <c r="BZ58" s="360">
        <v>0</v>
      </c>
      <c r="CA58" s="360">
        <v>0</v>
      </c>
      <c r="CB58" s="360">
        <v>0</v>
      </c>
      <c r="CC58" s="360">
        <v>1</v>
      </c>
      <c r="CD58" s="360" t="s">
        <v>191</v>
      </c>
    </row>
    <row r="59" spans="1:82" x14ac:dyDescent="0.35">
      <c r="A59" s="360" t="s">
        <v>192</v>
      </c>
      <c r="B59" s="360" t="s">
        <v>193</v>
      </c>
      <c r="C59" s="360" t="s">
        <v>69</v>
      </c>
      <c r="D59" s="360" t="s">
        <v>77</v>
      </c>
      <c r="E59" s="360">
        <v>5273</v>
      </c>
      <c r="F59" s="360">
        <v>4909</v>
      </c>
      <c r="G59" s="360">
        <v>0</v>
      </c>
      <c r="H59" s="360">
        <v>364</v>
      </c>
      <c r="I59" s="360">
        <v>75.28</v>
      </c>
      <c r="J59" s="360">
        <v>3700</v>
      </c>
      <c r="K59" s="360">
        <v>75.28</v>
      </c>
      <c r="L59" s="360">
        <v>3700</v>
      </c>
      <c r="M59" s="360">
        <v>0</v>
      </c>
      <c r="N59" s="360">
        <v>0</v>
      </c>
      <c r="O59" s="360">
        <v>0</v>
      </c>
      <c r="P59" s="360">
        <v>0</v>
      </c>
      <c r="Q59" s="360">
        <v>66.45</v>
      </c>
      <c r="R59" s="360">
        <v>1255</v>
      </c>
      <c r="S59" s="360">
        <v>75.41</v>
      </c>
      <c r="T59" s="360">
        <v>1199</v>
      </c>
      <c r="U59" s="360">
        <v>83.91</v>
      </c>
      <c r="V59" s="360">
        <v>1215</v>
      </c>
      <c r="W59" s="360">
        <v>89.7</v>
      </c>
      <c r="X59" s="360">
        <v>31</v>
      </c>
      <c r="Y59" s="360">
        <v>0</v>
      </c>
      <c r="Z59" s="360">
        <v>0</v>
      </c>
      <c r="AA59" s="360">
        <v>0</v>
      </c>
      <c r="AB59" s="360">
        <v>0</v>
      </c>
      <c r="AC59" s="360">
        <v>69.45</v>
      </c>
      <c r="AD59" s="360">
        <v>242</v>
      </c>
      <c r="AE59" s="360">
        <v>69.45</v>
      </c>
      <c r="AF59" s="360">
        <v>242</v>
      </c>
      <c r="AG59" s="360">
        <v>0</v>
      </c>
      <c r="AH59" s="360">
        <v>0</v>
      </c>
      <c r="AI59" s="360">
        <v>0</v>
      </c>
      <c r="AJ59" s="360">
        <v>0</v>
      </c>
      <c r="AK59" s="360">
        <v>69.260000000000005</v>
      </c>
      <c r="AL59" s="360">
        <v>237</v>
      </c>
      <c r="AM59" s="360">
        <v>77.66</v>
      </c>
      <c r="AN59" s="360">
        <v>4</v>
      </c>
      <c r="AO59" s="360">
        <v>82.4</v>
      </c>
      <c r="AP59" s="360">
        <v>1</v>
      </c>
      <c r="AQ59" s="360">
        <v>0</v>
      </c>
      <c r="AR59" s="360">
        <v>0</v>
      </c>
      <c r="AS59" s="360">
        <v>95.81</v>
      </c>
      <c r="AT59" s="360">
        <v>1209</v>
      </c>
      <c r="AU59" s="360">
        <v>95.81</v>
      </c>
      <c r="AV59" s="360">
        <v>1209</v>
      </c>
      <c r="AW59" s="360">
        <v>0</v>
      </c>
      <c r="AX59" s="360">
        <v>0</v>
      </c>
      <c r="AY59" s="360">
        <v>0</v>
      </c>
      <c r="AZ59" s="360">
        <v>0</v>
      </c>
      <c r="BA59" s="360">
        <v>90.03</v>
      </c>
      <c r="BB59" s="360">
        <v>465</v>
      </c>
      <c r="BC59" s="360">
        <v>94.68</v>
      </c>
      <c r="BD59" s="360">
        <v>460</v>
      </c>
      <c r="BE59" s="360">
        <v>105.89</v>
      </c>
      <c r="BF59" s="360">
        <v>272</v>
      </c>
      <c r="BG59" s="360">
        <v>134.76</v>
      </c>
      <c r="BH59" s="360">
        <v>10</v>
      </c>
      <c r="BI59" s="360">
        <v>136.62</v>
      </c>
      <c r="BJ59" s="360">
        <v>2</v>
      </c>
      <c r="BK59" s="360">
        <v>0</v>
      </c>
      <c r="BL59" s="360">
        <v>0</v>
      </c>
      <c r="BM59" s="360">
        <v>107.82</v>
      </c>
      <c r="BN59" s="360">
        <v>122</v>
      </c>
      <c r="BO59" s="360">
        <v>107.82</v>
      </c>
      <c r="BP59" s="360">
        <v>122</v>
      </c>
      <c r="BQ59" s="360">
        <v>0</v>
      </c>
      <c r="BR59" s="360">
        <v>0</v>
      </c>
      <c r="BS59" s="360">
        <v>0</v>
      </c>
      <c r="BT59" s="360">
        <v>0</v>
      </c>
      <c r="BU59" s="360">
        <v>107.42</v>
      </c>
      <c r="BV59" s="360">
        <v>117</v>
      </c>
      <c r="BW59" s="360">
        <v>117.35</v>
      </c>
      <c r="BX59" s="360">
        <v>5</v>
      </c>
      <c r="BY59" s="360">
        <v>0</v>
      </c>
      <c r="BZ59" s="360">
        <v>0</v>
      </c>
      <c r="CA59" s="360">
        <v>0</v>
      </c>
      <c r="CB59" s="360">
        <v>0</v>
      </c>
      <c r="CC59" s="360">
        <v>0</v>
      </c>
      <c r="CD59" s="360" t="s">
        <v>194</v>
      </c>
    </row>
    <row r="60" spans="1:82" x14ac:dyDescent="0.35">
      <c r="A60" s="360" t="s">
        <v>195</v>
      </c>
      <c r="B60" s="360" t="s">
        <v>196</v>
      </c>
      <c r="C60" s="360" t="s">
        <v>71</v>
      </c>
      <c r="D60" s="360" t="s">
        <v>77</v>
      </c>
      <c r="E60" s="360">
        <v>4226</v>
      </c>
      <c r="F60" s="360">
        <v>3778</v>
      </c>
      <c r="G60" s="360">
        <v>0</v>
      </c>
      <c r="H60" s="360">
        <v>448</v>
      </c>
      <c r="I60" s="360">
        <v>92.71</v>
      </c>
      <c r="J60" s="360">
        <v>3642</v>
      </c>
      <c r="K60" s="360">
        <v>92.71</v>
      </c>
      <c r="L60" s="360">
        <v>3642</v>
      </c>
      <c r="M60" s="360">
        <v>0</v>
      </c>
      <c r="N60" s="360">
        <v>0</v>
      </c>
      <c r="O60" s="360">
        <v>69.16</v>
      </c>
      <c r="P60" s="360">
        <v>11</v>
      </c>
      <c r="Q60" s="360">
        <v>77.72</v>
      </c>
      <c r="R60" s="360">
        <v>1049</v>
      </c>
      <c r="S60" s="360">
        <v>91.08</v>
      </c>
      <c r="T60" s="360">
        <v>1124</v>
      </c>
      <c r="U60" s="360">
        <v>104.54</v>
      </c>
      <c r="V60" s="360">
        <v>1402</v>
      </c>
      <c r="W60" s="360">
        <v>114.4</v>
      </c>
      <c r="X60" s="360">
        <v>54</v>
      </c>
      <c r="Y60" s="360">
        <v>132.02000000000001</v>
      </c>
      <c r="Z60" s="360">
        <v>1</v>
      </c>
      <c r="AA60" s="360">
        <v>119.84</v>
      </c>
      <c r="AB60" s="360">
        <v>1</v>
      </c>
      <c r="AC60" s="360">
        <v>84.49</v>
      </c>
      <c r="AD60" s="360">
        <v>448</v>
      </c>
      <c r="AE60" s="360">
        <v>84.49</v>
      </c>
      <c r="AF60" s="360">
        <v>448</v>
      </c>
      <c r="AG60" s="360">
        <v>0</v>
      </c>
      <c r="AH60" s="360">
        <v>0</v>
      </c>
      <c r="AI60" s="360">
        <v>0</v>
      </c>
      <c r="AJ60" s="360">
        <v>0</v>
      </c>
      <c r="AK60" s="360">
        <v>84.35</v>
      </c>
      <c r="AL60" s="360">
        <v>442</v>
      </c>
      <c r="AM60" s="360">
        <v>94.59</v>
      </c>
      <c r="AN60" s="360">
        <v>5</v>
      </c>
      <c r="AO60" s="360">
        <v>99.63</v>
      </c>
      <c r="AP60" s="360">
        <v>1</v>
      </c>
      <c r="AQ60" s="360">
        <v>0</v>
      </c>
      <c r="AR60" s="360">
        <v>0</v>
      </c>
      <c r="AS60" s="360">
        <v>153.27000000000001</v>
      </c>
      <c r="AT60" s="360">
        <v>136</v>
      </c>
      <c r="AU60" s="360">
        <v>153.27000000000001</v>
      </c>
      <c r="AV60" s="360">
        <v>136</v>
      </c>
      <c r="AW60" s="360">
        <v>0</v>
      </c>
      <c r="AX60" s="360">
        <v>0</v>
      </c>
      <c r="AY60" s="360">
        <v>0</v>
      </c>
      <c r="AZ60" s="360">
        <v>0</v>
      </c>
      <c r="BA60" s="360">
        <v>123.2</v>
      </c>
      <c r="BB60" s="360">
        <v>45</v>
      </c>
      <c r="BC60" s="360">
        <v>160.63</v>
      </c>
      <c r="BD60" s="360">
        <v>60</v>
      </c>
      <c r="BE60" s="360">
        <v>180.02</v>
      </c>
      <c r="BF60" s="360">
        <v>28</v>
      </c>
      <c r="BG60" s="360">
        <v>206.82</v>
      </c>
      <c r="BH60" s="360">
        <v>2</v>
      </c>
      <c r="BI60" s="360">
        <v>0</v>
      </c>
      <c r="BJ60" s="360">
        <v>0</v>
      </c>
      <c r="BK60" s="360">
        <v>208.86</v>
      </c>
      <c r="BL60" s="360">
        <v>1</v>
      </c>
      <c r="BM60" s="360">
        <v>0</v>
      </c>
      <c r="BN60" s="360">
        <v>0</v>
      </c>
      <c r="BO60" s="360">
        <v>0</v>
      </c>
      <c r="BP60" s="360">
        <v>0</v>
      </c>
      <c r="BQ60" s="360">
        <v>0</v>
      </c>
      <c r="BR60" s="360">
        <v>0</v>
      </c>
      <c r="BS60" s="360">
        <v>0</v>
      </c>
      <c r="BT60" s="360">
        <v>0</v>
      </c>
      <c r="BU60" s="360">
        <v>0</v>
      </c>
      <c r="BV60" s="360">
        <v>0</v>
      </c>
      <c r="BW60" s="360">
        <v>0</v>
      </c>
      <c r="BX60" s="360">
        <v>0</v>
      </c>
      <c r="BY60" s="360">
        <v>0</v>
      </c>
      <c r="BZ60" s="360">
        <v>0</v>
      </c>
      <c r="CA60" s="360">
        <v>0</v>
      </c>
      <c r="CB60" s="360">
        <v>0</v>
      </c>
      <c r="CC60" s="360">
        <v>0</v>
      </c>
      <c r="CD60" s="360" t="s">
        <v>197</v>
      </c>
    </row>
    <row r="61" spans="1:82" x14ac:dyDescent="0.35">
      <c r="A61" s="360" t="s">
        <v>198</v>
      </c>
      <c r="B61" s="360" t="s">
        <v>199</v>
      </c>
      <c r="C61" s="360" t="s">
        <v>66</v>
      </c>
      <c r="D61" s="360" t="s">
        <v>77</v>
      </c>
      <c r="E61" s="360">
        <v>12427</v>
      </c>
      <c r="F61" s="360">
        <v>9947</v>
      </c>
      <c r="G61" s="360">
        <v>2</v>
      </c>
      <c r="H61" s="360">
        <v>2415</v>
      </c>
      <c r="I61" s="360">
        <v>84.09</v>
      </c>
      <c r="J61" s="360">
        <v>9658</v>
      </c>
      <c r="K61" s="360">
        <v>84.1</v>
      </c>
      <c r="L61" s="360">
        <v>9656</v>
      </c>
      <c r="M61" s="360">
        <v>40.69</v>
      </c>
      <c r="N61" s="360">
        <v>2</v>
      </c>
      <c r="O61" s="360">
        <v>66.31</v>
      </c>
      <c r="P61" s="360">
        <v>6</v>
      </c>
      <c r="Q61" s="360">
        <v>73.290000000000006</v>
      </c>
      <c r="R61" s="360">
        <v>1839</v>
      </c>
      <c r="S61" s="360">
        <v>81.180000000000007</v>
      </c>
      <c r="T61" s="360">
        <v>2847</v>
      </c>
      <c r="U61" s="360">
        <v>89.51</v>
      </c>
      <c r="V61" s="360">
        <v>4834</v>
      </c>
      <c r="W61" s="360">
        <v>98.75</v>
      </c>
      <c r="X61" s="360">
        <v>111</v>
      </c>
      <c r="Y61" s="360">
        <v>117.24</v>
      </c>
      <c r="Z61" s="360">
        <v>10</v>
      </c>
      <c r="AA61" s="360">
        <v>112.5</v>
      </c>
      <c r="AB61" s="360">
        <v>9</v>
      </c>
      <c r="AC61" s="360">
        <v>78.83</v>
      </c>
      <c r="AD61" s="360">
        <v>2266</v>
      </c>
      <c r="AE61" s="360">
        <v>78.95</v>
      </c>
      <c r="AF61" s="360">
        <v>2254</v>
      </c>
      <c r="AG61" s="360">
        <v>55.57</v>
      </c>
      <c r="AH61" s="360">
        <v>12</v>
      </c>
      <c r="AI61" s="360">
        <v>70.58</v>
      </c>
      <c r="AJ61" s="360">
        <v>27</v>
      </c>
      <c r="AK61" s="360">
        <v>77.47</v>
      </c>
      <c r="AL61" s="360">
        <v>1952</v>
      </c>
      <c r="AM61" s="360">
        <v>90.04</v>
      </c>
      <c r="AN61" s="360">
        <v>267</v>
      </c>
      <c r="AO61" s="360">
        <v>99.09</v>
      </c>
      <c r="AP61" s="360">
        <v>7</v>
      </c>
      <c r="AQ61" s="360">
        <v>101.01</v>
      </c>
      <c r="AR61" s="360">
        <v>1</v>
      </c>
      <c r="AS61" s="360">
        <v>128.03</v>
      </c>
      <c r="AT61" s="360">
        <v>291</v>
      </c>
      <c r="AU61" s="360">
        <v>128.03</v>
      </c>
      <c r="AV61" s="360">
        <v>291</v>
      </c>
      <c r="AW61" s="360">
        <v>0</v>
      </c>
      <c r="AX61" s="360">
        <v>0</v>
      </c>
      <c r="AY61" s="360">
        <v>0</v>
      </c>
      <c r="AZ61" s="360">
        <v>0</v>
      </c>
      <c r="BA61" s="360">
        <v>90.18</v>
      </c>
      <c r="BB61" s="360">
        <v>17</v>
      </c>
      <c r="BC61" s="360">
        <v>114.35</v>
      </c>
      <c r="BD61" s="360">
        <v>114</v>
      </c>
      <c r="BE61" s="360">
        <v>133.1</v>
      </c>
      <c r="BF61" s="360">
        <v>88</v>
      </c>
      <c r="BG61" s="360">
        <v>150.65</v>
      </c>
      <c r="BH61" s="360">
        <v>38</v>
      </c>
      <c r="BI61" s="360">
        <v>156.97999999999999</v>
      </c>
      <c r="BJ61" s="360">
        <v>26</v>
      </c>
      <c r="BK61" s="360">
        <v>146.28</v>
      </c>
      <c r="BL61" s="360">
        <v>8</v>
      </c>
      <c r="BM61" s="360">
        <v>100.93</v>
      </c>
      <c r="BN61" s="360">
        <v>149</v>
      </c>
      <c r="BO61" s="360">
        <v>103.44</v>
      </c>
      <c r="BP61" s="360">
        <v>140</v>
      </c>
      <c r="BQ61" s="360">
        <v>61.96</v>
      </c>
      <c r="BR61" s="360">
        <v>9</v>
      </c>
      <c r="BS61" s="360">
        <v>0</v>
      </c>
      <c r="BT61" s="360">
        <v>0</v>
      </c>
      <c r="BU61" s="360">
        <v>88.47</v>
      </c>
      <c r="BV61" s="360">
        <v>28</v>
      </c>
      <c r="BW61" s="360">
        <v>104.21</v>
      </c>
      <c r="BX61" s="360">
        <v>106</v>
      </c>
      <c r="BY61" s="360">
        <v>162.04</v>
      </c>
      <c r="BZ61" s="360">
        <v>4</v>
      </c>
      <c r="CA61" s="360">
        <v>155.09</v>
      </c>
      <c r="CB61" s="360">
        <v>2</v>
      </c>
      <c r="CC61" s="360">
        <v>63</v>
      </c>
      <c r="CD61" s="360" t="s">
        <v>200</v>
      </c>
    </row>
    <row r="62" spans="1:82" x14ac:dyDescent="0.35">
      <c r="A62" s="360" t="s">
        <v>787</v>
      </c>
      <c r="B62" s="360" t="s">
        <v>788</v>
      </c>
      <c r="C62" s="360" t="s">
        <v>66</v>
      </c>
      <c r="D62" s="360" t="s">
        <v>77</v>
      </c>
      <c r="E62" s="360">
        <v>11</v>
      </c>
      <c r="F62" s="360">
        <v>11</v>
      </c>
      <c r="G62" s="360">
        <v>0</v>
      </c>
      <c r="H62" s="360">
        <v>0</v>
      </c>
      <c r="I62" s="360">
        <v>88.88</v>
      </c>
      <c r="J62" s="360">
        <v>11</v>
      </c>
      <c r="K62" s="360">
        <v>88.88</v>
      </c>
      <c r="L62" s="360">
        <v>11</v>
      </c>
      <c r="M62" s="360">
        <v>0</v>
      </c>
      <c r="N62" s="360">
        <v>0</v>
      </c>
      <c r="O62" s="360">
        <v>0</v>
      </c>
      <c r="P62" s="360">
        <v>0</v>
      </c>
      <c r="Q62" s="360">
        <v>83.25</v>
      </c>
      <c r="R62" s="360">
        <v>3</v>
      </c>
      <c r="S62" s="360">
        <v>89.8</v>
      </c>
      <c r="T62" s="360">
        <v>7</v>
      </c>
      <c r="U62" s="360">
        <v>99.43</v>
      </c>
      <c r="V62" s="360">
        <v>1</v>
      </c>
      <c r="W62" s="360">
        <v>0</v>
      </c>
      <c r="X62" s="360">
        <v>0</v>
      </c>
      <c r="Y62" s="360">
        <v>0</v>
      </c>
      <c r="Z62" s="360">
        <v>0</v>
      </c>
      <c r="AA62" s="360">
        <v>0</v>
      </c>
      <c r="AB62" s="360">
        <v>0</v>
      </c>
      <c r="AC62" s="360">
        <v>0</v>
      </c>
      <c r="AD62" s="360">
        <v>0</v>
      </c>
      <c r="AE62" s="360">
        <v>0</v>
      </c>
      <c r="AF62" s="360">
        <v>0</v>
      </c>
      <c r="AG62" s="360">
        <v>0</v>
      </c>
      <c r="AH62" s="360">
        <v>0</v>
      </c>
      <c r="AI62" s="360">
        <v>0</v>
      </c>
      <c r="AJ62" s="360">
        <v>0</v>
      </c>
      <c r="AK62" s="360">
        <v>0</v>
      </c>
      <c r="AL62" s="360">
        <v>0</v>
      </c>
      <c r="AM62" s="360">
        <v>0</v>
      </c>
      <c r="AN62" s="360">
        <v>0</v>
      </c>
      <c r="AO62" s="360">
        <v>0</v>
      </c>
      <c r="AP62" s="360">
        <v>0</v>
      </c>
      <c r="AQ62" s="360">
        <v>0</v>
      </c>
      <c r="AR62" s="360">
        <v>0</v>
      </c>
      <c r="AS62" s="360">
        <v>0</v>
      </c>
      <c r="AT62" s="360">
        <v>0</v>
      </c>
      <c r="AU62" s="360">
        <v>0</v>
      </c>
      <c r="AV62" s="360">
        <v>0</v>
      </c>
      <c r="AW62" s="360">
        <v>0</v>
      </c>
      <c r="AX62" s="360">
        <v>0</v>
      </c>
      <c r="AY62" s="360">
        <v>0</v>
      </c>
      <c r="AZ62" s="360">
        <v>0</v>
      </c>
      <c r="BA62" s="360">
        <v>0</v>
      </c>
      <c r="BB62" s="360">
        <v>0</v>
      </c>
      <c r="BC62" s="360">
        <v>0</v>
      </c>
      <c r="BD62" s="360">
        <v>0</v>
      </c>
      <c r="BE62" s="360">
        <v>0</v>
      </c>
      <c r="BF62" s="360">
        <v>0</v>
      </c>
      <c r="BG62" s="360">
        <v>0</v>
      </c>
      <c r="BH62" s="360">
        <v>0</v>
      </c>
      <c r="BI62" s="360">
        <v>0</v>
      </c>
      <c r="BJ62" s="360">
        <v>0</v>
      </c>
      <c r="BK62" s="360">
        <v>0</v>
      </c>
      <c r="BL62" s="360">
        <v>0</v>
      </c>
      <c r="BM62" s="360">
        <v>0</v>
      </c>
      <c r="BN62" s="360">
        <v>0</v>
      </c>
      <c r="BO62" s="360">
        <v>0</v>
      </c>
      <c r="BP62" s="360">
        <v>0</v>
      </c>
      <c r="BQ62" s="360">
        <v>0</v>
      </c>
      <c r="BR62" s="360">
        <v>0</v>
      </c>
      <c r="BS62" s="360">
        <v>0</v>
      </c>
      <c r="BT62" s="360">
        <v>0</v>
      </c>
      <c r="BU62" s="360">
        <v>0</v>
      </c>
      <c r="BV62" s="360">
        <v>0</v>
      </c>
      <c r="BW62" s="360">
        <v>0</v>
      </c>
      <c r="BX62" s="360">
        <v>0</v>
      </c>
      <c r="BY62" s="360">
        <v>0</v>
      </c>
      <c r="BZ62" s="360">
        <v>0</v>
      </c>
      <c r="CA62" s="360">
        <v>0</v>
      </c>
      <c r="CB62" s="360">
        <v>0</v>
      </c>
      <c r="CC62" s="360">
        <v>0</v>
      </c>
      <c r="CD62" s="360" t="s">
        <v>789</v>
      </c>
    </row>
    <row r="63" spans="1:82" x14ac:dyDescent="0.35">
      <c r="A63" s="360" t="s">
        <v>790</v>
      </c>
      <c r="B63" s="360" t="s">
        <v>791</v>
      </c>
      <c r="C63" s="360" t="s">
        <v>72</v>
      </c>
      <c r="D63" s="360" t="s">
        <v>77</v>
      </c>
      <c r="E63" s="360">
        <v>61</v>
      </c>
      <c r="F63" s="360">
        <v>14</v>
      </c>
      <c r="G63" s="360">
        <v>19</v>
      </c>
      <c r="H63" s="360">
        <v>28</v>
      </c>
      <c r="I63" s="360">
        <v>120.48</v>
      </c>
      <c r="J63" s="360">
        <v>3</v>
      </c>
      <c r="K63" s="360">
        <v>120.48</v>
      </c>
      <c r="L63" s="360">
        <v>3</v>
      </c>
      <c r="M63" s="360">
        <v>0</v>
      </c>
      <c r="N63" s="360">
        <v>0</v>
      </c>
      <c r="O63" s="360">
        <v>0</v>
      </c>
      <c r="P63" s="360">
        <v>0</v>
      </c>
      <c r="Q63" s="360">
        <v>120.48</v>
      </c>
      <c r="R63" s="360">
        <v>3</v>
      </c>
      <c r="S63" s="360">
        <v>0</v>
      </c>
      <c r="T63" s="360">
        <v>0</v>
      </c>
      <c r="U63" s="360">
        <v>0</v>
      </c>
      <c r="V63" s="360">
        <v>0</v>
      </c>
      <c r="W63" s="360">
        <v>0</v>
      </c>
      <c r="X63" s="360">
        <v>0</v>
      </c>
      <c r="Y63" s="360">
        <v>0</v>
      </c>
      <c r="Z63" s="360">
        <v>0</v>
      </c>
      <c r="AA63" s="360">
        <v>0</v>
      </c>
      <c r="AB63" s="360">
        <v>0</v>
      </c>
      <c r="AC63" s="360">
        <v>80.760000000000005</v>
      </c>
      <c r="AD63" s="360">
        <v>18</v>
      </c>
      <c r="AE63" s="360">
        <v>80.760000000000005</v>
      </c>
      <c r="AF63" s="360">
        <v>18</v>
      </c>
      <c r="AG63" s="360">
        <v>0</v>
      </c>
      <c r="AH63" s="360">
        <v>0</v>
      </c>
      <c r="AI63" s="360">
        <v>0</v>
      </c>
      <c r="AJ63" s="360">
        <v>0</v>
      </c>
      <c r="AK63" s="360">
        <v>80.760000000000005</v>
      </c>
      <c r="AL63" s="360">
        <v>18</v>
      </c>
      <c r="AM63" s="360">
        <v>0</v>
      </c>
      <c r="AN63" s="360">
        <v>0</v>
      </c>
      <c r="AO63" s="360">
        <v>0</v>
      </c>
      <c r="AP63" s="360">
        <v>0</v>
      </c>
      <c r="AQ63" s="360">
        <v>0</v>
      </c>
      <c r="AR63" s="360">
        <v>0</v>
      </c>
      <c r="AS63" s="360">
        <v>131.96</v>
      </c>
      <c r="AT63" s="360">
        <v>30</v>
      </c>
      <c r="AU63" s="360">
        <v>163.71</v>
      </c>
      <c r="AV63" s="360">
        <v>11</v>
      </c>
      <c r="AW63" s="360">
        <v>113.58</v>
      </c>
      <c r="AX63" s="360">
        <v>19</v>
      </c>
      <c r="AY63" s="360">
        <v>0</v>
      </c>
      <c r="AZ63" s="360">
        <v>0</v>
      </c>
      <c r="BA63" s="360">
        <v>137.77000000000001</v>
      </c>
      <c r="BB63" s="360">
        <v>1</v>
      </c>
      <c r="BC63" s="360">
        <v>137.13</v>
      </c>
      <c r="BD63" s="360">
        <v>5</v>
      </c>
      <c r="BE63" s="360">
        <v>195.49</v>
      </c>
      <c r="BF63" s="360">
        <v>5</v>
      </c>
      <c r="BG63" s="360">
        <v>0</v>
      </c>
      <c r="BH63" s="360">
        <v>0</v>
      </c>
      <c r="BI63" s="360">
        <v>0</v>
      </c>
      <c r="BJ63" s="360">
        <v>0</v>
      </c>
      <c r="BK63" s="360">
        <v>0</v>
      </c>
      <c r="BL63" s="360">
        <v>0</v>
      </c>
      <c r="BM63" s="360">
        <v>121.47</v>
      </c>
      <c r="BN63" s="360">
        <v>10</v>
      </c>
      <c r="BO63" s="360">
        <v>121.47</v>
      </c>
      <c r="BP63" s="360">
        <v>10</v>
      </c>
      <c r="BQ63" s="360">
        <v>0</v>
      </c>
      <c r="BR63" s="360">
        <v>0</v>
      </c>
      <c r="BS63" s="360">
        <v>0</v>
      </c>
      <c r="BT63" s="360">
        <v>0</v>
      </c>
      <c r="BU63" s="360">
        <v>121.47</v>
      </c>
      <c r="BV63" s="360">
        <v>10</v>
      </c>
      <c r="BW63" s="360">
        <v>0</v>
      </c>
      <c r="BX63" s="360">
        <v>0</v>
      </c>
      <c r="BY63" s="360">
        <v>0</v>
      </c>
      <c r="BZ63" s="360">
        <v>0</v>
      </c>
      <c r="CA63" s="360">
        <v>0</v>
      </c>
      <c r="CB63" s="360">
        <v>0</v>
      </c>
      <c r="CC63" s="360">
        <v>0</v>
      </c>
      <c r="CD63" s="360" t="s">
        <v>792</v>
      </c>
    </row>
    <row r="64" spans="1:82" x14ac:dyDescent="0.35">
      <c r="A64" s="360" t="s">
        <v>203</v>
      </c>
      <c r="B64" s="360" t="s">
        <v>204</v>
      </c>
      <c r="C64" s="360" t="s">
        <v>71</v>
      </c>
      <c r="D64" s="360" t="s">
        <v>77</v>
      </c>
      <c r="E64" s="360">
        <v>4412</v>
      </c>
      <c r="F64" s="360">
        <v>4379</v>
      </c>
      <c r="G64" s="360">
        <v>0</v>
      </c>
      <c r="H64" s="360">
        <v>0</v>
      </c>
      <c r="I64" s="360">
        <v>90.05</v>
      </c>
      <c r="J64" s="360">
        <v>4318</v>
      </c>
      <c r="K64" s="360">
        <v>90.05</v>
      </c>
      <c r="L64" s="360">
        <v>4318</v>
      </c>
      <c r="M64" s="360">
        <v>0</v>
      </c>
      <c r="N64" s="360">
        <v>0</v>
      </c>
      <c r="O64" s="360">
        <v>66.180000000000007</v>
      </c>
      <c r="P64" s="360">
        <v>41</v>
      </c>
      <c r="Q64" s="360">
        <v>80.45</v>
      </c>
      <c r="R64" s="360">
        <v>967</v>
      </c>
      <c r="S64" s="360">
        <v>88.51</v>
      </c>
      <c r="T64" s="360">
        <v>1877</v>
      </c>
      <c r="U64" s="360">
        <v>98.68</v>
      </c>
      <c r="V64" s="360">
        <v>1345</v>
      </c>
      <c r="W64" s="360">
        <v>107.36</v>
      </c>
      <c r="X64" s="360">
        <v>83</v>
      </c>
      <c r="Y64" s="360">
        <v>111.2</v>
      </c>
      <c r="Z64" s="360">
        <v>5</v>
      </c>
      <c r="AA64" s="360">
        <v>0</v>
      </c>
      <c r="AB64" s="360">
        <v>0</v>
      </c>
      <c r="AC64" s="360">
        <v>0</v>
      </c>
      <c r="AD64" s="360">
        <v>0</v>
      </c>
      <c r="AE64" s="360">
        <v>0</v>
      </c>
      <c r="AF64" s="360">
        <v>0</v>
      </c>
      <c r="AG64" s="360">
        <v>0</v>
      </c>
      <c r="AH64" s="360">
        <v>0</v>
      </c>
      <c r="AI64" s="360">
        <v>0</v>
      </c>
      <c r="AJ64" s="360">
        <v>0</v>
      </c>
      <c r="AK64" s="360">
        <v>0</v>
      </c>
      <c r="AL64" s="360">
        <v>0</v>
      </c>
      <c r="AM64" s="360">
        <v>0</v>
      </c>
      <c r="AN64" s="360">
        <v>0</v>
      </c>
      <c r="AO64" s="360">
        <v>0</v>
      </c>
      <c r="AP64" s="360">
        <v>0</v>
      </c>
      <c r="AQ64" s="360">
        <v>0</v>
      </c>
      <c r="AR64" s="360">
        <v>0</v>
      </c>
      <c r="AS64" s="360">
        <v>130.66999999999999</v>
      </c>
      <c r="AT64" s="360">
        <v>61</v>
      </c>
      <c r="AU64" s="360">
        <v>130.66999999999999</v>
      </c>
      <c r="AV64" s="360">
        <v>61</v>
      </c>
      <c r="AW64" s="360">
        <v>0</v>
      </c>
      <c r="AX64" s="360">
        <v>0</v>
      </c>
      <c r="AY64" s="360">
        <v>92.72</v>
      </c>
      <c r="AZ64" s="360">
        <v>6</v>
      </c>
      <c r="BA64" s="360">
        <v>102.7</v>
      </c>
      <c r="BB64" s="360">
        <v>17</v>
      </c>
      <c r="BC64" s="360">
        <v>129.32</v>
      </c>
      <c r="BD64" s="360">
        <v>18</v>
      </c>
      <c r="BE64" s="360">
        <v>162.62</v>
      </c>
      <c r="BF64" s="360">
        <v>18</v>
      </c>
      <c r="BG64" s="360">
        <v>207.12</v>
      </c>
      <c r="BH64" s="360">
        <v>1</v>
      </c>
      <c r="BI64" s="360">
        <v>207.12</v>
      </c>
      <c r="BJ64" s="360">
        <v>1</v>
      </c>
      <c r="BK64" s="360">
        <v>0</v>
      </c>
      <c r="BL64" s="360">
        <v>0</v>
      </c>
      <c r="BM64" s="360">
        <v>0</v>
      </c>
      <c r="BN64" s="360">
        <v>0</v>
      </c>
      <c r="BO64" s="360">
        <v>0</v>
      </c>
      <c r="BP64" s="360">
        <v>0</v>
      </c>
      <c r="BQ64" s="360">
        <v>0</v>
      </c>
      <c r="BR64" s="360">
        <v>0</v>
      </c>
      <c r="BS64" s="360">
        <v>0</v>
      </c>
      <c r="BT64" s="360">
        <v>0</v>
      </c>
      <c r="BU64" s="360">
        <v>0</v>
      </c>
      <c r="BV64" s="360">
        <v>0</v>
      </c>
      <c r="BW64" s="360">
        <v>0</v>
      </c>
      <c r="BX64" s="360">
        <v>0</v>
      </c>
      <c r="BY64" s="360">
        <v>0</v>
      </c>
      <c r="BZ64" s="360">
        <v>0</v>
      </c>
      <c r="CA64" s="360">
        <v>0</v>
      </c>
      <c r="CB64" s="360">
        <v>0</v>
      </c>
      <c r="CC64" s="360">
        <v>33</v>
      </c>
      <c r="CD64" s="360" t="s">
        <v>205</v>
      </c>
    </row>
    <row r="65" spans="1:82" x14ac:dyDescent="0.35">
      <c r="A65" s="360" t="s">
        <v>206</v>
      </c>
      <c r="B65" s="360" t="s">
        <v>207</v>
      </c>
      <c r="C65" s="360" t="s">
        <v>73</v>
      </c>
      <c r="D65" s="360" t="s">
        <v>77</v>
      </c>
      <c r="E65" s="360">
        <v>21069</v>
      </c>
      <c r="F65" s="360">
        <v>20648</v>
      </c>
      <c r="G65" s="360">
        <v>0</v>
      </c>
      <c r="H65" s="360">
        <v>421</v>
      </c>
      <c r="I65" s="360">
        <v>83.25</v>
      </c>
      <c r="J65" s="360">
        <v>20326</v>
      </c>
      <c r="K65" s="360">
        <v>83.25</v>
      </c>
      <c r="L65" s="360">
        <v>20326</v>
      </c>
      <c r="M65" s="360">
        <v>0</v>
      </c>
      <c r="N65" s="360">
        <v>0</v>
      </c>
      <c r="O65" s="360">
        <v>62.08</v>
      </c>
      <c r="P65" s="360">
        <v>238</v>
      </c>
      <c r="Q65" s="360">
        <v>72.53</v>
      </c>
      <c r="R65" s="360">
        <v>5455</v>
      </c>
      <c r="S65" s="360">
        <v>81.319999999999993</v>
      </c>
      <c r="T65" s="360">
        <v>6062</v>
      </c>
      <c r="U65" s="360">
        <v>91.46</v>
      </c>
      <c r="V65" s="360">
        <v>7996</v>
      </c>
      <c r="W65" s="360">
        <v>99.55</v>
      </c>
      <c r="X65" s="360">
        <v>549</v>
      </c>
      <c r="Y65" s="360">
        <v>106.4</v>
      </c>
      <c r="Z65" s="360">
        <v>17</v>
      </c>
      <c r="AA65" s="360">
        <v>112.98</v>
      </c>
      <c r="AB65" s="360">
        <v>9</v>
      </c>
      <c r="AC65" s="360">
        <v>76.27</v>
      </c>
      <c r="AD65" s="360">
        <v>328</v>
      </c>
      <c r="AE65" s="360">
        <v>76.27</v>
      </c>
      <c r="AF65" s="360">
        <v>328</v>
      </c>
      <c r="AG65" s="360">
        <v>0</v>
      </c>
      <c r="AH65" s="360">
        <v>0</v>
      </c>
      <c r="AI65" s="360">
        <v>64.89</v>
      </c>
      <c r="AJ65" s="360">
        <v>101</v>
      </c>
      <c r="AK65" s="360">
        <v>75.290000000000006</v>
      </c>
      <c r="AL65" s="360">
        <v>185</v>
      </c>
      <c r="AM65" s="360">
        <v>108.19</v>
      </c>
      <c r="AN65" s="360">
        <v>39</v>
      </c>
      <c r="AO65" s="360">
        <v>85.43</v>
      </c>
      <c r="AP65" s="360">
        <v>2</v>
      </c>
      <c r="AQ65" s="360">
        <v>146.66</v>
      </c>
      <c r="AR65" s="360">
        <v>1</v>
      </c>
      <c r="AS65" s="360">
        <v>102.6</v>
      </c>
      <c r="AT65" s="360">
        <v>322</v>
      </c>
      <c r="AU65" s="360">
        <v>102.6</v>
      </c>
      <c r="AV65" s="360">
        <v>322</v>
      </c>
      <c r="AW65" s="360">
        <v>0</v>
      </c>
      <c r="AX65" s="360">
        <v>0</v>
      </c>
      <c r="AY65" s="360">
        <v>0</v>
      </c>
      <c r="AZ65" s="360">
        <v>0</v>
      </c>
      <c r="BA65" s="360">
        <v>72.64</v>
      </c>
      <c r="BB65" s="360">
        <v>74</v>
      </c>
      <c r="BC65" s="360">
        <v>106.79</v>
      </c>
      <c r="BD65" s="360">
        <v>193</v>
      </c>
      <c r="BE65" s="360">
        <v>120.62</v>
      </c>
      <c r="BF65" s="360">
        <v>25</v>
      </c>
      <c r="BG65" s="360">
        <v>129.71</v>
      </c>
      <c r="BH65" s="360">
        <v>25</v>
      </c>
      <c r="BI65" s="360">
        <v>153.63999999999999</v>
      </c>
      <c r="BJ65" s="360">
        <v>3</v>
      </c>
      <c r="BK65" s="360">
        <v>166.7</v>
      </c>
      <c r="BL65" s="360">
        <v>2</v>
      </c>
      <c r="BM65" s="360">
        <v>86.3</v>
      </c>
      <c r="BN65" s="360">
        <v>93</v>
      </c>
      <c r="BO65" s="360">
        <v>82.24</v>
      </c>
      <c r="BP65" s="360">
        <v>88</v>
      </c>
      <c r="BQ65" s="360">
        <v>157.85</v>
      </c>
      <c r="BR65" s="360">
        <v>5</v>
      </c>
      <c r="BS65" s="360">
        <v>0</v>
      </c>
      <c r="BT65" s="360">
        <v>0</v>
      </c>
      <c r="BU65" s="360">
        <v>82.29</v>
      </c>
      <c r="BV65" s="360">
        <v>84</v>
      </c>
      <c r="BW65" s="360">
        <v>0</v>
      </c>
      <c r="BX65" s="360">
        <v>0</v>
      </c>
      <c r="BY65" s="360">
        <v>81.3</v>
      </c>
      <c r="BZ65" s="360">
        <v>4</v>
      </c>
      <c r="CA65" s="360">
        <v>0</v>
      </c>
      <c r="CB65" s="360">
        <v>0</v>
      </c>
      <c r="CC65" s="360">
        <v>0</v>
      </c>
      <c r="CD65" s="360" t="s">
        <v>208</v>
      </c>
    </row>
    <row r="66" spans="1:82" x14ac:dyDescent="0.35">
      <c r="A66" s="360" t="s">
        <v>209</v>
      </c>
      <c r="B66" s="360" t="s">
        <v>210</v>
      </c>
      <c r="C66" s="360" t="s">
        <v>69</v>
      </c>
      <c r="D66" s="360" t="s">
        <v>77</v>
      </c>
      <c r="E66" s="360">
        <v>109</v>
      </c>
      <c r="F66" s="360">
        <v>109</v>
      </c>
      <c r="G66" s="360">
        <v>0</v>
      </c>
      <c r="H66" s="360">
        <v>0</v>
      </c>
      <c r="I66" s="360">
        <v>84.63</v>
      </c>
      <c r="J66" s="360">
        <v>103</v>
      </c>
      <c r="K66" s="360">
        <v>84.63</v>
      </c>
      <c r="L66" s="360">
        <v>103</v>
      </c>
      <c r="M66" s="360">
        <v>0</v>
      </c>
      <c r="N66" s="360">
        <v>0</v>
      </c>
      <c r="O66" s="360">
        <v>89.75</v>
      </c>
      <c r="P66" s="360">
        <v>1</v>
      </c>
      <c r="Q66" s="360">
        <v>74.790000000000006</v>
      </c>
      <c r="R66" s="360">
        <v>46</v>
      </c>
      <c r="S66" s="360">
        <v>87.45</v>
      </c>
      <c r="T66" s="360">
        <v>38</v>
      </c>
      <c r="U66" s="360">
        <v>103.56</v>
      </c>
      <c r="V66" s="360">
        <v>18</v>
      </c>
      <c r="W66" s="360">
        <v>0</v>
      </c>
      <c r="X66" s="360">
        <v>0</v>
      </c>
      <c r="Y66" s="360">
        <v>0</v>
      </c>
      <c r="Z66" s="360">
        <v>0</v>
      </c>
      <c r="AA66" s="360">
        <v>0</v>
      </c>
      <c r="AB66" s="360">
        <v>0</v>
      </c>
      <c r="AC66" s="360">
        <v>0</v>
      </c>
      <c r="AD66" s="360">
        <v>0</v>
      </c>
      <c r="AE66" s="360">
        <v>0</v>
      </c>
      <c r="AF66" s="360">
        <v>0</v>
      </c>
      <c r="AG66" s="360">
        <v>0</v>
      </c>
      <c r="AH66" s="360">
        <v>0</v>
      </c>
      <c r="AI66" s="360">
        <v>0</v>
      </c>
      <c r="AJ66" s="360">
        <v>0</v>
      </c>
      <c r="AK66" s="360">
        <v>0</v>
      </c>
      <c r="AL66" s="360">
        <v>0</v>
      </c>
      <c r="AM66" s="360">
        <v>0</v>
      </c>
      <c r="AN66" s="360">
        <v>0</v>
      </c>
      <c r="AO66" s="360">
        <v>0</v>
      </c>
      <c r="AP66" s="360">
        <v>0</v>
      </c>
      <c r="AQ66" s="360">
        <v>0</v>
      </c>
      <c r="AR66" s="360">
        <v>0</v>
      </c>
      <c r="AS66" s="360">
        <v>128.04</v>
      </c>
      <c r="AT66" s="360">
        <v>6</v>
      </c>
      <c r="AU66" s="360">
        <v>128.04</v>
      </c>
      <c r="AV66" s="360">
        <v>6</v>
      </c>
      <c r="AW66" s="360">
        <v>0</v>
      </c>
      <c r="AX66" s="360">
        <v>0</v>
      </c>
      <c r="AY66" s="360">
        <v>0</v>
      </c>
      <c r="AZ66" s="360">
        <v>0</v>
      </c>
      <c r="BA66" s="360">
        <v>0</v>
      </c>
      <c r="BB66" s="360">
        <v>0</v>
      </c>
      <c r="BC66" s="360">
        <v>128.04</v>
      </c>
      <c r="BD66" s="360">
        <v>6</v>
      </c>
      <c r="BE66" s="360">
        <v>0</v>
      </c>
      <c r="BF66" s="360">
        <v>0</v>
      </c>
      <c r="BG66" s="360">
        <v>0</v>
      </c>
      <c r="BH66" s="360">
        <v>0</v>
      </c>
      <c r="BI66" s="360">
        <v>0</v>
      </c>
      <c r="BJ66" s="360">
        <v>0</v>
      </c>
      <c r="BK66" s="360">
        <v>0</v>
      </c>
      <c r="BL66" s="360">
        <v>0</v>
      </c>
      <c r="BM66" s="360">
        <v>0</v>
      </c>
      <c r="BN66" s="360">
        <v>0</v>
      </c>
      <c r="BO66" s="360">
        <v>0</v>
      </c>
      <c r="BP66" s="360">
        <v>0</v>
      </c>
      <c r="BQ66" s="360">
        <v>0</v>
      </c>
      <c r="BR66" s="360">
        <v>0</v>
      </c>
      <c r="BS66" s="360">
        <v>0</v>
      </c>
      <c r="BT66" s="360">
        <v>0</v>
      </c>
      <c r="BU66" s="360">
        <v>0</v>
      </c>
      <c r="BV66" s="360">
        <v>0</v>
      </c>
      <c r="BW66" s="360">
        <v>0</v>
      </c>
      <c r="BX66" s="360">
        <v>0</v>
      </c>
      <c r="BY66" s="360">
        <v>0</v>
      </c>
      <c r="BZ66" s="360">
        <v>0</v>
      </c>
      <c r="CA66" s="360">
        <v>0</v>
      </c>
      <c r="CB66" s="360">
        <v>0</v>
      </c>
      <c r="CC66" s="360">
        <v>0</v>
      </c>
      <c r="CD66" s="360" t="s">
        <v>211</v>
      </c>
    </row>
    <row r="67" spans="1:82" x14ac:dyDescent="0.35">
      <c r="A67" s="360" t="s">
        <v>212</v>
      </c>
      <c r="B67" s="360" t="s">
        <v>213</v>
      </c>
      <c r="C67" s="360" t="s">
        <v>72</v>
      </c>
      <c r="D67" s="360" t="s">
        <v>77</v>
      </c>
      <c r="E67" s="360">
        <v>4153</v>
      </c>
      <c r="F67" s="360">
        <v>2792</v>
      </c>
      <c r="G67" s="360">
        <v>14</v>
      </c>
      <c r="H67" s="360">
        <v>1347</v>
      </c>
      <c r="I67" s="360">
        <v>88.06</v>
      </c>
      <c r="J67" s="360">
        <v>2728</v>
      </c>
      <c r="K67" s="360">
        <v>88.2</v>
      </c>
      <c r="L67" s="360">
        <v>2714</v>
      </c>
      <c r="M67" s="360">
        <v>61.802857142857142</v>
      </c>
      <c r="N67" s="360">
        <v>14</v>
      </c>
      <c r="O67" s="360">
        <v>77.319999999999993</v>
      </c>
      <c r="P67" s="360">
        <v>25</v>
      </c>
      <c r="Q67" s="360">
        <v>73.239999999999995</v>
      </c>
      <c r="R67" s="360">
        <v>308</v>
      </c>
      <c r="S67" s="360">
        <v>83.47</v>
      </c>
      <c r="T67" s="360">
        <v>878</v>
      </c>
      <c r="U67" s="360">
        <v>93.89</v>
      </c>
      <c r="V67" s="360">
        <v>1436</v>
      </c>
      <c r="W67" s="360">
        <v>100.01</v>
      </c>
      <c r="X67" s="360">
        <v>61</v>
      </c>
      <c r="Y67" s="360">
        <v>102.68</v>
      </c>
      <c r="Z67" s="360">
        <v>5</v>
      </c>
      <c r="AA67" s="360">
        <v>162.22999999999999</v>
      </c>
      <c r="AB67" s="360">
        <v>1</v>
      </c>
      <c r="AC67" s="360">
        <v>82.4</v>
      </c>
      <c r="AD67" s="360">
        <v>1347</v>
      </c>
      <c r="AE67" s="360">
        <v>82.4</v>
      </c>
      <c r="AF67" s="360">
        <v>1347</v>
      </c>
      <c r="AG67" s="360">
        <v>0</v>
      </c>
      <c r="AH67" s="360">
        <v>0</v>
      </c>
      <c r="AI67" s="360">
        <v>77.91</v>
      </c>
      <c r="AJ67" s="360">
        <v>17</v>
      </c>
      <c r="AK67" s="360">
        <v>78.87</v>
      </c>
      <c r="AL67" s="360">
        <v>842</v>
      </c>
      <c r="AM67" s="360">
        <v>88.46</v>
      </c>
      <c r="AN67" s="360">
        <v>480</v>
      </c>
      <c r="AO67" s="360">
        <v>99.7</v>
      </c>
      <c r="AP67" s="360">
        <v>8</v>
      </c>
      <c r="AQ67" s="360">
        <v>0</v>
      </c>
      <c r="AR67" s="360">
        <v>0</v>
      </c>
      <c r="AS67" s="360">
        <v>139.63</v>
      </c>
      <c r="AT67" s="360">
        <v>78</v>
      </c>
      <c r="AU67" s="360">
        <v>139.63</v>
      </c>
      <c r="AV67" s="360">
        <v>78</v>
      </c>
      <c r="AW67" s="360">
        <v>0</v>
      </c>
      <c r="AX67" s="360">
        <v>0</v>
      </c>
      <c r="AY67" s="360">
        <v>0</v>
      </c>
      <c r="AZ67" s="360">
        <v>0</v>
      </c>
      <c r="BA67" s="360">
        <v>110.3</v>
      </c>
      <c r="BB67" s="360">
        <v>8</v>
      </c>
      <c r="BC67" s="360">
        <v>136.22999999999999</v>
      </c>
      <c r="BD67" s="360">
        <v>45</v>
      </c>
      <c r="BE67" s="360">
        <v>154.38999999999999</v>
      </c>
      <c r="BF67" s="360">
        <v>23</v>
      </c>
      <c r="BG67" s="360">
        <v>164.03</v>
      </c>
      <c r="BH67" s="360">
        <v>2</v>
      </c>
      <c r="BI67" s="360">
        <v>0</v>
      </c>
      <c r="BJ67" s="360">
        <v>0</v>
      </c>
      <c r="BK67" s="360">
        <v>0</v>
      </c>
      <c r="BL67" s="360">
        <v>0</v>
      </c>
      <c r="BM67" s="360">
        <v>0</v>
      </c>
      <c r="BN67" s="360">
        <v>0</v>
      </c>
      <c r="BO67" s="360">
        <v>0</v>
      </c>
      <c r="BP67" s="360">
        <v>0</v>
      </c>
      <c r="BQ67" s="360">
        <v>0</v>
      </c>
      <c r="BR67" s="360">
        <v>0</v>
      </c>
      <c r="BS67" s="360">
        <v>0</v>
      </c>
      <c r="BT67" s="360">
        <v>0</v>
      </c>
      <c r="BU67" s="360">
        <v>0</v>
      </c>
      <c r="BV67" s="360">
        <v>0</v>
      </c>
      <c r="BW67" s="360">
        <v>0</v>
      </c>
      <c r="BX67" s="360">
        <v>0</v>
      </c>
      <c r="BY67" s="360">
        <v>0</v>
      </c>
      <c r="BZ67" s="360">
        <v>0</v>
      </c>
      <c r="CA67" s="360">
        <v>0</v>
      </c>
      <c r="CB67" s="360">
        <v>0</v>
      </c>
      <c r="CC67" s="360">
        <v>0</v>
      </c>
      <c r="CD67" s="360" t="s">
        <v>214</v>
      </c>
    </row>
    <row r="68" spans="1:82" x14ac:dyDescent="0.35">
      <c r="A68" s="360" t="s">
        <v>215</v>
      </c>
      <c r="B68" s="360" t="s">
        <v>216</v>
      </c>
      <c r="C68" s="360" t="s">
        <v>67</v>
      </c>
      <c r="D68" s="360" t="s">
        <v>77</v>
      </c>
      <c r="E68" s="360">
        <v>0</v>
      </c>
      <c r="F68" s="360">
        <v>0</v>
      </c>
      <c r="G68" s="360">
        <v>0</v>
      </c>
      <c r="H68" s="360">
        <v>0</v>
      </c>
      <c r="I68" s="360">
        <v>0</v>
      </c>
      <c r="J68" s="360">
        <v>0</v>
      </c>
      <c r="K68" s="360">
        <v>0</v>
      </c>
      <c r="L68" s="360">
        <v>0</v>
      </c>
      <c r="M68" s="360">
        <v>0</v>
      </c>
      <c r="N68" s="360">
        <v>0</v>
      </c>
      <c r="O68" s="360">
        <v>0</v>
      </c>
      <c r="P68" s="360">
        <v>0</v>
      </c>
      <c r="Q68" s="360">
        <v>0</v>
      </c>
      <c r="R68" s="360">
        <v>0</v>
      </c>
      <c r="S68" s="360">
        <v>0</v>
      </c>
      <c r="T68" s="360">
        <v>0</v>
      </c>
      <c r="U68" s="360">
        <v>0</v>
      </c>
      <c r="V68" s="360">
        <v>0</v>
      </c>
      <c r="W68" s="360">
        <v>0</v>
      </c>
      <c r="X68" s="360">
        <v>0</v>
      </c>
      <c r="Y68" s="360">
        <v>0</v>
      </c>
      <c r="Z68" s="360">
        <v>0</v>
      </c>
      <c r="AA68" s="360">
        <v>0</v>
      </c>
      <c r="AB68" s="360">
        <v>0</v>
      </c>
      <c r="AC68" s="360">
        <v>0</v>
      </c>
      <c r="AD68" s="360">
        <v>0</v>
      </c>
      <c r="AE68" s="360">
        <v>0</v>
      </c>
      <c r="AF68" s="360">
        <v>0</v>
      </c>
      <c r="AG68" s="360">
        <v>0</v>
      </c>
      <c r="AH68" s="360">
        <v>0</v>
      </c>
      <c r="AI68" s="360">
        <v>0</v>
      </c>
      <c r="AJ68" s="360">
        <v>0</v>
      </c>
      <c r="AK68" s="360">
        <v>0</v>
      </c>
      <c r="AL68" s="360">
        <v>0</v>
      </c>
      <c r="AM68" s="360">
        <v>0</v>
      </c>
      <c r="AN68" s="360">
        <v>0</v>
      </c>
      <c r="AO68" s="360">
        <v>0</v>
      </c>
      <c r="AP68" s="360">
        <v>0</v>
      </c>
      <c r="AQ68" s="360">
        <v>0</v>
      </c>
      <c r="AR68" s="360">
        <v>0</v>
      </c>
      <c r="AS68" s="360">
        <v>0</v>
      </c>
      <c r="AT68" s="360">
        <v>0</v>
      </c>
      <c r="AU68" s="360">
        <v>0</v>
      </c>
      <c r="AV68" s="360">
        <v>0</v>
      </c>
      <c r="AW68" s="360">
        <v>0</v>
      </c>
      <c r="AX68" s="360">
        <v>0</v>
      </c>
      <c r="AY68" s="360">
        <v>0</v>
      </c>
      <c r="AZ68" s="360">
        <v>0</v>
      </c>
      <c r="BA68" s="360">
        <v>0</v>
      </c>
      <c r="BB68" s="360">
        <v>0</v>
      </c>
      <c r="BC68" s="360">
        <v>0</v>
      </c>
      <c r="BD68" s="360">
        <v>0</v>
      </c>
      <c r="BE68" s="360">
        <v>0</v>
      </c>
      <c r="BF68" s="360">
        <v>0</v>
      </c>
      <c r="BG68" s="360">
        <v>0</v>
      </c>
      <c r="BH68" s="360">
        <v>0</v>
      </c>
      <c r="BI68" s="360">
        <v>0</v>
      </c>
      <c r="BJ68" s="360">
        <v>0</v>
      </c>
      <c r="BK68" s="360">
        <v>0</v>
      </c>
      <c r="BL68" s="360">
        <v>0</v>
      </c>
      <c r="BM68" s="360">
        <v>0</v>
      </c>
      <c r="BN68" s="360">
        <v>0</v>
      </c>
      <c r="BO68" s="360">
        <v>0</v>
      </c>
      <c r="BP68" s="360">
        <v>0</v>
      </c>
      <c r="BQ68" s="360">
        <v>0</v>
      </c>
      <c r="BR68" s="360">
        <v>0</v>
      </c>
      <c r="BS68" s="360">
        <v>0</v>
      </c>
      <c r="BT68" s="360">
        <v>0</v>
      </c>
      <c r="BU68" s="360">
        <v>0</v>
      </c>
      <c r="BV68" s="360">
        <v>0</v>
      </c>
      <c r="BW68" s="360">
        <v>0</v>
      </c>
      <c r="BX68" s="360">
        <v>0</v>
      </c>
      <c r="BY68" s="360">
        <v>0</v>
      </c>
      <c r="BZ68" s="360">
        <v>0</v>
      </c>
      <c r="CA68" s="360">
        <v>0</v>
      </c>
      <c r="CB68" s="360">
        <v>0</v>
      </c>
      <c r="CC68" s="360">
        <v>0</v>
      </c>
      <c r="CD68" s="360" t="s">
        <v>217</v>
      </c>
    </row>
    <row r="69" spans="1:82" x14ac:dyDescent="0.35">
      <c r="A69" s="360" t="s">
        <v>218</v>
      </c>
      <c r="B69" s="360" t="s">
        <v>219</v>
      </c>
      <c r="C69" s="360" t="s">
        <v>900</v>
      </c>
      <c r="D69" s="360" t="s">
        <v>77</v>
      </c>
      <c r="E69" s="360">
        <v>11438</v>
      </c>
      <c r="F69" s="360">
        <v>10609</v>
      </c>
      <c r="G69" s="360">
        <v>0</v>
      </c>
      <c r="H69" s="360">
        <v>749</v>
      </c>
      <c r="I69" s="360">
        <v>85.22</v>
      </c>
      <c r="J69" s="360">
        <v>9285</v>
      </c>
      <c r="K69" s="360">
        <v>85.22</v>
      </c>
      <c r="L69" s="360">
        <v>9285</v>
      </c>
      <c r="M69" s="360">
        <v>0</v>
      </c>
      <c r="N69" s="360">
        <v>0</v>
      </c>
      <c r="O69" s="360">
        <v>63.14</v>
      </c>
      <c r="P69" s="360">
        <v>80</v>
      </c>
      <c r="Q69" s="360">
        <v>75.599999999999994</v>
      </c>
      <c r="R69" s="360">
        <v>2490</v>
      </c>
      <c r="S69" s="360">
        <v>85.95</v>
      </c>
      <c r="T69" s="360">
        <v>4025</v>
      </c>
      <c r="U69" s="360">
        <v>93.21</v>
      </c>
      <c r="V69" s="360">
        <v>2545</v>
      </c>
      <c r="W69" s="360">
        <v>101.66</v>
      </c>
      <c r="X69" s="360">
        <v>140</v>
      </c>
      <c r="Y69" s="360">
        <v>114.2</v>
      </c>
      <c r="Z69" s="360">
        <v>4</v>
      </c>
      <c r="AA69" s="360">
        <v>130.72</v>
      </c>
      <c r="AB69" s="360">
        <v>1</v>
      </c>
      <c r="AC69" s="360">
        <v>79.44</v>
      </c>
      <c r="AD69" s="360">
        <v>667</v>
      </c>
      <c r="AE69" s="360">
        <v>79.44</v>
      </c>
      <c r="AF69" s="360">
        <v>667</v>
      </c>
      <c r="AG69" s="360">
        <v>0</v>
      </c>
      <c r="AH69" s="360">
        <v>0</v>
      </c>
      <c r="AI69" s="360">
        <v>64.09</v>
      </c>
      <c r="AJ69" s="360">
        <v>74</v>
      </c>
      <c r="AK69" s="360">
        <v>78.52</v>
      </c>
      <c r="AL69" s="360">
        <v>387</v>
      </c>
      <c r="AM69" s="360">
        <v>86.49</v>
      </c>
      <c r="AN69" s="360">
        <v>201</v>
      </c>
      <c r="AO69" s="360">
        <v>95.58</v>
      </c>
      <c r="AP69" s="360">
        <v>5</v>
      </c>
      <c r="AQ69" s="360">
        <v>0</v>
      </c>
      <c r="AR69" s="360">
        <v>0</v>
      </c>
      <c r="AS69" s="360">
        <v>100.3</v>
      </c>
      <c r="AT69" s="360">
        <v>1324</v>
      </c>
      <c r="AU69" s="360">
        <v>100.3</v>
      </c>
      <c r="AV69" s="360">
        <v>1324</v>
      </c>
      <c r="AW69" s="360">
        <v>0</v>
      </c>
      <c r="AX69" s="360">
        <v>0</v>
      </c>
      <c r="AY69" s="360">
        <v>0</v>
      </c>
      <c r="AZ69" s="360">
        <v>0</v>
      </c>
      <c r="BA69" s="360">
        <v>78.67</v>
      </c>
      <c r="BB69" s="360">
        <v>99</v>
      </c>
      <c r="BC69" s="360">
        <v>97.7</v>
      </c>
      <c r="BD69" s="360">
        <v>795</v>
      </c>
      <c r="BE69" s="360">
        <v>109.8</v>
      </c>
      <c r="BF69" s="360">
        <v>417</v>
      </c>
      <c r="BG69" s="360">
        <v>118.45</v>
      </c>
      <c r="BH69" s="360">
        <v>12</v>
      </c>
      <c r="BI69" s="360">
        <v>134.33000000000001</v>
      </c>
      <c r="BJ69" s="360">
        <v>1</v>
      </c>
      <c r="BK69" s="360">
        <v>0</v>
      </c>
      <c r="BL69" s="360">
        <v>0</v>
      </c>
      <c r="BM69" s="360">
        <v>109.78</v>
      </c>
      <c r="BN69" s="360">
        <v>82</v>
      </c>
      <c r="BO69" s="360">
        <v>109.78</v>
      </c>
      <c r="BP69" s="360">
        <v>82</v>
      </c>
      <c r="BQ69" s="360">
        <v>0</v>
      </c>
      <c r="BR69" s="360">
        <v>0</v>
      </c>
      <c r="BS69" s="360">
        <v>0</v>
      </c>
      <c r="BT69" s="360">
        <v>0</v>
      </c>
      <c r="BU69" s="360">
        <v>86.8</v>
      </c>
      <c r="BV69" s="360">
        <v>21</v>
      </c>
      <c r="BW69" s="360">
        <v>118.05</v>
      </c>
      <c r="BX69" s="360">
        <v>60</v>
      </c>
      <c r="BY69" s="360">
        <v>96.19</v>
      </c>
      <c r="BZ69" s="360">
        <v>1</v>
      </c>
      <c r="CA69" s="360">
        <v>0</v>
      </c>
      <c r="CB69" s="360">
        <v>0</v>
      </c>
      <c r="CC69" s="360">
        <v>80</v>
      </c>
      <c r="CD69" s="360" t="s">
        <v>220</v>
      </c>
    </row>
    <row r="70" spans="1:82" x14ac:dyDescent="0.35">
      <c r="A70" s="360" t="s">
        <v>221</v>
      </c>
      <c r="B70" s="360" t="s">
        <v>222</v>
      </c>
      <c r="C70" s="360" t="s">
        <v>67</v>
      </c>
      <c r="D70" s="360" t="s">
        <v>77</v>
      </c>
      <c r="E70" s="360">
        <v>4407</v>
      </c>
      <c r="F70" s="360">
        <v>4027</v>
      </c>
      <c r="G70" s="360">
        <v>6</v>
      </c>
      <c r="H70" s="360">
        <v>357</v>
      </c>
      <c r="I70" s="360">
        <v>84.98</v>
      </c>
      <c r="J70" s="360">
        <v>2978</v>
      </c>
      <c r="K70" s="360">
        <v>85.01</v>
      </c>
      <c r="L70" s="360">
        <v>2972</v>
      </c>
      <c r="M70" s="362">
        <v>68.19</v>
      </c>
      <c r="N70" s="360">
        <v>6</v>
      </c>
      <c r="O70" s="360">
        <v>67.13</v>
      </c>
      <c r="P70" s="360">
        <v>17</v>
      </c>
      <c r="Q70" s="360">
        <v>74.41</v>
      </c>
      <c r="R70" s="360">
        <v>718</v>
      </c>
      <c r="S70" s="360">
        <v>84.54</v>
      </c>
      <c r="T70" s="360">
        <v>895</v>
      </c>
      <c r="U70" s="360">
        <v>90.5</v>
      </c>
      <c r="V70" s="360">
        <v>1233</v>
      </c>
      <c r="W70" s="360">
        <v>99.1</v>
      </c>
      <c r="X70" s="360">
        <v>105</v>
      </c>
      <c r="Y70" s="360">
        <v>0</v>
      </c>
      <c r="Z70" s="360">
        <v>0</v>
      </c>
      <c r="AA70" s="360">
        <v>112.15</v>
      </c>
      <c r="AB70" s="360">
        <v>4</v>
      </c>
      <c r="AC70" s="360">
        <v>74.42</v>
      </c>
      <c r="AD70" s="360">
        <v>201</v>
      </c>
      <c r="AE70" s="360">
        <v>74.42</v>
      </c>
      <c r="AF70" s="360">
        <v>201</v>
      </c>
      <c r="AG70" s="360">
        <v>0</v>
      </c>
      <c r="AH70" s="360">
        <v>0</v>
      </c>
      <c r="AI70" s="360">
        <v>61.66</v>
      </c>
      <c r="AJ70" s="360">
        <v>4</v>
      </c>
      <c r="AK70" s="360">
        <v>71.959999999999994</v>
      </c>
      <c r="AL70" s="360">
        <v>166</v>
      </c>
      <c r="AM70" s="360">
        <v>88.97</v>
      </c>
      <c r="AN70" s="360">
        <v>22</v>
      </c>
      <c r="AO70" s="360">
        <v>88.52</v>
      </c>
      <c r="AP70" s="360">
        <v>8</v>
      </c>
      <c r="AQ70" s="360">
        <v>101.36</v>
      </c>
      <c r="AR70" s="360">
        <v>1</v>
      </c>
      <c r="AS70" s="360">
        <v>95.55</v>
      </c>
      <c r="AT70" s="360">
        <v>1055</v>
      </c>
      <c r="AU70" s="360">
        <v>95.55</v>
      </c>
      <c r="AV70" s="360">
        <v>1055</v>
      </c>
      <c r="AW70" s="360">
        <v>0</v>
      </c>
      <c r="AX70" s="360">
        <v>0</v>
      </c>
      <c r="AY70" s="360">
        <v>84.15</v>
      </c>
      <c r="AZ70" s="360">
        <v>5</v>
      </c>
      <c r="BA70" s="360">
        <v>83.46</v>
      </c>
      <c r="BB70" s="360">
        <v>423</v>
      </c>
      <c r="BC70" s="360">
        <v>98.21</v>
      </c>
      <c r="BD70" s="360">
        <v>332</v>
      </c>
      <c r="BE70" s="360">
        <v>108.08</v>
      </c>
      <c r="BF70" s="360">
        <v>275</v>
      </c>
      <c r="BG70" s="360">
        <v>137.81</v>
      </c>
      <c r="BH70" s="360">
        <v>19</v>
      </c>
      <c r="BI70" s="360">
        <v>0</v>
      </c>
      <c r="BJ70" s="360">
        <v>0</v>
      </c>
      <c r="BK70" s="360">
        <v>137.07</v>
      </c>
      <c r="BL70" s="360">
        <v>1</v>
      </c>
      <c r="BM70" s="360">
        <v>83.79</v>
      </c>
      <c r="BN70" s="360">
        <v>156</v>
      </c>
      <c r="BO70" s="360">
        <v>83.79</v>
      </c>
      <c r="BP70" s="360">
        <v>156</v>
      </c>
      <c r="BQ70" s="360">
        <v>0</v>
      </c>
      <c r="BR70" s="360">
        <v>0</v>
      </c>
      <c r="BS70" s="360">
        <v>85.37</v>
      </c>
      <c r="BT70" s="360">
        <v>1</v>
      </c>
      <c r="BU70" s="360">
        <v>82.95</v>
      </c>
      <c r="BV70" s="360">
        <v>146</v>
      </c>
      <c r="BW70" s="360">
        <v>94.78</v>
      </c>
      <c r="BX70" s="360">
        <v>8</v>
      </c>
      <c r="BY70" s="360">
        <v>117.7</v>
      </c>
      <c r="BZ70" s="360">
        <v>1</v>
      </c>
      <c r="CA70" s="360">
        <v>0</v>
      </c>
      <c r="CB70" s="360">
        <v>0</v>
      </c>
      <c r="CC70" s="360">
        <v>17</v>
      </c>
      <c r="CD70" s="360" t="s">
        <v>223</v>
      </c>
    </row>
    <row r="71" spans="1:82" x14ac:dyDescent="0.35">
      <c r="A71" s="360" t="s">
        <v>224</v>
      </c>
      <c r="B71" s="360" t="s">
        <v>225</v>
      </c>
      <c r="C71" s="360" t="s">
        <v>71</v>
      </c>
      <c r="D71" s="360" t="s">
        <v>77</v>
      </c>
      <c r="E71" s="360">
        <v>3386</v>
      </c>
      <c r="F71" s="360">
        <v>3059</v>
      </c>
      <c r="G71" s="360">
        <v>0</v>
      </c>
      <c r="H71" s="360">
        <v>298</v>
      </c>
      <c r="I71" s="360">
        <v>84.31</v>
      </c>
      <c r="J71" s="360">
        <v>2981</v>
      </c>
      <c r="K71" s="360">
        <v>84.31</v>
      </c>
      <c r="L71" s="360">
        <v>2981</v>
      </c>
      <c r="M71" s="360">
        <v>0</v>
      </c>
      <c r="N71" s="360">
        <v>0</v>
      </c>
      <c r="O71" s="360">
        <v>65.87</v>
      </c>
      <c r="P71" s="360">
        <v>62</v>
      </c>
      <c r="Q71" s="360">
        <v>75.069999999999993</v>
      </c>
      <c r="R71" s="360">
        <v>848</v>
      </c>
      <c r="S71" s="360">
        <v>84.94</v>
      </c>
      <c r="T71" s="360">
        <v>940</v>
      </c>
      <c r="U71" s="360">
        <v>91.14</v>
      </c>
      <c r="V71" s="360">
        <v>1080</v>
      </c>
      <c r="W71" s="360">
        <v>102.1</v>
      </c>
      <c r="X71" s="360">
        <v>47</v>
      </c>
      <c r="Y71" s="360">
        <v>119.04</v>
      </c>
      <c r="Z71" s="360">
        <v>2</v>
      </c>
      <c r="AA71" s="360">
        <v>140.74</v>
      </c>
      <c r="AB71" s="360">
        <v>2</v>
      </c>
      <c r="AC71" s="360">
        <v>73.040000000000006</v>
      </c>
      <c r="AD71" s="360">
        <v>292</v>
      </c>
      <c r="AE71" s="360">
        <v>73.040000000000006</v>
      </c>
      <c r="AF71" s="360">
        <v>292</v>
      </c>
      <c r="AG71" s="360">
        <v>0</v>
      </c>
      <c r="AH71" s="360">
        <v>0</v>
      </c>
      <c r="AI71" s="360">
        <v>63.84</v>
      </c>
      <c r="AJ71" s="360">
        <v>66</v>
      </c>
      <c r="AK71" s="360">
        <v>73.680000000000007</v>
      </c>
      <c r="AL71" s="360">
        <v>165</v>
      </c>
      <c r="AM71" s="360">
        <v>81.209999999999994</v>
      </c>
      <c r="AN71" s="360">
        <v>60</v>
      </c>
      <c r="AO71" s="360">
        <v>87.05</v>
      </c>
      <c r="AP71" s="360">
        <v>1</v>
      </c>
      <c r="AQ71" s="360">
        <v>0</v>
      </c>
      <c r="AR71" s="360">
        <v>0</v>
      </c>
      <c r="AS71" s="360">
        <v>131.78</v>
      </c>
      <c r="AT71" s="360">
        <v>78</v>
      </c>
      <c r="AU71" s="360">
        <v>131.78</v>
      </c>
      <c r="AV71" s="360">
        <v>78</v>
      </c>
      <c r="AW71" s="360">
        <v>0</v>
      </c>
      <c r="AX71" s="360">
        <v>0</v>
      </c>
      <c r="AY71" s="360">
        <v>0</v>
      </c>
      <c r="AZ71" s="360">
        <v>0</v>
      </c>
      <c r="BA71" s="360">
        <v>112.97</v>
      </c>
      <c r="BB71" s="360">
        <v>36</v>
      </c>
      <c r="BC71" s="360">
        <v>146.47999999999999</v>
      </c>
      <c r="BD71" s="360">
        <v>41</v>
      </c>
      <c r="BE71" s="360">
        <v>207</v>
      </c>
      <c r="BF71" s="360">
        <v>1</v>
      </c>
      <c r="BG71" s="360">
        <v>0</v>
      </c>
      <c r="BH71" s="360">
        <v>0</v>
      </c>
      <c r="BI71" s="360">
        <v>0</v>
      </c>
      <c r="BJ71" s="360">
        <v>0</v>
      </c>
      <c r="BK71" s="360">
        <v>0</v>
      </c>
      <c r="BL71" s="360">
        <v>0</v>
      </c>
      <c r="BM71" s="360">
        <v>110.92</v>
      </c>
      <c r="BN71" s="360">
        <v>6</v>
      </c>
      <c r="BO71" s="360">
        <v>110.92</v>
      </c>
      <c r="BP71" s="360">
        <v>6</v>
      </c>
      <c r="BQ71" s="360">
        <v>0</v>
      </c>
      <c r="BR71" s="360">
        <v>0</v>
      </c>
      <c r="BS71" s="360">
        <v>0</v>
      </c>
      <c r="BT71" s="360">
        <v>0</v>
      </c>
      <c r="BU71" s="360">
        <v>110.92</v>
      </c>
      <c r="BV71" s="360">
        <v>6</v>
      </c>
      <c r="BW71" s="360">
        <v>0</v>
      </c>
      <c r="BX71" s="360">
        <v>0</v>
      </c>
      <c r="BY71" s="360">
        <v>0</v>
      </c>
      <c r="BZ71" s="360">
        <v>0</v>
      </c>
      <c r="CA71" s="360">
        <v>0</v>
      </c>
      <c r="CB71" s="360">
        <v>0</v>
      </c>
      <c r="CC71" s="360">
        <v>29</v>
      </c>
      <c r="CD71" s="360" t="s">
        <v>226</v>
      </c>
    </row>
    <row r="72" spans="1:82" x14ac:dyDescent="0.35">
      <c r="A72" s="360" t="s">
        <v>861</v>
      </c>
      <c r="B72" s="360" t="s">
        <v>862</v>
      </c>
      <c r="C72" s="360" t="s">
        <v>71</v>
      </c>
      <c r="D72" s="360" t="s">
        <v>77</v>
      </c>
      <c r="E72" s="360">
        <v>0</v>
      </c>
      <c r="F72" s="360">
        <v>0</v>
      </c>
      <c r="G72" s="360">
        <v>0</v>
      </c>
      <c r="H72" s="360">
        <v>0</v>
      </c>
      <c r="I72" s="360">
        <v>0</v>
      </c>
      <c r="J72" s="360">
        <v>0</v>
      </c>
      <c r="K72" s="360">
        <v>0</v>
      </c>
      <c r="L72" s="360">
        <v>0</v>
      </c>
      <c r="M72" s="360">
        <v>0</v>
      </c>
      <c r="N72" s="360">
        <v>0</v>
      </c>
      <c r="O72" s="360">
        <v>0</v>
      </c>
      <c r="P72" s="360">
        <v>0</v>
      </c>
      <c r="Q72" s="360">
        <v>0</v>
      </c>
      <c r="R72" s="360">
        <v>0</v>
      </c>
      <c r="S72" s="360">
        <v>0</v>
      </c>
      <c r="T72" s="360">
        <v>0</v>
      </c>
      <c r="U72" s="360">
        <v>0</v>
      </c>
      <c r="V72" s="360">
        <v>0</v>
      </c>
      <c r="W72" s="360">
        <v>0</v>
      </c>
      <c r="X72" s="360">
        <v>0</v>
      </c>
      <c r="Y72" s="360">
        <v>0</v>
      </c>
      <c r="Z72" s="360">
        <v>0</v>
      </c>
      <c r="AA72" s="360">
        <v>0</v>
      </c>
      <c r="AB72" s="360">
        <v>0</v>
      </c>
      <c r="AC72" s="360">
        <v>0</v>
      </c>
      <c r="AD72" s="360">
        <v>0</v>
      </c>
      <c r="AE72" s="360">
        <v>0</v>
      </c>
      <c r="AF72" s="360">
        <v>0</v>
      </c>
      <c r="AG72" s="360">
        <v>0</v>
      </c>
      <c r="AH72" s="360">
        <v>0</v>
      </c>
      <c r="AI72" s="360">
        <v>0</v>
      </c>
      <c r="AJ72" s="360">
        <v>0</v>
      </c>
      <c r="AK72" s="360">
        <v>0</v>
      </c>
      <c r="AL72" s="360">
        <v>0</v>
      </c>
      <c r="AM72" s="360">
        <v>0</v>
      </c>
      <c r="AN72" s="360">
        <v>0</v>
      </c>
      <c r="AO72" s="360">
        <v>0</v>
      </c>
      <c r="AP72" s="360">
        <v>0</v>
      </c>
      <c r="AQ72" s="360">
        <v>0</v>
      </c>
      <c r="AR72" s="360">
        <v>0</v>
      </c>
      <c r="AS72" s="360">
        <v>0</v>
      </c>
      <c r="AT72" s="360">
        <v>0</v>
      </c>
      <c r="AU72" s="360">
        <v>0</v>
      </c>
      <c r="AV72" s="360">
        <v>0</v>
      </c>
      <c r="AW72" s="360">
        <v>0</v>
      </c>
      <c r="AX72" s="360">
        <v>0</v>
      </c>
      <c r="AY72" s="360">
        <v>0</v>
      </c>
      <c r="AZ72" s="360">
        <v>0</v>
      </c>
      <c r="BA72" s="360">
        <v>0</v>
      </c>
      <c r="BB72" s="360">
        <v>0</v>
      </c>
      <c r="BC72" s="360">
        <v>0</v>
      </c>
      <c r="BD72" s="360">
        <v>0</v>
      </c>
      <c r="BE72" s="360">
        <v>0</v>
      </c>
      <c r="BF72" s="360">
        <v>0</v>
      </c>
      <c r="BG72" s="360">
        <v>0</v>
      </c>
      <c r="BH72" s="360">
        <v>0</v>
      </c>
      <c r="BI72" s="360">
        <v>0</v>
      </c>
      <c r="BJ72" s="360">
        <v>0</v>
      </c>
      <c r="BK72" s="360">
        <v>0</v>
      </c>
      <c r="BL72" s="360">
        <v>0</v>
      </c>
      <c r="BM72" s="360">
        <v>0</v>
      </c>
      <c r="BN72" s="360">
        <v>0</v>
      </c>
      <c r="BO72" s="360">
        <v>0</v>
      </c>
      <c r="BP72" s="360">
        <v>0</v>
      </c>
      <c r="BQ72" s="360">
        <v>0</v>
      </c>
      <c r="BR72" s="360">
        <v>0</v>
      </c>
      <c r="BS72" s="360">
        <v>0</v>
      </c>
      <c r="BT72" s="360">
        <v>0</v>
      </c>
      <c r="BU72" s="360">
        <v>0</v>
      </c>
      <c r="BV72" s="360">
        <v>0</v>
      </c>
      <c r="BW72" s="360">
        <v>0</v>
      </c>
      <c r="BX72" s="360">
        <v>0</v>
      </c>
      <c r="BY72" s="360">
        <v>0</v>
      </c>
      <c r="BZ72" s="360">
        <v>0</v>
      </c>
      <c r="CA72" s="360">
        <v>0</v>
      </c>
      <c r="CB72" s="360">
        <v>0</v>
      </c>
      <c r="CC72" s="360">
        <v>0</v>
      </c>
      <c r="CD72" s="360" t="s">
        <v>863</v>
      </c>
    </row>
    <row r="73" spans="1:82" x14ac:dyDescent="0.35">
      <c r="A73" s="360" t="s">
        <v>903</v>
      </c>
      <c r="B73" s="360" t="s">
        <v>904</v>
      </c>
      <c r="C73" s="360" t="s">
        <v>70</v>
      </c>
      <c r="D73" s="360" t="s">
        <v>77</v>
      </c>
      <c r="E73" s="360">
        <v>60</v>
      </c>
      <c r="F73" s="360">
        <v>60</v>
      </c>
      <c r="G73" s="360">
        <v>0</v>
      </c>
      <c r="H73" s="360">
        <v>0</v>
      </c>
      <c r="I73" s="360">
        <v>0</v>
      </c>
      <c r="J73" s="360">
        <v>0</v>
      </c>
      <c r="K73" s="360">
        <v>0</v>
      </c>
      <c r="L73" s="360">
        <v>0</v>
      </c>
      <c r="M73" s="360">
        <v>0</v>
      </c>
      <c r="N73" s="360">
        <v>0</v>
      </c>
      <c r="O73" s="360">
        <v>0</v>
      </c>
      <c r="P73" s="360">
        <v>0</v>
      </c>
      <c r="Q73" s="360">
        <v>0</v>
      </c>
      <c r="R73" s="360">
        <v>0</v>
      </c>
      <c r="S73" s="360">
        <v>0</v>
      </c>
      <c r="T73" s="360">
        <v>0</v>
      </c>
      <c r="U73" s="360">
        <v>0</v>
      </c>
      <c r="V73" s="360">
        <v>0</v>
      </c>
      <c r="W73" s="360">
        <v>0</v>
      </c>
      <c r="X73" s="360">
        <v>0</v>
      </c>
      <c r="Y73" s="360">
        <v>0</v>
      </c>
      <c r="Z73" s="360">
        <v>0</v>
      </c>
      <c r="AA73" s="360">
        <v>0</v>
      </c>
      <c r="AB73" s="360">
        <v>0</v>
      </c>
      <c r="AC73" s="360">
        <v>0</v>
      </c>
      <c r="AD73" s="360">
        <v>0</v>
      </c>
      <c r="AE73" s="360">
        <v>0</v>
      </c>
      <c r="AF73" s="360">
        <v>0</v>
      </c>
      <c r="AG73" s="360">
        <v>0</v>
      </c>
      <c r="AH73" s="360">
        <v>0</v>
      </c>
      <c r="AI73" s="360">
        <v>0</v>
      </c>
      <c r="AJ73" s="360">
        <v>0</v>
      </c>
      <c r="AK73" s="360">
        <v>0</v>
      </c>
      <c r="AL73" s="360">
        <v>0</v>
      </c>
      <c r="AM73" s="360">
        <v>0</v>
      </c>
      <c r="AN73" s="360">
        <v>0</v>
      </c>
      <c r="AO73" s="360">
        <v>0</v>
      </c>
      <c r="AP73" s="360">
        <v>0</v>
      </c>
      <c r="AQ73" s="360">
        <v>0</v>
      </c>
      <c r="AR73" s="360">
        <v>0</v>
      </c>
      <c r="AS73" s="360">
        <v>112.39</v>
      </c>
      <c r="AT73" s="360">
        <v>60</v>
      </c>
      <c r="AU73" s="360">
        <v>112.39</v>
      </c>
      <c r="AV73" s="360">
        <v>60</v>
      </c>
      <c r="AW73" s="360">
        <v>0</v>
      </c>
      <c r="AX73" s="360">
        <v>0</v>
      </c>
      <c r="AY73" s="360">
        <v>0</v>
      </c>
      <c r="AZ73" s="360">
        <v>0</v>
      </c>
      <c r="BA73" s="360">
        <v>0</v>
      </c>
      <c r="BB73" s="360">
        <v>0</v>
      </c>
      <c r="BC73" s="360">
        <v>105.74</v>
      </c>
      <c r="BD73" s="360">
        <v>43</v>
      </c>
      <c r="BE73" s="360">
        <v>129.22999999999999</v>
      </c>
      <c r="BF73" s="360">
        <v>17</v>
      </c>
      <c r="BG73" s="360">
        <v>0</v>
      </c>
      <c r="BH73" s="360">
        <v>0</v>
      </c>
      <c r="BI73" s="360">
        <v>0</v>
      </c>
      <c r="BJ73" s="360">
        <v>0</v>
      </c>
      <c r="BK73" s="360">
        <v>0</v>
      </c>
      <c r="BL73" s="360">
        <v>0</v>
      </c>
      <c r="BM73" s="360">
        <v>0</v>
      </c>
      <c r="BN73" s="360">
        <v>0</v>
      </c>
      <c r="BO73" s="360">
        <v>0</v>
      </c>
      <c r="BP73" s="360">
        <v>0</v>
      </c>
      <c r="BQ73" s="360">
        <v>0</v>
      </c>
      <c r="BR73" s="360">
        <v>0</v>
      </c>
      <c r="BS73" s="360">
        <v>0</v>
      </c>
      <c r="BT73" s="360">
        <v>0</v>
      </c>
      <c r="BU73" s="360">
        <v>0</v>
      </c>
      <c r="BV73" s="360">
        <v>0</v>
      </c>
      <c r="BW73" s="360">
        <v>0</v>
      </c>
      <c r="BX73" s="360">
        <v>0</v>
      </c>
      <c r="BY73" s="360">
        <v>0</v>
      </c>
      <c r="BZ73" s="360">
        <v>0</v>
      </c>
      <c r="CA73" s="360">
        <v>0</v>
      </c>
      <c r="CB73" s="360">
        <v>0</v>
      </c>
      <c r="CC73" s="360">
        <v>0</v>
      </c>
      <c r="CD73" s="360" t="s">
        <v>905</v>
      </c>
    </row>
    <row r="74" spans="1:82" x14ac:dyDescent="0.35">
      <c r="A74" s="360" t="s">
        <v>227</v>
      </c>
      <c r="B74" s="360" t="s">
        <v>228</v>
      </c>
      <c r="C74" s="360" t="s">
        <v>67</v>
      </c>
      <c r="D74" s="360" t="s">
        <v>77</v>
      </c>
      <c r="E74" s="360">
        <v>6392</v>
      </c>
      <c r="F74" s="360">
        <v>5856</v>
      </c>
      <c r="G74" s="360">
        <v>0</v>
      </c>
      <c r="H74" s="360">
        <v>536</v>
      </c>
      <c r="I74" s="360">
        <v>104.33</v>
      </c>
      <c r="J74" s="360">
        <v>5660</v>
      </c>
      <c r="K74" s="360">
        <v>104.33</v>
      </c>
      <c r="L74" s="360">
        <v>5660</v>
      </c>
      <c r="M74" s="360">
        <v>0</v>
      </c>
      <c r="N74" s="360">
        <v>0</v>
      </c>
      <c r="O74" s="360">
        <v>80.680000000000007</v>
      </c>
      <c r="P74" s="360">
        <v>224</v>
      </c>
      <c r="Q74" s="360">
        <v>90.78</v>
      </c>
      <c r="R74" s="360">
        <v>1790</v>
      </c>
      <c r="S74" s="360">
        <v>104.26</v>
      </c>
      <c r="T74" s="360">
        <v>1711</v>
      </c>
      <c r="U74" s="360">
        <v>118.69</v>
      </c>
      <c r="V74" s="360">
        <v>1791</v>
      </c>
      <c r="W74" s="360">
        <v>132.02000000000001</v>
      </c>
      <c r="X74" s="360">
        <v>142</v>
      </c>
      <c r="Y74" s="360">
        <v>142.97999999999999</v>
      </c>
      <c r="Z74" s="360">
        <v>2</v>
      </c>
      <c r="AA74" s="360">
        <v>0</v>
      </c>
      <c r="AB74" s="360">
        <v>0</v>
      </c>
      <c r="AC74" s="360">
        <v>90.23</v>
      </c>
      <c r="AD74" s="360">
        <v>536</v>
      </c>
      <c r="AE74" s="360">
        <v>90.23</v>
      </c>
      <c r="AF74" s="360">
        <v>536</v>
      </c>
      <c r="AG74" s="360">
        <v>0</v>
      </c>
      <c r="AH74" s="360">
        <v>0</v>
      </c>
      <c r="AI74" s="360">
        <v>82.6</v>
      </c>
      <c r="AJ74" s="360">
        <v>89</v>
      </c>
      <c r="AK74" s="360">
        <v>90.95</v>
      </c>
      <c r="AL74" s="360">
        <v>429</v>
      </c>
      <c r="AM74" s="360">
        <v>108.64</v>
      </c>
      <c r="AN74" s="360">
        <v>16</v>
      </c>
      <c r="AO74" s="360">
        <v>128.12</v>
      </c>
      <c r="AP74" s="360">
        <v>2</v>
      </c>
      <c r="AQ74" s="360">
        <v>0</v>
      </c>
      <c r="AR74" s="360">
        <v>0</v>
      </c>
      <c r="AS74" s="360">
        <v>224.31</v>
      </c>
      <c r="AT74" s="360">
        <v>196</v>
      </c>
      <c r="AU74" s="360">
        <v>224.31</v>
      </c>
      <c r="AV74" s="360">
        <v>196</v>
      </c>
      <c r="AW74" s="360">
        <v>0</v>
      </c>
      <c r="AX74" s="360">
        <v>0</v>
      </c>
      <c r="AY74" s="360">
        <v>0</v>
      </c>
      <c r="AZ74" s="360">
        <v>0</v>
      </c>
      <c r="BA74" s="360">
        <v>168.02</v>
      </c>
      <c r="BB74" s="360">
        <v>32</v>
      </c>
      <c r="BC74" s="360">
        <v>213.38</v>
      </c>
      <c r="BD74" s="360">
        <v>81</v>
      </c>
      <c r="BE74" s="360">
        <v>255.98</v>
      </c>
      <c r="BF74" s="360">
        <v>82</v>
      </c>
      <c r="BG74" s="360">
        <v>315.69</v>
      </c>
      <c r="BH74" s="360">
        <v>1</v>
      </c>
      <c r="BI74" s="360">
        <v>0</v>
      </c>
      <c r="BJ74" s="360">
        <v>0</v>
      </c>
      <c r="BK74" s="360">
        <v>0</v>
      </c>
      <c r="BL74" s="360">
        <v>0</v>
      </c>
      <c r="BM74" s="360">
        <v>0</v>
      </c>
      <c r="BN74" s="360">
        <v>0</v>
      </c>
      <c r="BO74" s="360">
        <v>0</v>
      </c>
      <c r="BP74" s="360">
        <v>0</v>
      </c>
      <c r="BQ74" s="360">
        <v>0</v>
      </c>
      <c r="BR74" s="360">
        <v>0</v>
      </c>
      <c r="BS74" s="360">
        <v>0</v>
      </c>
      <c r="BT74" s="360">
        <v>0</v>
      </c>
      <c r="BU74" s="360">
        <v>0</v>
      </c>
      <c r="BV74" s="360">
        <v>0</v>
      </c>
      <c r="BW74" s="360">
        <v>0</v>
      </c>
      <c r="BX74" s="360">
        <v>0</v>
      </c>
      <c r="BY74" s="360">
        <v>0</v>
      </c>
      <c r="BZ74" s="360">
        <v>0</v>
      </c>
      <c r="CA74" s="360">
        <v>0</v>
      </c>
      <c r="CB74" s="360">
        <v>0</v>
      </c>
      <c r="CC74" s="360">
        <v>0</v>
      </c>
      <c r="CD74" s="360" t="s">
        <v>229</v>
      </c>
    </row>
    <row r="75" spans="1:82" x14ac:dyDescent="0.35">
      <c r="A75" s="360" t="s">
        <v>230</v>
      </c>
      <c r="B75" s="360" t="s">
        <v>231</v>
      </c>
      <c r="C75" s="360" t="s">
        <v>72</v>
      </c>
      <c r="D75" s="360" t="s">
        <v>77</v>
      </c>
      <c r="E75" s="360">
        <v>4805</v>
      </c>
      <c r="F75" s="360">
        <v>4161</v>
      </c>
      <c r="G75" s="360">
        <v>0</v>
      </c>
      <c r="H75" s="360">
        <v>630</v>
      </c>
      <c r="I75" s="360">
        <v>80.66</v>
      </c>
      <c r="J75" s="360">
        <v>4098</v>
      </c>
      <c r="K75" s="360">
        <v>80.66</v>
      </c>
      <c r="L75" s="360">
        <v>4098</v>
      </c>
      <c r="M75" s="360">
        <v>0</v>
      </c>
      <c r="N75" s="360">
        <v>0</v>
      </c>
      <c r="O75" s="360">
        <v>63.7</v>
      </c>
      <c r="P75" s="360">
        <v>118</v>
      </c>
      <c r="Q75" s="360">
        <v>72</v>
      </c>
      <c r="R75" s="360">
        <v>1023</v>
      </c>
      <c r="S75" s="360">
        <v>80.180000000000007</v>
      </c>
      <c r="T75" s="360">
        <v>1453</v>
      </c>
      <c r="U75" s="360">
        <v>87.85</v>
      </c>
      <c r="V75" s="360">
        <v>1413</v>
      </c>
      <c r="W75" s="360">
        <v>95.7</v>
      </c>
      <c r="X75" s="360">
        <v>84</v>
      </c>
      <c r="Y75" s="360">
        <v>101.19</v>
      </c>
      <c r="Z75" s="360">
        <v>7</v>
      </c>
      <c r="AA75" s="360">
        <v>0</v>
      </c>
      <c r="AB75" s="360">
        <v>0</v>
      </c>
      <c r="AC75" s="360">
        <v>74</v>
      </c>
      <c r="AD75" s="360">
        <v>551</v>
      </c>
      <c r="AE75" s="360">
        <v>74</v>
      </c>
      <c r="AF75" s="360">
        <v>551</v>
      </c>
      <c r="AG75" s="360">
        <v>0</v>
      </c>
      <c r="AH75" s="360">
        <v>0</v>
      </c>
      <c r="AI75" s="360">
        <v>64.400000000000006</v>
      </c>
      <c r="AJ75" s="360">
        <v>25</v>
      </c>
      <c r="AK75" s="360">
        <v>72.22</v>
      </c>
      <c r="AL75" s="360">
        <v>368</v>
      </c>
      <c r="AM75" s="360">
        <v>79.69</v>
      </c>
      <c r="AN75" s="360">
        <v>158</v>
      </c>
      <c r="AO75" s="360">
        <v>0</v>
      </c>
      <c r="AP75" s="360">
        <v>0</v>
      </c>
      <c r="AQ75" s="360">
        <v>0</v>
      </c>
      <c r="AR75" s="360">
        <v>0</v>
      </c>
      <c r="AS75" s="360">
        <v>128.30000000000001</v>
      </c>
      <c r="AT75" s="360">
        <v>63</v>
      </c>
      <c r="AU75" s="360">
        <v>128.30000000000001</v>
      </c>
      <c r="AV75" s="360">
        <v>63</v>
      </c>
      <c r="AW75" s="360">
        <v>0</v>
      </c>
      <c r="AX75" s="360">
        <v>0</v>
      </c>
      <c r="AY75" s="360">
        <v>0</v>
      </c>
      <c r="AZ75" s="360">
        <v>0</v>
      </c>
      <c r="BA75" s="360">
        <v>82.01</v>
      </c>
      <c r="BB75" s="360">
        <v>8</v>
      </c>
      <c r="BC75" s="360">
        <v>91.58</v>
      </c>
      <c r="BD75" s="360">
        <v>13</v>
      </c>
      <c r="BE75" s="360">
        <v>148.49</v>
      </c>
      <c r="BF75" s="360">
        <v>42</v>
      </c>
      <c r="BG75" s="360">
        <v>0</v>
      </c>
      <c r="BH75" s="360">
        <v>0</v>
      </c>
      <c r="BI75" s="360">
        <v>0</v>
      </c>
      <c r="BJ75" s="360">
        <v>0</v>
      </c>
      <c r="BK75" s="360">
        <v>0</v>
      </c>
      <c r="BL75" s="360">
        <v>0</v>
      </c>
      <c r="BM75" s="360">
        <v>178.43</v>
      </c>
      <c r="BN75" s="360">
        <v>79</v>
      </c>
      <c r="BO75" s="360">
        <v>178.43</v>
      </c>
      <c r="BP75" s="360">
        <v>79</v>
      </c>
      <c r="BQ75" s="360">
        <v>0</v>
      </c>
      <c r="BR75" s="360">
        <v>0</v>
      </c>
      <c r="BS75" s="360">
        <v>0</v>
      </c>
      <c r="BT75" s="360">
        <v>0</v>
      </c>
      <c r="BU75" s="360">
        <v>173.69</v>
      </c>
      <c r="BV75" s="360">
        <v>66</v>
      </c>
      <c r="BW75" s="360">
        <v>202.54</v>
      </c>
      <c r="BX75" s="360">
        <v>13</v>
      </c>
      <c r="BY75" s="360">
        <v>0</v>
      </c>
      <c r="BZ75" s="360">
        <v>0</v>
      </c>
      <c r="CA75" s="360">
        <v>0</v>
      </c>
      <c r="CB75" s="360">
        <v>0</v>
      </c>
      <c r="CC75" s="360">
        <v>14</v>
      </c>
      <c r="CD75" s="360" t="s">
        <v>232</v>
      </c>
    </row>
    <row r="76" spans="1:82" x14ac:dyDescent="0.35">
      <c r="A76" s="360" t="s">
        <v>233</v>
      </c>
      <c r="B76" s="360" t="s">
        <v>234</v>
      </c>
      <c r="C76" s="360" t="s">
        <v>71</v>
      </c>
      <c r="D76" s="360" t="s">
        <v>77</v>
      </c>
      <c r="E76" s="360">
        <v>2422</v>
      </c>
      <c r="F76" s="360">
        <v>1707</v>
      </c>
      <c r="G76" s="360">
        <v>0</v>
      </c>
      <c r="H76" s="360">
        <v>658</v>
      </c>
      <c r="I76" s="360">
        <v>99.59</v>
      </c>
      <c r="J76" s="360">
        <v>1624</v>
      </c>
      <c r="K76" s="360">
        <v>99.59</v>
      </c>
      <c r="L76" s="360">
        <v>1624</v>
      </c>
      <c r="M76" s="360">
        <v>0</v>
      </c>
      <c r="N76" s="360">
        <v>0</v>
      </c>
      <c r="O76" s="360">
        <v>70.22</v>
      </c>
      <c r="P76" s="360">
        <v>80</v>
      </c>
      <c r="Q76" s="360">
        <v>84.3</v>
      </c>
      <c r="R76" s="360">
        <v>359</v>
      </c>
      <c r="S76" s="360">
        <v>95.07</v>
      </c>
      <c r="T76" s="360">
        <v>524</v>
      </c>
      <c r="U76" s="360">
        <v>114.51</v>
      </c>
      <c r="V76" s="360">
        <v>627</v>
      </c>
      <c r="W76" s="360">
        <v>124.57</v>
      </c>
      <c r="X76" s="360">
        <v>33</v>
      </c>
      <c r="Y76" s="360">
        <v>134.66999999999999</v>
      </c>
      <c r="Z76" s="360">
        <v>1</v>
      </c>
      <c r="AA76" s="360">
        <v>0</v>
      </c>
      <c r="AB76" s="360">
        <v>0</v>
      </c>
      <c r="AC76" s="360">
        <v>85.38</v>
      </c>
      <c r="AD76" s="360">
        <v>582</v>
      </c>
      <c r="AE76" s="360">
        <v>85.38</v>
      </c>
      <c r="AF76" s="360">
        <v>582</v>
      </c>
      <c r="AG76" s="360">
        <v>0</v>
      </c>
      <c r="AH76" s="360">
        <v>0</v>
      </c>
      <c r="AI76" s="360">
        <v>72.3</v>
      </c>
      <c r="AJ76" s="360">
        <v>29</v>
      </c>
      <c r="AK76" s="360">
        <v>85.97</v>
      </c>
      <c r="AL76" s="360">
        <v>549</v>
      </c>
      <c r="AM76" s="360">
        <v>100.53</v>
      </c>
      <c r="AN76" s="360">
        <v>4</v>
      </c>
      <c r="AO76" s="360">
        <v>0</v>
      </c>
      <c r="AP76" s="360">
        <v>0</v>
      </c>
      <c r="AQ76" s="360">
        <v>0</v>
      </c>
      <c r="AR76" s="360">
        <v>0</v>
      </c>
      <c r="AS76" s="360">
        <v>143.5</v>
      </c>
      <c r="AT76" s="360">
        <v>83</v>
      </c>
      <c r="AU76" s="360">
        <v>143.5</v>
      </c>
      <c r="AV76" s="360">
        <v>83</v>
      </c>
      <c r="AW76" s="360">
        <v>0</v>
      </c>
      <c r="AX76" s="360">
        <v>0</v>
      </c>
      <c r="AY76" s="360">
        <v>128.97999999999999</v>
      </c>
      <c r="AZ76" s="360">
        <v>8</v>
      </c>
      <c r="BA76" s="360">
        <v>118.75</v>
      </c>
      <c r="BB76" s="360">
        <v>28</v>
      </c>
      <c r="BC76" s="360">
        <v>151.22999999999999</v>
      </c>
      <c r="BD76" s="360">
        <v>26</v>
      </c>
      <c r="BE76" s="360">
        <v>157.56</v>
      </c>
      <c r="BF76" s="360">
        <v>18</v>
      </c>
      <c r="BG76" s="360">
        <v>233.43</v>
      </c>
      <c r="BH76" s="360">
        <v>1</v>
      </c>
      <c r="BI76" s="360">
        <v>276.16000000000003</v>
      </c>
      <c r="BJ76" s="360">
        <v>2</v>
      </c>
      <c r="BK76" s="360">
        <v>0</v>
      </c>
      <c r="BL76" s="360">
        <v>0</v>
      </c>
      <c r="BM76" s="360">
        <v>123.8</v>
      </c>
      <c r="BN76" s="360">
        <v>76</v>
      </c>
      <c r="BO76" s="360">
        <v>123.8</v>
      </c>
      <c r="BP76" s="360">
        <v>76</v>
      </c>
      <c r="BQ76" s="360">
        <v>0</v>
      </c>
      <c r="BR76" s="360">
        <v>0</v>
      </c>
      <c r="BS76" s="360">
        <v>0</v>
      </c>
      <c r="BT76" s="360">
        <v>0</v>
      </c>
      <c r="BU76" s="360">
        <v>112.98</v>
      </c>
      <c r="BV76" s="360">
        <v>48</v>
      </c>
      <c r="BW76" s="360">
        <v>142.37</v>
      </c>
      <c r="BX76" s="360">
        <v>28</v>
      </c>
      <c r="BY76" s="360">
        <v>0</v>
      </c>
      <c r="BZ76" s="360">
        <v>0</v>
      </c>
      <c r="CA76" s="360">
        <v>0</v>
      </c>
      <c r="CB76" s="360">
        <v>0</v>
      </c>
      <c r="CC76" s="360">
        <v>57</v>
      </c>
      <c r="CD76" s="360" t="s">
        <v>235</v>
      </c>
    </row>
    <row r="77" spans="1:82" x14ac:dyDescent="0.35">
      <c r="A77" s="360" t="s">
        <v>236</v>
      </c>
      <c r="B77" s="360" t="s">
        <v>237</v>
      </c>
      <c r="C77" s="360" t="s">
        <v>71</v>
      </c>
      <c r="D77" s="360" t="s">
        <v>77</v>
      </c>
      <c r="E77" s="360">
        <v>3404</v>
      </c>
      <c r="F77" s="360">
        <v>2777</v>
      </c>
      <c r="G77" s="360">
        <v>0</v>
      </c>
      <c r="H77" s="360">
        <v>613</v>
      </c>
      <c r="I77" s="360">
        <v>91.74</v>
      </c>
      <c r="J77" s="360">
        <v>2639</v>
      </c>
      <c r="K77" s="360">
        <v>91.74</v>
      </c>
      <c r="L77" s="360">
        <v>2639</v>
      </c>
      <c r="M77" s="360">
        <v>0</v>
      </c>
      <c r="N77" s="360">
        <v>0</v>
      </c>
      <c r="O77" s="360">
        <v>63.81</v>
      </c>
      <c r="P77" s="360">
        <v>12</v>
      </c>
      <c r="Q77" s="360">
        <v>79.33</v>
      </c>
      <c r="R77" s="360">
        <v>556</v>
      </c>
      <c r="S77" s="360">
        <v>90.08</v>
      </c>
      <c r="T77" s="360">
        <v>1078</v>
      </c>
      <c r="U77" s="360">
        <v>100.22</v>
      </c>
      <c r="V77" s="360">
        <v>927</v>
      </c>
      <c r="W77" s="360">
        <v>109.5</v>
      </c>
      <c r="X77" s="360">
        <v>64</v>
      </c>
      <c r="Y77" s="360">
        <v>116.03</v>
      </c>
      <c r="Z77" s="360">
        <v>2</v>
      </c>
      <c r="AA77" s="360">
        <v>0</v>
      </c>
      <c r="AB77" s="360">
        <v>0</v>
      </c>
      <c r="AC77" s="360">
        <v>78.959999999999994</v>
      </c>
      <c r="AD77" s="360">
        <v>613</v>
      </c>
      <c r="AE77" s="360">
        <v>78.959999999999994</v>
      </c>
      <c r="AF77" s="360">
        <v>613</v>
      </c>
      <c r="AG77" s="360">
        <v>0</v>
      </c>
      <c r="AH77" s="360">
        <v>0</v>
      </c>
      <c r="AI77" s="360">
        <v>67.430000000000007</v>
      </c>
      <c r="AJ77" s="360">
        <v>134</v>
      </c>
      <c r="AK77" s="360">
        <v>81.25</v>
      </c>
      <c r="AL77" s="360">
        <v>427</v>
      </c>
      <c r="AM77" s="360">
        <v>89.93</v>
      </c>
      <c r="AN77" s="360">
        <v>52</v>
      </c>
      <c r="AO77" s="360">
        <v>0</v>
      </c>
      <c r="AP77" s="360">
        <v>0</v>
      </c>
      <c r="AQ77" s="360">
        <v>0</v>
      </c>
      <c r="AR77" s="360">
        <v>0</v>
      </c>
      <c r="AS77" s="360">
        <v>125.78</v>
      </c>
      <c r="AT77" s="360">
        <v>138</v>
      </c>
      <c r="AU77" s="360">
        <v>125.78</v>
      </c>
      <c r="AV77" s="360">
        <v>138</v>
      </c>
      <c r="AW77" s="360">
        <v>0</v>
      </c>
      <c r="AX77" s="360">
        <v>0</v>
      </c>
      <c r="AY77" s="360">
        <v>0</v>
      </c>
      <c r="AZ77" s="360">
        <v>0</v>
      </c>
      <c r="BA77" s="360">
        <v>92.44</v>
      </c>
      <c r="BB77" s="360">
        <v>36</v>
      </c>
      <c r="BC77" s="360">
        <v>124.49</v>
      </c>
      <c r="BD77" s="360">
        <v>70</v>
      </c>
      <c r="BE77" s="360">
        <v>161.63</v>
      </c>
      <c r="BF77" s="360">
        <v>30</v>
      </c>
      <c r="BG77" s="360">
        <v>233.58</v>
      </c>
      <c r="BH77" s="360">
        <v>2</v>
      </c>
      <c r="BI77" s="360">
        <v>0</v>
      </c>
      <c r="BJ77" s="360">
        <v>0</v>
      </c>
      <c r="BK77" s="360">
        <v>0</v>
      </c>
      <c r="BL77" s="360">
        <v>0</v>
      </c>
      <c r="BM77" s="360">
        <v>0</v>
      </c>
      <c r="BN77" s="360">
        <v>0</v>
      </c>
      <c r="BO77" s="360">
        <v>0</v>
      </c>
      <c r="BP77" s="360">
        <v>0</v>
      </c>
      <c r="BQ77" s="360">
        <v>0</v>
      </c>
      <c r="BR77" s="360">
        <v>0</v>
      </c>
      <c r="BS77" s="360">
        <v>0</v>
      </c>
      <c r="BT77" s="360">
        <v>0</v>
      </c>
      <c r="BU77" s="360">
        <v>0</v>
      </c>
      <c r="BV77" s="360">
        <v>0</v>
      </c>
      <c r="BW77" s="360">
        <v>0</v>
      </c>
      <c r="BX77" s="360">
        <v>0</v>
      </c>
      <c r="BY77" s="360">
        <v>0</v>
      </c>
      <c r="BZ77" s="360">
        <v>0</v>
      </c>
      <c r="CA77" s="360">
        <v>0</v>
      </c>
      <c r="CB77" s="360">
        <v>0</v>
      </c>
      <c r="CC77" s="360">
        <v>14</v>
      </c>
      <c r="CD77" s="360" t="s">
        <v>238</v>
      </c>
    </row>
    <row r="78" spans="1:82" x14ac:dyDescent="0.35">
      <c r="A78" s="360" t="s">
        <v>239</v>
      </c>
      <c r="B78" s="360" t="s">
        <v>240</v>
      </c>
      <c r="C78" s="360" t="s">
        <v>69</v>
      </c>
      <c r="D78" s="360" t="s">
        <v>77</v>
      </c>
      <c r="E78" s="360">
        <v>18688</v>
      </c>
      <c r="F78" s="360">
        <v>17145</v>
      </c>
      <c r="G78" s="360">
        <v>0</v>
      </c>
      <c r="H78" s="360">
        <v>1543</v>
      </c>
      <c r="I78" s="360">
        <v>80.95</v>
      </c>
      <c r="J78" s="360">
        <v>17113</v>
      </c>
      <c r="K78" s="360">
        <v>80.95</v>
      </c>
      <c r="L78" s="360">
        <v>17113</v>
      </c>
      <c r="M78" s="360">
        <v>0</v>
      </c>
      <c r="N78" s="360">
        <v>0</v>
      </c>
      <c r="O78" s="360">
        <v>60.73</v>
      </c>
      <c r="P78" s="360">
        <v>158</v>
      </c>
      <c r="Q78" s="360">
        <v>71.38</v>
      </c>
      <c r="R78" s="360">
        <v>2919</v>
      </c>
      <c r="S78" s="360">
        <v>80.09</v>
      </c>
      <c r="T78" s="360">
        <v>7984</v>
      </c>
      <c r="U78" s="360">
        <v>86.95</v>
      </c>
      <c r="V78" s="360">
        <v>5726</v>
      </c>
      <c r="W78" s="360">
        <v>92.07</v>
      </c>
      <c r="X78" s="360">
        <v>320</v>
      </c>
      <c r="Y78" s="360">
        <v>97.78</v>
      </c>
      <c r="Z78" s="360">
        <v>3</v>
      </c>
      <c r="AA78" s="360">
        <v>116.41</v>
      </c>
      <c r="AB78" s="360">
        <v>3</v>
      </c>
      <c r="AC78" s="360">
        <v>78.099999999999994</v>
      </c>
      <c r="AD78" s="360">
        <v>1527</v>
      </c>
      <c r="AE78" s="360">
        <v>78.099999999999994</v>
      </c>
      <c r="AF78" s="360">
        <v>1527</v>
      </c>
      <c r="AG78" s="360">
        <v>0</v>
      </c>
      <c r="AH78" s="360">
        <v>0</v>
      </c>
      <c r="AI78" s="360">
        <v>70.81</v>
      </c>
      <c r="AJ78" s="360">
        <v>20</v>
      </c>
      <c r="AK78" s="360">
        <v>76.23</v>
      </c>
      <c r="AL78" s="360">
        <v>1058</v>
      </c>
      <c r="AM78" s="360">
        <v>82.61</v>
      </c>
      <c r="AN78" s="360">
        <v>432</v>
      </c>
      <c r="AO78" s="360">
        <v>88.7</v>
      </c>
      <c r="AP78" s="360">
        <v>17</v>
      </c>
      <c r="AQ78" s="360">
        <v>0</v>
      </c>
      <c r="AR78" s="360">
        <v>0</v>
      </c>
      <c r="AS78" s="360">
        <v>116.21</v>
      </c>
      <c r="AT78" s="360">
        <v>32</v>
      </c>
      <c r="AU78" s="360">
        <v>116.21</v>
      </c>
      <c r="AV78" s="360">
        <v>32</v>
      </c>
      <c r="AW78" s="360">
        <v>0</v>
      </c>
      <c r="AX78" s="360">
        <v>0</v>
      </c>
      <c r="AY78" s="360">
        <v>0</v>
      </c>
      <c r="AZ78" s="360">
        <v>0</v>
      </c>
      <c r="BA78" s="360">
        <v>69.069999999999993</v>
      </c>
      <c r="BB78" s="360">
        <v>1</v>
      </c>
      <c r="BC78" s="360">
        <v>99.89</v>
      </c>
      <c r="BD78" s="360">
        <v>11</v>
      </c>
      <c r="BE78" s="360">
        <v>128.58000000000001</v>
      </c>
      <c r="BF78" s="360">
        <v>15</v>
      </c>
      <c r="BG78" s="360">
        <v>114.76</v>
      </c>
      <c r="BH78" s="360">
        <v>4</v>
      </c>
      <c r="BI78" s="360">
        <v>163.36000000000001</v>
      </c>
      <c r="BJ78" s="360">
        <v>1</v>
      </c>
      <c r="BK78" s="360">
        <v>0</v>
      </c>
      <c r="BL78" s="360">
        <v>0</v>
      </c>
      <c r="BM78" s="360">
        <v>225.01</v>
      </c>
      <c r="BN78" s="360">
        <v>16</v>
      </c>
      <c r="BO78" s="360">
        <v>225.01</v>
      </c>
      <c r="BP78" s="360">
        <v>16</v>
      </c>
      <c r="BQ78" s="360">
        <v>0</v>
      </c>
      <c r="BR78" s="360">
        <v>0</v>
      </c>
      <c r="BS78" s="360">
        <v>0</v>
      </c>
      <c r="BT78" s="360">
        <v>0</v>
      </c>
      <c r="BU78" s="360">
        <v>242.21</v>
      </c>
      <c r="BV78" s="360">
        <v>13</v>
      </c>
      <c r="BW78" s="360">
        <v>150.51</v>
      </c>
      <c r="BX78" s="360">
        <v>3</v>
      </c>
      <c r="BY78" s="360">
        <v>0</v>
      </c>
      <c r="BZ78" s="360">
        <v>0</v>
      </c>
      <c r="CA78" s="360">
        <v>0</v>
      </c>
      <c r="CB78" s="360">
        <v>0</v>
      </c>
      <c r="CC78" s="360">
        <v>0</v>
      </c>
      <c r="CD78" s="360" t="s">
        <v>241</v>
      </c>
    </row>
    <row r="79" spans="1:82" x14ac:dyDescent="0.35">
      <c r="A79" s="363" t="s">
        <v>793</v>
      </c>
      <c r="B79" s="363" t="s">
        <v>794</v>
      </c>
      <c r="C79" s="363" t="s">
        <v>66</v>
      </c>
      <c r="D79" s="363" t="s">
        <v>77</v>
      </c>
      <c r="E79" s="363">
        <v>0</v>
      </c>
      <c r="F79" s="360">
        <v>0</v>
      </c>
      <c r="G79" s="360">
        <v>0</v>
      </c>
      <c r="H79" s="360">
        <v>0</v>
      </c>
      <c r="I79" s="363">
        <v>0</v>
      </c>
      <c r="J79" s="363">
        <v>0</v>
      </c>
      <c r="K79" s="363">
        <v>0</v>
      </c>
      <c r="L79" s="363">
        <v>0</v>
      </c>
      <c r="M79" s="363">
        <v>0</v>
      </c>
      <c r="N79" s="363">
        <v>0</v>
      </c>
      <c r="O79" s="363">
        <v>0</v>
      </c>
      <c r="P79" s="363">
        <v>0</v>
      </c>
      <c r="Q79" s="363">
        <v>0</v>
      </c>
      <c r="R79" s="363">
        <v>0</v>
      </c>
      <c r="S79" s="363">
        <v>0</v>
      </c>
      <c r="T79" s="363">
        <v>0</v>
      </c>
      <c r="U79" s="363">
        <v>0</v>
      </c>
      <c r="V79" s="363">
        <v>0</v>
      </c>
      <c r="W79" s="363">
        <v>0</v>
      </c>
      <c r="X79" s="363">
        <v>0</v>
      </c>
      <c r="Y79" s="363">
        <v>0</v>
      </c>
      <c r="Z79" s="363">
        <v>0</v>
      </c>
      <c r="AA79" s="363">
        <v>0</v>
      </c>
      <c r="AB79" s="363">
        <v>0</v>
      </c>
      <c r="AC79" s="363">
        <v>0</v>
      </c>
      <c r="AD79" s="363">
        <v>0</v>
      </c>
      <c r="AE79" s="363">
        <v>0</v>
      </c>
      <c r="AF79" s="363">
        <v>0</v>
      </c>
      <c r="AG79" s="363">
        <v>0</v>
      </c>
      <c r="AH79" s="363">
        <v>0</v>
      </c>
      <c r="AI79" s="363">
        <v>0</v>
      </c>
      <c r="AJ79" s="363">
        <v>0</v>
      </c>
      <c r="AK79" s="363">
        <v>0</v>
      </c>
      <c r="AL79" s="363">
        <v>0</v>
      </c>
      <c r="AM79" s="363">
        <v>0</v>
      </c>
      <c r="AN79" s="363">
        <v>0</v>
      </c>
      <c r="AO79" s="363">
        <v>0</v>
      </c>
      <c r="AP79" s="363">
        <v>0</v>
      </c>
      <c r="AQ79" s="363">
        <v>0</v>
      </c>
      <c r="AR79" s="363">
        <v>0</v>
      </c>
      <c r="AS79" s="363">
        <v>0</v>
      </c>
      <c r="AT79" s="363">
        <v>0</v>
      </c>
      <c r="AU79" s="363">
        <v>0</v>
      </c>
      <c r="AV79" s="363">
        <v>0</v>
      </c>
      <c r="AW79" s="363">
        <v>0</v>
      </c>
      <c r="AX79" s="363">
        <v>0</v>
      </c>
      <c r="AY79" s="363">
        <v>0</v>
      </c>
      <c r="AZ79" s="363">
        <v>0</v>
      </c>
      <c r="BA79" s="363">
        <v>0</v>
      </c>
      <c r="BB79" s="363">
        <v>0</v>
      </c>
      <c r="BC79" s="363">
        <v>0</v>
      </c>
      <c r="BD79" s="363">
        <v>0</v>
      </c>
      <c r="BE79" s="363">
        <v>0</v>
      </c>
      <c r="BF79" s="363">
        <v>0</v>
      </c>
      <c r="BG79" s="363">
        <v>0</v>
      </c>
      <c r="BH79" s="363">
        <v>0</v>
      </c>
      <c r="BI79" s="363">
        <v>0</v>
      </c>
      <c r="BJ79" s="363">
        <v>0</v>
      </c>
      <c r="BK79" s="363">
        <v>0</v>
      </c>
      <c r="BL79" s="363">
        <v>0</v>
      </c>
      <c r="BM79" s="363">
        <v>0</v>
      </c>
      <c r="BN79" s="363">
        <v>0</v>
      </c>
      <c r="BO79" s="363">
        <v>0</v>
      </c>
      <c r="BP79" s="363">
        <v>0</v>
      </c>
      <c r="BQ79" s="363">
        <v>0</v>
      </c>
      <c r="BR79" s="363">
        <v>0</v>
      </c>
      <c r="BS79" s="363">
        <v>0</v>
      </c>
      <c r="BT79" s="363">
        <v>0</v>
      </c>
      <c r="BU79" s="363">
        <v>0</v>
      </c>
      <c r="BV79" s="363">
        <v>0</v>
      </c>
      <c r="BW79" s="363">
        <v>0</v>
      </c>
      <c r="BX79" s="363">
        <v>0</v>
      </c>
      <c r="BY79" s="363">
        <v>0</v>
      </c>
      <c r="BZ79" s="363">
        <v>0</v>
      </c>
      <c r="CA79" s="363">
        <v>0</v>
      </c>
      <c r="CB79" s="363">
        <v>0</v>
      </c>
      <c r="CC79" s="363">
        <v>0</v>
      </c>
      <c r="CD79" s="363" t="s">
        <v>795</v>
      </c>
    </row>
    <row r="80" spans="1:82" x14ac:dyDescent="0.35">
      <c r="A80" s="360" t="s">
        <v>242</v>
      </c>
      <c r="B80" s="360" t="s">
        <v>243</v>
      </c>
      <c r="C80" s="360" t="s">
        <v>72</v>
      </c>
      <c r="D80" s="360" t="s">
        <v>77</v>
      </c>
      <c r="E80" s="360">
        <v>47</v>
      </c>
      <c r="F80" s="360">
        <v>0</v>
      </c>
      <c r="G80" s="360">
        <v>0</v>
      </c>
      <c r="H80" s="360">
        <v>47</v>
      </c>
      <c r="I80" s="360">
        <v>0</v>
      </c>
      <c r="J80" s="360">
        <v>0</v>
      </c>
      <c r="K80" s="360">
        <v>0</v>
      </c>
      <c r="L80" s="360">
        <v>0</v>
      </c>
      <c r="M80" s="360">
        <v>0</v>
      </c>
      <c r="N80" s="360">
        <v>0</v>
      </c>
      <c r="O80" s="360">
        <v>0</v>
      </c>
      <c r="P80" s="360">
        <v>0</v>
      </c>
      <c r="Q80" s="360">
        <v>0</v>
      </c>
      <c r="R80" s="360">
        <v>0</v>
      </c>
      <c r="S80" s="360">
        <v>0</v>
      </c>
      <c r="T80" s="360">
        <v>0</v>
      </c>
      <c r="U80" s="360">
        <v>0</v>
      </c>
      <c r="V80" s="360">
        <v>0</v>
      </c>
      <c r="W80" s="360">
        <v>0</v>
      </c>
      <c r="X80" s="360">
        <v>0</v>
      </c>
      <c r="Y80" s="360">
        <v>0</v>
      </c>
      <c r="Z80" s="360">
        <v>0</v>
      </c>
      <c r="AA80" s="360">
        <v>0</v>
      </c>
      <c r="AB80" s="360">
        <v>0</v>
      </c>
      <c r="AC80" s="360">
        <v>281.77</v>
      </c>
      <c r="AD80" s="360">
        <v>47</v>
      </c>
      <c r="AE80" s="360">
        <v>0</v>
      </c>
      <c r="AF80" s="360">
        <v>0</v>
      </c>
      <c r="AG80" s="360">
        <v>281.77</v>
      </c>
      <c r="AH80" s="360">
        <v>47</v>
      </c>
      <c r="AI80" s="360">
        <v>0</v>
      </c>
      <c r="AJ80" s="360">
        <v>0</v>
      </c>
      <c r="AK80" s="360">
        <v>0</v>
      </c>
      <c r="AL80" s="360">
        <v>0</v>
      </c>
      <c r="AM80" s="360">
        <v>0</v>
      </c>
      <c r="AN80" s="360">
        <v>0</v>
      </c>
      <c r="AO80" s="360">
        <v>0</v>
      </c>
      <c r="AP80" s="360">
        <v>0</v>
      </c>
      <c r="AQ80" s="360">
        <v>0</v>
      </c>
      <c r="AR80" s="360">
        <v>0</v>
      </c>
      <c r="AS80" s="360">
        <v>0</v>
      </c>
      <c r="AT80" s="360">
        <v>0</v>
      </c>
      <c r="AU80" s="360">
        <v>0</v>
      </c>
      <c r="AV80" s="360">
        <v>0</v>
      </c>
      <c r="AW80" s="360">
        <v>0</v>
      </c>
      <c r="AX80" s="360">
        <v>0</v>
      </c>
      <c r="AY80" s="360">
        <v>0</v>
      </c>
      <c r="AZ80" s="360">
        <v>0</v>
      </c>
      <c r="BA80" s="360">
        <v>0</v>
      </c>
      <c r="BB80" s="360">
        <v>0</v>
      </c>
      <c r="BC80" s="360">
        <v>0</v>
      </c>
      <c r="BD80" s="360">
        <v>0</v>
      </c>
      <c r="BE80" s="360">
        <v>0</v>
      </c>
      <c r="BF80" s="360">
        <v>0</v>
      </c>
      <c r="BG80" s="360">
        <v>0</v>
      </c>
      <c r="BH80" s="360">
        <v>0</v>
      </c>
      <c r="BI80" s="360">
        <v>0</v>
      </c>
      <c r="BJ80" s="360">
        <v>0</v>
      </c>
      <c r="BK80" s="360">
        <v>0</v>
      </c>
      <c r="BL80" s="360">
        <v>0</v>
      </c>
      <c r="BM80" s="360">
        <v>0</v>
      </c>
      <c r="BN80" s="360">
        <v>0</v>
      </c>
      <c r="BO80" s="360">
        <v>0</v>
      </c>
      <c r="BP80" s="360">
        <v>0</v>
      </c>
      <c r="BQ80" s="360">
        <v>0</v>
      </c>
      <c r="BR80" s="360">
        <v>0</v>
      </c>
      <c r="BS80" s="360">
        <v>0</v>
      </c>
      <c r="BT80" s="360">
        <v>0</v>
      </c>
      <c r="BU80" s="360">
        <v>0</v>
      </c>
      <c r="BV80" s="360">
        <v>0</v>
      </c>
      <c r="BW80" s="360">
        <v>0</v>
      </c>
      <c r="BX80" s="360">
        <v>0</v>
      </c>
      <c r="BY80" s="360">
        <v>0</v>
      </c>
      <c r="BZ80" s="360">
        <v>0</v>
      </c>
      <c r="CA80" s="360">
        <v>0</v>
      </c>
      <c r="CB80" s="360">
        <v>0</v>
      </c>
      <c r="CC80" s="360">
        <v>0</v>
      </c>
      <c r="CD80" s="360" t="s">
        <v>244</v>
      </c>
    </row>
    <row r="81" spans="1:82" x14ac:dyDescent="0.35">
      <c r="A81" s="360" t="s">
        <v>245</v>
      </c>
      <c r="B81" s="360" t="s">
        <v>246</v>
      </c>
      <c r="C81" s="360" t="s">
        <v>71</v>
      </c>
      <c r="D81" s="360" t="s">
        <v>77</v>
      </c>
      <c r="E81" s="360">
        <v>3065</v>
      </c>
      <c r="F81" s="360">
        <v>3065</v>
      </c>
      <c r="G81" s="360">
        <v>0</v>
      </c>
      <c r="H81" s="360">
        <v>0</v>
      </c>
      <c r="I81" s="360">
        <v>81.94</v>
      </c>
      <c r="J81" s="360">
        <v>3027</v>
      </c>
      <c r="K81" s="360">
        <v>81.94</v>
      </c>
      <c r="L81" s="360">
        <v>3027</v>
      </c>
      <c r="M81" s="360">
        <v>0</v>
      </c>
      <c r="N81" s="360">
        <v>0</v>
      </c>
      <c r="O81" s="360">
        <v>112.29</v>
      </c>
      <c r="P81" s="360">
        <v>52</v>
      </c>
      <c r="Q81" s="360">
        <v>73.77</v>
      </c>
      <c r="R81" s="360">
        <v>1480</v>
      </c>
      <c r="S81" s="360">
        <v>83.65</v>
      </c>
      <c r="T81" s="360">
        <v>509</v>
      </c>
      <c r="U81" s="360">
        <v>91.12</v>
      </c>
      <c r="V81" s="360">
        <v>902</v>
      </c>
      <c r="W81" s="360">
        <v>97.99</v>
      </c>
      <c r="X81" s="360">
        <v>82</v>
      </c>
      <c r="Y81" s="360">
        <v>110.21</v>
      </c>
      <c r="Z81" s="360">
        <v>2</v>
      </c>
      <c r="AA81" s="360">
        <v>0</v>
      </c>
      <c r="AB81" s="360">
        <v>0</v>
      </c>
      <c r="AC81" s="360">
        <v>0</v>
      </c>
      <c r="AD81" s="360">
        <v>0</v>
      </c>
      <c r="AE81" s="360">
        <v>0</v>
      </c>
      <c r="AF81" s="360">
        <v>0</v>
      </c>
      <c r="AG81" s="360">
        <v>0</v>
      </c>
      <c r="AH81" s="360">
        <v>0</v>
      </c>
      <c r="AI81" s="360">
        <v>0</v>
      </c>
      <c r="AJ81" s="360">
        <v>0</v>
      </c>
      <c r="AK81" s="360">
        <v>0</v>
      </c>
      <c r="AL81" s="360">
        <v>0</v>
      </c>
      <c r="AM81" s="360">
        <v>0</v>
      </c>
      <c r="AN81" s="360">
        <v>0</v>
      </c>
      <c r="AO81" s="360">
        <v>0</v>
      </c>
      <c r="AP81" s="360">
        <v>0</v>
      </c>
      <c r="AQ81" s="360">
        <v>0</v>
      </c>
      <c r="AR81" s="360">
        <v>0</v>
      </c>
      <c r="AS81" s="360">
        <v>147.29</v>
      </c>
      <c r="AT81" s="360">
        <v>38</v>
      </c>
      <c r="AU81" s="360">
        <v>147.29</v>
      </c>
      <c r="AV81" s="360">
        <v>38</v>
      </c>
      <c r="AW81" s="360">
        <v>0</v>
      </c>
      <c r="AX81" s="360">
        <v>0</v>
      </c>
      <c r="AY81" s="360">
        <v>0</v>
      </c>
      <c r="AZ81" s="360">
        <v>0</v>
      </c>
      <c r="BA81" s="360">
        <v>0</v>
      </c>
      <c r="BB81" s="360">
        <v>0</v>
      </c>
      <c r="BC81" s="360">
        <v>138.88999999999999</v>
      </c>
      <c r="BD81" s="360">
        <v>24</v>
      </c>
      <c r="BE81" s="360">
        <v>161.29</v>
      </c>
      <c r="BF81" s="360">
        <v>12</v>
      </c>
      <c r="BG81" s="360">
        <v>164.1</v>
      </c>
      <c r="BH81" s="360">
        <v>2</v>
      </c>
      <c r="BI81" s="360">
        <v>0</v>
      </c>
      <c r="BJ81" s="360">
        <v>0</v>
      </c>
      <c r="BK81" s="360">
        <v>0</v>
      </c>
      <c r="BL81" s="360">
        <v>0</v>
      </c>
      <c r="BM81" s="360">
        <v>0</v>
      </c>
      <c r="BN81" s="360">
        <v>0</v>
      </c>
      <c r="BO81" s="360">
        <v>0</v>
      </c>
      <c r="BP81" s="360">
        <v>0</v>
      </c>
      <c r="BQ81" s="360">
        <v>0</v>
      </c>
      <c r="BR81" s="360">
        <v>0</v>
      </c>
      <c r="BS81" s="360">
        <v>0</v>
      </c>
      <c r="BT81" s="360">
        <v>0</v>
      </c>
      <c r="BU81" s="360">
        <v>0</v>
      </c>
      <c r="BV81" s="360">
        <v>0</v>
      </c>
      <c r="BW81" s="360">
        <v>0</v>
      </c>
      <c r="BX81" s="360">
        <v>0</v>
      </c>
      <c r="BY81" s="360">
        <v>0</v>
      </c>
      <c r="BZ81" s="360">
        <v>0</v>
      </c>
      <c r="CA81" s="360">
        <v>0</v>
      </c>
      <c r="CB81" s="360">
        <v>0</v>
      </c>
      <c r="CC81" s="360">
        <v>0</v>
      </c>
      <c r="CD81" s="360" t="s">
        <v>247</v>
      </c>
    </row>
    <row r="82" spans="1:82" x14ac:dyDescent="0.35">
      <c r="A82" s="360" t="s">
        <v>248</v>
      </c>
      <c r="B82" s="360" t="s">
        <v>249</v>
      </c>
      <c r="C82" s="360" t="s">
        <v>71</v>
      </c>
      <c r="D82" s="360" t="s">
        <v>77</v>
      </c>
      <c r="E82" s="360">
        <v>5643</v>
      </c>
      <c r="F82" s="360">
        <v>5032</v>
      </c>
      <c r="G82" s="360">
        <v>0</v>
      </c>
      <c r="H82" s="360">
        <v>611</v>
      </c>
      <c r="I82" s="360">
        <v>96.02</v>
      </c>
      <c r="J82" s="360">
        <v>4857</v>
      </c>
      <c r="K82" s="360">
        <v>96.02</v>
      </c>
      <c r="L82" s="360">
        <v>4857</v>
      </c>
      <c r="M82" s="360">
        <v>0</v>
      </c>
      <c r="N82" s="360">
        <v>0</v>
      </c>
      <c r="O82" s="360">
        <v>68.02</v>
      </c>
      <c r="P82" s="360">
        <v>48</v>
      </c>
      <c r="Q82" s="360">
        <v>79.31</v>
      </c>
      <c r="R82" s="360">
        <v>1217</v>
      </c>
      <c r="S82" s="360">
        <v>95.02</v>
      </c>
      <c r="T82" s="360">
        <v>1114</v>
      </c>
      <c r="U82" s="360">
        <v>104.36</v>
      </c>
      <c r="V82" s="360">
        <v>2261</v>
      </c>
      <c r="W82" s="360">
        <v>113.85</v>
      </c>
      <c r="X82" s="360">
        <v>190</v>
      </c>
      <c r="Y82" s="360">
        <v>117.74</v>
      </c>
      <c r="Z82" s="360">
        <v>27</v>
      </c>
      <c r="AA82" s="360">
        <v>0</v>
      </c>
      <c r="AB82" s="360">
        <v>0</v>
      </c>
      <c r="AC82" s="360">
        <v>82</v>
      </c>
      <c r="AD82" s="360">
        <v>611</v>
      </c>
      <c r="AE82" s="360">
        <v>82</v>
      </c>
      <c r="AF82" s="360">
        <v>611</v>
      </c>
      <c r="AG82" s="360">
        <v>0</v>
      </c>
      <c r="AH82" s="360">
        <v>0</v>
      </c>
      <c r="AI82" s="360">
        <v>75.180000000000007</v>
      </c>
      <c r="AJ82" s="360">
        <v>36</v>
      </c>
      <c r="AK82" s="360">
        <v>81.97</v>
      </c>
      <c r="AL82" s="360">
        <v>556</v>
      </c>
      <c r="AM82" s="360">
        <v>95.82</v>
      </c>
      <c r="AN82" s="360">
        <v>19</v>
      </c>
      <c r="AO82" s="360">
        <v>0</v>
      </c>
      <c r="AP82" s="360">
        <v>0</v>
      </c>
      <c r="AQ82" s="360">
        <v>0</v>
      </c>
      <c r="AR82" s="360">
        <v>0</v>
      </c>
      <c r="AS82" s="360">
        <v>167.23</v>
      </c>
      <c r="AT82" s="360">
        <v>175</v>
      </c>
      <c r="AU82" s="360">
        <v>167.23</v>
      </c>
      <c r="AV82" s="360">
        <v>175</v>
      </c>
      <c r="AW82" s="360">
        <v>0</v>
      </c>
      <c r="AX82" s="360">
        <v>0</v>
      </c>
      <c r="AY82" s="360">
        <v>0</v>
      </c>
      <c r="AZ82" s="360">
        <v>0</v>
      </c>
      <c r="BA82" s="360">
        <v>142.1</v>
      </c>
      <c r="BB82" s="360">
        <v>52</v>
      </c>
      <c r="BC82" s="360">
        <v>168.62</v>
      </c>
      <c r="BD82" s="360">
        <v>84</v>
      </c>
      <c r="BE82" s="360">
        <v>196.87</v>
      </c>
      <c r="BF82" s="360">
        <v>36</v>
      </c>
      <c r="BG82" s="360">
        <v>208.6</v>
      </c>
      <c r="BH82" s="360">
        <v>3</v>
      </c>
      <c r="BI82" s="360">
        <v>0</v>
      </c>
      <c r="BJ82" s="360">
        <v>0</v>
      </c>
      <c r="BK82" s="360">
        <v>0</v>
      </c>
      <c r="BL82" s="360">
        <v>0</v>
      </c>
      <c r="BM82" s="360">
        <v>0</v>
      </c>
      <c r="BN82" s="360">
        <v>0</v>
      </c>
      <c r="BO82" s="360">
        <v>0</v>
      </c>
      <c r="BP82" s="360">
        <v>0</v>
      </c>
      <c r="BQ82" s="360">
        <v>0</v>
      </c>
      <c r="BR82" s="360">
        <v>0</v>
      </c>
      <c r="BS82" s="360">
        <v>0</v>
      </c>
      <c r="BT82" s="360">
        <v>0</v>
      </c>
      <c r="BU82" s="360">
        <v>0</v>
      </c>
      <c r="BV82" s="360">
        <v>0</v>
      </c>
      <c r="BW82" s="360">
        <v>0</v>
      </c>
      <c r="BX82" s="360">
        <v>0</v>
      </c>
      <c r="BY82" s="360">
        <v>0</v>
      </c>
      <c r="BZ82" s="360">
        <v>0</v>
      </c>
      <c r="CA82" s="360">
        <v>0</v>
      </c>
      <c r="CB82" s="360">
        <v>0</v>
      </c>
      <c r="CC82" s="360">
        <v>0</v>
      </c>
      <c r="CD82" s="360" t="s">
        <v>250</v>
      </c>
    </row>
    <row r="83" spans="1:82" x14ac:dyDescent="0.35">
      <c r="A83" s="360" t="s">
        <v>251</v>
      </c>
      <c r="B83" s="360" t="s">
        <v>252</v>
      </c>
      <c r="C83" s="360" t="s">
        <v>67</v>
      </c>
      <c r="D83" s="360" t="s">
        <v>77</v>
      </c>
      <c r="E83" s="360">
        <v>5736</v>
      </c>
      <c r="F83" s="360">
        <v>4777</v>
      </c>
      <c r="G83" s="360">
        <v>0</v>
      </c>
      <c r="H83" s="360">
        <v>959</v>
      </c>
      <c r="I83" s="360">
        <v>78.28</v>
      </c>
      <c r="J83" s="360">
        <v>4700</v>
      </c>
      <c r="K83" s="360">
        <v>78.28</v>
      </c>
      <c r="L83" s="360">
        <v>4700</v>
      </c>
      <c r="M83" s="360">
        <v>0</v>
      </c>
      <c r="N83" s="360">
        <v>0</v>
      </c>
      <c r="O83" s="360">
        <v>61.07</v>
      </c>
      <c r="P83" s="360">
        <v>82</v>
      </c>
      <c r="Q83" s="360">
        <v>68.33</v>
      </c>
      <c r="R83" s="360">
        <v>954</v>
      </c>
      <c r="S83" s="360">
        <v>77.44</v>
      </c>
      <c r="T83" s="360">
        <v>1819</v>
      </c>
      <c r="U83" s="360">
        <v>84.66</v>
      </c>
      <c r="V83" s="360">
        <v>1779</v>
      </c>
      <c r="W83" s="360">
        <v>93.46</v>
      </c>
      <c r="X83" s="360">
        <v>63</v>
      </c>
      <c r="Y83" s="360">
        <v>100.89</v>
      </c>
      <c r="Z83" s="360">
        <v>1</v>
      </c>
      <c r="AA83" s="360">
        <v>136.09</v>
      </c>
      <c r="AB83" s="360">
        <v>2</v>
      </c>
      <c r="AC83" s="360">
        <v>76.28</v>
      </c>
      <c r="AD83" s="360">
        <v>957</v>
      </c>
      <c r="AE83" s="360">
        <v>76.28</v>
      </c>
      <c r="AF83" s="360">
        <v>957</v>
      </c>
      <c r="AG83" s="360">
        <v>0</v>
      </c>
      <c r="AH83" s="360">
        <v>0</v>
      </c>
      <c r="AI83" s="360">
        <v>63.64</v>
      </c>
      <c r="AJ83" s="360">
        <v>18</v>
      </c>
      <c r="AK83" s="360">
        <v>74.37</v>
      </c>
      <c r="AL83" s="360">
        <v>790</v>
      </c>
      <c r="AM83" s="360">
        <v>87.89</v>
      </c>
      <c r="AN83" s="360">
        <v>148</v>
      </c>
      <c r="AO83" s="360">
        <v>94.44</v>
      </c>
      <c r="AP83" s="360">
        <v>1</v>
      </c>
      <c r="AQ83" s="360">
        <v>0</v>
      </c>
      <c r="AR83" s="360">
        <v>0</v>
      </c>
      <c r="AS83" s="360">
        <v>117.35</v>
      </c>
      <c r="AT83" s="360">
        <v>77</v>
      </c>
      <c r="AU83" s="360">
        <v>117.35</v>
      </c>
      <c r="AV83" s="360">
        <v>77</v>
      </c>
      <c r="AW83" s="360">
        <v>0</v>
      </c>
      <c r="AX83" s="360">
        <v>0</v>
      </c>
      <c r="AY83" s="360">
        <v>0</v>
      </c>
      <c r="AZ83" s="360">
        <v>0</v>
      </c>
      <c r="BA83" s="360">
        <v>91.91</v>
      </c>
      <c r="BB83" s="360">
        <v>9</v>
      </c>
      <c r="BC83" s="360">
        <v>112.52</v>
      </c>
      <c r="BD83" s="360">
        <v>44</v>
      </c>
      <c r="BE83" s="360">
        <v>126</v>
      </c>
      <c r="BF83" s="360">
        <v>18</v>
      </c>
      <c r="BG83" s="360">
        <v>164.15</v>
      </c>
      <c r="BH83" s="360">
        <v>4</v>
      </c>
      <c r="BI83" s="360">
        <v>166.85</v>
      </c>
      <c r="BJ83" s="360">
        <v>2</v>
      </c>
      <c r="BK83" s="360">
        <v>0</v>
      </c>
      <c r="BL83" s="360">
        <v>0</v>
      </c>
      <c r="BM83" s="360">
        <v>95.82</v>
      </c>
      <c r="BN83" s="360">
        <v>2</v>
      </c>
      <c r="BO83" s="360">
        <v>95.82</v>
      </c>
      <c r="BP83" s="360">
        <v>2</v>
      </c>
      <c r="BQ83" s="360">
        <v>0</v>
      </c>
      <c r="BR83" s="360">
        <v>0</v>
      </c>
      <c r="BS83" s="360">
        <v>0</v>
      </c>
      <c r="BT83" s="360">
        <v>0</v>
      </c>
      <c r="BU83" s="360">
        <v>95.82</v>
      </c>
      <c r="BV83" s="360">
        <v>2</v>
      </c>
      <c r="BW83" s="360">
        <v>0</v>
      </c>
      <c r="BX83" s="360">
        <v>0</v>
      </c>
      <c r="BY83" s="360">
        <v>0</v>
      </c>
      <c r="BZ83" s="360">
        <v>0</v>
      </c>
      <c r="CA83" s="360">
        <v>0</v>
      </c>
      <c r="CB83" s="360">
        <v>0</v>
      </c>
      <c r="CC83" s="360">
        <v>0</v>
      </c>
      <c r="CD83" s="360" t="s">
        <v>253</v>
      </c>
    </row>
    <row r="84" spans="1:82" x14ac:dyDescent="0.35">
      <c r="A84" s="360" t="s">
        <v>254</v>
      </c>
      <c r="B84" s="360" t="s">
        <v>255</v>
      </c>
      <c r="C84" s="360" t="s">
        <v>71</v>
      </c>
      <c r="D84" s="360" t="s">
        <v>77</v>
      </c>
      <c r="E84" s="360">
        <v>5238</v>
      </c>
      <c r="F84" s="360">
        <v>4994</v>
      </c>
      <c r="G84" s="360">
        <v>0</v>
      </c>
      <c r="H84" s="360">
        <v>46</v>
      </c>
      <c r="I84" s="360">
        <v>118.24</v>
      </c>
      <c r="J84" s="360">
        <v>4809</v>
      </c>
      <c r="K84" s="360">
        <v>118.24</v>
      </c>
      <c r="L84" s="360">
        <v>4809</v>
      </c>
      <c r="M84" s="360">
        <v>0</v>
      </c>
      <c r="N84" s="360">
        <v>0</v>
      </c>
      <c r="O84" s="360">
        <v>91.72</v>
      </c>
      <c r="P84" s="360">
        <v>297</v>
      </c>
      <c r="Q84" s="360">
        <v>100.49</v>
      </c>
      <c r="R84" s="360">
        <v>1419</v>
      </c>
      <c r="S84" s="360">
        <v>120.05</v>
      </c>
      <c r="T84" s="360">
        <v>1451</v>
      </c>
      <c r="U84" s="360">
        <v>136.24</v>
      </c>
      <c r="V84" s="360">
        <v>1567</v>
      </c>
      <c r="W84" s="360">
        <v>146.96</v>
      </c>
      <c r="X84" s="360">
        <v>71</v>
      </c>
      <c r="Y84" s="360">
        <v>156.66</v>
      </c>
      <c r="Z84" s="360">
        <v>2</v>
      </c>
      <c r="AA84" s="360">
        <v>180.86</v>
      </c>
      <c r="AB84" s="360">
        <v>2</v>
      </c>
      <c r="AC84" s="360">
        <v>109.46</v>
      </c>
      <c r="AD84" s="360">
        <v>46</v>
      </c>
      <c r="AE84" s="360">
        <v>110.55</v>
      </c>
      <c r="AF84" s="360">
        <v>41</v>
      </c>
      <c r="AG84" s="360">
        <v>100.47</v>
      </c>
      <c r="AH84" s="360">
        <v>5</v>
      </c>
      <c r="AI84" s="360">
        <v>107.81</v>
      </c>
      <c r="AJ84" s="360">
        <v>27</v>
      </c>
      <c r="AK84" s="360">
        <v>115.86</v>
      </c>
      <c r="AL84" s="360">
        <v>14</v>
      </c>
      <c r="AM84" s="360">
        <v>0</v>
      </c>
      <c r="AN84" s="360">
        <v>0</v>
      </c>
      <c r="AO84" s="360">
        <v>0</v>
      </c>
      <c r="AP84" s="360">
        <v>0</v>
      </c>
      <c r="AQ84" s="360">
        <v>0</v>
      </c>
      <c r="AR84" s="360">
        <v>0</v>
      </c>
      <c r="AS84" s="360">
        <v>188.79</v>
      </c>
      <c r="AT84" s="360">
        <v>185</v>
      </c>
      <c r="AU84" s="360">
        <v>188.79</v>
      </c>
      <c r="AV84" s="360">
        <v>185</v>
      </c>
      <c r="AW84" s="360">
        <v>0</v>
      </c>
      <c r="AX84" s="360">
        <v>0</v>
      </c>
      <c r="AY84" s="360">
        <v>0</v>
      </c>
      <c r="AZ84" s="360">
        <v>0</v>
      </c>
      <c r="BA84" s="360">
        <v>157.84</v>
      </c>
      <c r="BB84" s="360">
        <v>54</v>
      </c>
      <c r="BC84" s="360">
        <v>191.46</v>
      </c>
      <c r="BD84" s="360">
        <v>78</v>
      </c>
      <c r="BE84" s="360">
        <v>215.62</v>
      </c>
      <c r="BF84" s="360">
        <v>50</v>
      </c>
      <c r="BG84" s="360">
        <v>229.56</v>
      </c>
      <c r="BH84" s="360">
        <v>3</v>
      </c>
      <c r="BI84" s="360">
        <v>0</v>
      </c>
      <c r="BJ84" s="360">
        <v>0</v>
      </c>
      <c r="BK84" s="360">
        <v>0</v>
      </c>
      <c r="BL84" s="360">
        <v>0</v>
      </c>
      <c r="BM84" s="360">
        <v>0</v>
      </c>
      <c r="BN84" s="360">
        <v>0</v>
      </c>
      <c r="BO84" s="360">
        <v>0</v>
      </c>
      <c r="BP84" s="360">
        <v>0</v>
      </c>
      <c r="BQ84" s="360">
        <v>0</v>
      </c>
      <c r="BR84" s="360">
        <v>0</v>
      </c>
      <c r="BS84" s="360">
        <v>0</v>
      </c>
      <c r="BT84" s="360">
        <v>0</v>
      </c>
      <c r="BU84" s="360">
        <v>0</v>
      </c>
      <c r="BV84" s="360">
        <v>0</v>
      </c>
      <c r="BW84" s="360">
        <v>0</v>
      </c>
      <c r="BX84" s="360">
        <v>0</v>
      </c>
      <c r="BY84" s="360">
        <v>0</v>
      </c>
      <c r="BZ84" s="360">
        <v>0</v>
      </c>
      <c r="CA84" s="360">
        <v>0</v>
      </c>
      <c r="CB84" s="360">
        <v>0</v>
      </c>
      <c r="CC84" s="360">
        <v>198</v>
      </c>
      <c r="CD84" s="360" t="s">
        <v>256</v>
      </c>
    </row>
    <row r="85" spans="1:82" x14ac:dyDescent="0.35">
      <c r="A85" s="360" t="s">
        <v>257</v>
      </c>
      <c r="B85" s="360" t="s">
        <v>258</v>
      </c>
      <c r="C85" s="360" t="s">
        <v>68</v>
      </c>
      <c r="D85" s="360" t="s">
        <v>77</v>
      </c>
      <c r="E85" s="360">
        <v>14974</v>
      </c>
      <c r="F85" s="360">
        <v>13630</v>
      </c>
      <c r="G85" s="360">
        <v>0</v>
      </c>
      <c r="H85" s="360">
        <v>1324</v>
      </c>
      <c r="I85" s="360">
        <v>112.43</v>
      </c>
      <c r="J85" s="360">
        <v>13630</v>
      </c>
      <c r="K85" s="360">
        <v>112.43</v>
      </c>
      <c r="L85" s="360">
        <v>13630</v>
      </c>
      <c r="M85" s="360">
        <v>0</v>
      </c>
      <c r="N85" s="360">
        <v>0</v>
      </c>
      <c r="O85" s="360">
        <v>90.34</v>
      </c>
      <c r="P85" s="360">
        <v>113</v>
      </c>
      <c r="Q85" s="360">
        <v>94.1</v>
      </c>
      <c r="R85" s="360">
        <v>4014</v>
      </c>
      <c r="S85" s="360">
        <v>111.24</v>
      </c>
      <c r="T85" s="360">
        <v>5104</v>
      </c>
      <c r="U85" s="360">
        <v>127.68</v>
      </c>
      <c r="V85" s="360">
        <v>3672</v>
      </c>
      <c r="W85" s="360">
        <v>144.72999999999999</v>
      </c>
      <c r="X85" s="360">
        <v>602</v>
      </c>
      <c r="Y85" s="360">
        <v>166.3</v>
      </c>
      <c r="Z85" s="360">
        <v>108</v>
      </c>
      <c r="AA85" s="360">
        <v>172.26</v>
      </c>
      <c r="AB85" s="360">
        <v>17</v>
      </c>
      <c r="AC85" s="360">
        <v>99.58</v>
      </c>
      <c r="AD85" s="360">
        <v>1324</v>
      </c>
      <c r="AE85" s="360">
        <v>99.58</v>
      </c>
      <c r="AF85" s="360">
        <v>1324</v>
      </c>
      <c r="AG85" s="360">
        <v>0</v>
      </c>
      <c r="AH85" s="360">
        <v>0</v>
      </c>
      <c r="AI85" s="360">
        <v>87.79</v>
      </c>
      <c r="AJ85" s="360">
        <v>17</v>
      </c>
      <c r="AK85" s="360">
        <v>99.02</v>
      </c>
      <c r="AL85" s="360">
        <v>1256</v>
      </c>
      <c r="AM85" s="360">
        <v>107.99</v>
      </c>
      <c r="AN85" s="360">
        <v>40</v>
      </c>
      <c r="AO85" s="360">
        <v>132.54</v>
      </c>
      <c r="AP85" s="360">
        <v>6</v>
      </c>
      <c r="AQ85" s="360">
        <v>173.9</v>
      </c>
      <c r="AR85" s="360">
        <v>5</v>
      </c>
      <c r="AS85" s="360">
        <v>0</v>
      </c>
      <c r="AT85" s="360">
        <v>0</v>
      </c>
      <c r="AU85" s="360">
        <v>0</v>
      </c>
      <c r="AV85" s="360">
        <v>0</v>
      </c>
      <c r="AW85" s="360">
        <v>0</v>
      </c>
      <c r="AX85" s="360">
        <v>0</v>
      </c>
      <c r="AY85" s="360">
        <v>0</v>
      </c>
      <c r="AZ85" s="360">
        <v>0</v>
      </c>
      <c r="BA85" s="360">
        <v>0</v>
      </c>
      <c r="BB85" s="360">
        <v>0</v>
      </c>
      <c r="BC85" s="360">
        <v>0</v>
      </c>
      <c r="BD85" s="360">
        <v>0</v>
      </c>
      <c r="BE85" s="360">
        <v>0</v>
      </c>
      <c r="BF85" s="360">
        <v>0</v>
      </c>
      <c r="BG85" s="360">
        <v>0</v>
      </c>
      <c r="BH85" s="360">
        <v>0</v>
      </c>
      <c r="BI85" s="360">
        <v>0</v>
      </c>
      <c r="BJ85" s="360">
        <v>0</v>
      </c>
      <c r="BK85" s="360">
        <v>0</v>
      </c>
      <c r="BL85" s="360">
        <v>0</v>
      </c>
      <c r="BM85" s="360">
        <v>0</v>
      </c>
      <c r="BN85" s="360">
        <v>0</v>
      </c>
      <c r="BO85" s="360">
        <v>0</v>
      </c>
      <c r="BP85" s="360">
        <v>0</v>
      </c>
      <c r="BQ85" s="360">
        <v>0</v>
      </c>
      <c r="BR85" s="360">
        <v>0</v>
      </c>
      <c r="BS85" s="360">
        <v>0</v>
      </c>
      <c r="BT85" s="360">
        <v>0</v>
      </c>
      <c r="BU85" s="360">
        <v>0</v>
      </c>
      <c r="BV85" s="360">
        <v>0</v>
      </c>
      <c r="BW85" s="360">
        <v>0</v>
      </c>
      <c r="BX85" s="360">
        <v>0</v>
      </c>
      <c r="BY85" s="360">
        <v>0</v>
      </c>
      <c r="BZ85" s="360">
        <v>0</v>
      </c>
      <c r="CA85" s="360">
        <v>0</v>
      </c>
      <c r="CB85" s="360">
        <v>0</v>
      </c>
      <c r="CC85" s="360">
        <v>20</v>
      </c>
      <c r="CD85" s="360" t="s">
        <v>259</v>
      </c>
    </row>
    <row r="86" spans="1:82" x14ac:dyDescent="0.35">
      <c r="A86" s="360" t="s">
        <v>260</v>
      </c>
      <c r="B86" s="360" t="s">
        <v>261</v>
      </c>
      <c r="C86" s="360" t="s">
        <v>67</v>
      </c>
      <c r="D86" s="360" t="s">
        <v>77</v>
      </c>
      <c r="E86" s="360">
        <v>9102</v>
      </c>
      <c r="F86" s="360">
        <v>8539</v>
      </c>
      <c r="G86" s="360">
        <v>0</v>
      </c>
      <c r="H86" s="360">
        <v>552</v>
      </c>
      <c r="I86" s="360">
        <v>97.81</v>
      </c>
      <c r="J86" s="360">
        <v>8539</v>
      </c>
      <c r="K86" s="360">
        <v>97.81</v>
      </c>
      <c r="L86" s="360">
        <v>8539</v>
      </c>
      <c r="M86" s="360">
        <v>0</v>
      </c>
      <c r="N86" s="360">
        <v>0</v>
      </c>
      <c r="O86" s="360">
        <v>68.209999999999994</v>
      </c>
      <c r="P86" s="360">
        <v>394</v>
      </c>
      <c r="Q86" s="360">
        <v>81.209999999999994</v>
      </c>
      <c r="R86" s="360">
        <v>1535</v>
      </c>
      <c r="S86" s="360">
        <v>97.03</v>
      </c>
      <c r="T86" s="360">
        <v>3484</v>
      </c>
      <c r="U86" s="360">
        <v>109.41</v>
      </c>
      <c r="V86" s="360">
        <v>2788</v>
      </c>
      <c r="W86" s="360">
        <v>119.5</v>
      </c>
      <c r="X86" s="360">
        <v>313</v>
      </c>
      <c r="Y86" s="360">
        <v>129.24</v>
      </c>
      <c r="Z86" s="360">
        <v>25</v>
      </c>
      <c r="AA86" s="360">
        <v>0</v>
      </c>
      <c r="AB86" s="360">
        <v>0</v>
      </c>
      <c r="AC86" s="360">
        <v>87.59</v>
      </c>
      <c r="AD86" s="360">
        <v>552</v>
      </c>
      <c r="AE86" s="360">
        <v>89.81</v>
      </c>
      <c r="AF86" s="360">
        <v>521</v>
      </c>
      <c r="AG86" s="360">
        <v>50.19</v>
      </c>
      <c r="AH86" s="360">
        <v>31</v>
      </c>
      <c r="AI86" s="360">
        <v>68.319999999999993</v>
      </c>
      <c r="AJ86" s="360">
        <v>2</v>
      </c>
      <c r="AK86" s="360">
        <v>89.18</v>
      </c>
      <c r="AL86" s="360">
        <v>500</v>
      </c>
      <c r="AM86" s="360">
        <v>101.43</v>
      </c>
      <c r="AN86" s="360">
        <v>8</v>
      </c>
      <c r="AO86" s="360">
        <v>114.29</v>
      </c>
      <c r="AP86" s="360">
        <v>11</v>
      </c>
      <c r="AQ86" s="360">
        <v>0</v>
      </c>
      <c r="AR86" s="360">
        <v>0</v>
      </c>
      <c r="AS86" s="360">
        <v>0</v>
      </c>
      <c r="AT86" s="360">
        <v>0</v>
      </c>
      <c r="AU86" s="360">
        <v>0</v>
      </c>
      <c r="AV86" s="360">
        <v>0</v>
      </c>
      <c r="AW86" s="360">
        <v>0</v>
      </c>
      <c r="AX86" s="360">
        <v>0</v>
      </c>
      <c r="AY86" s="360">
        <v>0</v>
      </c>
      <c r="AZ86" s="360">
        <v>0</v>
      </c>
      <c r="BA86" s="360">
        <v>0</v>
      </c>
      <c r="BB86" s="360">
        <v>0</v>
      </c>
      <c r="BC86" s="360">
        <v>0</v>
      </c>
      <c r="BD86" s="360">
        <v>0</v>
      </c>
      <c r="BE86" s="360">
        <v>0</v>
      </c>
      <c r="BF86" s="360">
        <v>0</v>
      </c>
      <c r="BG86" s="360">
        <v>0</v>
      </c>
      <c r="BH86" s="360">
        <v>0</v>
      </c>
      <c r="BI86" s="360">
        <v>0</v>
      </c>
      <c r="BJ86" s="360">
        <v>0</v>
      </c>
      <c r="BK86" s="360">
        <v>0</v>
      </c>
      <c r="BL86" s="360">
        <v>0</v>
      </c>
      <c r="BM86" s="360">
        <v>0</v>
      </c>
      <c r="BN86" s="360">
        <v>0</v>
      </c>
      <c r="BO86" s="360">
        <v>0</v>
      </c>
      <c r="BP86" s="360">
        <v>0</v>
      </c>
      <c r="BQ86" s="360">
        <v>0</v>
      </c>
      <c r="BR86" s="360">
        <v>0</v>
      </c>
      <c r="BS86" s="360">
        <v>0</v>
      </c>
      <c r="BT86" s="360">
        <v>0</v>
      </c>
      <c r="BU86" s="360">
        <v>0</v>
      </c>
      <c r="BV86" s="360">
        <v>0</v>
      </c>
      <c r="BW86" s="360">
        <v>0</v>
      </c>
      <c r="BX86" s="360">
        <v>0</v>
      </c>
      <c r="BY86" s="360">
        <v>0</v>
      </c>
      <c r="BZ86" s="360">
        <v>0</v>
      </c>
      <c r="CA86" s="360">
        <v>0</v>
      </c>
      <c r="CB86" s="360">
        <v>0</v>
      </c>
      <c r="CC86" s="360">
        <v>11</v>
      </c>
      <c r="CD86" s="360" t="s">
        <v>262</v>
      </c>
    </row>
    <row r="87" spans="1:82" x14ac:dyDescent="0.35">
      <c r="A87" s="360" t="s">
        <v>263</v>
      </c>
      <c r="B87" s="360" t="s">
        <v>264</v>
      </c>
      <c r="C87" s="360" t="s">
        <v>900</v>
      </c>
      <c r="D87" s="360" t="s">
        <v>77</v>
      </c>
      <c r="E87" s="360">
        <v>3935</v>
      </c>
      <c r="F87" s="360">
        <v>3609</v>
      </c>
      <c r="G87" s="360">
        <v>63</v>
      </c>
      <c r="H87" s="360">
        <v>188</v>
      </c>
      <c r="I87" s="360">
        <v>85.21</v>
      </c>
      <c r="J87" s="360">
        <v>3638</v>
      </c>
      <c r="K87" s="360">
        <v>85.39</v>
      </c>
      <c r="L87" s="360">
        <v>3575</v>
      </c>
      <c r="M87" s="360">
        <v>74.97</v>
      </c>
      <c r="N87" s="360">
        <v>63</v>
      </c>
      <c r="O87" s="360">
        <v>0</v>
      </c>
      <c r="P87" s="360">
        <v>0</v>
      </c>
      <c r="Q87" s="360">
        <v>75.959999999999994</v>
      </c>
      <c r="R87" s="360">
        <v>1297</v>
      </c>
      <c r="S87" s="360">
        <v>86.15</v>
      </c>
      <c r="T87" s="360">
        <v>1240</v>
      </c>
      <c r="U87" s="360">
        <v>95.31</v>
      </c>
      <c r="V87" s="360">
        <v>946</v>
      </c>
      <c r="W87" s="360">
        <v>105.64</v>
      </c>
      <c r="X87" s="360">
        <v>86</v>
      </c>
      <c r="Y87" s="360">
        <v>115.81</v>
      </c>
      <c r="Z87" s="360">
        <v>6</v>
      </c>
      <c r="AA87" s="360">
        <v>0</v>
      </c>
      <c r="AB87" s="360">
        <v>0</v>
      </c>
      <c r="AC87" s="360">
        <v>77.14</v>
      </c>
      <c r="AD87" s="360">
        <v>188</v>
      </c>
      <c r="AE87" s="360">
        <v>77.14</v>
      </c>
      <c r="AF87" s="360">
        <v>188</v>
      </c>
      <c r="AG87" s="360">
        <v>0</v>
      </c>
      <c r="AH87" s="360">
        <v>0</v>
      </c>
      <c r="AI87" s="360">
        <v>66.489999999999995</v>
      </c>
      <c r="AJ87" s="360">
        <v>2</v>
      </c>
      <c r="AK87" s="360">
        <v>77.02</v>
      </c>
      <c r="AL87" s="360">
        <v>181</v>
      </c>
      <c r="AM87" s="360">
        <v>85.75</v>
      </c>
      <c r="AN87" s="360">
        <v>5</v>
      </c>
      <c r="AO87" s="360">
        <v>0</v>
      </c>
      <c r="AP87" s="360">
        <v>0</v>
      </c>
      <c r="AQ87" s="360">
        <v>0</v>
      </c>
      <c r="AR87" s="360">
        <v>0</v>
      </c>
      <c r="AS87" s="360">
        <v>122.75</v>
      </c>
      <c r="AT87" s="360">
        <v>34</v>
      </c>
      <c r="AU87" s="360">
        <v>122.75</v>
      </c>
      <c r="AV87" s="360">
        <v>34</v>
      </c>
      <c r="AW87" s="360">
        <v>0</v>
      </c>
      <c r="AX87" s="360">
        <v>0</v>
      </c>
      <c r="AY87" s="360">
        <v>0</v>
      </c>
      <c r="AZ87" s="360">
        <v>0</v>
      </c>
      <c r="BA87" s="360">
        <v>106.66</v>
      </c>
      <c r="BB87" s="360">
        <v>11</v>
      </c>
      <c r="BC87" s="360">
        <v>129.29</v>
      </c>
      <c r="BD87" s="360">
        <v>19</v>
      </c>
      <c r="BE87" s="360">
        <v>136.01</v>
      </c>
      <c r="BF87" s="360">
        <v>4</v>
      </c>
      <c r="BG87" s="360">
        <v>0</v>
      </c>
      <c r="BH87" s="360">
        <v>0</v>
      </c>
      <c r="BI87" s="360">
        <v>0</v>
      </c>
      <c r="BJ87" s="360">
        <v>0</v>
      </c>
      <c r="BK87" s="360">
        <v>0</v>
      </c>
      <c r="BL87" s="360">
        <v>0</v>
      </c>
      <c r="BM87" s="360">
        <v>0</v>
      </c>
      <c r="BN87" s="360">
        <v>0</v>
      </c>
      <c r="BO87" s="360">
        <v>0</v>
      </c>
      <c r="BP87" s="360">
        <v>0</v>
      </c>
      <c r="BQ87" s="360">
        <v>0</v>
      </c>
      <c r="BR87" s="360">
        <v>0</v>
      </c>
      <c r="BS87" s="360">
        <v>0</v>
      </c>
      <c r="BT87" s="360">
        <v>0</v>
      </c>
      <c r="BU87" s="360">
        <v>0</v>
      </c>
      <c r="BV87" s="360">
        <v>0</v>
      </c>
      <c r="BW87" s="360">
        <v>0</v>
      </c>
      <c r="BX87" s="360">
        <v>0</v>
      </c>
      <c r="BY87" s="360">
        <v>0</v>
      </c>
      <c r="BZ87" s="360">
        <v>0</v>
      </c>
      <c r="CA87" s="360">
        <v>0</v>
      </c>
      <c r="CB87" s="360">
        <v>0</v>
      </c>
      <c r="CC87" s="360">
        <v>75</v>
      </c>
      <c r="CD87" s="360" t="s">
        <v>265</v>
      </c>
    </row>
    <row r="88" spans="1:82" x14ac:dyDescent="0.35">
      <c r="A88" s="360" t="s">
        <v>266</v>
      </c>
      <c r="B88" s="360" t="s">
        <v>267</v>
      </c>
      <c r="C88" s="360" t="s">
        <v>69</v>
      </c>
      <c r="D88" s="360" t="s">
        <v>77</v>
      </c>
      <c r="E88" s="360">
        <v>324</v>
      </c>
      <c r="F88" s="360">
        <v>324</v>
      </c>
      <c r="G88" s="360">
        <v>0</v>
      </c>
      <c r="H88" s="360">
        <v>0</v>
      </c>
      <c r="I88" s="360">
        <v>0</v>
      </c>
      <c r="J88" s="360">
        <v>0</v>
      </c>
      <c r="K88" s="360">
        <v>0</v>
      </c>
      <c r="L88" s="360">
        <v>0</v>
      </c>
      <c r="M88" s="360">
        <v>0</v>
      </c>
      <c r="N88" s="360">
        <v>0</v>
      </c>
      <c r="O88" s="360">
        <v>0</v>
      </c>
      <c r="P88" s="360">
        <v>0</v>
      </c>
      <c r="Q88" s="360">
        <v>0</v>
      </c>
      <c r="R88" s="360">
        <v>0</v>
      </c>
      <c r="S88" s="360">
        <v>0</v>
      </c>
      <c r="T88" s="360">
        <v>0</v>
      </c>
      <c r="U88" s="360">
        <v>0</v>
      </c>
      <c r="V88" s="360">
        <v>0</v>
      </c>
      <c r="W88" s="360">
        <v>0</v>
      </c>
      <c r="X88" s="360">
        <v>0</v>
      </c>
      <c r="Y88" s="360">
        <v>0</v>
      </c>
      <c r="Z88" s="360">
        <v>0</v>
      </c>
      <c r="AA88" s="360">
        <v>0</v>
      </c>
      <c r="AB88" s="360">
        <v>0</v>
      </c>
      <c r="AC88" s="360">
        <v>0</v>
      </c>
      <c r="AD88" s="360">
        <v>0</v>
      </c>
      <c r="AE88" s="360">
        <v>0</v>
      </c>
      <c r="AF88" s="360">
        <v>0</v>
      </c>
      <c r="AG88" s="360">
        <v>0</v>
      </c>
      <c r="AH88" s="360">
        <v>0</v>
      </c>
      <c r="AI88" s="360">
        <v>0</v>
      </c>
      <c r="AJ88" s="360">
        <v>0</v>
      </c>
      <c r="AK88" s="360">
        <v>0</v>
      </c>
      <c r="AL88" s="360">
        <v>0</v>
      </c>
      <c r="AM88" s="360">
        <v>0</v>
      </c>
      <c r="AN88" s="360">
        <v>0</v>
      </c>
      <c r="AO88" s="360">
        <v>0</v>
      </c>
      <c r="AP88" s="360">
        <v>0</v>
      </c>
      <c r="AQ88" s="360">
        <v>0</v>
      </c>
      <c r="AR88" s="360">
        <v>0</v>
      </c>
      <c r="AS88" s="360">
        <v>93.32</v>
      </c>
      <c r="AT88" s="360">
        <v>324</v>
      </c>
      <c r="AU88" s="360">
        <v>93.32</v>
      </c>
      <c r="AV88" s="360">
        <v>324</v>
      </c>
      <c r="AW88" s="360">
        <v>0</v>
      </c>
      <c r="AX88" s="360">
        <v>0</v>
      </c>
      <c r="AY88" s="360">
        <v>0</v>
      </c>
      <c r="AZ88" s="360">
        <v>0</v>
      </c>
      <c r="BA88" s="360">
        <v>69.31</v>
      </c>
      <c r="BB88" s="360">
        <v>15</v>
      </c>
      <c r="BC88" s="360">
        <v>89.78</v>
      </c>
      <c r="BD88" s="360">
        <v>202</v>
      </c>
      <c r="BE88" s="360">
        <v>101.98</v>
      </c>
      <c r="BF88" s="360">
        <v>97</v>
      </c>
      <c r="BG88" s="360">
        <v>114.77</v>
      </c>
      <c r="BH88" s="360">
        <v>9</v>
      </c>
      <c r="BI88" s="360">
        <v>0</v>
      </c>
      <c r="BJ88" s="360">
        <v>0</v>
      </c>
      <c r="BK88" s="360">
        <v>137.66999999999999</v>
      </c>
      <c r="BL88" s="360">
        <v>1</v>
      </c>
      <c r="BM88" s="360">
        <v>0</v>
      </c>
      <c r="BN88" s="360">
        <v>0</v>
      </c>
      <c r="BO88" s="360">
        <v>0</v>
      </c>
      <c r="BP88" s="360">
        <v>0</v>
      </c>
      <c r="BQ88" s="360">
        <v>0</v>
      </c>
      <c r="BR88" s="360">
        <v>0</v>
      </c>
      <c r="BS88" s="360">
        <v>0</v>
      </c>
      <c r="BT88" s="360">
        <v>0</v>
      </c>
      <c r="BU88" s="360">
        <v>0</v>
      </c>
      <c r="BV88" s="360">
        <v>0</v>
      </c>
      <c r="BW88" s="360">
        <v>0</v>
      </c>
      <c r="BX88" s="360">
        <v>0</v>
      </c>
      <c r="BY88" s="360">
        <v>0</v>
      </c>
      <c r="BZ88" s="360">
        <v>0</v>
      </c>
      <c r="CA88" s="360">
        <v>0</v>
      </c>
      <c r="CB88" s="360">
        <v>0</v>
      </c>
      <c r="CC88" s="360">
        <v>0</v>
      </c>
      <c r="CD88" s="360" t="s">
        <v>268</v>
      </c>
    </row>
    <row r="89" spans="1:82" x14ac:dyDescent="0.35">
      <c r="A89" s="360" t="s">
        <v>796</v>
      </c>
      <c r="B89" s="360" t="s">
        <v>797</v>
      </c>
      <c r="C89" s="360" t="s">
        <v>71</v>
      </c>
      <c r="D89" s="360" t="s">
        <v>77</v>
      </c>
      <c r="E89" s="360">
        <v>44</v>
      </c>
      <c r="F89" s="360">
        <v>44</v>
      </c>
      <c r="G89" s="360">
        <v>0</v>
      </c>
      <c r="H89" s="360">
        <v>0</v>
      </c>
      <c r="I89" s="360">
        <v>154.44999999999999</v>
      </c>
      <c r="J89" s="360">
        <v>38</v>
      </c>
      <c r="K89" s="360">
        <v>154.44999999999999</v>
      </c>
      <c r="L89" s="360">
        <v>38</v>
      </c>
      <c r="M89" s="360">
        <v>0</v>
      </c>
      <c r="N89" s="360">
        <v>0</v>
      </c>
      <c r="O89" s="360">
        <v>0</v>
      </c>
      <c r="P89" s="360">
        <v>0</v>
      </c>
      <c r="Q89" s="360">
        <v>94.63</v>
      </c>
      <c r="R89" s="360">
        <v>13</v>
      </c>
      <c r="S89" s="360">
        <v>159.15</v>
      </c>
      <c r="T89" s="360">
        <v>8</v>
      </c>
      <c r="U89" s="360">
        <v>195.62</v>
      </c>
      <c r="V89" s="360">
        <v>15</v>
      </c>
      <c r="W89" s="360">
        <v>215.82</v>
      </c>
      <c r="X89" s="360">
        <v>2</v>
      </c>
      <c r="Y89" s="360">
        <v>0</v>
      </c>
      <c r="Z89" s="360">
        <v>0</v>
      </c>
      <c r="AA89" s="360">
        <v>0</v>
      </c>
      <c r="AB89" s="360">
        <v>0</v>
      </c>
      <c r="AC89" s="360">
        <v>0</v>
      </c>
      <c r="AD89" s="360">
        <v>0</v>
      </c>
      <c r="AE89" s="360">
        <v>0</v>
      </c>
      <c r="AF89" s="360">
        <v>0</v>
      </c>
      <c r="AG89" s="360">
        <v>0</v>
      </c>
      <c r="AH89" s="360">
        <v>0</v>
      </c>
      <c r="AI89" s="360">
        <v>0</v>
      </c>
      <c r="AJ89" s="360">
        <v>0</v>
      </c>
      <c r="AK89" s="360">
        <v>0</v>
      </c>
      <c r="AL89" s="360">
        <v>0</v>
      </c>
      <c r="AM89" s="360">
        <v>0</v>
      </c>
      <c r="AN89" s="360">
        <v>0</v>
      </c>
      <c r="AO89" s="360">
        <v>0</v>
      </c>
      <c r="AP89" s="360">
        <v>0</v>
      </c>
      <c r="AQ89" s="360">
        <v>0</v>
      </c>
      <c r="AR89" s="360">
        <v>0</v>
      </c>
      <c r="AS89" s="360">
        <v>138.46</v>
      </c>
      <c r="AT89" s="360">
        <v>6</v>
      </c>
      <c r="AU89" s="360">
        <v>138.46</v>
      </c>
      <c r="AV89" s="360">
        <v>6</v>
      </c>
      <c r="AW89" s="360">
        <v>0</v>
      </c>
      <c r="AX89" s="360">
        <v>0</v>
      </c>
      <c r="AY89" s="360">
        <v>0</v>
      </c>
      <c r="AZ89" s="360">
        <v>0</v>
      </c>
      <c r="BA89" s="360">
        <v>138.46</v>
      </c>
      <c r="BB89" s="360">
        <v>6</v>
      </c>
      <c r="BC89" s="360">
        <v>0</v>
      </c>
      <c r="BD89" s="360">
        <v>0</v>
      </c>
      <c r="BE89" s="360">
        <v>0</v>
      </c>
      <c r="BF89" s="360">
        <v>0</v>
      </c>
      <c r="BG89" s="360">
        <v>0</v>
      </c>
      <c r="BH89" s="360">
        <v>0</v>
      </c>
      <c r="BI89" s="360">
        <v>0</v>
      </c>
      <c r="BJ89" s="360">
        <v>0</v>
      </c>
      <c r="BK89" s="360">
        <v>0</v>
      </c>
      <c r="BL89" s="360">
        <v>0</v>
      </c>
      <c r="BM89" s="360">
        <v>0</v>
      </c>
      <c r="BN89" s="360">
        <v>0</v>
      </c>
      <c r="BO89" s="360">
        <v>0</v>
      </c>
      <c r="BP89" s="360">
        <v>0</v>
      </c>
      <c r="BQ89" s="360">
        <v>0</v>
      </c>
      <c r="BR89" s="360">
        <v>0</v>
      </c>
      <c r="BS89" s="360">
        <v>0</v>
      </c>
      <c r="BT89" s="360">
        <v>0</v>
      </c>
      <c r="BU89" s="360">
        <v>0</v>
      </c>
      <c r="BV89" s="360">
        <v>0</v>
      </c>
      <c r="BW89" s="360">
        <v>0</v>
      </c>
      <c r="BX89" s="360">
        <v>0</v>
      </c>
      <c r="BY89" s="360">
        <v>0</v>
      </c>
      <c r="BZ89" s="360">
        <v>0</v>
      </c>
      <c r="CA89" s="360">
        <v>0</v>
      </c>
      <c r="CB89" s="360">
        <v>0</v>
      </c>
      <c r="CC89" s="360">
        <v>0</v>
      </c>
      <c r="CD89" s="360" t="s">
        <v>798</v>
      </c>
    </row>
    <row r="90" spans="1:82" x14ac:dyDescent="0.35">
      <c r="A90" s="360" t="s">
        <v>799</v>
      </c>
      <c r="B90" s="360" t="s">
        <v>800</v>
      </c>
      <c r="C90" s="360" t="s">
        <v>73</v>
      </c>
      <c r="D90" s="360" t="s">
        <v>77</v>
      </c>
      <c r="E90" s="360">
        <v>23</v>
      </c>
      <c r="F90" s="360">
        <v>0</v>
      </c>
      <c r="G90" s="360">
        <v>0</v>
      </c>
      <c r="H90" s="360">
        <v>23</v>
      </c>
      <c r="I90" s="360">
        <v>0</v>
      </c>
      <c r="J90" s="360">
        <v>0</v>
      </c>
      <c r="K90" s="360">
        <v>0</v>
      </c>
      <c r="L90" s="360">
        <v>0</v>
      </c>
      <c r="M90" s="360">
        <v>0</v>
      </c>
      <c r="N90" s="360">
        <v>0</v>
      </c>
      <c r="O90" s="360">
        <v>0</v>
      </c>
      <c r="P90" s="360">
        <v>0</v>
      </c>
      <c r="Q90" s="360">
        <v>0</v>
      </c>
      <c r="R90" s="360">
        <v>0</v>
      </c>
      <c r="S90" s="360">
        <v>0</v>
      </c>
      <c r="T90" s="360">
        <v>0</v>
      </c>
      <c r="U90" s="360">
        <v>0</v>
      </c>
      <c r="V90" s="360">
        <v>0</v>
      </c>
      <c r="W90" s="360">
        <v>0</v>
      </c>
      <c r="X90" s="360">
        <v>0</v>
      </c>
      <c r="Y90" s="360">
        <v>0</v>
      </c>
      <c r="Z90" s="360">
        <v>0</v>
      </c>
      <c r="AA90" s="360">
        <v>0</v>
      </c>
      <c r="AB90" s="360">
        <v>0</v>
      </c>
      <c r="AC90" s="360">
        <v>0</v>
      </c>
      <c r="AD90" s="360">
        <v>0</v>
      </c>
      <c r="AE90" s="360">
        <v>0</v>
      </c>
      <c r="AF90" s="360">
        <v>0</v>
      </c>
      <c r="AG90" s="360">
        <v>0</v>
      </c>
      <c r="AH90" s="360">
        <v>0</v>
      </c>
      <c r="AI90" s="360">
        <v>0</v>
      </c>
      <c r="AJ90" s="360">
        <v>0</v>
      </c>
      <c r="AK90" s="360">
        <v>0</v>
      </c>
      <c r="AL90" s="360">
        <v>0</v>
      </c>
      <c r="AM90" s="360">
        <v>0</v>
      </c>
      <c r="AN90" s="360">
        <v>0</v>
      </c>
      <c r="AO90" s="360">
        <v>0</v>
      </c>
      <c r="AP90" s="360">
        <v>0</v>
      </c>
      <c r="AQ90" s="360">
        <v>0</v>
      </c>
      <c r="AR90" s="360">
        <v>0</v>
      </c>
      <c r="AS90" s="360">
        <v>0</v>
      </c>
      <c r="AT90" s="360">
        <v>0</v>
      </c>
      <c r="AU90" s="360">
        <v>0</v>
      </c>
      <c r="AV90" s="360">
        <v>0</v>
      </c>
      <c r="AW90" s="360">
        <v>0</v>
      </c>
      <c r="AX90" s="360">
        <v>0</v>
      </c>
      <c r="AY90" s="360">
        <v>0</v>
      </c>
      <c r="AZ90" s="360">
        <v>0</v>
      </c>
      <c r="BA90" s="360">
        <v>0</v>
      </c>
      <c r="BB90" s="360">
        <v>0</v>
      </c>
      <c r="BC90" s="360">
        <v>0</v>
      </c>
      <c r="BD90" s="360">
        <v>0</v>
      </c>
      <c r="BE90" s="360">
        <v>0</v>
      </c>
      <c r="BF90" s="360">
        <v>0</v>
      </c>
      <c r="BG90" s="360">
        <v>0</v>
      </c>
      <c r="BH90" s="360">
        <v>0</v>
      </c>
      <c r="BI90" s="360">
        <v>0</v>
      </c>
      <c r="BJ90" s="360">
        <v>0</v>
      </c>
      <c r="BK90" s="360">
        <v>0</v>
      </c>
      <c r="BL90" s="360">
        <v>0</v>
      </c>
      <c r="BM90" s="360">
        <v>174.4</v>
      </c>
      <c r="BN90" s="360">
        <v>23</v>
      </c>
      <c r="BO90" s="360">
        <v>174.4</v>
      </c>
      <c r="BP90" s="360">
        <v>23</v>
      </c>
      <c r="BQ90" s="360">
        <v>0</v>
      </c>
      <c r="BR90" s="360">
        <v>0</v>
      </c>
      <c r="BS90" s="360">
        <v>0</v>
      </c>
      <c r="BT90" s="360">
        <v>0</v>
      </c>
      <c r="BU90" s="360">
        <v>170.43</v>
      </c>
      <c r="BV90" s="360">
        <v>22</v>
      </c>
      <c r="BW90" s="360">
        <v>0</v>
      </c>
      <c r="BX90" s="360">
        <v>0</v>
      </c>
      <c r="BY90" s="360">
        <v>0</v>
      </c>
      <c r="BZ90" s="360">
        <v>0</v>
      </c>
      <c r="CA90" s="360">
        <v>261.79000000000002</v>
      </c>
      <c r="CB90" s="360">
        <v>1</v>
      </c>
      <c r="CC90" s="360">
        <v>0</v>
      </c>
      <c r="CD90" s="360" t="s">
        <v>801</v>
      </c>
    </row>
    <row r="91" spans="1:82" x14ac:dyDescent="0.35">
      <c r="A91" s="360" t="s">
        <v>269</v>
      </c>
      <c r="B91" s="360" t="s">
        <v>270</v>
      </c>
      <c r="C91" s="360" t="s">
        <v>66</v>
      </c>
      <c r="D91" s="360" t="s">
        <v>77</v>
      </c>
      <c r="E91" s="360">
        <v>3829</v>
      </c>
      <c r="F91" s="360">
        <v>3559</v>
      </c>
      <c r="G91" s="360">
        <v>0</v>
      </c>
      <c r="H91" s="360">
        <v>270</v>
      </c>
      <c r="I91" s="360">
        <v>74.900000000000006</v>
      </c>
      <c r="J91" s="360">
        <v>3559</v>
      </c>
      <c r="K91" s="360">
        <v>74.900000000000006</v>
      </c>
      <c r="L91" s="360">
        <v>3559</v>
      </c>
      <c r="M91" s="360">
        <v>0</v>
      </c>
      <c r="N91" s="360">
        <v>0</v>
      </c>
      <c r="O91" s="360">
        <v>59.14</v>
      </c>
      <c r="P91" s="360">
        <v>31</v>
      </c>
      <c r="Q91" s="360">
        <v>67.88</v>
      </c>
      <c r="R91" s="360">
        <v>1131</v>
      </c>
      <c r="S91" s="360">
        <v>74.34</v>
      </c>
      <c r="T91" s="360">
        <v>1179</v>
      </c>
      <c r="U91" s="360">
        <v>82.03</v>
      </c>
      <c r="V91" s="360">
        <v>1145</v>
      </c>
      <c r="W91" s="360">
        <v>88</v>
      </c>
      <c r="X91" s="360">
        <v>73</v>
      </c>
      <c r="Y91" s="360">
        <v>0</v>
      </c>
      <c r="Z91" s="360">
        <v>0</v>
      </c>
      <c r="AA91" s="360">
        <v>0</v>
      </c>
      <c r="AB91" s="360">
        <v>0</v>
      </c>
      <c r="AC91" s="360">
        <v>64.89</v>
      </c>
      <c r="AD91" s="360">
        <v>270</v>
      </c>
      <c r="AE91" s="360">
        <v>64.89</v>
      </c>
      <c r="AF91" s="360">
        <v>270</v>
      </c>
      <c r="AG91" s="360">
        <v>0</v>
      </c>
      <c r="AH91" s="360">
        <v>0</v>
      </c>
      <c r="AI91" s="360">
        <v>59.66</v>
      </c>
      <c r="AJ91" s="360">
        <v>101</v>
      </c>
      <c r="AK91" s="360">
        <v>67.58</v>
      </c>
      <c r="AL91" s="360">
        <v>159</v>
      </c>
      <c r="AM91" s="360">
        <v>74.319999999999993</v>
      </c>
      <c r="AN91" s="360">
        <v>8</v>
      </c>
      <c r="AO91" s="360">
        <v>77.58</v>
      </c>
      <c r="AP91" s="360">
        <v>2</v>
      </c>
      <c r="AQ91" s="360">
        <v>0</v>
      </c>
      <c r="AR91" s="360">
        <v>0</v>
      </c>
      <c r="AS91" s="360">
        <v>0</v>
      </c>
      <c r="AT91" s="360">
        <v>0</v>
      </c>
      <c r="AU91" s="360">
        <v>0</v>
      </c>
      <c r="AV91" s="360">
        <v>0</v>
      </c>
      <c r="AW91" s="360">
        <v>0</v>
      </c>
      <c r="AX91" s="360">
        <v>0</v>
      </c>
      <c r="AY91" s="360">
        <v>0</v>
      </c>
      <c r="AZ91" s="360">
        <v>0</v>
      </c>
      <c r="BA91" s="360">
        <v>0</v>
      </c>
      <c r="BB91" s="360">
        <v>0</v>
      </c>
      <c r="BC91" s="360">
        <v>0</v>
      </c>
      <c r="BD91" s="360">
        <v>0</v>
      </c>
      <c r="BE91" s="360">
        <v>0</v>
      </c>
      <c r="BF91" s="360">
        <v>0</v>
      </c>
      <c r="BG91" s="360">
        <v>0</v>
      </c>
      <c r="BH91" s="360">
        <v>0</v>
      </c>
      <c r="BI91" s="360">
        <v>0</v>
      </c>
      <c r="BJ91" s="360">
        <v>0</v>
      </c>
      <c r="BK91" s="360">
        <v>0</v>
      </c>
      <c r="BL91" s="360">
        <v>0</v>
      </c>
      <c r="BM91" s="360">
        <v>0</v>
      </c>
      <c r="BN91" s="360">
        <v>0</v>
      </c>
      <c r="BO91" s="360">
        <v>0</v>
      </c>
      <c r="BP91" s="360">
        <v>0</v>
      </c>
      <c r="BQ91" s="360">
        <v>0</v>
      </c>
      <c r="BR91" s="360">
        <v>0</v>
      </c>
      <c r="BS91" s="360">
        <v>0</v>
      </c>
      <c r="BT91" s="360">
        <v>0</v>
      </c>
      <c r="BU91" s="360">
        <v>0</v>
      </c>
      <c r="BV91" s="360">
        <v>0</v>
      </c>
      <c r="BW91" s="360">
        <v>0</v>
      </c>
      <c r="BX91" s="360">
        <v>0</v>
      </c>
      <c r="BY91" s="360">
        <v>0</v>
      </c>
      <c r="BZ91" s="360">
        <v>0</v>
      </c>
      <c r="CA91" s="360">
        <v>0</v>
      </c>
      <c r="CB91" s="360">
        <v>0</v>
      </c>
      <c r="CC91" s="360">
        <v>0</v>
      </c>
      <c r="CD91" s="360" t="s">
        <v>271</v>
      </c>
    </row>
    <row r="92" spans="1:82" x14ac:dyDescent="0.35">
      <c r="A92" s="360" t="s">
        <v>272</v>
      </c>
      <c r="B92" s="360" t="s">
        <v>273</v>
      </c>
      <c r="C92" s="360" t="s">
        <v>66</v>
      </c>
      <c r="D92" s="360" t="s">
        <v>77</v>
      </c>
      <c r="E92" s="360">
        <v>3196</v>
      </c>
      <c r="F92" s="360">
        <v>2803</v>
      </c>
      <c r="G92" s="360">
        <v>0</v>
      </c>
      <c r="H92" s="360">
        <v>391</v>
      </c>
      <c r="I92" s="360">
        <v>83.37</v>
      </c>
      <c r="J92" s="360">
        <v>2743</v>
      </c>
      <c r="K92" s="360">
        <v>83.37</v>
      </c>
      <c r="L92" s="360">
        <v>2743</v>
      </c>
      <c r="M92" s="360">
        <v>0</v>
      </c>
      <c r="N92" s="360">
        <v>0</v>
      </c>
      <c r="O92" s="360">
        <v>0</v>
      </c>
      <c r="P92" s="360">
        <v>0</v>
      </c>
      <c r="Q92" s="360">
        <v>73.069999999999993</v>
      </c>
      <c r="R92" s="360">
        <v>533</v>
      </c>
      <c r="S92" s="360">
        <v>82.37</v>
      </c>
      <c r="T92" s="360">
        <v>1047</v>
      </c>
      <c r="U92" s="360">
        <v>88.92</v>
      </c>
      <c r="V92" s="360">
        <v>1145</v>
      </c>
      <c r="W92" s="360">
        <v>94.88</v>
      </c>
      <c r="X92" s="360">
        <v>16</v>
      </c>
      <c r="Y92" s="360">
        <v>91.52</v>
      </c>
      <c r="Z92" s="360">
        <v>2</v>
      </c>
      <c r="AA92" s="360">
        <v>0</v>
      </c>
      <c r="AB92" s="360">
        <v>0</v>
      </c>
      <c r="AC92" s="360">
        <v>68.67</v>
      </c>
      <c r="AD92" s="360">
        <v>364</v>
      </c>
      <c r="AE92" s="360">
        <v>68.67</v>
      </c>
      <c r="AF92" s="360">
        <v>364</v>
      </c>
      <c r="AG92" s="360">
        <v>0</v>
      </c>
      <c r="AH92" s="360">
        <v>0</v>
      </c>
      <c r="AI92" s="360">
        <v>53.79</v>
      </c>
      <c r="AJ92" s="360">
        <v>33</v>
      </c>
      <c r="AK92" s="360">
        <v>69.13</v>
      </c>
      <c r="AL92" s="360">
        <v>286</v>
      </c>
      <c r="AM92" s="360">
        <v>76.650000000000006</v>
      </c>
      <c r="AN92" s="360">
        <v>44</v>
      </c>
      <c r="AO92" s="360">
        <v>78.69</v>
      </c>
      <c r="AP92" s="360">
        <v>1</v>
      </c>
      <c r="AQ92" s="360">
        <v>0</v>
      </c>
      <c r="AR92" s="360">
        <v>0</v>
      </c>
      <c r="AS92" s="360">
        <v>112.43</v>
      </c>
      <c r="AT92" s="360">
        <v>60</v>
      </c>
      <c r="AU92" s="360">
        <v>112.43</v>
      </c>
      <c r="AV92" s="360">
        <v>60</v>
      </c>
      <c r="AW92" s="360">
        <v>0</v>
      </c>
      <c r="AX92" s="360">
        <v>0</v>
      </c>
      <c r="AY92" s="360">
        <v>0</v>
      </c>
      <c r="AZ92" s="360">
        <v>0</v>
      </c>
      <c r="BA92" s="360">
        <v>92.77</v>
      </c>
      <c r="BB92" s="360">
        <v>21</v>
      </c>
      <c r="BC92" s="360">
        <v>120.64</v>
      </c>
      <c r="BD92" s="360">
        <v>29</v>
      </c>
      <c r="BE92" s="360">
        <v>129.91</v>
      </c>
      <c r="BF92" s="360">
        <v>10</v>
      </c>
      <c r="BG92" s="360">
        <v>0</v>
      </c>
      <c r="BH92" s="360">
        <v>0</v>
      </c>
      <c r="BI92" s="360">
        <v>0</v>
      </c>
      <c r="BJ92" s="360">
        <v>0</v>
      </c>
      <c r="BK92" s="360">
        <v>0</v>
      </c>
      <c r="BL92" s="360">
        <v>0</v>
      </c>
      <c r="BM92" s="360">
        <v>88.89</v>
      </c>
      <c r="BN92" s="360">
        <v>27</v>
      </c>
      <c r="BO92" s="360">
        <v>88.89</v>
      </c>
      <c r="BP92" s="360">
        <v>27</v>
      </c>
      <c r="BQ92" s="360">
        <v>0</v>
      </c>
      <c r="BR92" s="360">
        <v>0</v>
      </c>
      <c r="BS92" s="360">
        <v>0</v>
      </c>
      <c r="BT92" s="360">
        <v>0</v>
      </c>
      <c r="BU92" s="360">
        <v>88.89</v>
      </c>
      <c r="BV92" s="360">
        <v>27</v>
      </c>
      <c r="BW92" s="360">
        <v>0</v>
      </c>
      <c r="BX92" s="360">
        <v>0</v>
      </c>
      <c r="BY92" s="360">
        <v>0</v>
      </c>
      <c r="BZ92" s="360">
        <v>0</v>
      </c>
      <c r="CA92" s="360">
        <v>0</v>
      </c>
      <c r="CB92" s="360">
        <v>0</v>
      </c>
      <c r="CC92" s="360">
        <v>2</v>
      </c>
      <c r="CD92" s="360" t="s">
        <v>274</v>
      </c>
    </row>
    <row r="93" spans="1:82" x14ac:dyDescent="0.35">
      <c r="A93" s="360" t="s">
        <v>275</v>
      </c>
      <c r="B93" s="360" t="s">
        <v>276</v>
      </c>
      <c r="C93" s="360" t="s">
        <v>67</v>
      </c>
      <c r="D93" s="360" t="s">
        <v>77</v>
      </c>
      <c r="E93" s="360">
        <v>7787</v>
      </c>
      <c r="F93" s="360">
        <v>7787</v>
      </c>
      <c r="G93" s="360">
        <v>0</v>
      </c>
      <c r="H93" s="360">
        <v>0</v>
      </c>
      <c r="I93" s="360">
        <v>87.12</v>
      </c>
      <c r="J93" s="360">
        <v>7768</v>
      </c>
      <c r="K93" s="360">
        <v>87.12</v>
      </c>
      <c r="L93" s="360">
        <v>7768</v>
      </c>
      <c r="M93" s="360">
        <v>0</v>
      </c>
      <c r="N93" s="360">
        <v>0</v>
      </c>
      <c r="O93" s="360">
        <v>65.790000000000006</v>
      </c>
      <c r="P93" s="360">
        <v>35</v>
      </c>
      <c r="Q93" s="360">
        <v>73.36</v>
      </c>
      <c r="R93" s="360">
        <v>2131</v>
      </c>
      <c r="S93" s="360">
        <v>85.31</v>
      </c>
      <c r="T93" s="360">
        <v>2124</v>
      </c>
      <c r="U93" s="360">
        <v>96.49</v>
      </c>
      <c r="V93" s="360">
        <v>3324</v>
      </c>
      <c r="W93" s="360">
        <v>104.02</v>
      </c>
      <c r="X93" s="360">
        <v>145</v>
      </c>
      <c r="Y93" s="360">
        <v>129.11000000000001</v>
      </c>
      <c r="Z93" s="360">
        <v>8</v>
      </c>
      <c r="AA93" s="360">
        <v>122.96</v>
      </c>
      <c r="AB93" s="360">
        <v>1</v>
      </c>
      <c r="AC93" s="360">
        <v>0</v>
      </c>
      <c r="AD93" s="360">
        <v>0</v>
      </c>
      <c r="AE93" s="360">
        <v>0</v>
      </c>
      <c r="AF93" s="360">
        <v>0</v>
      </c>
      <c r="AG93" s="360">
        <v>0</v>
      </c>
      <c r="AH93" s="360">
        <v>0</v>
      </c>
      <c r="AI93" s="360">
        <v>0</v>
      </c>
      <c r="AJ93" s="360">
        <v>0</v>
      </c>
      <c r="AK93" s="360">
        <v>0</v>
      </c>
      <c r="AL93" s="360">
        <v>0</v>
      </c>
      <c r="AM93" s="360">
        <v>0</v>
      </c>
      <c r="AN93" s="360">
        <v>0</v>
      </c>
      <c r="AO93" s="360">
        <v>0</v>
      </c>
      <c r="AP93" s="360">
        <v>0</v>
      </c>
      <c r="AQ93" s="360">
        <v>0</v>
      </c>
      <c r="AR93" s="360">
        <v>0</v>
      </c>
      <c r="AS93" s="360">
        <v>141.41</v>
      </c>
      <c r="AT93" s="360">
        <v>19</v>
      </c>
      <c r="AU93" s="360">
        <v>141.41</v>
      </c>
      <c r="AV93" s="360">
        <v>19</v>
      </c>
      <c r="AW93" s="360">
        <v>0</v>
      </c>
      <c r="AX93" s="360">
        <v>0</v>
      </c>
      <c r="AY93" s="360">
        <v>0</v>
      </c>
      <c r="AZ93" s="360">
        <v>0</v>
      </c>
      <c r="BA93" s="360">
        <v>0</v>
      </c>
      <c r="BB93" s="360">
        <v>0</v>
      </c>
      <c r="BC93" s="360">
        <v>139.4</v>
      </c>
      <c r="BD93" s="360">
        <v>17</v>
      </c>
      <c r="BE93" s="360">
        <v>158.55000000000001</v>
      </c>
      <c r="BF93" s="360">
        <v>2</v>
      </c>
      <c r="BG93" s="360">
        <v>0</v>
      </c>
      <c r="BH93" s="360">
        <v>0</v>
      </c>
      <c r="BI93" s="360">
        <v>0</v>
      </c>
      <c r="BJ93" s="360">
        <v>0</v>
      </c>
      <c r="BK93" s="360">
        <v>0</v>
      </c>
      <c r="BL93" s="360">
        <v>0</v>
      </c>
      <c r="BM93" s="360">
        <v>0</v>
      </c>
      <c r="BN93" s="360">
        <v>0</v>
      </c>
      <c r="BO93" s="360">
        <v>0</v>
      </c>
      <c r="BP93" s="360">
        <v>0</v>
      </c>
      <c r="BQ93" s="360">
        <v>0</v>
      </c>
      <c r="BR93" s="360">
        <v>0</v>
      </c>
      <c r="BS93" s="360">
        <v>0</v>
      </c>
      <c r="BT93" s="360">
        <v>0</v>
      </c>
      <c r="BU93" s="360">
        <v>0</v>
      </c>
      <c r="BV93" s="360">
        <v>0</v>
      </c>
      <c r="BW93" s="360">
        <v>0</v>
      </c>
      <c r="BX93" s="360">
        <v>0</v>
      </c>
      <c r="BY93" s="360">
        <v>0</v>
      </c>
      <c r="BZ93" s="360">
        <v>0</v>
      </c>
      <c r="CA93" s="360">
        <v>0</v>
      </c>
      <c r="CB93" s="360">
        <v>0</v>
      </c>
      <c r="CC93" s="360">
        <v>0</v>
      </c>
      <c r="CD93" s="360" t="s">
        <v>277</v>
      </c>
    </row>
    <row r="94" spans="1:82" x14ac:dyDescent="0.35">
      <c r="A94" s="360" t="s">
        <v>864</v>
      </c>
      <c r="B94" s="360" t="s">
        <v>865</v>
      </c>
      <c r="C94" s="360" t="s">
        <v>71</v>
      </c>
      <c r="D94" s="360" t="s">
        <v>77</v>
      </c>
      <c r="E94" s="360">
        <v>58</v>
      </c>
      <c r="F94" s="360">
        <v>4</v>
      </c>
      <c r="G94" s="360">
        <v>0</v>
      </c>
      <c r="H94" s="360">
        <v>0</v>
      </c>
      <c r="I94" s="360">
        <v>0</v>
      </c>
      <c r="J94" s="360">
        <v>0</v>
      </c>
      <c r="K94" s="360">
        <v>0</v>
      </c>
      <c r="L94" s="360">
        <v>0</v>
      </c>
      <c r="M94" s="360">
        <v>0</v>
      </c>
      <c r="N94" s="360">
        <v>0</v>
      </c>
      <c r="O94" s="360">
        <v>0</v>
      </c>
      <c r="P94" s="360">
        <v>0</v>
      </c>
      <c r="Q94" s="360">
        <v>0</v>
      </c>
      <c r="R94" s="360">
        <v>0</v>
      </c>
      <c r="S94" s="360">
        <v>0</v>
      </c>
      <c r="T94" s="360">
        <v>0</v>
      </c>
      <c r="U94" s="360">
        <v>0</v>
      </c>
      <c r="V94" s="360">
        <v>0</v>
      </c>
      <c r="W94" s="360">
        <v>0</v>
      </c>
      <c r="X94" s="360">
        <v>0</v>
      </c>
      <c r="Y94" s="360">
        <v>0</v>
      </c>
      <c r="Z94" s="360">
        <v>0</v>
      </c>
      <c r="AA94" s="360">
        <v>0</v>
      </c>
      <c r="AB94" s="360">
        <v>0</v>
      </c>
      <c r="AC94" s="360">
        <v>0</v>
      </c>
      <c r="AD94" s="360">
        <v>0</v>
      </c>
      <c r="AE94" s="360">
        <v>0</v>
      </c>
      <c r="AF94" s="360">
        <v>0</v>
      </c>
      <c r="AG94" s="360">
        <v>0</v>
      </c>
      <c r="AH94" s="360">
        <v>0</v>
      </c>
      <c r="AI94" s="360">
        <v>0</v>
      </c>
      <c r="AJ94" s="360">
        <v>0</v>
      </c>
      <c r="AK94" s="360">
        <v>0</v>
      </c>
      <c r="AL94" s="360">
        <v>0</v>
      </c>
      <c r="AM94" s="360">
        <v>0</v>
      </c>
      <c r="AN94" s="360">
        <v>0</v>
      </c>
      <c r="AO94" s="360">
        <v>0</v>
      </c>
      <c r="AP94" s="360">
        <v>0</v>
      </c>
      <c r="AQ94" s="360">
        <v>0</v>
      </c>
      <c r="AR94" s="360">
        <v>0</v>
      </c>
      <c r="AS94" s="360">
        <v>103.62</v>
      </c>
      <c r="AT94" s="360">
        <v>4</v>
      </c>
      <c r="AU94" s="360">
        <v>103.62</v>
      </c>
      <c r="AV94" s="360">
        <v>4</v>
      </c>
      <c r="AW94" s="360">
        <v>0</v>
      </c>
      <c r="AX94" s="360">
        <v>0</v>
      </c>
      <c r="AY94" s="360">
        <v>0</v>
      </c>
      <c r="AZ94" s="360">
        <v>0</v>
      </c>
      <c r="BA94" s="360">
        <v>103.62</v>
      </c>
      <c r="BB94" s="360">
        <v>3</v>
      </c>
      <c r="BC94" s="360">
        <v>103.62</v>
      </c>
      <c r="BD94" s="360">
        <v>1</v>
      </c>
      <c r="BE94" s="360">
        <v>0</v>
      </c>
      <c r="BF94" s="360">
        <v>0</v>
      </c>
      <c r="BG94" s="360">
        <v>0</v>
      </c>
      <c r="BH94" s="360">
        <v>0</v>
      </c>
      <c r="BI94" s="360">
        <v>0</v>
      </c>
      <c r="BJ94" s="360">
        <v>0</v>
      </c>
      <c r="BK94" s="360">
        <v>0</v>
      </c>
      <c r="BL94" s="360">
        <v>0</v>
      </c>
      <c r="BM94" s="360">
        <v>0</v>
      </c>
      <c r="BN94" s="360">
        <v>0</v>
      </c>
      <c r="BO94" s="360">
        <v>0</v>
      </c>
      <c r="BP94" s="360">
        <v>0</v>
      </c>
      <c r="BQ94" s="360">
        <v>0</v>
      </c>
      <c r="BR94" s="360">
        <v>0</v>
      </c>
      <c r="BS94" s="360">
        <v>0</v>
      </c>
      <c r="BT94" s="360">
        <v>0</v>
      </c>
      <c r="BU94" s="360">
        <v>0</v>
      </c>
      <c r="BV94" s="360">
        <v>0</v>
      </c>
      <c r="BW94" s="360">
        <v>0</v>
      </c>
      <c r="BX94" s="360">
        <v>0</v>
      </c>
      <c r="BY94" s="360">
        <v>0</v>
      </c>
      <c r="BZ94" s="360">
        <v>0</v>
      </c>
      <c r="CA94" s="360">
        <v>0</v>
      </c>
      <c r="CB94" s="360">
        <v>0</v>
      </c>
      <c r="CC94" s="360">
        <v>54</v>
      </c>
      <c r="CD94" s="360" t="s">
        <v>866</v>
      </c>
    </row>
    <row r="95" spans="1:82" x14ac:dyDescent="0.35">
      <c r="A95" s="360" t="s">
        <v>278</v>
      </c>
      <c r="B95" s="360" t="s">
        <v>279</v>
      </c>
      <c r="C95" s="360" t="s">
        <v>900</v>
      </c>
      <c r="D95" s="360" t="s">
        <v>77</v>
      </c>
      <c r="E95" s="360">
        <v>23132</v>
      </c>
      <c r="F95" s="360">
        <v>22350</v>
      </c>
      <c r="G95" s="360">
        <v>74</v>
      </c>
      <c r="H95" s="360">
        <v>708</v>
      </c>
      <c r="I95" s="360">
        <v>77.69</v>
      </c>
      <c r="J95" s="360">
        <v>21796</v>
      </c>
      <c r="K95" s="360">
        <v>77.739999999999995</v>
      </c>
      <c r="L95" s="360">
        <v>21722</v>
      </c>
      <c r="M95" s="360">
        <v>65.11</v>
      </c>
      <c r="N95" s="360">
        <v>74</v>
      </c>
      <c r="O95" s="360">
        <v>55.39</v>
      </c>
      <c r="P95" s="360">
        <v>39</v>
      </c>
      <c r="Q95" s="360">
        <v>66.59</v>
      </c>
      <c r="R95" s="360">
        <v>5008</v>
      </c>
      <c r="S95" s="360">
        <v>76.89</v>
      </c>
      <c r="T95" s="360">
        <v>7945</v>
      </c>
      <c r="U95" s="360">
        <v>84.18</v>
      </c>
      <c r="V95" s="360">
        <v>7688</v>
      </c>
      <c r="W95" s="360">
        <v>90.51</v>
      </c>
      <c r="X95" s="360">
        <v>941</v>
      </c>
      <c r="Y95" s="360">
        <v>96.55</v>
      </c>
      <c r="Z95" s="360">
        <v>92</v>
      </c>
      <c r="AA95" s="360">
        <v>105.17</v>
      </c>
      <c r="AB95" s="360">
        <v>9</v>
      </c>
      <c r="AC95" s="360">
        <v>67.22</v>
      </c>
      <c r="AD95" s="360">
        <v>708</v>
      </c>
      <c r="AE95" s="360">
        <v>67.87</v>
      </c>
      <c r="AF95" s="360">
        <v>695</v>
      </c>
      <c r="AG95" s="360">
        <v>32.299999999999997</v>
      </c>
      <c r="AH95" s="360">
        <v>13</v>
      </c>
      <c r="AI95" s="360">
        <v>55.89</v>
      </c>
      <c r="AJ95" s="360">
        <v>35</v>
      </c>
      <c r="AK95" s="360">
        <v>67.94</v>
      </c>
      <c r="AL95" s="360">
        <v>599</v>
      </c>
      <c r="AM95" s="360">
        <v>74.16</v>
      </c>
      <c r="AN95" s="360">
        <v>61</v>
      </c>
      <c r="AO95" s="360">
        <v>0</v>
      </c>
      <c r="AP95" s="360">
        <v>0</v>
      </c>
      <c r="AQ95" s="360">
        <v>0</v>
      </c>
      <c r="AR95" s="360">
        <v>0</v>
      </c>
      <c r="AS95" s="360">
        <v>96.63</v>
      </c>
      <c r="AT95" s="360">
        <v>628</v>
      </c>
      <c r="AU95" s="360">
        <v>96.63</v>
      </c>
      <c r="AV95" s="360">
        <v>628</v>
      </c>
      <c r="AW95" s="360">
        <v>0</v>
      </c>
      <c r="AX95" s="360">
        <v>0</v>
      </c>
      <c r="AY95" s="360">
        <v>0</v>
      </c>
      <c r="AZ95" s="360">
        <v>0</v>
      </c>
      <c r="BA95" s="360">
        <v>81.2</v>
      </c>
      <c r="BB95" s="360">
        <v>150</v>
      </c>
      <c r="BC95" s="360">
        <v>96.58</v>
      </c>
      <c r="BD95" s="360">
        <v>351</v>
      </c>
      <c r="BE95" s="360">
        <v>114.84</v>
      </c>
      <c r="BF95" s="360">
        <v>125</v>
      </c>
      <c r="BG95" s="360">
        <v>138</v>
      </c>
      <c r="BH95" s="360">
        <v>1</v>
      </c>
      <c r="BI95" s="360">
        <v>116.64</v>
      </c>
      <c r="BJ95" s="360">
        <v>1</v>
      </c>
      <c r="BK95" s="360">
        <v>0</v>
      </c>
      <c r="BL95" s="360">
        <v>0</v>
      </c>
      <c r="BM95" s="360">
        <v>0</v>
      </c>
      <c r="BN95" s="360">
        <v>0</v>
      </c>
      <c r="BO95" s="360">
        <v>0</v>
      </c>
      <c r="BP95" s="360">
        <v>0</v>
      </c>
      <c r="BQ95" s="360">
        <v>0</v>
      </c>
      <c r="BR95" s="360">
        <v>0</v>
      </c>
      <c r="BS95" s="360">
        <v>0</v>
      </c>
      <c r="BT95" s="360">
        <v>0</v>
      </c>
      <c r="BU95" s="360">
        <v>0</v>
      </c>
      <c r="BV95" s="360">
        <v>0</v>
      </c>
      <c r="BW95" s="360">
        <v>0</v>
      </c>
      <c r="BX95" s="360">
        <v>0</v>
      </c>
      <c r="BY95" s="360">
        <v>0</v>
      </c>
      <c r="BZ95" s="360">
        <v>0</v>
      </c>
      <c r="CA95" s="360">
        <v>0</v>
      </c>
      <c r="CB95" s="360">
        <v>0</v>
      </c>
      <c r="CC95" s="360">
        <v>0</v>
      </c>
      <c r="CD95" s="360" t="s">
        <v>280</v>
      </c>
    </row>
    <row r="96" spans="1:82" x14ac:dyDescent="0.35">
      <c r="A96" s="360" t="s">
        <v>281</v>
      </c>
      <c r="B96" s="360" t="s">
        <v>282</v>
      </c>
      <c r="C96" s="360" t="s">
        <v>900</v>
      </c>
      <c r="D96" s="360" t="s">
        <v>77</v>
      </c>
      <c r="E96" s="360">
        <v>21806</v>
      </c>
      <c r="F96" s="360">
        <v>21137</v>
      </c>
      <c r="G96" s="360">
        <v>0</v>
      </c>
      <c r="H96" s="360">
        <v>669</v>
      </c>
      <c r="I96" s="360">
        <v>74.33</v>
      </c>
      <c r="J96" s="360">
        <v>21137</v>
      </c>
      <c r="K96" s="360">
        <v>74.33</v>
      </c>
      <c r="L96" s="360">
        <v>21137</v>
      </c>
      <c r="M96" s="360">
        <v>0</v>
      </c>
      <c r="N96" s="360">
        <v>0</v>
      </c>
      <c r="O96" s="360">
        <v>54.25</v>
      </c>
      <c r="P96" s="360">
        <v>129</v>
      </c>
      <c r="Q96" s="360">
        <v>65.78</v>
      </c>
      <c r="R96" s="360">
        <v>9032</v>
      </c>
      <c r="S96" s="360">
        <v>77.16</v>
      </c>
      <c r="T96" s="360">
        <v>7453</v>
      </c>
      <c r="U96" s="360">
        <v>86.95</v>
      </c>
      <c r="V96" s="360">
        <v>4197</v>
      </c>
      <c r="W96" s="360">
        <v>91.88</v>
      </c>
      <c r="X96" s="360">
        <v>315</v>
      </c>
      <c r="Y96" s="360">
        <v>101.22</v>
      </c>
      <c r="Z96" s="360">
        <v>6</v>
      </c>
      <c r="AA96" s="360">
        <v>108.23</v>
      </c>
      <c r="AB96" s="360">
        <v>5</v>
      </c>
      <c r="AC96" s="360">
        <v>64.92</v>
      </c>
      <c r="AD96" s="360">
        <v>669</v>
      </c>
      <c r="AE96" s="360">
        <v>64.92</v>
      </c>
      <c r="AF96" s="360">
        <v>669</v>
      </c>
      <c r="AG96" s="360">
        <v>0</v>
      </c>
      <c r="AH96" s="360">
        <v>0</v>
      </c>
      <c r="AI96" s="360">
        <v>54.62</v>
      </c>
      <c r="AJ96" s="360">
        <v>213</v>
      </c>
      <c r="AK96" s="360">
        <v>66</v>
      </c>
      <c r="AL96" s="360">
        <v>362</v>
      </c>
      <c r="AM96" s="360">
        <v>84.63</v>
      </c>
      <c r="AN96" s="360">
        <v>89</v>
      </c>
      <c r="AO96" s="360">
        <v>74.39</v>
      </c>
      <c r="AP96" s="360">
        <v>5</v>
      </c>
      <c r="AQ96" s="360">
        <v>0</v>
      </c>
      <c r="AR96" s="360">
        <v>0</v>
      </c>
      <c r="AS96" s="360">
        <v>0</v>
      </c>
      <c r="AT96" s="360">
        <v>0</v>
      </c>
      <c r="AU96" s="360">
        <v>0</v>
      </c>
      <c r="AV96" s="360">
        <v>0</v>
      </c>
      <c r="AW96" s="360">
        <v>0</v>
      </c>
      <c r="AX96" s="360">
        <v>0</v>
      </c>
      <c r="AY96" s="360">
        <v>0</v>
      </c>
      <c r="AZ96" s="360">
        <v>0</v>
      </c>
      <c r="BA96" s="360">
        <v>0</v>
      </c>
      <c r="BB96" s="360">
        <v>0</v>
      </c>
      <c r="BC96" s="360">
        <v>0</v>
      </c>
      <c r="BD96" s="360">
        <v>0</v>
      </c>
      <c r="BE96" s="360">
        <v>0</v>
      </c>
      <c r="BF96" s="360">
        <v>0</v>
      </c>
      <c r="BG96" s="360">
        <v>0</v>
      </c>
      <c r="BH96" s="360">
        <v>0</v>
      </c>
      <c r="BI96" s="360">
        <v>0</v>
      </c>
      <c r="BJ96" s="360">
        <v>0</v>
      </c>
      <c r="BK96" s="360">
        <v>0</v>
      </c>
      <c r="BL96" s="360">
        <v>0</v>
      </c>
      <c r="BM96" s="360">
        <v>0</v>
      </c>
      <c r="BN96" s="360">
        <v>0</v>
      </c>
      <c r="BO96" s="360">
        <v>0</v>
      </c>
      <c r="BP96" s="360">
        <v>0</v>
      </c>
      <c r="BQ96" s="360">
        <v>0</v>
      </c>
      <c r="BR96" s="360">
        <v>0</v>
      </c>
      <c r="BS96" s="360">
        <v>0</v>
      </c>
      <c r="BT96" s="360">
        <v>0</v>
      </c>
      <c r="BU96" s="360">
        <v>0</v>
      </c>
      <c r="BV96" s="360">
        <v>0</v>
      </c>
      <c r="BW96" s="360">
        <v>0</v>
      </c>
      <c r="BX96" s="360">
        <v>0</v>
      </c>
      <c r="BY96" s="360">
        <v>0</v>
      </c>
      <c r="BZ96" s="360">
        <v>0</v>
      </c>
      <c r="CA96" s="360">
        <v>0</v>
      </c>
      <c r="CB96" s="360">
        <v>0</v>
      </c>
      <c r="CC96" s="360">
        <v>0</v>
      </c>
      <c r="CD96" s="360" t="s">
        <v>283</v>
      </c>
    </row>
    <row r="97" spans="1:82" x14ac:dyDescent="0.35">
      <c r="A97" s="360" t="s">
        <v>284</v>
      </c>
      <c r="B97" s="360" t="s">
        <v>285</v>
      </c>
      <c r="C97" s="360" t="s">
        <v>70</v>
      </c>
      <c r="D97" s="360" t="s">
        <v>77</v>
      </c>
      <c r="E97" s="360">
        <v>3630</v>
      </c>
      <c r="F97" s="360">
        <v>3044</v>
      </c>
      <c r="G97" s="360">
        <v>0</v>
      </c>
      <c r="H97" s="360">
        <v>585</v>
      </c>
      <c r="I97" s="360">
        <v>78.290000000000006</v>
      </c>
      <c r="J97" s="360">
        <v>3044</v>
      </c>
      <c r="K97" s="360">
        <v>78.290000000000006</v>
      </c>
      <c r="L97" s="360">
        <v>3044</v>
      </c>
      <c r="M97" s="360">
        <v>0</v>
      </c>
      <c r="N97" s="360">
        <v>0</v>
      </c>
      <c r="O97" s="360">
        <v>69.31</v>
      </c>
      <c r="P97" s="360">
        <v>17</v>
      </c>
      <c r="Q97" s="360">
        <v>70.569999999999993</v>
      </c>
      <c r="R97" s="360">
        <v>735</v>
      </c>
      <c r="S97" s="360">
        <v>76.239999999999995</v>
      </c>
      <c r="T97" s="360">
        <v>1083</v>
      </c>
      <c r="U97" s="360">
        <v>84.53</v>
      </c>
      <c r="V97" s="360">
        <v>1119</v>
      </c>
      <c r="W97" s="360">
        <v>89.78</v>
      </c>
      <c r="X97" s="360">
        <v>86</v>
      </c>
      <c r="Y97" s="360">
        <v>94.5</v>
      </c>
      <c r="Z97" s="360">
        <v>3</v>
      </c>
      <c r="AA97" s="360">
        <v>106.5</v>
      </c>
      <c r="AB97" s="360">
        <v>1</v>
      </c>
      <c r="AC97" s="360">
        <v>73.739999999999995</v>
      </c>
      <c r="AD97" s="360">
        <v>585</v>
      </c>
      <c r="AE97" s="360">
        <v>73.739999999999995</v>
      </c>
      <c r="AF97" s="360">
        <v>585</v>
      </c>
      <c r="AG97" s="360">
        <v>0</v>
      </c>
      <c r="AH97" s="360">
        <v>0</v>
      </c>
      <c r="AI97" s="360">
        <v>64.819999999999993</v>
      </c>
      <c r="AJ97" s="360">
        <v>69</v>
      </c>
      <c r="AK97" s="360">
        <v>74.05</v>
      </c>
      <c r="AL97" s="360">
        <v>462</v>
      </c>
      <c r="AM97" s="360">
        <v>82.49</v>
      </c>
      <c r="AN97" s="360">
        <v>54</v>
      </c>
      <c r="AO97" s="360">
        <v>0</v>
      </c>
      <c r="AP97" s="360">
        <v>0</v>
      </c>
      <c r="AQ97" s="360">
        <v>0</v>
      </c>
      <c r="AR97" s="360">
        <v>0</v>
      </c>
      <c r="AS97" s="360">
        <v>0</v>
      </c>
      <c r="AT97" s="360">
        <v>0</v>
      </c>
      <c r="AU97" s="360">
        <v>0</v>
      </c>
      <c r="AV97" s="360">
        <v>0</v>
      </c>
      <c r="AW97" s="360">
        <v>0</v>
      </c>
      <c r="AX97" s="360">
        <v>0</v>
      </c>
      <c r="AY97" s="360">
        <v>0</v>
      </c>
      <c r="AZ97" s="360">
        <v>0</v>
      </c>
      <c r="BA97" s="360">
        <v>0</v>
      </c>
      <c r="BB97" s="360">
        <v>0</v>
      </c>
      <c r="BC97" s="360">
        <v>0</v>
      </c>
      <c r="BD97" s="360">
        <v>0</v>
      </c>
      <c r="BE97" s="360">
        <v>0</v>
      </c>
      <c r="BF97" s="360">
        <v>0</v>
      </c>
      <c r="BG97" s="360">
        <v>0</v>
      </c>
      <c r="BH97" s="360">
        <v>0</v>
      </c>
      <c r="BI97" s="360">
        <v>0</v>
      </c>
      <c r="BJ97" s="360">
        <v>0</v>
      </c>
      <c r="BK97" s="360">
        <v>0</v>
      </c>
      <c r="BL97" s="360">
        <v>0</v>
      </c>
      <c r="BM97" s="360">
        <v>0</v>
      </c>
      <c r="BN97" s="360">
        <v>0</v>
      </c>
      <c r="BO97" s="360">
        <v>0</v>
      </c>
      <c r="BP97" s="360">
        <v>0</v>
      </c>
      <c r="BQ97" s="360">
        <v>0</v>
      </c>
      <c r="BR97" s="360">
        <v>0</v>
      </c>
      <c r="BS97" s="360">
        <v>0</v>
      </c>
      <c r="BT97" s="360">
        <v>0</v>
      </c>
      <c r="BU97" s="360">
        <v>0</v>
      </c>
      <c r="BV97" s="360">
        <v>0</v>
      </c>
      <c r="BW97" s="360">
        <v>0</v>
      </c>
      <c r="BX97" s="360">
        <v>0</v>
      </c>
      <c r="BY97" s="360">
        <v>0</v>
      </c>
      <c r="BZ97" s="360">
        <v>0</v>
      </c>
      <c r="CA97" s="360">
        <v>0</v>
      </c>
      <c r="CB97" s="360">
        <v>0</v>
      </c>
      <c r="CC97" s="360">
        <v>1</v>
      </c>
      <c r="CD97" s="360" t="s">
        <v>286</v>
      </c>
    </row>
    <row r="98" spans="1:82" x14ac:dyDescent="0.35">
      <c r="A98" s="360" t="s">
        <v>287</v>
      </c>
      <c r="B98" s="360" t="s">
        <v>288</v>
      </c>
      <c r="C98" s="360" t="s">
        <v>900</v>
      </c>
      <c r="D98" s="360" t="s">
        <v>77</v>
      </c>
      <c r="E98" s="360">
        <v>53414</v>
      </c>
      <c r="F98" s="360">
        <v>49306</v>
      </c>
      <c r="G98" s="360">
        <v>0</v>
      </c>
      <c r="H98" s="360">
        <v>4101</v>
      </c>
      <c r="I98" s="360">
        <v>78.28</v>
      </c>
      <c r="J98" s="360">
        <v>49016</v>
      </c>
      <c r="K98" s="360">
        <v>78.28</v>
      </c>
      <c r="L98" s="360">
        <v>49016</v>
      </c>
      <c r="M98" s="360">
        <v>0</v>
      </c>
      <c r="N98" s="360">
        <v>0</v>
      </c>
      <c r="O98" s="360">
        <v>66.22</v>
      </c>
      <c r="P98" s="360">
        <v>159</v>
      </c>
      <c r="Q98" s="360">
        <v>68.239999999999995</v>
      </c>
      <c r="R98" s="360">
        <v>11899</v>
      </c>
      <c r="S98" s="360">
        <v>77.900000000000006</v>
      </c>
      <c r="T98" s="360">
        <v>20601</v>
      </c>
      <c r="U98" s="360">
        <v>85.55</v>
      </c>
      <c r="V98" s="360">
        <v>14513</v>
      </c>
      <c r="W98" s="360">
        <v>90.39</v>
      </c>
      <c r="X98" s="360">
        <v>1719</v>
      </c>
      <c r="Y98" s="360">
        <v>101.46</v>
      </c>
      <c r="Z98" s="360">
        <v>98</v>
      </c>
      <c r="AA98" s="360">
        <v>101.39</v>
      </c>
      <c r="AB98" s="360">
        <v>27</v>
      </c>
      <c r="AC98" s="360">
        <v>74.11</v>
      </c>
      <c r="AD98" s="360">
        <v>4063</v>
      </c>
      <c r="AE98" s="360">
        <v>74.11</v>
      </c>
      <c r="AF98" s="360">
        <v>4063</v>
      </c>
      <c r="AG98" s="360">
        <v>0</v>
      </c>
      <c r="AH98" s="360">
        <v>0</v>
      </c>
      <c r="AI98" s="360">
        <v>61.04</v>
      </c>
      <c r="AJ98" s="360">
        <v>119</v>
      </c>
      <c r="AK98" s="360">
        <v>72.72</v>
      </c>
      <c r="AL98" s="360">
        <v>3003</v>
      </c>
      <c r="AM98" s="360">
        <v>80.17</v>
      </c>
      <c r="AN98" s="360">
        <v>935</v>
      </c>
      <c r="AO98" s="360">
        <v>81.819999999999993</v>
      </c>
      <c r="AP98" s="360">
        <v>6</v>
      </c>
      <c r="AQ98" s="360">
        <v>0</v>
      </c>
      <c r="AR98" s="360">
        <v>0</v>
      </c>
      <c r="AS98" s="360">
        <v>124.37</v>
      </c>
      <c r="AT98" s="360">
        <v>290</v>
      </c>
      <c r="AU98" s="360">
        <v>124.37</v>
      </c>
      <c r="AV98" s="360">
        <v>290</v>
      </c>
      <c r="AW98" s="360">
        <v>0</v>
      </c>
      <c r="AX98" s="360">
        <v>0</v>
      </c>
      <c r="AY98" s="360">
        <v>0</v>
      </c>
      <c r="AZ98" s="360">
        <v>0</v>
      </c>
      <c r="BA98" s="360">
        <v>115.36</v>
      </c>
      <c r="BB98" s="360">
        <v>32</v>
      </c>
      <c r="BC98" s="360">
        <v>120.8</v>
      </c>
      <c r="BD98" s="360">
        <v>147</v>
      </c>
      <c r="BE98" s="360">
        <v>129.83000000000001</v>
      </c>
      <c r="BF98" s="360">
        <v>103</v>
      </c>
      <c r="BG98" s="360">
        <v>129.01</v>
      </c>
      <c r="BH98" s="360">
        <v>7</v>
      </c>
      <c r="BI98" s="360">
        <v>0</v>
      </c>
      <c r="BJ98" s="360">
        <v>0</v>
      </c>
      <c r="BK98" s="360">
        <v>343.37</v>
      </c>
      <c r="BL98" s="360">
        <v>1</v>
      </c>
      <c r="BM98" s="360">
        <v>148.44999999999999</v>
      </c>
      <c r="BN98" s="360">
        <v>38</v>
      </c>
      <c r="BO98" s="360">
        <v>148.44999999999999</v>
      </c>
      <c r="BP98" s="360">
        <v>38</v>
      </c>
      <c r="BQ98" s="360">
        <v>0</v>
      </c>
      <c r="BR98" s="360">
        <v>0</v>
      </c>
      <c r="BS98" s="360">
        <v>0</v>
      </c>
      <c r="BT98" s="360">
        <v>0</v>
      </c>
      <c r="BU98" s="360">
        <v>144.44999999999999</v>
      </c>
      <c r="BV98" s="360">
        <v>15</v>
      </c>
      <c r="BW98" s="360">
        <v>151.07</v>
      </c>
      <c r="BX98" s="360">
        <v>23</v>
      </c>
      <c r="BY98" s="360">
        <v>0</v>
      </c>
      <c r="BZ98" s="360">
        <v>0</v>
      </c>
      <c r="CA98" s="360">
        <v>0</v>
      </c>
      <c r="CB98" s="360">
        <v>0</v>
      </c>
      <c r="CC98" s="360">
        <v>7</v>
      </c>
      <c r="CD98" s="360" t="s">
        <v>289</v>
      </c>
    </row>
    <row r="99" spans="1:82" x14ac:dyDescent="0.35">
      <c r="A99" s="360" t="s">
        <v>290</v>
      </c>
      <c r="B99" s="360" t="s">
        <v>291</v>
      </c>
      <c r="C99" s="360" t="s">
        <v>66</v>
      </c>
      <c r="D99" s="360" t="s">
        <v>77</v>
      </c>
      <c r="E99" s="360">
        <v>19497</v>
      </c>
      <c r="F99" s="360">
        <v>19389</v>
      </c>
      <c r="G99" s="360">
        <v>3</v>
      </c>
      <c r="H99" s="360">
        <v>105</v>
      </c>
      <c r="I99" s="360">
        <v>74.62</v>
      </c>
      <c r="J99" s="360">
        <v>18661</v>
      </c>
      <c r="K99" s="360">
        <v>74.62</v>
      </c>
      <c r="L99" s="360">
        <v>18658</v>
      </c>
      <c r="M99" s="360">
        <v>37.700000000000003</v>
      </c>
      <c r="N99" s="360">
        <v>3</v>
      </c>
      <c r="O99" s="360">
        <v>59.32</v>
      </c>
      <c r="P99" s="360">
        <v>346</v>
      </c>
      <c r="Q99" s="360">
        <v>65.02</v>
      </c>
      <c r="R99" s="360">
        <v>6836</v>
      </c>
      <c r="S99" s="360">
        <v>75.239999999999995</v>
      </c>
      <c r="T99" s="360">
        <v>4329</v>
      </c>
      <c r="U99" s="360">
        <v>83.37</v>
      </c>
      <c r="V99" s="360">
        <v>6639</v>
      </c>
      <c r="W99" s="360">
        <v>92.85</v>
      </c>
      <c r="X99" s="360">
        <v>406</v>
      </c>
      <c r="Y99" s="360">
        <v>100.99</v>
      </c>
      <c r="Z99" s="360">
        <v>88</v>
      </c>
      <c r="AA99" s="360">
        <v>117.84</v>
      </c>
      <c r="AB99" s="360">
        <v>14</v>
      </c>
      <c r="AC99" s="360">
        <v>74.81</v>
      </c>
      <c r="AD99" s="360">
        <v>105</v>
      </c>
      <c r="AE99" s="360">
        <v>84.26</v>
      </c>
      <c r="AF99" s="360">
        <v>44</v>
      </c>
      <c r="AG99" s="360">
        <v>68</v>
      </c>
      <c r="AH99" s="360">
        <v>61</v>
      </c>
      <c r="AI99" s="360">
        <v>83.9</v>
      </c>
      <c r="AJ99" s="360">
        <v>20</v>
      </c>
      <c r="AK99" s="360">
        <v>84.07</v>
      </c>
      <c r="AL99" s="360">
        <v>6</v>
      </c>
      <c r="AM99" s="360">
        <v>84.74</v>
      </c>
      <c r="AN99" s="360">
        <v>18</v>
      </c>
      <c r="AO99" s="360">
        <v>0</v>
      </c>
      <c r="AP99" s="360">
        <v>0</v>
      </c>
      <c r="AQ99" s="360">
        <v>0</v>
      </c>
      <c r="AR99" s="360">
        <v>0</v>
      </c>
      <c r="AS99" s="360">
        <v>123.81</v>
      </c>
      <c r="AT99" s="360">
        <v>731</v>
      </c>
      <c r="AU99" s="360">
        <v>123.81</v>
      </c>
      <c r="AV99" s="360">
        <v>731</v>
      </c>
      <c r="AW99" s="360">
        <v>0</v>
      </c>
      <c r="AX99" s="360">
        <v>0</v>
      </c>
      <c r="AY99" s="360">
        <v>71.08</v>
      </c>
      <c r="AZ99" s="360">
        <v>30</v>
      </c>
      <c r="BA99" s="360">
        <v>92.06</v>
      </c>
      <c r="BB99" s="360">
        <v>49</v>
      </c>
      <c r="BC99" s="360">
        <v>109.77</v>
      </c>
      <c r="BD99" s="360">
        <v>225</v>
      </c>
      <c r="BE99" s="360">
        <v>137.47</v>
      </c>
      <c r="BF99" s="360">
        <v>371</v>
      </c>
      <c r="BG99" s="360">
        <v>143.06</v>
      </c>
      <c r="BH99" s="360">
        <v>48</v>
      </c>
      <c r="BI99" s="360">
        <v>162.35</v>
      </c>
      <c r="BJ99" s="360">
        <v>8</v>
      </c>
      <c r="BK99" s="360">
        <v>0</v>
      </c>
      <c r="BL99" s="360">
        <v>0</v>
      </c>
      <c r="BM99" s="360">
        <v>0</v>
      </c>
      <c r="BN99" s="360">
        <v>0</v>
      </c>
      <c r="BO99" s="360">
        <v>0</v>
      </c>
      <c r="BP99" s="360">
        <v>0</v>
      </c>
      <c r="BQ99" s="360">
        <v>0</v>
      </c>
      <c r="BR99" s="360">
        <v>0</v>
      </c>
      <c r="BS99" s="360">
        <v>0</v>
      </c>
      <c r="BT99" s="360">
        <v>0</v>
      </c>
      <c r="BU99" s="360">
        <v>0</v>
      </c>
      <c r="BV99" s="360">
        <v>0</v>
      </c>
      <c r="BW99" s="360">
        <v>0</v>
      </c>
      <c r="BX99" s="360">
        <v>0</v>
      </c>
      <c r="BY99" s="360">
        <v>0</v>
      </c>
      <c r="BZ99" s="360">
        <v>0</v>
      </c>
      <c r="CA99" s="360">
        <v>0</v>
      </c>
      <c r="CB99" s="360">
        <v>0</v>
      </c>
      <c r="CC99" s="360">
        <v>0</v>
      </c>
      <c r="CD99" s="360" t="s">
        <v>292</v>
      </c>
    </row>
    <row r="100" spans="1:82" x14ac:dyDescent="0.35">
      <c r="A100" s="360" t="s">
        <v>293</v>
      </c>
      <c r="B100" s="360" t="s">
        <v>294</v>
      </c>
      <c r="C100" s="360" t="s">
        <v>71</v>
      </c>
      <c r="D100" s="360" t="s">
        <v>77</v>
      </c>
      <c r="E100" s="360">
        <v>3217</v>
      </c>
      <c r="F100" s="360">
        <v>2827</v>
      </c>
      <c r="G100" s="360">
        <v>0</v>
      </c>
      <c r="H100" s="360">
        <v>385</v>
      </c>
      <c r="I100" s="360">
        <v>96.11</v>
      </c>
      <c r="J100" s="360">
        <v>2762</v>
      </c>
      <c r="K100" s="360">
        <v>96.11</v>
      </c>
      <c r="L100" s="360">
        <v>2762</v>
      </c>
      <c r="M100" s="360">
        <v>0</v>
      </c>
      <c r="N100" s="360">
        <v>0</v>
      </c>
      <c r="O100" s="360">
        <v>69.08</v>
      </c>
      <c r="P100" s="360">
        <v>50</v>
      </c>
      <c r="Q100" s="360">
        <v>79.03</v>
      </c>
      <c r="R100" s="360">
        <v>693</v>
      </c>
      <c r="S100" s="360">
        <v>94.16</v>
      </c>
      <c r="T100" s="360">
        <v>1055</v>
      </c>
      <c r="U100" s="360">
        <v>111.16</v>
      </c>
      <c r="V100" s="360">
        <v>889</v>
      </c>
      <c r="W100" s="360">
        <v>120.31</v>
      </c>
      <c r="X100" s="360">
        <v>71</v>
      </c>
      <c r="Y100" s="360">
        <v>133.77000000000001</v>
      </c>
      <c r="Z100" s="360">
        <v>4</v>
      </c>
      <c r="AA100" s="360">
        <v>0</v>
      </c>
      <c r="AB100" s="360">
        <v>0</v>
      </c>
      <c r="AC100" s="360">
        <v>80.13</v>
      </c>
      <c r="AD100" s="360">
        <v>379</v>
      </c>
      <c r="AE100" s="360">
        <v>80.13</v>
      </c>
      <c r="AF100" s="360">
        <v>379</v>
      </c>
      <c r="AG100" s="360">
        <v>0</v>
      </c>
      <c r="AH100" s="360">
        <v>0</v>
      </c>
      <c r="AI100" s="360">
        <v>62.16</v>
      </c>
      <c r="AJ100" s="360">
        <v>89</v>
      </c>
      <c r="AK100" s="360">
        <v>80.06</v>
      </c>
      <c r="AL100" s="360">
        <v>201</v>
      </c>
      <c r="AM100" s="360">
        <v>98.22</v>
      </c>
      <c r="AN100" s="360">
        <v>87</v>
      </c>
      <c r="AO100" s="360">
        <v>101.54</v>
      </c>
      <c r="AP100" s="360">
        <v>2</v>
      </c>
      <c r="AQ100" s="360">
        <v>0</v>
      </c>
      <c r="AR100" s="360">
        <v>0</v>
      </c>
      <c r="AS100" s="360">
        <v>169.65</v>
      </c>
      <c r="AT100" s="360">
        <v>65</v>
      </c>
      <c r="AU100" s="360">
        <v>169.65</v>
      </c>
      <c r="AV100" s="360">
        <v>65</v>
      </c>
      <c r="AW100" s="360">
        <v>0</v>
      </c>
      <c r="AX100" s="360">
        <v>0</v>
      </c>
      <c r="AY100" s="360">
        <v>0</v>
      </c>
      <c r="AZ100" s="360">
        <v>0</v>
      </c>
      <c r="BA100" s="360">
        <v>133.88999999999999</v>
      </c>
      <c r="BB100" s="360">
        <v>21</v>
      </c>
      <c r="BC100" s="360">
        <v>174.46</v>
      </c>
      <c r="BD100" s="360">
        <v>36</v>
      </c>
      <c r="BE100" s="360">
        <v>247.29</v>
      </c>
      <c r="BF100" s="360">
        <v>7</v>
      </c>
      <c r="BG100" s="360">
        <v>0</v>
      </c>
      <c r="BH100" s="360">
        <v>0</v>
      </c>
      <c r="BI100" s="360">
        <v>204.19</v>
      </c>
      <c r="BJ100" s="360">
        <v>1</v>
      </c>
      <c r="BK100" s="360">
        <v>0</v>
      </c>
      <c r="BL100" s="360">
        <v>0</v>
      </c>
      <c r="BM100" s="360">
        <v>148.11000000000001</v>
      </c>
      <c r="BN100" s="360">
        <v>6</v>
      </c>
      <c r="BO100" s="360">
        <v>148.11000000000001</v>
      </c>
      <c r="BP100" s="360">
        <v>6</v>
      </c>
      <c r="BQ100" s="360">
        <v>0</v>
      </c>
      <c r="BR100" s="360">
        <v>0</v>
      </c>
      <c r="BS100" s="360">
        <v>0</v>
      </c>
      <c r="BT100" s="360">
        <v>0</v>
      </c>
      <c r="BU100" s="360">
        <v>148.11000000000001</v>
      </c>
      <c r="BV100" s="360">
        <v>6</v>
      </c>
      <c r="BW100" s="360">
        <v>0</v>
      </c>
      <c r="BX100" s="360">
        <v>0</v>
      </c>
      <c r="BY100" s="360">
        <v>0</v>
      </c>
      <c r="BZ100" s="360">
        <v>0</v>
      </c>
      <c r="CA100" s="360">
        <v>0</v>
      </c>
      <c r="CB100" s="360">
        <v>0</v>
      </c>
      <c r="CC100" s="360">
        <v>5</v>
      </c>
      <c r="CD100" s="360" t="s">
        <v>295</v>
      </c>
    </row>
    <row r="101" spans="1:82" x14ac:dyDescent="0.35">
      <c r="A101" s="363" t="s">
        <v>867</v>
      </c>
      <c r="B101" s="363" t="s">
        <v>868</v>
      </c>
      <c r="C101" s="363" t="s">
        <v>73</v>
      </c>
      <c r="D101" s="363" t="s">
        <v>77</v>
      </c>
      <c r="E101" s="363">
        <v>6</v>
      </c>
      <c r="F101" s="360">
        <v>6</v>
      </c>
      <c r="G101" s="360">
        <v>0</v>
      </c>
      <c r="H101" s="360">
        <v>0</v>
      </c>
      <c r="I101" s="363">
        <v>0</v>
      </c>
      <c r="J101" s="363">
        <v>0</v>
      </c>
      <c r="K101" s="363">
        <v>0</v>
      </c>
      <c r="L101" s="363">
        <v>0</v>
      </c>
      <c r="M101" s="363">
        <v>0</v>
      </c>
      <c r="N101" s="363">
        <v>0</v>
      </c>
      <c r="O101" s="363">
        <v>0</v>
      </c>
      <c r="P101" s="363">
        <v>0</v>
      </c>
      <c r="Q101" s="363">
        <v>0</v>
      </c>
      <c r="R101" s="363">
        <v>0</v>
      </c>
      <c r="S101" s="363">
        <v>0</v>
      </c>
      <c r="T101" s="363">
        <v>0</v>
      </c>
      <c r="U101" s="363">
        <v>0</v>
      </c>
      <c r="V101" s="363">
        <v>0</v>
      </c>
      <c r="W101" s="363">
        <v>0</v>
      </c>
      <c r="X101" s="363">
        <v>0</v>
      </c>
      <c r="Y101" s="363">
        <v>0</v>
      </c>
      <c r="Z101" s="363">
        <v>0</v>
      </c>
      <c r="AA101" s="363">
        <v>0</v>
      </c>
      <c r="AB101" s="363">
        <v>0</v>
      </c>
      <c r="AC101" s="363">
        <v>0</v>
      </c>
      <c r="AD101" s="363">
        <v>0</v>
      </c>
      <c r="AE101" s="363">
        <v>0</v>
      </c>
      <c r="AF101" s="363">
        <v>0</v>
      </c>
      <c r="AG101" s="363">
        <v>0</v>
      </c>
      <c r="AH101" s="363">
        <v>0</v>
      </c>
      <c r="AI101" s="363">
        <v>0</v>
      </c>
      <c r="AJ101" s="363">
        <v>0</v>
      </c>
      <c r="AK101" s="363">
        <v>0</v>
      </c>
      <c r="AL101" s="363">
        <v>0</v>
      </c>
      <c r="AM101" s="363">
        <v>0</v>
      </c>
      <c r="AN101" s="363">
        <v>0</v>
      </c>
      <c r="AO101" s="363">
        <v>0</v>
      </c>
      <c r="AP101" s="363">
        <v>0</v>
      </c>
      <c r="AQ101" s="363">
        <v>0</v>
      </c>
      <c r="AR101" s="363">
        <v>0</v>
      </c>
      <c r="AS101" s="363">
        <v>112.19</v>
      </c>
      <c r="AT101" s="363">
        <v>6</v>
      </c>
      <c r="AU101" s="363">
        <v>112.19</v>
      </c>
      <c r="AV101" s="363">
        <v>6</v>
      </c>
      <c r="AW101" s="363">
        <v>0</v>
      </c>
      <c r="AX101" s="363">
        <v>0</v>
      </c>
      <c r="AY101" s="363">
        <v>0</v>
      </c>
      <c r="AZ101" s="363">
        <v>0</v>
      </c>
      <c r="BA101" s="363">
        <v>97.81</v>
      </c>
      <c r="BB101" s="363">
        <v>3</v>
      </c>
      <c r="BC101" s="363">
        <v>126.58</v>
      </c>
      <c r="BD101" s="363">
        <v>3</v>
      </c>
      <c r="BE101" s="363">
        <v>0</v>
      </c>
      <c r="BF101" s="363">
        <v>0</v>
      </c>
      <c r="BG101" s="363">
        <v>0</v>
      </c>
      <c r="BH101" s="363">
        <v>0</v>
      </c>
      <c r="BI101" s="363">
        <v>0</v>
      </c>
      <c r="BJ101" s="363">
        <v>0</v>
      </c>
      <c r="BK101" s="363">
        <v>0</v>
      </c>
      <c r="BL101" s="363">
        <v>0</v>
      </c>
      <c r="BM101" s="363">
        <v>0</v>
      </c>
      <c r="BN101" s="363">
        <v>0</v>
      </c>
      <c r="BO101" s="363">
        <v>0</v>
      </c>
      <c r="BP101" s="363">
        <v>0</v>
      </c>
      <c r="BQ101" s="363">
        <v>0</v>
      </c>
      <c r="BR101" s="363">
        <v>0</v>
      </c>
      <c r="BS101" s="363">
        <v>0</v>
      </c>
      <c r="BT101" s="363">
        <v>0</v>
      </c>
      <c r="BU101" s="363">
        <v>0</v>
      </c>
      <c r="BV101" s="363">
        <v>0</v>
      </c>
      <c r="BW101" s="363">
        <v>0</v>
      </c>
      <c r="BX101" s="363">
        <v>0</v>
      </c>
      <c r="BY101" s="363">
        <v>0</v>
      </c>
      <c r="BZ101" s="363">
        <v>0</v>
      </c>
      <c r="CA101" s="363">
        <v>0</v>
      </c>
      <c r="CB101" s="363">
        <v>0</v>
      </c>
      <c r="CC101" s="363">
        <v>0</v>
      </c>
      <c r="CD101" s="363" t="s">
        <v>869</v>
      </c>
    </row>
    <row r="102" spans="1:82" x14ac:dyDescent="0.35">
      <c r="A102" s="360" t="s">
        <v>907</v>
      </c>
      <c r="B102" s="360" t="s">
        <v>296</v>
      </c>
      <c r="C102" s="360" t="s">
        <v>70</v>
      </c>
      <c r="D102" s="360" t="s">
        <v>77</v>
      </c>
      <c r="E102" s="360">
        <v>6</v>
      </c>
      <c r="F102" s="360">
        <v>6</v>
      </c>
      <c r="G102" s="360">
        <v>0</v>
      </c>
      <c r="H102" s="360">
        <v>0</v>
      </c>
      <c r="I102" s="360">
        <v>85.54</v>
      </c>
      <c r="J102" s="360">
        <v>6</v>
      </c>
      <c r="K102" s="360">
        <v>85.54</v>
      </c>
      <c r="L102" s="360">
        <v>6</v>
      </c>
      <c r="M102" s="360">
        <v>0</v>
      </c>
      <c r="N102" s="360">
        <v>0</v>
      </c>
      <c r="O102" s="360">
        <v>0</v>
      </c>
      <c r="P102" s="360">
        <v>0</v>
      </c>
      <c r="Q102" s="360">
        <v>0</v>
      </c>
      <c r="R102" s="360">
        <v>0</v>
      </c>
      <c r="S102" s="360">
        <v>76.400000000000006</v>
      </c>
      <c r="T102" s="360">
        <v>4</v>
      </c>
      <c r="U102" s="360">
        <v>85.97</v>
      </c>
      <c r="V102" s="360">
        <v>1</v>
      </c>
      <c r="W102" s="360">
        <v>0</v>
      </c>
      <c r="X102" s="360">
        <v>0</v>
      </c>
      <c r="Y102" s="360">
        <v>0</v>
      </c>
      <c r="Z102" s="360">
        <v>0</v>
      </c>
      <c r="AA102" s="360">
        <v>121.68</v>
      </c>
      <c r="AB102" s="360">
        <v>1</v>
      </c>
      <c r="AC102" s="360">
        <v>0</v>
      </c>
      <c r="AD102" s="360">
        <v>0</v>
      </c>
      <c r="AE102" s="360">
        <v>0</v>
      </c>
      <c r="AF102" s="360">
        <v>0</v>
      </c>
      <c r="AG102" s="360">
        <v>0</v>
      </c>
      <c r="AH102" s="360">
        <v>0</v>
      </c>
      <c r="AI102" s="360">
        <v>0</v>
      </c>
      <c r="AJ102" s="360">
        <v>0</v>
      </c>
      <c r="AK102" s="360">
        <v>0</v>
      </c>
      <c r="AL102" s="360">
        <v>0</v>
      </c>
      <c r="AM102" s="360">
        <v>0</v>
      </c>
      <c r="AN102" s="360">
        <v>0</v>
      </c>
      <c r="AO102" s="360">
        <v>0</v>
      </c>
      <c r="AP102" s="360">
        <v>0</v>
      </c>
      <c r="AQ102" s="360">
        <v>0</v>
      </c>
      <c r="AR102" s="360">
        <v>0</v>
      </c>
      <c r="AS102" s="360">
        <v>0</v>
      </c>
      <c r="AT102" s="360">
        <v>0</v>
      </c>
      <c r="AU102" s="360">
        <v>0</v>
      </c>
      <c r="AV102" s="360">
        <v>0</v>
      </c>
      <c r="AW102" s="360">
        <v>0</v>
      </c>
      <c r="AX102" s="360">
        <v>0</v>
      </c>
      <c r="AY102" s="360">
        <v>0</v>
      </c>
      <c r="AZ102" s="360">
        <v>0</v>
      </c>
      <c r="BA102" s="360">
        <v>0</v>
      </c>
      <c r="BB102" s="360">
        <v>0</v>
      </c>
      <c r="BC102" s="360">
        <v>0</v>
      </c>
      <c r="BD102" s="360">
        <v>0</v>
      </c>
      <c r="BE102" s="360">
        <v>0</v>
      </c>
      <c r="BF102" s="360">
        <v>0</v>
      </c>
      <c r="BG102" s="360">
        <v>0</v>
      </c>
      <c r="BH102" s="360">
        <v>0</v>
      </c>
      <c r="BI102" s="360">
        <v>0</v>
      </c>
      <c r="BJ102" s="360">
        <v>0</v>
      </c>
      <c r="BK102" s="360">
        <v>0</v>
      </c>
      <c r="BL102" s="360">
        <v>0</v>
      </c>
      <c r="BM102" s="360">
        <v>0</v>
      </c>
      <c r="BN102" s="360">
        <v>0</v>
      </c>
      <c r="BO102" s="360">
        <v>0</v>
      </c>
      <c r="BP102" s="360">
        <v>0</v>
      </c>
      <c r="BQ102" s="360">
        <v>0</v>
      </c>
      <c r="BR102" s="360">
        <v>0</v>
      </c>
      <c r="BS102" s="360">
        <v>0</v>
      </c>
      <c r="BT102" s="360">
        <v>0</v>
      </c>
      <c r="BU102" s="360">
        <v>0</v>
      </c>
      <c r="BV102" s="360">
        <v>0</v>
      </c>
      <c r="BW102" s="360">
        <v>0</v>
      </c>
      <c r="BX102" s="360">
        <v>0</v>
      </c>
      <c r="BY102" s="360">
        <v>0</v>
      </c>
      <c r="BZ102" s="360">
        <v>0</v>
      </c>
      <c r="CA102" s="360">
        <v>0</v>
      </c>
      <c r="CB102" s="360">
        <v>0</v>
      </c>
      <c r="CC102" s="360">
        <v>0</v>
      </c>
      <c r="CD102" s="360" t="s">
        <v>297</v>
      </c>
    </row>
    <row r="103" spans="1:82" x14ac:dyDescent="0.35">
      <c r="A103" s="360" t="s">
        <v>298</v>
      </c>
      <c r="B103" s="360" t="s">
        <v>299</v>
      </c>
      <c r="C103" s="360" t="s">
        <v>68</v>
      </c>
      <c r="D103" s="360" t="s">
        <v>77</v>
      </c>
      <c r="E103" s="360">
        <v>16147</v>
      </c>
      <c r="F103" s="360">
        <v>15377</v>
      </c>
      <c r="G103" s="360">
        <v>0</v>
      </c>
      <c r="H103" s="360">
        <v>737</v>
      </c>
      <c r="I103" s="360">
        <v>101.08</v>
      </c>
      <c r="J103" s="360">
        <v>14737</v>
      </c>
      <c r="K103" s="360">
        <v>101.08</v>
      </c>
      <c r="L103" s="360">
        <v>14737</v>
      </c>
      <c r="M103" s="362">
        <v>0</v>
      </c>
      <c r="N103" s="360">
        <v>0</v>
      </c>
      <c r="O103" s="360">
        <v>76.88</v>
      </c>
      <c r="P103" s="360">
        <v>389</v>
      </c>
      <c r="Q103" s="360">
        <v>84.77</v>
      </c>
      <c r="R103" s="360">
        <v>2786</v>
      </c>
      <c r="S103" s="360">
        <v>101.53</v>
      </c>
      <c r="T103" s="360">
        <v>6647</v>
      </c>
      <c r="U103" s="360">
        <v>111.36</v>
      </c>
      <c r="V103" s="360">
        <v>4759</v>
      </c>
      <c r="W103" s="360">
        <v>120.21</v>
      </c>
      <c r="X103" s="360">
        <v>146</v>
      </c>
      <c r="Y103" s="360">
        <v>120.11</v>
      </c>
      <c r="Z103" s="360">
        <v>9</v>
      </c>
      <c r="AA103" s="360">
        <v>148.09</v>
      </c>
      <c r="AB103" s="360">
        <v>1</v>
      </c>
      <c r="AC103" s="360">
        <v>87.96</v>
      </c>
      <c r="AD103" s="360">
        <v>737</v>
      </c>
      <c r="AE103" s="360">
        <v>87.96</v>
      </c>
      <c r="AF103" s="360">
        <v>737</v>
      </c>
      <c r="AG103" s="360">
        <v>0</v>
      </c>
      <c r="AH103" s="360">
        <v>0</v>
      </c>
      <c r="AI103" s="360">
        <v>79.680000000000007</v>
      </c>
      <c r="AJ103" s="360">
        <v>10</v>
      </c>
      <c r="AK103" s="360">
        <v>87.94</v>
      </c>
      <c r="AL103" s="360">
        <v>720</v>
      </c>
      <c r="AM103" s="360">
        <v>101.95</v>
      </c>
      <c r="AN103" s="360">
        <v>7</v>
      </c>
      <c r="AO103" s="360">
        <v>0</v>
      </c>
      <c r="AP103" s="360">
        <v>0</v>
      </c>
      <c r="AQ103" s="360">
        <v>0</v>
      </c>
      <c r="AR103" s="360">
        <v>0</v>
      </c>
      <c r="AS103" s="360">
        <v>158.13999999999999</v>
      </c>
      <c r="AT103" s="360">
        <v>640</v>
      </c>
      <c r="AU103" s="360">
        <v>158.13999999999999</v>
      </c>
      <c r="AV103" s="360">
        <v>640</v>
      </c>
      <c r="AW103" s="360">
        <v>0</v>
      </c>
      <c r="AX103" s="360">
        <v>0</v>
      </c>
      <c r="AY103" s="360">
        <v>0</v>
      </c>
      <c r="AZ103" s="360">
        <v>0</v>
      </c>
      <c r="BA103" s="360">
        <v>137.41</v>
      </c>
      <c r="BB103" s="360">
        <v>208</v>
      </c>
      <c r="BC103" s="360">
        <v>164.52</v>
      </c>
      <c r="BD103" s="360">
        <v>184</v>
      </c>
      <c r="BE103" s="360">
        <v>163.58000000000001</v>
      </c>
      <c r="BF103" s="360">
        <v>173</v>
      </c>
      <c r="BG103" s="360">
        <v>187.16</v>
      </c>
      <c r="BH103" s="360">
        <v>73</v>
      </c>
      <c r="BI103" s="360">
        <v>197.61</v>
      </c>
      <c r="BJ103" s="360">
        <v>2</v>
      </c>
      <c r="BK103" s="360">
        <v>0</v>
      </c>
      <c r="BL103" s="360">
        <v>0</v>
      </c>
      <c r="BM103" s="360">
        <v>0</v>
      </c>
      <c r="BN103" s="360">
        <v>0</v>
      </c>
      <c r="BO103" s="360">
        <v>0</v>
      </c>
      <c r="BP103" s="360">
        <v>0</v>
      </c>
      <c r="BQ103" s="360">
        <v>0</v>
      </c>
      <c r="BR103" s="360">
        <v>0</v>
      </c>
      <c r="BS103" s="360">
        <v>0</v>
      </c>
      <c r="BT103" s="360">
        <v>0</v>
      </c>
      <c r="BU103" s="360">
        <v>0</v>
      </c>
      <c r="BV103" s="360">
        <v>0</v>
      </c>
      <c r="BW103" s="360">
        <v>0</v>
      </c>
      <c r="BX103" s="360">
        <v>0</v>
      </c>
      <c r="BY103" s="360">
        <v>0</v>
      </c>
      <c r="BZ103" s="360">
        <v>0</v>
      </c>
      <c r="CA103" s="360">
        <v>0</v>
      </c>
      <c r="CB103" s="360">
        <v>0</v>
      </c>
      <c r="CC103" s="360">
        <v>33</v>
      </c>
      <c r="CD103" s="360" t="s">
        <v>300</v>
      </c>
    </row>
    <row r="104" spans="1:82" x14ac:dyDescent="0.35">
      <c r="A104" s="360" t="s">
        <v>301</v>
      </c>
      <c r="B104" s="360" t="s">
        <v>302</v>
      </c>
      <c r="C104" s="360" t="s">
        <v>68</v>
      </c>
      <c r="D104" s="360" t="s">
        <v>77</v>
      </c>
      <c r="E104" s="360">
        <v>9089</v>
      </c>
      <c r="F104" s="360">
        <v>8376</v>
      </c>
      <c r="G104" s="360">
        <v>0</v>
      </c>
      <c r="H104" s="360">
        <v>700</v>
      </c>
      <c r="I104" s="360">
        <v>111.94</v>
      </c>
      <c r="J104" s="360">
        <v>8152</v>
      </c>
      <c r="K104" s="360">
        <v>111.94</v>
      </c>
      <c r="L104" s="360">
        <v>8152</v>
      </c>
      <c r="M104" s="362">
        <v>0</v>
      </c>
      <c r="N104" s="360">
        <v>0</v>
      </c>
      <c r="O104" s="360">
        <v>90.89</v>
      </c>
      <c r="P104" s="360">
        <v>83</v>
      </c>
      <c r="Q104" s="360">
        <v>95.75</v>
      </c>
      <c r="R104" s="360">
        <v>1854</v>
      </c>
      <c r="S104" s="360">
        <v>109.41</v>
      </c>
      <c r="T104" s="360">
        <v>3432</v>
      </c>
      <c r="U104" s="360">
        <v>125.24</v>
      </c>
      <c r="V104" s="360">
        <v>2525</v>
      </c>
      <c r="W104" s="360">
        <v>137.21</v>
      </c>
      <c r="X104" s="360">
        <v>240</v>
      </c>
      <c r="Y104" s="360">
        <v>156.52000000000001</v>
      </c>
      <c r="Z104" s="360">
        <v>14</v>
      </c>
      <c r="AA104" s="360">
        <v>163.28</v>
      </c>
      <c r="AB104" s="360">
        <v>4</v>
      </c>
      <c r="AC104" s="360">
        <v>91.42</v>
      </c>
      <c r="AD104" s="360">
        <v>647</v>
      </c>
      <c r="AE104" s="360">
        <v>91.42</v>
      </c>
      <c r="AF104" s="360">
        <v>647</v>
      </c>
      <c r="AG104" s="360">
        <v>0</v>
      </c>
      <c r="AH104" s="360">
        <v>0</v>
      </c>
      <c r="AI104" s="360">
        <v>76.67</v>
      </c>
      <c r="AJ104" s="360">
        <v>42</v>
      </c>
      <c r="AK104" s="360">
        <v>91.98</v>
      </c>
      <c r="AL104" s="360">
        <v>581</v>
      </c>
      <c r="AM104" s="360">
        <v>105.41</v>
      </c>
      <c r="AN104" s="360">
        <v>21</v>
      </c>
      <c r="AO104" s="360">
        <v>91.75</v>
      </c>
      <c r="AP104" s="360">
        <v>3</v>
      </c>
      <c r="AQ104" s="360">
        <v>0</v>
      </c>
      <c r="AR104" s="360">
        <v>0</v>
      </c>
      <c r="AS104" s="360">
        <v>221.86</v>
      </c>
      <c r="AT104" s="360">
        <v>224</v>
      </c>
      <c r="AU104" s="360">
        <v>221.86</v>
      </c>
      <c r="AV104" s="360">
        <v>224</v>
      </c>
      <c r="AW104" s="360">
        <v>0</v>
      </c>
      <c r="AX104" s="360">
        <v>0</v>
      </c>
      <c r="AY104" s="360">
        <v>0</v>
      </c>
      <c r="AZ104" s="360">
        <v>0</v>
      </c>
      <c r="BA104" s="360">
        <v>175.92</v>
      </c>
      <c r="BB104" s="360">
        <v>52</v>
      </c>
      <c r="BC104" s="360">
        <v>216.04</v>
      </c>
      <c r="BD104" s="360">
        <v>91</v>
      </c>
      <c r="BE104" s="360">
        <v>257.91000000000003</v>
      </c>
      <c r="BF104" s="360">
        <v>81</v>
      </c>
      <c r="BG104" s="360">
        <v>0</v>
      </c>
      <c r="BH104" s="360">
        <v>0</v>
      </c>
      <c r="BI104" s="360">
        <v>0</v>
      </c>
      <c r="BJ104" s="360">
        <v>0</v>
      </c>
      <c r="BK104" s="360">
        <v>0</v>
      </c>
      <c r="BL104" s="360">
        <v>0</v>
      </c>
      <c r="BM104" s="360">
        <v>162.41</v>
      </c>
      <c r="BN104" s="360">
        <v>53</v>
      </c>
      <c r="BO104" s="360">
        <v>162.41</v>
      </c>
      <c r="BP104" s="360">
        <v>53</v>
      </c>
      <c r="BQ104" s="360">
        <v>0</v>
      </c>
      <c r="BR104" s="360">
        <v>0</v>
      </c>
      <c r="BS104" s="360">
        <v>0</v>
      </c>
      <c r="BT104" s="360">
        <v>0</v>
      </c>
      <c r="BU104" s="360">
        <v>160.87</v>
      </c>
      <c r="BV104" s="360">
        <v>50</v>
      </c>
      <c r="BW104" s="360">
        <v>188.21</v>
      </c>
      <c r="BX104" s="360">
        <v>3</v>
      </c>
      <c r="BY104" s="360">
        <v>0</v>
      </c>
      <c r="BZ104" s="360">
        <v>0</v>
      </c>
      <c r="CA104" s="360">
        <v>0</v>
      </c>
      <c r="CB104" s="360">
        <v>0</v>
      </c>
      <c r="CC104" s="360">
        <v>13</v>
      </c>
      <c r="CD104" s="360" t="s">
        <v>303</v>
      </c>
    </row>
    <row r="105" spans="1:82" x14ac:dyDescent="0.35">
      <c r="A105" s="360" t="s">
        <v>304</v>
      </c>
      <c r="B105" s="360" t="s">
        <v>305</v>
      </c>
      <c r="C105" s="360" t="s">
        <v>68</v>
      </c>
      <c r="D105" s="360" t="s">
        <v>77</v>
      </c>
      <c r="E105" s="360">
        <v>0</v>
      </c>
      <c r="F105" s="360">
        <v>0</v>
      </c>
      <c r="G105" s="360">
        <v>0</v>
      </c>
      <c r="H105" s="360">
        <v>0</v>
      </c>
      <c r="I105" s="360">
        <v>0</v>
      </c>
      <c r="J105" s="360">
        <v>0</v>
      </c>
      <c r="K105" s="360">
        <v>0</v>
      </c>
      <c r="L105" s="360">
        <v>0</v>
      </c>
      <c r="M105" s="362">
        <v>0</v>
      </c>
      <c r="N105" s="360">
        <v>0</v>
      </c>
      <c r="O105" s="360">
        <v>0</v>
      </c>
      <c r="P105" s="360">
        <v>0</v>
      </c>
      <c r="Q105" s="360">
        <v>0</v>
      </c>
      <c r="R105" s="360">
        <v>0</v>
      </c>
      <c r="S105" s="360">
        <v>0</v>
      </c>
      <c r="T105" s="360">
        <v>0</v>
      </c>
      <c r="U105" s="360">
        <v>0</v>
      </c>
      <c r="V105" s="360">
        <v>0</v>
      </c>
      <c r="W105" s="360">
        <v>0</v>
      </c>
      <c r="X105" s="360">
        <v>0</v>
      </c>
      <c r="Y105" s="360">
        <v>0</v>
      </c>
      <c r="Z105" s="360">
        <v>0</v>
      </c>
      <c r="AA105" s="360">
        <v>0</v>
      </c>
      <c r="AB105" s="360">
        <v>0</v>
      </c>
      <c r="AC105" s="360">
        <v>0</v>
      </c>
      <c r="AD105" s="360">
        <v>0</v>
      </c>
      <c r="AE105" s="360">
        <v>0</v>
      </c>
      <c r="AF105" s="360">
        <v>0</v>
      </c>
      <c r="AG105" s="360">
        <v>0</v>
      </c>
      <c r="AH105" s="360">
        <v>0</v>
      </c>
      <c r="AI105" s="360">
        <v>0</v>
      </c>
      <c r="AJ105" s="360">
        <v>0</v>
      </c>
      <c r="AK105" s="360">
        <v>0</v>
      </c>
      <c r="AL105" s="360">
        <v>0</v>
      </c>
      <c r="AM105" s="360">
        <v>0</v>
      </c>
      <c r="AN105" s="360">
        <v>0</v>
      </c>
      <c r="AO105" s="360">
        <v>0</v>
      </c>
      <c r="AP105" s="360">
        <v>0</v>
      </c>
      <c r="AQ105" s="360">
        <v>0</v>
      </c>
      <c r="AR105" s="360">
        <v>0</v>
      </c>
      <c r="AS105" s="360">
        <v>0</v>
      </c>
      <c r="AT105" s="360">
        <v>0</v>
      </c>
      <c r="AU105" s="360">
        <v>0</v>
      </c>
      <c r="AV105" s="360">
        <v>0</v>
      </c>
      <c r="AW105" s="360">
        <v>0</v>
      </c>
      <c r="AX105" s="360">
        <v>0</v>
      </c>
      <c r="AY105" s="360">
        <v>0</v>
      </c>
      <c r="AZ105" s="360">
        <v>0</v>
      </c>
      <c r="BA105" s="360">
        <v>0</v>
      </c>
      <c r="BB105" s="360">
        <v>0</v>
      </c>
      <c r="BC105" s="360">
        <v>0</v>
      </c>
      <c r="BD105" s="360">
        <v>0</v>
      </c>
      <c r="BE105" s="360">
        <v>0</v>
      </c>
      <c r="BF105" s="360">
        <v>0</v>
      </c>
      <c r="BG105" s="360">
        <v>0</v>
      </c>
      <c r="BH105" s="360">
        <v>0</v>
      </c>
      <c r="BI105" s="360">
        <v>0</v>
      </c>
      <c r="BJ105" s="360">
        <v>0</v>
      </c>
      <c r="BK105" s="360">
        <v>0</v>
      </c>
      <c r="BL105" s="360">
        <v>0</v>
      </c>
      <c r="BM105" s="360">
        <v>0</v>
      </c>
      <c r="BN105" s="360">
        <v>0</v>
      </c>
      <c r="BO105" s="360">
        <v>0</v>
      </c>
      <c r="BP105" s="360">
        <v>0</v>
      </c>
      <c r="BQ105" s="360">
        <v>0</v>
      </c>
      <c r="BR105" s="360">
        <v>0</v>
      </c>
      <c r="BS105" s="360">
        <v>0</v>
      </c>
      <c r="BT105" s="360">
        <v>0</v>
      </c>
      <c r="BU105" s="360">
        <v>0</v>
      </c>
      <c r="BV105" s="360">
        <v>0</v>
      </c>
      <c r="BW105" s="360">
        <v>0</v>
      </c>
      <c r="BX105" s="360">
        <v>0</v>
      </c>
      <c r="BY105" s="360">
        <v>0</v>
      </c>
      <c r="BZ105" s="360">
        <v>0</v>
      </c>
      <c r="CA105" s="360">
        <v>0</v>
      </c>
      <c r="CB105" s="360">
        <v>0</v>
      </c>
      <c r="CC105" s="360">
        <v>0</v>
      </c>
      <c r="CD105" s="360" t="s">
        <v>306</v>
      </c>
    </row>
    <row r="106" spans="1:82" x14ac:dyDescent="0.35">
      <c r="A106" s="360" t="s">
        <v>307</v>
      </c>
      <c r="B106" s="360" t="s">
        <v>308</v>
      </c>
      <c r="C106" s="360" t="s">
        <v>68</v>
      </c>
      <c r="D106" s="360" t="s">
        <v>77</v>
      </c>
      <c r="E106" s="360">
        <v>8320</v>
      </c>
      <c r="F106" s="360">
        <v>8279</v>
      </c>
      <c r="G106" s="360">
        <v>0</v>
      </c>
      <c r="H106" s="360">
        <v>15</v>
      </c>
      <c r="I106" s="360">
        <v>121.69</v>
      </c>
      <c r="J106" s="360">
        <v>7759</v>
      </c>
      <c r="K106" s="360">
        <v>121.69</v>
      </c>
      <c r="L106" s="360">
        <v>7759</v>
      </c>
      <c r="M106" s="360">
        <v>0</v>
      </c>
      <c r="N106" s="360">
        <v>0</v>
      </c>
      <c r="O106" s="360">
        <v>91.87</v>
      </c>
      <c r="P106" s="360">
        <v>369</v>
      </c>
      <c r="Q106" s="360">
        <v>107.39</v>
      </c>
      <c r="R106" s="360">
        <v>2435</v>
      </c>
      <c r="S106" s="360">
        <v>122.63</v>
      </c>
      <c r="T106" s="360">
        <v>2498</v>
      </c>
      <c r="U106" s="360">
        <v>135.94</v>
      </c>
      <c r="V106" s="360">
        <v>1908</v>
      </c>
      <c r="W106" s="360">
        <v>150.11000000000001</v>
      </c>
      <c r="X106" s="360">
        <v>476</v>
      </c>
      <c r="Y106" s="360">
        <v>158.07</v>
      </c>
      <c r="Z106" s="360">
        <v>62</v>
      </c>
      <c r="AA106" s="360">
        <v>170.08</v>
      </c>
      <c r="AB106" s="360">
        <v>11</v>
      </c>
      <c r="AC106" s="360">
        <v>0</v>
      </c>
      <c r="AD106" s="360">
        <v>0</v>
      </c>
      <c r="AE106" s="360">
        <v>0</v>
      </c>
      <c r="AF106" s="360">
        <v>0</v>
      </c>
      <c r="AG106" s="360">
        <v>0</v>
      </c>
      <c r="AH106" s="360">
        <v>0</v>
      </c>
      <c r="AI106" s="360">
        <v>0</v>
      </c>
      <c r="AJ106" s="360">
        <v>0</v>
      </c>
      <c r="AK106" s="360">
        <v>0</v>
      </c>
      <c r="AL106" s="360">
        <v>0</v>
      </c>
      <c r="AM106" s="360">
        <v>0</v>
      </c>
      <c r="AN106" s="360">
        <v>0</v>
      </c>
      <c r="AO106" s="360">
        <v>0</v>
      </c>
      <c r="AP106" s="360">
        <v>0</v>
      </c>
      <c r="AQ106" s="360">
        <v>0</v>
      </c>
      <c r="AR106" s="360">
        <v>0</v>
      </c>
      <c r="AS106" s="360">
        <v>177.28</v>
      </c>
      <c r="AT106" s="360">
        <v>520</v>
      </c>
      <c r="AU106" s="360">
        <v>177.28</v>
      </c>
      <c r="AV106" s="360">
        <v>520</v>
      </c>
      <c r="AW106" s="360">
        <v>0</v>
      </c>
      <c r="AX106" s="360">
        <v>0</v>
      </c>
      <c r="AY106" s="360">
        <v>0</v>
      </c>
      <c r="AZ106" s="360">
        <v>0</v>
      </c>
      <c r="BA106" s="360">
        <v>148.54</v>
      </c>
      <c r="BB106" s="360">
        <v>151</v>
      </c>
      <c r="BC106" s="360">
        <v>183.69</v>
      </c>
      <c r="BD106" s="360">
        <v>230</v>
      </c>
      <c r="BE106" s="360">
        <v>196.43</v>
      </c>
      <c r="BF106" s="360">
        <v>113</v>
      </c>
      <c r="BG106" s="360">
        <v>193.5</v>
      </c>
      <c r="BH106" s="360">
        <v>24</v>
      </c>
      <c r="BI106" s="360">
        <v>418.97</v>
      </c>
      <c r="BJ106" s="360">
        <v>1</v>
      </c>
      <c r="BK106" s="360">
        <v>248.35</v>
      </c>
      <c r="BL106" s="360">
        <v>1</v>
      </c>
      <c r="BM106" s="360">
        <v>199.21</v>
      </c>
      <c r="BN106" s="360">
        <v>15</v>
      </c>
      <c r="BO106" s="360">
        <v>199.21</v>
      </c>
      <c r="BP106" s="360">
        <v>15</v>
      </c>
      <c r="BQ106" s="360">
        <v>0</v>
      </c>
      <c r="BR106" s="360">
        <v>0</v>
      </c>
      <c r="BS106" s="360">
        <v>0</v>
      </c>
      <c r="BT106" s="360">
        <v>0</v>
      </c>
      <c r="BU106" s="360">
        <v>199.21</v>
      </c>
      <c r="BV106" s="360">
        <v>15</v>
      </c>
      <c r="BW106" s="360">
        <v>0</v>
      </c>
      <c r="BX106" s="360">
        <v>0</v>
      </c>
      <c r="BY106" s="360">
        <v>0</v>
      </c>
      <c r="BZ106" s="360">
        <v>0</v>
      </c>
      <c r="CA106" s="360">
        <v>0</v>
      </c>
      <c r="CB106" s="360">
        <v>0</v>
      </c>
      <c r="CC106" s="360">
        <v>26</v>
      </c>
      <c r="CD106" s="360" t="s">
        <v>309</v>
      </c>
    </row>
    <row r="107" spans="1:82" x14ac:dyDescent="0.35">
      <c r="A107" s="360" t="s">
        <v>802</v>
      </c>
      <c r="B107" s="360" t="s">
        <v>803</v>
      </c>
      <c r="C107" s="360" t="s">
        <v>68</v>
      </c>
      <c r="D107" s="360" t="s">
        <v>77</v>
      </c>
      <c r="E107" s="360">
        <v>60</v>
      </c>
      <c r="F107" s="360">
        <v>60</v>
      </c>
      <c r="G107" s="360">
        <v>0</v>
      </c>
      <c r="H107" s="360">
        <v>0</v>
      </c>
      <c r="I107" s="360">
        <v>0</v>
      </c>
      <c r="J107" s="360">
        <v>0</v>
      </c>
      <c r="K107" s="360">
        <v>0</v>
      </c>
      <c r="L107" s="360">
        <v>0</v>
      </c>
      <c r="M107" s="360">
        <v>0</v>
      </c>
      <c r="N107" s="360">
        <v>0</v>
      </c>
      <c r="O107" s="360">
        <v>0</v>
      </c>
      <c r="P107" s="360">
        <v>0</v>
      </c>
      <c r="Q107" s="360">
        <v>0</v>
      </c>
      <c r="R107" s="360">
        <v>0</v>
      </c>
      <c r="S107" s="360">
        <v>0</v>
      </c>
      <c r="T107" s="360">
        <v>0</v>
      </c>
      <c r="U107" s="360">
        <v>0</v>
      </c>
      <c r="V107" s="360">
        <v>0</v>
      </c>
      <c r="W107" s="360">
        <v>0</v>
      </c>
      <c r="X107" s="360">
        <v>0</v>
      </c>
      <c r="Y107" s="360">
        <v>0</v>
      </c>
      <c r="Z107" s="360">
        <v>0</v>
      </c>
      <c r="AA107" s="360">
        <v>0</v>
      </c>
      <c r="AB107" s="360">
        <v>0</v>
      </c>
      <c r="AC107" s="360">
        <v>0</v>
      </c>
      <c r="AD107" s="360">
        <v>0</v>
      </c>
      <c r="AE107" s="360">
        <v>0</v>
      </c>
      <c r="AF107" s="360">
        <v>0</v>
      </c>
      <c r="AG107" s="360">
        <v>0</v>
      </c>
      <c r="AH107" s="360">
        <v>0</v>
      </c>
      <c r="AI107" s="360">
        <v>0</v>
      </c>
      <c r="AJ107" s="360">
        <v>0</v>
      </c>
      <c r="AK107" s="360">
        <v>0</v>
      </c>
      <c r="AL107" s="360">
        <v>0</v>
      </c>
      <c r="AM107" s="360">
        <v>0</v>
      </c>
      <c r="AN107" s="360">
        <v>0</v>
      </c>
      <c r="AO107" s="360">
        <v>0</v>
      </c>
      <c r="AP107" s="360">
        <v>0</v>
      </c>
      <c r="AQ107" s="360">
        <v>0</v>
      </c>
      <c r="AR107" s="360">
        <v>0</v>
      </c>
      <c r="AS107" s="360">
        <v>202.01</v>
      </c>
      <c r="AT107" s="360">
        <v>60</v>
      </c>
      <c r="AU107" s="360">
        <v>202.01</v>
      </c>
      <c r="AV107" s="360">
        <v>60</v>
      </c>
      <c r="AW107" s="360">
        <v>0</v>
      </c>
      <c r="AX107" s="360">
        <v>0</v>
      </c>
      <c r="AY107" s="360">
        <v>0</v>
      </c>
      <c r="AZ107" s="360">
        <v>0</v>
      </c>
      <c r="BA107" s="360">
        <v>190.62</v>
      </c>
      <c r="BB107" s="360">
        <v>22</v>
      </c>
      <c r="BC107" s="360">
        <v>208.61</v>
      </c>
      <c r="BD107" s="360">
        <v>38</v>
      </c>
      <c r="BE107" s="360">
        <v>0</v>
      </c>
      <c r="BF107" s="360">
        <v>0</v>
      </c>
      <c r="BG107" s="360">
        <v>0</v>
      </c>
      <c r="BH107" s="360">
        <v>0</v>
      </c>
      <c r="BI107" s="360">
        <v>0</v>
      </c>
      <c r="BJ107" s="360">
        <v>0</v>
      </c>
      <c r="BK107" s="360">
        <v>0</v>
      </c>
      <c r="BL107" s="360">
        <v>0</v>
      </c>
      <c r="BM107" s="360">
        <v>0</v>
      </c>
      <c r="BN107" s="360">
        <v>0</v>
      </c>
      <c r="BO107" s="360">
        <v>0</v>
      </c>
      <c r="BP107" s="360">
        <v>0</v>
      </c>
      <c r="BQ107" s="360">
        <v>0</v>
      </c>
      <c r="BR107" s="360">
        <v>0</v>
      </c>
      <c r="BS107" s="360">
        <v>0</v>
      </c>
      <c r="BT107" s="360">
        <v>0</v>
      </c>
      <c r="BU107" s="360">
        <v>0</v>
      </c>
      <c r="BV107" s="360">
        <v>0</v>
      </c>
      <c r="BW107" s="360">
        <v>0</v>
      </c>
      <c r="BX107" s="360">
        <v>0</v>
      </c>
      <c r="BY107" s="360">
        <v>0</v>
      </c>
      <c r="BZ107" s="360">
        <v>0</v>
      </c>
      <c r="CA107" s="360">
        <v>0</v>
      </c>
      <c r="CB107" s="360">
        <v>0</v>
      </c>
      <c r="CC107" s="360">
        <v>0</v>
      </c>
      <c r="CD107" s="360" t="s">
        <v>804</v>
      </c>
    </row>
    <row r="108" spans="1:82" x14ac:dyDescent="0.35">
      <c r="A108" s="360" t="s">
        <v>310</v>
      </c>
      <c r="B108" s="360" t="s">
        <v>311</v>
      </c>
      <c r="C108" s="360" t="s">
        <v>68</v>
      </c>
      <c r="D108" s="360" t="s">
        <v>77</v>
      </c>
      <c r="E108" s="360">
        <v>22874</v>
      </c>
      <c r="F108" s="360">
        <v>22660</v>
      </c>
      <c r="G108" s="360">
        <v>200</v>
      </c>
      <c r="H108" s="360">
        <v>0</v>
      </c>
      <c r="I108" s="360">
        <v>120.4</v>
      </c>
      <c r="J108" s="360">
        <v>22860</v>
      </c>
      <c r="K108" s="360">
        <v>120.35</v>
      </c>
      <c r="L108" s="360">
        <v>22660</v>
      </c>
      <c r="M108" s="360">
        <v>126.13</v>
      </c>
      <c r="N108" s="360">
        <v>200</v>
      </c>
      <c r="O108" s="360">
        <v>90.6</v>
      </c>
      <c r="P108" s="360">
        <v>1920</v>
      </c>
      <c r="Q108" s="360">
        <v>108.09</v>
      </c>
      <c r="R108" s="360">
        <v>7381</v>
      </c>
      <c r="S108" s="360">
        <v>122.76</v>
      </c>
      <c r="T108" s="360">
        <v>7222</v>
      </c>
      <c r="U108" s="360">
        <v>137.58000000000001</v>
      </c>
      <c r="V108" s="360">
        <v>4765</v>
      </c>
      <c r="W108" s="360">
        <v>152.86000000000001</v>
      </c>
      <c r="X108" s="360">
        <v>1157</v>
      </c>
      <c r="Y108" s="360">
        <v>167.72</v>
      </c>
      <c r="Z108" s="360">
        <v>170</v>
      </c>
      <c r="AA108" s="360">
        <v>175.39</v>
      </c>
      <c r="AB108" s="360">
        <v>45</v>
      </c>
      <c r="AC108" s="360">
        <v>0</v>
      </c>
      <c r="AD108" s="360">
        <v>0</v>
      </c>
      <c r="AE108" s="360">
        <v>0</v>
      </c>
      <c r="AF108" s="360">
        <v>0</v>
      </c>
      <c r="AG108" s="360">
        <v>0</v>
      </c>
      <c r="AH108" s="360">
        <v>0</v>
      </c>
      <c r="AI108" s="360">
        <v>0</v>
      </c>
      <c r="AJ108" s="360">
        <v>0</v>
      </c>
      <c r="AK108" s="360">
        <v>0</v>
      </c>
      <c r="AL108" s="360">
        <v>0</v>
      </c>
      <c r="AM108" s="360">
        <v>0</v>
      </c>
      <c r="AN108" s="360">
        <v>0</v>
      </c>
      <c r="AO108" s="360">
        <v>0</v>
      </c>
      <c r="AP108" s="360">
        <v>0</v>
      </c>
      <c r="AQ108" s="360">
        <v>0</v>
      </c>
      <c r="AR108" s="360">
        <v>0</v>
      </c>
      <c r="AS108" s="360">
        <v>0</v>
      </c>
      <c r="AT108" s="360">
        <v>0</v>
      </c>
      <c r="AU108" s="360">
        <v>0</v>
      </c>
      <c r="AV108" s="360">
        <v>0</v>
      </c>
      <c r="AW108" s="360">
        <v>0</v>
      </c>
      <c r="AX108" s="360">
        <v>0</v>
      </c>
      <c r="AY108" s="360">
        <v>0</v>
      </c>
      <c r="AZ108" s="360">
        <v>0</v>
      </c>
      <c r="BA108" s="360">
        <v>0</v>
      </c>
      <c r="BB108" s="360">
        <v>0</v>
      </c>
      <c r="BC108" s="360">
        <v>0</v>
      </c>
      <c r="BD108" s="360">
        <v>0</v>
      </c>
      <c r="BE108" s="360">
        <v>0</v>
      </c>
      <c r="BF108" s="360">
        <v>0</v>
      </c>
      <c r="BG108" s="360">
        <v>0</v>
      </c>
      <c r="BH108" s="360">
        <v>0</v>
      </c>
      <c r="BI108" s="360">
        <v>0</v>
      </c>
      <c r="BJ108" s="360">
        <v>0</v>
      </c>
      <c r="BK108" s="360">
        <v>0</v>
      </c>
      <c r="BL108" s="360">
        <v>0</v>
      </c>
      <c r="BM108" s="360">
        <v>0</v>
      </c>
      <c r="BN108" s="360">
        <v>0</v>
      </c>
      <c r="BO108" s="360">
        <v>0</v>
      </c>
      <c r="BP108" s="360">
        <v>0</v>
      </c>
      <c r="BQ108" s="360">
        <v>0</v>
      </c>
      <c r="BR108" s="360">
        <v>0</v>
      </c>
      <c r="BS108" s="360">
        <v>0</v>
      </c>
      <c r="BT108" s="360">
        <v>0</v>
      </c>
      <c r="BU108" s="360">
        <v>0</v>
      </c>
      <c r="BV108" s="360">
        <v>0</v>
      </c>
      <c r="BW108" s="360">
        <v>0</v>
      </c>
      <c r="BX108" s="360">
        <v>0</v>
      </c>
      <c r="BY108" s="360">
        <v>0</v>
      </c>
      <c r="BZ108" s="360">
        <v>0</v>
      </c>
      <c r="CA108" s="360">
        <v>0</v>
      </c>
      <c r="CB108" s="360">
        <v>0</v>
      </c>
      <c r="CC108" s="360">
        <v>14</v>
      </c>
      <c r="CD108" s="360" t="s">
        <v>312</v>
      </c>
    </row>
    <row r="109" spans="1:82" x14ac:dyDescent="0.35">
      <c r="A109" s="360" t="s">
        <v>313</v>
      </c>
      <c r="B109" s="360" t="s">
        <v>314</v>
      </c>
      <c r="C109" s="360" t="s">
        <v>68</v>
      </c>
      <c r="D109" s="360" t="s">
        <v>77</v>
      </c>
      <c r="E109" s="360">
        <v>13454</v>
      </c>
      <c r="F109" s="360">
        <v>12208</v>
      </c>
      <c r="G109" s="360">
        <v>0</v>
      </c>
      <c r="H109" s="360">
        <v>1237</v>
      </c>
      <c r="I109" s="360">
        <v>113.84</v>
      </c>
      <c r="J109" s="360">
        <v>11909</v>
      </c>
      <c r="K109" s="360">
        <v>113.84</v>
      </c>
      <c r="L109" s="360">
        <v>11909</v>
      </c>
      <c r="M109" s="360">
        <v>0</v>
      </c>
      <c r="N109" s="360">
        <v>0</v>
      </c>
      <c r="O109" s="360">
        <v>77.12</v>
      </c>
      <c r="P109" s="360">
        <v>417</v>
      </c>
      <c r="Q109" s="360">
        <v>92.51</v>
      </c>
      <c r="R109" s="360">
        <v>2711</v>
      </c>
      <c r="S109" s="360">
        <v>110.01</v>
      </c>
      <c r="T109" s="360">
        <v>4392</v>
      </c>
      <c r="U109" s="360">
        <v>132.79</v>
      </c>
      <c r="V109" s="360">
        <v>4028</v>
      </c>
      <c r="W109" s="360">
        <v>150.02000000000001</v>
      </c>
      <c r="X109" s="360">
        <v>325</v>
      </c>
      <c r="Y109" s="360">
        <v>164.59</v>
      </c>
      <c r="Z109" s="360">
        <v>29</v>
      </c>
      <c r="AA109" s="360">
        <v>187</v>
      </c>
      <c r="AB109" s="360">
        <v>7</v>
      </c>
      <c r="AC109" s="360">
        <v>92.37</v>
      </c>
      <c r="AD109" s="360">
        <v>1237</v>
      </c>
      <c r="AE109" s="360">
        <v>92.37</v>
      </c>
      <c r="AF109" s="360">
        <v>1237</v>
      </c>
      <c r="AG109" s="360">
        <v>0</v>
      </c>
      <c r="AH109" s="360">
        <v>0</v>
      </c>
      <c r="AI109" s="360">
        <v>78.94</v>
      </c>
      <c r="AJ109" s="360">
        <v>43</v>
      </c>
      <c r="AK109" s="360">
        <v>92.19</v>
      </c>
      <c r="AL109" s="360">
        <v>1161</v>
      </c>
      <c r="AM109" s="360">
        <v>115.23</v>
      </c>
      <c r="AN109" s="360">
        <v>26</v>
      </c>
      <c r="AO109" s="360">
        <v>120.15</v>
      </c>
      <c r="AP109" s="360">
        <v>7</v>
      </c>
      <c r="AQ109" s="360">
        <v>0</v>
      </c>
      <c r="AR109" s="360">
        <v>0</v>
      </c>
      <c r="AS109" s="360">
        <v>172.79</v>
      </c>
      <c r="AT109" s="360">
        <v>299</v>
      </c>
      <c r="AU109" s="360">
        <v>172.79</v>
      </c>
      <c r="AV109" s="360">
        <v>299</v>
      </c>
      <c r="AW109" s="360">
        <v>0</v>
      </c>
      <c r="AX109" s="360">
        <v>0</v>
      </c>
      <c r="AY109" s="360">
        <v>0</v>
      </c>
      <c r="AZ109" s="360">
        <v>0</v>
      </c>
      <c r="BA109" s="360">
        <v>159.82</v>
      </c>
      <c r="BB109" s="360">
        <v>86</v>
      </c>
      <c r="BC109" s="360">
        <v>167.92</v>
      </c>
      <c r="BD109" s="360">
        <v>149</v>
      </c>
      <c r="BE109" s="360">
        <v>191.39</v>
      </c>
      <c r="BF109" s="360">
        <v>48</v>
      </c>
      <c r="BG109" s="360">
        <v>230.76</v>
      </c>
      <c r="BH109" s="360">
        <v>11</v>
      </c>
      <c r="BI109" s="360">
        <v>239.63</v>
      </c>
      <c r="BJ109" s="360">
        <v>3</v>
      </c>
      <c r="BK109" s="360">
        <v>229.29</v>
      </c>
      <c r="BL109" s="360">
        <v>2</v>
      </c>
      <c r="BM109" s="360">
        <v>0</v>
      </c>
      <c r="BN109" s="360">
        <v>0</v>
      </c>
      <c r="BO109" s="360">
        <v>0</v>
      </c>
      <c r="BP109" s="360">
        <v>0</v>
      </c>
      <c r="BQ109" s="360">
        <v>0</v>
      </c>
      <c r="BR109" s="360">
        <v>0</v>
      </c>
      <c r="BS109" s="360">
        <v>0</v>
      </c>
      <c r="BT109" s="360">
        <v>0</v>
      </c>
      <c r="BU109" s="360">
        <v>0</v>
      </c>
      <c r="BV109" s="360">
        <v>0</v>
      </c>
      <c r="BW109" s="360">
        <v>0</v>
      </c>
      <c r="BX109" s="360">
        <v>0</v>
      </c>
      <c r="BY109" s="360">
        <v>0</v>
      </c>
      <c r="BZ109" s="360">
        <v>0</v>
      </c>
      <c r="CA109" s="360">
        <v>0</v>
      </c>
      <c r="CB109" s="360">
        <v>0</v>
      </c>
      <c r="CC109" s="360">
        <v>9</v>
      </c>
      <c r="CD109" s="360" t="s">
        <v>315</v>
      </c>
    </row>
    <row r="110" spans="1:82" x14ac:dyDescent="0.35">
      <c r="A110" s="360" t="s">
        <v>316</v>
      </c>
      <c r="B110" s="360" t="s">
        <v>317</v>
      </c>
      <c r="C110" s="360" t="s">
        <v>68</v>
      </c>
      <c r="D110" s="360" t="s">
        <v>77</v>
      </c>
      <c r="E110" s="360">
        <v>10907</v>
      </c>
      <c r="F110" s="360">
        <v>9804</v>
      </c>
      <c r="G110" s="360">
        <v>0</v>
      </c>
      <c r="H110" s="360">
        <v>1103</v>
      </c>
      <c r="I110" s="360">
        <v>102.53</v>
      </c>
      <c r="J110" s="360">
        <v>9340</v>
      </c>
      <c r="K110" s="360">
        <v>102.53</v>
      </c>
      <c r="L110" s="360">
        <v>9340</v>
      </c>
      <c r="M110" s="360">
        <v>0</v>
      </c>
      <c r="N110" s="360">
        <v>0</v>
      </c>
      <c r="O110" s="360">
        <v>75.42</v>
      </c>
      <c r="P110" s="360">
        <v>414</v>
      </c>
      <c r="Q110" s="360">
        <v>88.7</v>
      </c>
      <c r="R110" s="360">
        <v>2538</v>
      </c>
      <c r="S110" s="360">
        <v>101.94</v>
      </c>
      <c r="T110" s="360">
        <v>3427</v>
      </c>
      <c r="U110" s="360">
        <v>115.88</v>
      </c>
      <c r="V110" s="360">
        <v>2577</v>
      </c>
      <c r="W110" s="360">
        <v>136.38</v>
      </c>
      <c r="X110" s="360">
        <v>326</v>
      </c>
      <c r="Y110" s="360">
        <v>146.32</v>
      </c>
      <c r="Z110" s="360">
        <v>40</v>
      </c>
      <c r="AA110" s="360">
        <v>168.39</v>
      </c>
      <c r="AB110" s="360">
        <v>18</v>
      </c>
      <c r="AC110" s="360">
        <v>89.67</v>
      </c>
      <c r="AD110" s="360">
        <v>1092</v>
      </c>
      <c r="AE110" s="360">
        <v>89.67</v>
      </c>
      <c r="AF110" s="360">
        <v>1092</v>
      </c>
      <c r="AG110" s="360">
        <v>0</v>
      </c>
      <c r="AH110" s="360">
        <v>0</v>
      </c>
      <c r="AI110" s="360">
        <v>81.209999999999994</v>
      </c>
      <c r="AJ110" s="360">
        <v>118</v>
      </c>
      <c r="AK110" s="360">
        <v>90.51</v>
      </c>
      <c r="AL110" s="360">
        <v>958</v>
      </c>
      <c r="AM110" s="360">
        <v>102.28</v>
      </c>
      <c r="AN110" s="360">
        <v>16</v>
      </c>
      <c r="AO110" s="360">
        <v>0</v>
      </c>
      <c r="AP110" s="360">
        <v>0</v>
      </c>
      <c r="AQ110" s="360">
        <v>0</v>
      </c>
      <c r="AR110" s="360">
        <v>0</v>
      </c>
      <c r="AS110" s="360">
        <v>167.64</v>
      </c>
      <c r="AT110" s="360">
        <v>464</v>
      </c>
      <c r="AU110" s="360">
        <v>167.64</v>
      </c>
      <c r="AV110" s="360">
        <v>464</v>
      </c>
      <c r="AW110" s="360">
        <v>0</v>
      </c>
      <c r="AX110" s="360">
        <v>0</v>
      </c>
      <c r="AY110" s="360">
        <v>0</v>
      </c>
      <c r="AZ110" s="360">
        <v>0</v>
      </c>
      <c r="BA110" s="360">
        <v>150.63999999999999</v>
      </c>
      <c r="BB110" s="360">
        <v>77</v>
      </c>
      <c r="BC110" s="360">
        <v>160.15</v>
      </c>
      <c r="BD110" s="360">
        <v>214</v>
      </c>
      <c r="BE110" s="360">
        <v>181.34</v>
      </c>
      <c r="BF110" s="360">
        <v>120</v>
      </c>
      <c r="BG110" s="360">
        <v>192.77</v>
      </c>
      <c r="BH110" s="360">
        <v>48</v>
      </c>
      <c r="BI110" s="360">
        <v>180.17</v>
      </c>
      <c r="BJ110" s="360">
        <v>5</v>
      </c>
      <c r="BK110" s="360">
        <v>0</v>
      </c>
      <c r="BL110" s="360">
        <v>0</v>
      </c>
      <c r="BM110" s="360">
        <v>171.17</v>
      </c>
      <c r="BN110" s="360">
        <v>11</v>
      </c>
      <c r="BO110" s="360">
        <v>171.17</v>
      </c>
      <c r="BP110" s="360">
        <v>11</v>
      </c>
      <c r="BQ110" s="360">
        <v>0</v>
      </c>
      <c r="BR110" s="360">
        <v>0</v>
      </c>
      <c r="BS110" s="360">
        <v>0</v>
      </c>
      <c r="BT110" s="360">
        <v>0</v>
      </c>
      <c r="BU110" s="360">
        <v>168.12</v>
      </c>
      <c r="BV110" s="360">
        <v>7</v>
      </c>
      <c r="BW110" s="360">
        <v>176.51</v>
      </c>
      <c r="BX110" s="360">
        <v>4</v>
      </c>
      <c r="BY110" s="360">
        <v>0</v>
      </c>
      <c r="BZ110" s="360">
        <v>0</v>
      </c>
      <c r="CA110" s="360">
        <v>0</v>
      </c>
      <c r="CB110" s="360">
        <v>0</v>
      </c>
      <c r="CC110" s="360">
        <v>0</v>
      </c>
      <c r="CD110" s="360" t="s">
        <v>318</v>
      </c>
    </row>
    <row r="111" spans="1:82" x14ac:dyDescent="0.35">
      <c r="A111" s="360" t="s">
        <v>319</v>
      </c>
      <c r="B111" s="360" t="s">
        <v>320</v>
      </c>
      <c r="C111" s="360" t="s">
        <v>68</v>
      </c>
      <c r="D111" s="360" t="s">
        <v>77</v>
      </c>
      <c r="E111" s="360">
        <v>10421</v>
      </c>
      <c r="F111" s="360">
        <v>10361</v>
      </c>
      <c r="G111" s="360">
        <v>5</v>
      </c>
      <c r="H111" s="360">
        <v>0</v>
      </c>
      <c r="I111" s="360">
        <v>107.9</v>
      </c>
      <c r="J111" s="360">
        <v>10020</v>
      </c>
      <c r="K111" s="360">
        <v>107.88</v>
      </c>
      <c r="L111" s="360">
        <v>10015</v>
      </c>
      <c r="M111" s="360">
        <v>150.91</v>
      </c>
      <c r="N111" s="360">
        <v>5</v>
      </c>
      <c r="O111" s="360">
        <v>88.03</v>
      </c>
      <c r="P111" s="360">
        <v>279</v>
      </c>
      <c r="Q111" s="360">
        <v>93.78</v>
      </c>
      <c r="R111" s="360">
        <v>3070</v>
      </c>
      <c r="S111" s="360">
        <v>106.01</v>
      </c>
      <c r="T111" s="360">
        <v>3506</v>
      </c>
      <c r="U111" s="360">
        <v>124.85</v>
      </c>
      <c r="V111" s="360">
        <v>3017</v>
      </c>
      <c r="W111" s="360">
        <v>135.44999999999999</v>
      </c>
      <c r="X111" s="360">
        <v>125</v>
      </c>
      <c r="Y111" s="360">
        <v>146.79</v>
      </c>
      <c r="Z111" s="360">
        <v>15</v>
      </c>
      <c r="AA111" s="360">
        <v>169.9</v>
      </c>
      <c r="AB111" s="360">
        <v>3</v>
      </c>
      <c r="AC111" s="360">
        <v>0</v>
      </c>
      <c r="AD111" s="360">
        <v>0</v>
      </c>
      <c r="AE111" s="360">
        <v>0</v>
      </c>
      <c r="AF111" s="360">
        <v>0</v>
      </c>
      <c r="AG111" s="360">
        <v>0</v>
      </c>
      <c r="AH111" s="360">
        <v>0</v>
      </c>
      <c r="AI111" s="360">
        <v>0</v>
      </c>
      <c r="AJ111" s="360">
        <v>0</v>
      </c>
      <c r="AK111" s="360">
        <v>0</v>
      </c>
      <c r="AL111" s="360">
        <v>0</v>
      </c>
      <c r="AM111" s="360">
        <v>0</v>
      </c>
      <c r="AN111" s="360">
        <v>0</v>
      </c>
      <c r="AO111" s="360">
        <v>0</v>
      </c>
      <c r="AP111" s="360">
        <v>0</v>
      </c>
      <c r="AQ111" s="360">
        <v>0</v>
      </c>
      <c r="AR111" s="360">
        <v>0</v>
      </c>
      <c r="AS111" s="360">
        <v>199.4</v>
      </c>
      <c r="AT111" s="360">
        <v>346</v>
      </c>
      <c r="AU111" s="360">
        <v>199.4</v>
      </c>
      <c r="AV111" s="360">
        <v>346</v>
      </c>
      <c r="AW111" s="360">
        <v>0</v>
      </c>
      <c r="AX111" s="360">
        <v>0</v>
      </c>
      <c r="AY111" s="360">
        <v>0</v>
      </c>
      <c r="AZ111" s="360">
        <v>0</v>
      </c>
      <c r="BA111" s="360">
        <v>169.45</v>
      </c>
      <c r="BB111" s="360">
        <v>58</v>
      </c>
      <c r="BC111" s="360">
        <v>196.35</v>
      </c>
      <c r="BD111" s="360">
        <v>141</v>
      </c>
      <c r="BE111" s="360">
        <v>211.19</v>
      </c>
      <c r="BF111" s="360">
        <v>124</v>
      </c>
      <c r="BG111" s="360">
        <v>230.19</v>
      </c>
      <c r="BH111" s="360">
        <v>23</v>
      </c>
      <c r="BI111" s="360">
        <v>0</v>
      </c>
      <c r="BJ111" s="360">
        <v>0</v>
      </c>
      <c r="BK111" s="360">
        <v>0</v>
      </c>
      <c r="BL111" s="360">
        <v>0</v>
      </c>
      <c r="BM111" s="360">
        <v>0</v>
      </c>
      <c r="BN111" s="360">
        <v>0</v>
      </c>
      <c r="BO111" s="360">
        <v>0</v>
      </c>
      <c r="BP111" s="360">
        <v>0</v>
      </c>
      <c r="BQ111" s="360">
        <v>0</v>
      </c>
      <c r="BR111" s="360">
        <v>0</v>
      </c>
      <c r="BS111" s="360">
        <v>0</v>
      </c>
      <c r="BT111" s="360">
        <v>0</v>
      </c>
      <c r="BU111" s="360">
        <v>0</v>
      </c>
      <c r="BV111" s="360">
        <v>0</v>
      </c>
      <c r="BW111" s="360">
        <v>0</v>
      </c>
      <c r="BX111" s="360">
        <v>0</v>
      </c>
      <c r="BY111" s="360">
        <v>0</v>
      </c>
      <c r="BZ111" s="360">
        <v>0</v>
      </c>
      <c r="CA111" s="360">
        <v>0</v>
      </c>
      <c r="CB111" s="360">
        <v>0</v>
      </c>
      <c r="CC111" s="360">
        <v>55</v>
      </c>
      <c r="CD111" s="360" t="s">
        <v>321</v>
      </c>
    </row>
    <row r="112" spans="1:82" x14ac:dyDescent="0.35">
      <c r="A112" s="360" t="s">
        <v>324</v>
      </c>
      <c r="B112" s="360" t="s">
        <v>325</v>
      </c>
      <c r="C112" s="360" t="s">
        <v>68</v>
      </c>
      <c r="D112" s="360" t="s">
        <v>77</v>
      </c>
      <c r="E112" s="360">
        <v>21750</v>
      </c>
      <c r="F112" s="360">
        <v>21575</v>
      </c>
      <c r="G112" s="360">
        <v>81</v>
      </c>
      <c r="H112" s="360">
        <v>0</v>
      </c>
      <c r="I112" s="360">
        <v>107.67</v>
      </c>
      <c r="J112" s="360">
        <v>21656</v>
      </c>
      <c r="K112" s="360">
        <v>107.76</v>
      </c>
      <c r="L112" s="360">
        <v>21575</v>
      </c>
      <c r="M112" s="360">
        <v>83.42</v>
      </c>
      <c r="N112" s="360">
        <v>81</v>
      </c>
      <c r="O112" s="360">
        <v>83.52</v>
      </c>
      <c r="P112" s="360">
        <v>912</v>
      </c>
      <c r="Q112" s="360">
        <v>95.6</v>
      </c>
      <c r="R112" s="360">
        <v>6045</v>
      </c>
      <c r="S112" s="360">
        <v>105.75</v>
      </c>
      <c r="T112" s="360">
        <v>7965</v>
      </c>
      <c r="U112" s="360">
        <v>120.54</v>
      </c>
      <c r="V112" s="360">
        <v>5629</v>
      </c>
      <c r="W112" s="360">
        <v>142.19</v>
      </c>
      <c r="X112" s="360">
        <v>849</v>
      </c>
      <c r="Y112" s="360">
        <v>165.34</v>
      </c>
      <c r="Z112" s="360">
        <v>133</v>
      </c>
      <c r="AA112" s="360">
        <v>176.78</v>
      </c>
      <c r="AB112" s="360">
        <v>42</v>
      </c>
      <c r="AC112" s="360">
        <v>0</v>
      </c>
      <c r="AD112" s="360">
        <v>0</v>
      </c>
      <c r="AE112" s="360">
        <v>0</v>
      </c>
      <c r="AF112" s="360">
        <v>0</v>
      </c>
      <c r="AG112" s="360">
        <v>0</v>
      </c>
      <c r="AH112" s="360">
        <v>0</v>
      </c>
      <c r="AI112" s="360">
        <v>0</v>
      </c>
      <c r="AJ112" s="360">
        <v>0</v>
      </c>
      <c r="AK112" s="360">
        <v>0</v>
      </c>
      <c r="AL112" s="360">
        <v>0</v>
      </c>
      <c r="AM112" s="360">
        <v>0</v>
      </c>
      <c r="AN112" s="360">
        <v>0</v>
      </c>
      <c r="AO112" s="360">
        <v>0</v>
      </c>
      <c r="AP112" s="360">
        <v>0</v>
      </c>
      <c r="AQ112" s="360">
        <v>0</v>
      </c>
      <c r="AR112" s="360">
        <v>0</v>
      </c>
      <c r="AS112" s="360">
        <v>0</v>
      </c>
      <c r="AT112" s="360">
        <v>0</v>
      </c>
      <c r="AU112" s="360">
        <v>0</v>
      </c>
      <c r="AV112" s="360">
        <v>0</v>
      </c>
      <c r="AW112" s="360">
        <v>0</v>
      </c>
      <c r="AX112" s="360">
        <v>0</v>
      </c>
      <c r="AY112" s="360">
        <v>0</v>
      </c>
      <c r="AZ112" s="360">
        <v>0</v>
      </c>
      <c r="BA112" s="360">
        <v>0</v>
      </c>
      <c r="BB112" s="360">
        <v>0</v>
      </c>
      <c r="BC112" s="360">
        <v>0</v>
      </c>
      <c r="BD112" s="360">
        <v>0</v>
      </c>
      <c r="BE112" s="360">
        <v>0</v>
      </c>
      <c r="BF112" s="360">
        <v>0</v>
      </c>
      <c r="BG112" s="360">
        <v>0</v>
      </c>
      <c r="BH112" s="360">
        <v>0</v>
      </c>
      <c r="BI112" s="360">
        <v>0</v>
      </c>
      <c r="BJ112" s="360">
        <v>0</v>
      </c>
      <c r="BK112" s="360">
        <v>0</v>
      </c>
      <c r="BL112" s="360">
        <v>0</v>
      </c>
      <c r="BM112" s="360">
        <v>0</v>
      </c>
      <c r="BN112" s="360">
        <v>0</v>
      </c>
      <c r="BO112" s="360">
        <v>0</v>
      </c>
      <c r="BP112" s="360">
        <v>0</v>
      </c>
      <c r="BQ112" s="360">
        <v>0</v>
      </c>
      <c r="BR112" s="360">
        <v>0</v>
      </c>
      <c r="BS112" s="360">
        <v>0</v>
      </c>
      <c r="BT112" s="360">
        <v>0</v>
      </c>
      <c r="BU112" s="360">
        <v>0</v>
      </c>
      <c r="BV112" s="360">
        <v>0</v>
      </c>
      <c r="BW112" s="360">
        <v>0</v>
      </c>
      <c r="BX112" s="360">
        <v>0</v>
      </c>
      <c r="BY112" s="360">
        <v>0</v>
      </c>
      <c r="BZ112" s="360">
        <v>0</v>
      </c>
      <c r="CA112" s="360">
        <v>0</v>
      </c>
      <c r="CB112" s="360">
        <v>0</v>
      </c>
      <c r="CC112" s="360">
        <v>94</v>
      </c>
      <c r="CD112" s="360" t="s">
        <v>326</v>
      </c>
    </row>
    <row r="113" spans="1:82" x14ac:dyDescent="0.35">
      <c r="A113" s="360" t="s">
        <v>327</v>
      </c>
      <c r="B113" s="360" t="s">
        <v>328</v>
      </c>
      <c r="C113" s="360" t="s">
        <v>68</v>
      </c>
      <c r="D113" s="360" t="s">
        <v>77</v>
      </c>
      <c r="E113" s="360">
        <v>12161</v>
      </c>
      <c r="F113" s="360">
        <v>11963</v>
      </c>
      <c r="G113" s="360">
        <v>176</v>
      </c>
      <c r="H113" s="360">
        <v>0</v>
      </c>
      <c r="I113" s="360">
        <v>113.21</v>
      </c>
      <c r="J113" s="360">
        <v>12139</v>
      </c>
      <c r="K113" s="360">
        <v>114.35</v>
      </c>
      <c r="L113" s="360">
        <v>11963</v>
      </c>
      <c r="M113" s="360">
        <v>35.89</v>
      </c>
      <c r="N113" s="360">
        <v>176</v>
      </c>
      <c r="O113" s="360">
        <v>90.15</v>
      </c>
      <c r="P113" s="360">
        <v>554</v>
      </c>
      <c r="Q113" s="360">
        <v>102.89</v>
      </c>
      <c r="R113" s="360">
        <v>4185</v>
      </c>
      <c r="S113" s="360">
        <v>112.12</v>
      </c>
      <c r="T113" s="360">
        <v>3989</v>
      </c>
      <c r="U113" s="360">
        <v>128.66999999999999</v>
      </c>
      <c r="V113" s="360">
        <v>2367</v>
      </c>
      <c r="W113" s="360">
        <v>154.65</v>
      </c>
      <c r="X113" s="360">
        <v>778</v>
      </c>
      <c r="Y113" s="360">
        <v>168.89</v>
      </c>
      <c r="Z113" s="360">
        <v>76</v>
      </c>
      <c r="AA113" s="360">
        <v>179.52</v>
      </c>
      <c r="AB113" s="360">
        <v>14</v>
      </c>
      <c r="AC113" s="360">
        <v>0</v>
      </c>
      <c r="AD113" s="360">
        <v>0</v>
      </c>
      <c r="AE113" s="360">
        <v>0</v>
      </c>
      <c r="AF113" s="360">
        <v>0</v>
      </c>
      <c r="AG113" s="360">
        <v>0</v>
      </c>
      <c r="AH113" s="360">
        <v>0</v>
      </c>
      <c r="AI113" s="360">
        <v>0</v>
      </c>
      <c r="AJ113" s="360">
        <v>0</v>
      </c>
      <c r="AK113" s="360">
        <v>0</v>
      </c>
      <c r="AL113" s="360">
        <v>0</v>
      </c>
      <c r="AM113" s="360">
        <v>0</v>
      </c>
      <c r="AN113" s="360">
        <v>0</v>
      </c>
      <c r="AO113" s="360">
        <v>0</v>
      </c>
      <c r="AP113" s="360">
        <v>0</v>
      </c>
      <c r="AQ113" s="360">
        <v>0</v>
      </c>
      <c r="AR113" s="360">
        <v>0</v>
      </c>
      <c r="AS113" s="360">
        <v>0</v>
      </c>
      <c r="AT113" s="360">
        <v>0</v>
      </c>
      <c r="AU113" s="360">
        <v>0</v>
      </c>
      <c r="AV113" s="360">
        <v>0</v>
      </c>
      <c r="AW113" s="360">
        <v>0</v>
      </c>
      <c r="AX113" s="360">
        <v>0</v>
      </c>
      <c r="AY113" s="360">
        <v>0</v>
      </c>
      <c r="AZ113" s="360">
        <v>0</v>
      </c>
      <c r="BA113" s="360">
        <v>0</v>
      </c>
      <c r="BB113" s="360">
        <v>0</v>
      </c>
      <c r="BC113" s="360">
        <v>0</v>
      </c>
      <c r="BD113" s="360">
        <v>0</v>
      </c>
      <c r="BE113" s="360">
        <v>0</v>
      </c>
      <c r="BF113" s="360">
        <v>0</v>
      </c>
      <c r="BG113" s="360">
        <v>0</v>
      </c>
      <c r="BH113" s="360">
        <v>0</v>
      </c>
      <c r="BI113" s="360">
        <v>0</v>
      </c>
      <c r="BJ113" s="360">
        <v>0</v>
      </c>
      <c r="BK113" s="360">
        <v>0</v>
      </c>
      <c r="BL113" s="360">
        <v>0</v>
      </c>
      <c r="BM113" s="360">
        <v>0</v>
      </c>
      <c r="BN113" s="360">
        <v>0</v>
      </c>
      <c r="BO113" s="360">
        <v>0</v>
      </c>
      <c r="BP113" s="360">
        <v>0</v>
      </c>
      <c r="BQ113" s="360">
        <v>0</v>
      </c>
      <c r="BR113" s="360">
        <v>0</v>
      </c>
      <c r="BS113" s="360">
        <v>0</v>
      </c>
      <c r="BT113" s="360">
        <v>0</v>
      </c>
      <c r="BU113" s="360">
        <v>0</v>
      </c>
      <c r="BV113" s="360">
        <v>0</v>
      </c>
      <c r="BW113" s="360">
        <v>0</v>
      </c>
      <c r="BX113" s="360">
        <v>0</v>
      </c>
      <c r="BY113" s="360">
        <v>0</v>
      </c>
      <c r="BZ113" s="360">
        <v>0</v>
      </c>
      <c r="CA113" s="360">
        <v>0</v>
      </c>
      <c r="CB113" s="360">
        <v>0</v>
      </c>
      <c r="CC113" s="360">
        <v>22</v>
      </c>
      <c r="CD113" s="360" t="s">
        <v>329</v>
      </c>
    </row>
    <row r="114" spans="1:82" x14ac:dyDescent="0.35">
      <c r="A114" s="360" t="s">
        <v>330</v>
      </c>
      <c r="B114" s="360" t="s">
        <v>331</v>
      </c>
      <c r="C114" s="360" t="s">
        <v>68</v>
      </c>
      <c r="D114" s="360" t="s">
        <v>77</v>
      </c>
      <c r="E114" s="360">
        <v>4736</v>
      </c>
      <c r="F114" s="360">
        <v>4219</v>
      </c>
      <c r="G114" s="360">
        <v>0</v>
      </c>
      <c r="H114" s="360">
        <v>512</v>
      </c>
      <c r="I114" s="360">
        <v>123.34</v>
      </c>
      <c r="J114" s="360">
        <v>4079</v>
      </c>
      <c r="K114" s="360">
        <v>123.34</v>
      </c>
      <c r="L114" s="360">
        <v>4079</v>
      </c>
      <c r="M114" s="360">
        <v>0</v>
      </c>
      <c r="N114" s="360">
        <v>0</v>
      </c>
      <c r="O114" s="360">
        <v>95.01</v>
      </c>
      <c r="P114" s="360">
        <v>102</v>
      </c>
      <c r="Q114" s="360">
        <v>104.54</v>
      </c>
      <c r="R114" s="360">
        <v>1247</v>
      </c>
      <c r="S114" s="360">
        <v>122.03</v>
      </c>
      <c r="T114" s="360">
        <v>1317</v>
      </c>
      <c r="U114" s="360">
        <v>142.01</v>
      </c>
      <c r="V114" s="360">
        <v>1313</v>
      </c>
      <c r="W114" s="360">
        <v>157.29</v>
      </c>
      <c r="X114" s="360">
        <v>86</v>
      </c>
      <c r="Y114" s="360">
        <v>164.16</v>
      </c>
      <c r="Z114" s="360">
        <v>11</v>
      </c>
      <c r="AA114" s="360">
        <v>182.93</v>
      </c>
      <c r="AB114" s="360">
        <v>3</v>
      </c>
      <c r="AC114" s="360">
        <v>102.23</v>
      </c>
      <c r="AD114" s="360">
        <v>512</v>
      </c>
      <c r="AE114" s="360">
        <v>102.23</v>
      </c>
      <c r="AF114" s="360">
        <v>512</v>
      </c>
      <c r="AG114" s="360">
        <v>0</v>
      </c>
      <c r="AH114" s="360">
        <v>0</v>
      </c>
      <c r="AI114" s="360">
        <v>93.78</v>
      </c>
      <c r="AJ114" s="360">
        <v>12</v>
      </c>
      <c r="AK114" s="360">
        <v>101.81</v>
      </c>
      <c r="AL114" s="360">
        <v>490</v>
      </c>
      <c r="AM114" s="360">
        <v>122.47</v>
      </c>
      <c r="AN114" s="360">
        <v>4</v>
      </c>
      <c r="AO114" s="360">
        <v>140.76</v>
      </c>
      <c r="AP114" s="360">
        <v>6</v>
      </c>
      <c r="AQ114" s="360">
        <v>0</v>
      </c>
      <c r="AR114" s="360">
        <v>0</v>
      </c>
      <c r="AS114" s="360">
        <v>184.52</v>
      </c>
      <c r="AT114" s="360">
        <v>140</v>
      </c>
      <c r="AU114" s="360">
        <v>184.52</v>
      </c>
      <c r="AV114" s="360">
        <v>140</v>
      </c>
      <c r="AW114" s="360">
        <v>0</v>
      </c>
      <c r="AX114" s="360">
        <v>0</v>
      </c>
      <c r="AY114" s="360">
        <v>0</v>
      </c>
      <c r="AZ114" s="360">
        <v>0</v>
      </c>
      <c r="BA114" s="360">
        <v>163.72999999999999</v>
      </c>
      <c r="BB114" s="360">
        <v>31</v>
      </c>
      <c r="BC114" s="360">
        <v>182.68</v>
      </c>
      <c r="BD114" s="360">
        <v>75</v>
      </c>
      <c r="BE114" s="360">
        <v>203.86</v>
      </c>
      <c r="BF114" s="360">
        <v>28</v>
      </c>
      <c r="BG114" s="360">
        <v>224.78</v>
      </c>
      <c r="BH114" s="360">
        <v>6</v>
      </c>
      <c r="BI114" s="360">
        <v>0</v>
      </c>
      <c r="BJ114" s="360">
        <v>0</v>
      </c>
      <c r="BK114" s="360">
        <v>0</v>
      </c>
      <c r="BL114" s="360">
        <v>0</v>
      </c>
      <c r="BM114" s="360">
        <v>0</v>
      </c>
      <c r="BN114" s="360">
        <v>0</v>
      </c>
      <c r="BO114" s="360">
        <v>0</v>
      </c>
      <c r="BP114" s="360">
        <v>0</v>
      </c>
      <c r="BQ114" s="360">
        <v>0</v>
      </c>
      <c r="BR114" s="360">
        <v>0</v>
      </c>
      <c r="BS114" s="360">
        <v>0</v>
      </c>
      <c r="BT114" s="360">
        <v>0</v>
      </c>
      <c r="BU114" s="360">
        <v>0</v>
      </c>
      <c r="BV114" s="360">
        <v>0</v>
      </c>
      <c r="BW114" s="360">
        <v>0</v>
      </c>
      <c r="BX114" s="360">
        <v>0</v>
      </c>
      <c r="BY114" s="360">
        <v>0</v>
      </c>
      <c r="BZ114" s="360">
        <v>0</v>
      </c>
      <c r="CA114" s="360">
        <v>0</v>
      </c>
      <c r="CB114" s="360">
        <v>0</v>
      </c>
      <c r="CC114" s="360">
        <v>5</v>
      </c>
      <c r="CD114" s="360" t="s">
        <v>332</v>
      </c>
    </row>
    <row r="115" spans="1:82" x14ac:dyDescent="0.35">
      <c r="A115" s="360" t="s">
        <v>333</v>
      </c>
      <c r="B115" s="360" t="s">
        <v>334</v>
      </c>
      <c r="C115" s="360" t="s">
        <v>68</v>
      </c>
      <c r="D115" s="360" t="s">
        <v>77</v>
      </c>
      <c r="E115" s="360">
        <v>8961</v>
      </c>
      <c r="F115" s="360">
        <v>8121</v>
      </c>
      <c r="G115" s="360">
        <v>0</v>
      </c>
      <c r="H115" s="360">
        <v>692</v>
      </c>
      <c r="I115" s="360">
        <v>105.12</v>
      </c>
      <c r="J115" s="360">
        <v>7766</v>
      </c>
      <c r="K115" s="360">
        <v>105.12</v>
      </c>
      <c r="L115" s="360">
        <v>7766</v>
      </c>
      <c r="M115" s="360">
        <v>0</v>
      </c>
      <c r="N115" s="360">
        <v>0</v>
      </c>
      <c r="O115" s="360">
        <v>81.260000000000005</v>
      </c>
      <c r="P115" s="360">
        <v>244</v>
      </c>
      <c r="Q115" s="360">
        <v>90.37</v>
      </c>
      <c r="R115" s="360">
        <v>1956</v>
      </c>
      <c r="S115" s="360">
        <v>101.57</v>
      </c>
      <c r="T115" s="360">
        <v>2932</v>
      </c>
      <c r="U115" s="360">
        <v>120.92</v>
      </c>
      <c r="V115" s="360">
        <v>2470</v>
      </c>
      <c r="W115" s="360">
        <v>140.94</v>
      </c>
      <c r="X115" s="360">
        <v>150</v>
      </c>
      <c r="Y115" s="360">
        <v>156.84</v>
      </c>
      <c r="Z115" s="360">
        <v>14</v>
      </c>
      <c r="AA115" s="360">
        <v>0</v>
      </c>
      <c r="AB115" s="360">
        <v>0</v>
      </c>
      <c r="AC115" s="360">
        <v>86.77</v>
      </c>
      <c r="AD115" s="360">
        <v>670</v>
      </c>
      <c r="AE115" s="360">
        <v>90.15</v>
      </c>
      <c r="AF115" s="360">
        <v>587</v>
      </c>
      <c r="AG115" s="360">
        <v>62.86</v>
      </c>
      <c r="AH115" s="360">
        <v>83</v>
      </c>
      <c r="AI115" s="360">
        <v>86.95</v>
      </c>
      <c r="AJ115" s="360">
        <v>87</v>
      </c>
      <c r="AK115" s="360">
        <v>90.47</v>
      </c>
      <c r="AL115" s="360">
        <v>488</v>
      </c>
      <c r="AM115" s="360">
        <v>100.6</v>
      </c>
      <c r="AN115" s="360">
        <v>12</v>
      </c>
      <c r="AO115" s="360">
        <v>0</v>
      </c>
      <c r="AP115" s="360">
        <v>0</v>
      </c>
      <c r="AQ115" s="360">
        <v>0</v>
      </c>
      <c r="AR115" s="360">
        <v>0</v>
      </c>
      <c r="AS115" s="360">
        <v>203.04</v>
      </c>
      <c r="AT115" s="360">
        <v>355</v>
      </c>
      <c r="AU115" s="360">
        <v>203.04</v>
      </c>
      <c r="AV115" s="360">
        <v>355</v>
      </c>
      <c r="AW115" s="360">
        <v>0</v>
      </c>
      <c r="AX115" s="360">
        <v>0</v>
      </c>
      <c r="AY115" s="360">
        <v>176.35</v>
      </c>
      <c r="AZ115" s="360">
        <v>1</v>
      </c>
      <c r="BA115" s="360">
        <v>167.04</v>
      </c>
      <c r="BB115" s="360">
        <v>55</v>
      </c>
      <c r="BC115" s="360">
        <v>194.11</v>
      </c>
      <c r="BD115" s="360">
        <v>196</v>
      </c>
      <c r="BE115" s="360">
        <v>231.94</v>
      </c>
      <c r="BF115" s="360">
        <v>70</v>
      </c>
      <c r="BG115" s="360">
        <v>255.61</v>
      </c>
      <c r="BH115" s="360">
        <v>33</v>
      </c>
      <c r="BI115" s="360">
        <v>0</v>
      </c>
      <c r="BJ115" s="360">
        <v>0</v>
      </c>
      <c r="BK115" s="360">
        <v>0</v>
      </c>
      <c r="BL115" s="360">
        <v>0</v>
      </c>
      <c r="BM115" s="360">
        <v>179.04</v>
      </c>
      <c r="BN115" s="360">
        <v>22</v>
      </c>
      <c r="BO115" s="360">
        <v>179.04</v>
      </c>
      <c r="BP115" s="360">
        <v>22</v>
      </c>
      <c r="BQ115" s="360">
        <v>0</v>
      </c>
      <c r="BR115" s="360">
        <v>0</v>
      </c>
      <c r="BS115" s="360">
        <v>0</v>
      </c>
      <c r="BT115" s="360">
        <v>0</v>
      </c>
      <c r="BU115" s="360">
        <v>171.72</v>
      </c>
      <c r="BV115" s="360">
        <v>11</v>
      </c>
      <c r="BW115" s="360">
        <v>186.36</v>
      </c>
      <c r="BX115" s="360">
        <v>11</v>
      </c>
      <c r="BY115" s="360">
        <v>0</v>
      </c>
      <c r="BZ115" s="360">
        <v>0</v>
      </c>
      <c r="CA115" s="360">
        <v>0</v>
      </c>
      <c r="CB115" s="360">
        <v>0</v>
      </c>
      <c r="CC115" s="360">
        <v>148</v>
      </c>
      <c r="CD115" s="360" t="s">
        <v>335</v>
      </c>
    </row>
    <row r="116" spans="1:82" x14ac:dyDescent="0.35">
      <c r="A116" s="360" t="s">
        <v>336</v>
      </c>
      <c r="B116" s="360" t="s">
        <v>337</v>
      </c>
      <c r="C116" s="360" t="s">
        <v>68</v>
      </c>
      <c r="D116" s="360" t="s">
        <v>77</v>
      </c>
      <c r="E116" s="360">
        <v>10253</v>
      </c>
      <c r="F116" s="360">
        <v>9111</v>
      </c>
      <c r="G116" s="360">
        <v>15</v>
      </c>
      <c r="H116" s="360">
        <v>1036</v>
      </c>
      <c r="I116" s="360">
        <v>117.01</v>
      </c>
      <c r="J116" s="360">
        <v>9033</v>
      </c>
      <c r="K116" s="360">
        <v>117.09</v>
      </c>
      <c r="L116" s="360">
        <v>9018</v>
      </c>
      <c r="M116" s="360">
        <v>70.180000000000007</v>
      </c>
      <c r="N116" s="360">
        <v>15</v>
      </c>
      <c r="O116" s="360">
        <v>82.17</v>
      </c>
      <c r="P116" s="360">
        <v>221</v>
      </c>
      <c r="Q116" s="360">
        <v>99.28</v>
      </c>
      <c r="R116" s="360">
        <v>2465</v>
      </c>
      <c r="S116" s="360">
        <v>115</v>
      </c>
      <c r="T116" s="360">
        <v>3390</v>
      </c>
      <c r="U116" s="360">
        <v>135.77000000000001</v>
      </c>
      <c r="V116" s="360">
        <v>2686</v>
      </c>
      <c r="W116" s="360">
        <v>147.33000000000001</v>
      </c>
      <c r="X116" s="360">
        <v>204</v>
      </c>
      <c r="Y116" s="360">
        <v>160</v>
      </c>
      <c r="Z116" s="360">
        <v>42</v>
      </c>
      <c r="AA116" s="360">
        <v>176.81</v>
      </c>
      <c r="AB116" s="360">
        <v>10</v>
      </c>
      <c r="AC116" s="360">
        <v>99.57</v>
      </c>
      <c r="AD116" s="360">
        <v>888</v>
      </c>
      <c r="AE116" s="360">
        <v>99.57</v>
      </c>
      <c r="AF116" s="360">
        <v>888</v>
      </c>
      <c r="AG116" s="360">
        <v>0</v>
      </c>
      <c r="AH116" s="360">
        <v>0</v>
      </c>
      <c r="AI116" s="360">
        <v>89.24</v>
      </c>
      <c r="AJ116" s="360">
        <v>33</v>
      </c>
      <c r="AK116" s="360">
        <v>99.47</v>
      </c>
      <c r="AL116" s="360">
        <v>836</v>
      </c>
      <c r="AM116" s="360">
        <v>121.14</v>
      </c>
      <c r="AN116" s="360">
        <v>17</v>
      </c>
      <c r="AO116" s="360">
        <v>130.93</v>
      </c>
      <c r="AP116" s="360">
        <v>2</v>
      </c>
      <c r="AQ116" s="360">
        <v>0</v>
      </c>
      <c r="AR116" s="360">
        <v>0</v>
      </c>
      <c r="AS116" s="360">
        <v>167.19</v>
      </c>
      <c r="AT116" s="360">
        <v>93</v>
      </c>
      <c r="AU116" s="360">
        <v>167.19</v>
      </c>
      <c r="AV116" s="360">
        <v>93</v>
      </c>
      <c r="AW116" s="360">
        <v>0</v>
      </c>
      <c r="AX116" s="360">
        <v>0</v>
      </c>
      <c r="AY116" s="360">
        <v>67.81</v>
      </c>
      <c r="AZ116" s="360">
        <v>11</v>
      </c>
      <c r="BA116" s="360">
        <v>161.25</v>
      </c>
      <c r="BB116" s="360">
        <v>36</v>
      </c>
      <c r="BC116" s="360">
        <v>198.99</v>
      </c>
      <c r="BD116" s="360">
        <v>29</v>
      </c>
      <c r="BE116" s="360">
        <v>188.13</v>
      </c>
      <c r="BF116" s="360">
        <v>14</v>
      </c>
      <c r="BG116" s="360">
        <v>198.03</v>
      </c>
      <c r="BH116" s="360">
        <v>3</v>
      </c>
      <c r="BI116" s="360">
        <v>0</v>
      </c>
      <c r="BJ116" s="360">
        <v>0</v>
      </c>
      <c r="BK116" s="360">
        <v>0</v>
      </c>
      <c r="BL116" s="360">
        <v>0</v>
      </c>
      <c r="BM116" s="360">
        <v>206.46</v>
      </c>
      <c r="BN116" s="360">
        <v>148</v>
      </c>
      <c r="BO116" s="360">
        <v>206.46</v>
      </c>
      <c r="BP116" s="360">
        <v>148</v>
      </c>
      <c r="BQ116" s="360">
        <v>0</v>
      </c>
      <c r="BR116" s="360">
        <v>0</v>
      </c>
      <c r="BS116" s="360">
        <v>0</v>
      </c>
      <c r="BT116" s="360">
        <v>0</v>
      </c>
      <c r="BU116" s="360">
        <v>205.51</v>
      </c>
      <c r="BV116" s="360">
        <v>145</v>
      </c>
      <c r="BW116" s="360">
        <v>252.85</v>
      </c>
      <c r="BX116" s="360">
        <v>3</v>
      </c>
      <c r="BY116" s="360">
        <v>0</v>
      </c>
      <c r="BZ116" s="360">
        <v>0</v>
      </c>
      <c r="CA116" s="360">
        <v>0</v>
      </c>
      <c r="CB116" s="360">
        <v>0</v>
      </c>
      <c r="CC116" s="360">
        <v>91</v>
      </c>
      <c r="CD116" s="360" t="s">
        <v>338</v>
      </c>
    </row>
    <row r="117" spans="1:82" x14ac:dyDescent="0.35">
      <c r="A117" s="360" t="s">
        <v>339</v>
      </c>
      <c r="B117" s="360" t="s">
        <v>340</v>
      </c>
      <c r="C117" s="360" t="s">
        <v>68</v>
      </c>
      <c r="D117" s="360" t="s">
        <v>77</v>
      </c>
      <c r="E117" s="360">
        <v>13248</v>
      </c>
      <c r="F117" s="360">
        <v>12286</v>
      </c>
      <c r="G117" s="360">
        <v>0</v>
      </c>
      <c r="H117" s="360">
        <v>893</v>
      </c>
      <c r="I117" s="360">
        <v>112.05</v>
      </c>
      <c r="J117" s="360">
        <v>12182</v>
      </c>
      <c r="K117" s="360">
        <v>112.05</v>
      </c>
      <c r="L117" s="360">
        <v>12182</v>
      </c>
      <c r="M117" s="360">
        <v>0</v>
      </c>
      <c r="N117" s="360">
        <v>0</v>
      </c>
      <c r="O117" s="360">
        <v>88.81</v>
      </c>
      <c r="P117" s="360">
        <v>289</v>
      </c>
      <c r="Q117" s="360">
        <v>95.11</v>
      </c>
      <c r="R117" s="360">
        <v>3133</v>
      </c>
      <c r="S117" s="360">
        <v>109.78</v>
      </c>
      <c r="T117" s="360">
        <v>4646</v>
      </c>
      <c r="U117" s="360">
        <v>127.79</v>
      </c>
      <c r="V117" s="360">
        <v>3810</v>
      </c>
      <c r="W117" s="360">
        <v>143.41</v>
      </c>
      <c r="X117" s="360">
        <v>271</v>
      </c>
      <c r="Y117" s="360">
        <v>166.52</v>
      </c>
      <c r="Z117" s="360">
        <v>27</v>
      </c>
      <c r="AA117" s="360">
        <v>190.26</v>
      </c>
      <c r="AB117" s="360">
        <v>6</v>
      </c>
      <c r="AC117" s="360">
        <v>98.38</v>
      </c>
      <c r="AD117" s="360">
        <v>893</v>
      </c>
      <c r="AE117" s="360">
        <v>98.38</v>
      </c>
      <c r="AF117" s="360">
        <v>893</v>
      </c>
      <c r="AG117" s="360">
        <v>0</v>
      </c>
      <c r="AH117" s="360">
        <v>0</v>
      </c>
      <c r="AI117" s="360">
        <v>92.74</v>
      </c>
      <c r="AJ117" s="360">
        <v>10</v>
      </c>
      <c r="AK117" s="360">
        <v>97.12</v>
      </c>
      <c r="AL117" s="360">
        <v>828</v>
      </c>
      <c r="AM117" s="360">
        <v>108.56</v>
      </c>
      <c r="AN117" s="360">
        <v>32</v>
      </c>
      <c r="AO117" s="360">
        <v>131.66</v>
      </c>
      <c r="AP117" s="360">
        <v>20</v>
      </c>
      <c r="AQ117" s="360">
        <v>132.53</v>
      </c>
      <c r="AR117" s="360">
        <v>3</v>
      </c>
      <c r="AS117" s="360">
        <v>193.13</v>
      </c>
      <c r="AT117" s="360">
        <v>104</v>
      </c>
      <c r="AU117" s="360">
        <v>193.13</v>
      </c>
      <c r="AV117" s="360">
        <v>104</v>
      </c>
      <c r="AW117" s="360">
        <v>0</v>
      </c>
      <c r="AX117" s="360">
        <v>0</v>
      </c>
      <c r="AY117" s="360">
        <v>0</v>
      </c>
      <c r="AZ117" s="360">
        <v>0</v>
      </c>
      <c r="BA117" s="360">
        <v>185.33</v>
      </c>
      <c r="BB117" s="360">
        <v>33</v>
      </c>
      <c r="BC117" s="360">
        <v>196.18</v>
      </c>
      <c r="BD117" s="360">
        <v>67</v>
      </c>
      <c r="BE117" s="360">
        <v>206.46</v>
      </c>
      <c r="BF117" s="360">
        <v>4</v>
      </c>
      <c r="BG117" s="360">
        <v>0</v>
      </c>
      <c r="BH117" s="360">
        <v>0</v>
      </c>
      <c r="BI117" s="360">
        <v>0</v>
      </c>
      <c r="BJ117" s="360">
        <v>0</v>
      </c>
      <c r="BK117" s="360">
        <v>0</v>
      </c>
      <c r="BL117" s="360">
        <v>0</v>
      </c>
      <c r="BM117" s="360">
        <v>0</v>
      </c>
      <c r="BN117" s="360">
        <v>0</v>
      </c>
      <c r="BO117" s="360">
        <v>0</v>
      </c>
      <c r="BP117" s="360">
        <v>0</v>
      </c>
      <c r="BQ117" s="360">
        <v>0</v>
      </c>
      <c r="BR117" s="360">
        <v>0</v>
      </c>
      <c r="BS117" s="360">
        <v>0</v>
      </c>
      <c r="BT117" s="360">
        <v>0</v>
      </c>
      <c r="BU117" s="360">
        <v>0</v>
      </c>
      <c r="BV117" s="360">
        <v>0</v>
      </c>
      <c r="BW117" s="360">
        <v>0</v>
      </c>
      <c r="BX117" s="360">
        <v>0</v>
      </c>
      <c r="BY117" s="360">
        <v>0</v>
      </c>
      <c r="BZ117" s="360">
        <v>0</v>
      </c>
      <c r="CA117" s="360">
        <v>0</v>
      </c>
      <c r="CB117" s="360">
        <v>0</v>
      </c>
      <c r="CC117" s="360">
        <v>69</v>
      </c>
      <c r="CD117" s="360" t="s">
        <v>341</v>
      </c>
    </row>
    <row r="118" spans="1:82" x14ac:dyDescent="0.35">
      <c r="A118" s="360" t="s">
        <v>342</v>
      </c>
      <c r="B118" s="360" t="s">
        <v>343</v>
      </c>
      <c r="C118" s="360" t="s">
        <v>68</v>
      </c>
      <c r="D118" s="360" t="s">
        <v>77</v>
      </c>
      <c r="E118" s="360">
        <v>24906</v>
      </c>
      <c r="F118" s="360">
        <v>24803</v>
      </c>
      <c r="G118" s="360">
        <v>0</v>
      </c>
      <c r="H118" s="360">
        <v>24</v>
      </c>
      <c r="I118" s="360">
        <v>126.82</v>
      </c>
      <c r="J118" s="360">
        <v>24489</v>
      </c>
      <c r="K118" s="360">
        <v>126.82</v>
      </c>
      <c r="L118" s="360">
        <v>24489</v>
      </c>
      <c r="M118" s="360">
        <v>0</v>
      </c>
      <c r="N118" s="360">
        <v>0</v>
      </c>
      <c r="O118" s="360">
        <v>94.83</v>
      </c>
      <c r="P118" s="360">
        <v>615</v>
      </c>
      <c r="Q118" s="360">
        <v>110.56</v>
      </c>
      <c r="R118" s="360">
        <v>8548</v>
      </c>
      <c r="S118" s="360">
        <v>129.31</v>
      </c>
      <c r="T118" s="360">
        <v>8609</v>
      </c>
      <c r="U118" s="360">
        <v>139.57</v>
      </c>
      <c r="V118" s="360">
        <v>5235</v>
      </c>
      <c r="W118" s="360">
        <v>169.26</v>
      </c>
      <c r="X118" s="360">
        <v>1187</v>
      </c>
      <c r="Y118" s="360">
        <v>188.75</v>
      </c>
      <c r="Z118" s="360">
        <v>242</v>
      </c>
      <c r="AA118" s="360">
        <v>224.38</v>
      </c>
      <c r="AB118" s="360">
        <v>53</v>
      </c>
      <c r="AC118" s="360">
        <v>0</v>
      </c>
      <c r="AD118" s="360">
        <v>0</v>
      </c>
      <c r="AE118" s="360">
        <v>0</v>
      </c>
      <c r="AF118" s="360">
        <v>0</v>
      </c>
      <c r="AG118" s="360">
        <v>0</v>
      </c>
      <c r="AH118" s="360">
        <v>0</v>
      </c>
      <c r="AI118" s="360">
        <v>0</v>
      </c>
      <c r="AJ118" s="360">
        <v>0</v>
      </c>
      <c r="AK118" s="360">
        <v>0</v>
      </c>
      <c r="AL118" s="360">
        <v>0</v>
      </c>
      <c r="AM118" s="360">
        <v>0</v>
      </c>
      <c r="AN118" s="360">
        <v>0</v>
      </c>
      <c r="AO118" s="360">
        <v>0</v>
      </c>
      <c r="AP118" s="360">
        <v>0</v>
      </c>
      <c r="AQ118" s="360">
        <v>0</v>
      </c>
      <c r="AR118" s="360">
        <v>0</v>
      </c>
      <c r="AS118" s="360">
        <v>203.11</v>
      </c>
      <c r="AT118" s="360">
        <v>314</v>
      </c>
      <c r="AU118" s="360">
        <v>203.11</v>
      </c>
      <c r="AV118" s="360">
        <v>314</v>
      </c>
      <c r="AW118" s="360">
        <v>0</v>
      </c>
      <c r="AX118" s="360">
        <v>0</v>
      </c>
      <c r="AY118" s="360">
        <v>0</v>
      </c>
      <c r="AZ118" s="360">
        <v>0</v>
      </c>
      <c r="BA118" s="360">
        <v>177.42</v>
      </c>
      <c r="BB118" s="360">
        <v>72</v>
      </c>
      <c r="BC118" s="360">
        <v>196.37</v>
      </c>
      <c r="BD118" s="360">
        <v>140</v>
      </c>
      <c r="BE118" s="360">
        <v>226.51</v>
      </c>
      <c r="BF118" s="360">
        <v>73</v>
      </c>
      <c r="BG118" s="360">
        <v>228.19</v>
      </c>
      <c r="BH118" s="360">
        <v>20</v>
      </c>
      <c r="BI118" s="360">
        <v>268.14999999999998</v>
      </c>
      <c r="BJ118" s="360">
        <v>9</v>
      </c>
      <c r="BK118" s="360">
        <v>0</v>
      </c>
      <c r="BL118" s="360">
        <v>0</v>
      </c>
      <c r="BM118" s="360">
        <v>251.42</v>
      </c>
      <c r="BN118" s="360">
        <v>24</v>
      </c>
      <c r="BO118" s="360">
        <v>251.42</v>
      </c>
      <c r="BP118" s="360">
        <v>24</v>
      </c>
      <c r="BQ118" s="360">
        <v>0</v>
      </c>
      <c r="BR118" s="360">
        <v>0</v>
      </c>
      <c r="BS118" s="360">
        <v>197.72</v>
      </c>
      <c r="BT118" s="360">
        <v>4</v>
      </c>
      <c r="BU118" s="360">
        <v>262.17</v>
      </c>
      <c r="BV118" s="360">
        <v>20</v>
      </c>
      <c r="BW118" s="360">
        <v>0</v>
      </c>
      <c r="BX118" s="360">
        <v>0</v>
      </c>
      <c r="BY118" s="360">
        <v>0</v>
      </c>
      <c r="BZ118" s="360">
        <v>0</v>
      </c>
      <c r="CA118" s="360">
        <v>0</v>
      </c>
      <c r="CB118" s="360">
        <v>0</v>
      </c>
      <c r="CC118" s="360">
        <v>79</v>
      </c>
      <c r="CD118" s="360" t="s">
        <v>344</v>
      </c>
    </row>
    <row r="119" spans="1:82" x14ac:dyDescent="0.35">
      <c r="A119" s="360" t="s">
        <v>345</v>
      </c>
      <c r="B119" s="360" t="s">
        <v>346</v>
      </c>
      <c r="C119" s="360" t="s">
        <v>68</v>
      </c>
      <c r="D119" s="360" t="s">
        <v>77</v>
      </c>
      <c r="E119" s="360">
        <v>24038</v>
      </c>
      <c r="F119" s="360">
        <v>22791</v>
      </c>
      <c r="G119" s="360">
        <v>0</v>
      </c>
      <c r="H119" s="360">
        <v>1247</v>
      </c>
      <c r="I119" s="360">
        <v>116.11</v>
      </c>
      <c r="J119" s="360">
        <v>22791</v>
      </c>
      <c r="K119" s="360">
        <v>116.11</v>
      </c>
      <c r="L119" s="360">
        <v>22791</v>
      </c>
      <c r="M119" s="360">
        <v>0</v>
      </c>
      <c r="N119" s="360">
        <v>0</v>
      </c>
      <c r="O119" s="360">
        <v>85.37</v>
      </c>
      <c r="P119" s="360">
        <v>822</v>
      </c>
      <c r="Q119" s="360">
        <v>99.25</v>
      </c>
      <c r="R119" s="360">
        <v>5979</v>
      </c>
      <c r="S119" s="360">
        <v>112.8</v>
      </c>
      <c r="T119" s="360">
        <v>8189</v>
      </c>
      <c r="U119" s="360">
        <v>131.04</v>
      </c>
      <c r="V119" s="360">
        <v>6167</v>
      </c>
      <c r="W119" s="360">
        <v>150.34</v>
      </c>
      <c r="X119" s="360">
        <v>1320</v>
      </c>
      <c r="Y119" s="360">
        <v>164.37</v>
      </c>
      <c r="Z119" s="360">
        <v>225</v>
      </c>
      <c r="AA119" s="360">
        <v>174.22</v>
      </c>
      <c r="AB119" s="360">
        <v>89</v>
      </c>
      <c r="AC119" s="360">
        <v>87.73</v>
      </c>
      <c r="AD119" s="360">
        <v>1247</v>
      </c>
      <c r="AE119" s="360">
        <v>89.54</v>
      </c>
      <c r="AF119" s="360">
        <v>681</v>
      </c>
      <c r="AG119" s="360">
        <v>85.56</v>
      </c>
      <c r="AH119" s="360">
        <v>566</v>
      </c>
      <c r="AI119" s="360">
        <v>74.489999999999995</v>
      </c>
      <c r="AJ119" s="360">
        <v>23</v>
      </c>
      <c r="AK119" s="360">
        <v>89.73</v>
      </c>
      <c r="AL119" s="360">
        <v>634</v>
      </c>
      <c r="AM119" s="360">
        <v>94.44</v>
      </c>
      <c r="AN119" s="360">
        <v>22</v>
      </c>
      <c r="AO119" s="360">
        <v>150.74</v>
      </c>
      <c r="AP119" s="360">
        <v>2</v>
      </c>
      <c r="AQ119" s="360">
        <v>0</v>
      </c>
      <c r="AR119" s="360">
        <v>0</v>
      </c>
      <c r="AS119" s="360">
        <v>0</v>
      </c>
      <c r="AT119" s="360">
        <v>0</v>
      </c>
      <c r="AU119" s="360">
        <v>0</v>
      </c>
      <c r="AV119" s="360">
        <v>0</v>
      </c>
      <c r="AW119" s="360">
        <v>0</v>
      </c>
      <c r="AX119" s="360">
        <v>0</v>
      </c>
      <c r="AY119" s="360">
        <v>0</v>
      </c>
      <c r="AZ119" s="360">
        <v>0</v>
      </c>
      <c r="BA119" s="360">
        <v>0</v>
      </c>
      <c r="BB119" s="360">
        <v>0</v>
      </c>
      <c r="BC119" s="360">
        <v>0</v>
      </c>
      <c r="BD119" s="360">
        <v>0</v>
      </c>
      <c r="BE119" s="360">
        <v>0</v>
      </c>
      <c r="BF119" s="360">
        <v>0</v>
      </c>
      <c r="BG119" s="360">
        <v>0</v>
      </c>
      <c r="BH119" s="360">
        <v>0</v>
      </c>
      <c r="BI119" s="360">
        <v>0</v>
      </c>
      <c r="BJ119" s="360">
        <v>0</v>
      </c>
      <c r="BK119" s="360">
        <v>0</v>
      </c>
      <c r="BL119" s="360">
        <v>0</v>
      </c>
      <c r="BM119" s="360">
        <v>0</v>
      </c>
      <c r="BN119" s="360">
        <v>0</v>
      </c>
      <c r="BO119" s="360">
        <v>0</v>
      </c>
      <c r="BP119" s="360">
        <v>0</v>
      </c>
      <c r="BQ119" s="360">
        <v>0</v>
      </c>
      <c r="BR119" s="360">
        <v>0</v>
      </c>
      <c r="BS119" s="360">
        <v>0</v>
      </c>
      <c r="BT119" s="360">
        <v>0</v>
      </c>
      <c r="BU119" s="360">
        <v>0</v>
      </c>
      <c r="BV119" s="360">
        <v>0</v>
      </c>
      <c r="BW119" s="360">
        <v>0</v>
      </c>
      <c r="BX119" s="360">
        <v>0</v>
      </c>
      <c r="BY119" s="360">
        <v>0</v>
      </c>
      <c r="BZ119" s="360">
        <v>0</v>
      </c>
      <c r="CA119" s="360">
        <v>0</v>
      </c>
      <c r="CB119" s="360">
        <v>0</v>
      </c>
      <c r="CC119" s="360">
        <v>0</v>
      </c>
      <c r="CD119" s="360" t="s">
        <v>347</v>
      </c>
    </row>
    <row r="120" spans="1:82" x14ac:dyDescent="0.35">
      <c r="A120" s="360" t="s">
        <v>348</v>
      </c>
      <c r="B120" s="360" t="s">
        <v>349</v>
      </c>
      <c r="C120" s="360" t="s">
        <v>68</v>
      </c>
      <c r="D120" s="360" t="s">
        <v>77</v>
      </c>
      <c r="E120" s="360">
        <v>14606</v>
      </c>
      <c r="F120" s="360">
        <v>13326</v>
      </c>
      <c r="G120" s="360">
        <v>834</v>
      </c>
      <c r="H120" s="360">
        <v>446</v>
      </c>
      <c r="I120" s="360">
        <v>96.24</v>
      </c>
      <c r="J120" s="360">
        <v>14160</v>
      </c>
      <c r="K120" s="360">
        <v>100.27</v>
      </c>
      <c r="L120" s="360">
        <v>13326</v>
      </c>
      <c r="M120" s="360">
        <v>31.88</v>
      </c>
      <c r="N120" s="360">
        <v>834</v>
      </c>
      <c r="O120" s="360">
        <v>78.05</v>
      </c>
      <c r="P120" s="360">
        <v>597</v>
      </c>
      <c r="Q120" s="360">
        <v>87.73</v>
      </c>
      <c r="R120" s="360">
        <v>3563</v>
      </c>
      <c r="S120" s="360">
        <v>98.45</v>
      </c>
      <c r="T120" s="360">
        <v>5366</v>
      </c>
      <c r="U120" s="360">
        <v>115.03</v>
      </c>
      <c r="V120" s="360">
        <v>3138</v>
      </c>
      <c r="W120" s="360">
        <v>129</v>
      </c>
      <c r="X120" s="360">
        <v>557</v>
      </c>
      <c r="Y120" s="360">
        <v>149.29</v>
      </c>
      <c r="Z120" s="360">
        <v>73</v>
      </c>
      <c r="AA120" s="360">
        <v>156.06</v>
      </c>
      <c r="AB120" s="360">
        <v>32</v>
      </c>
      <c r="AC120" s="360">
        <v>83.35</v>
      </c>
      <c r="AD120" s="360">
        <v>446</v>
      </c>
      <c r="AE120" s="360">
        <v>83.35</v>
      </c>
      <c r="AF120" s="360">
        <v>446</v>
      </c>
      <c r="AG120" s="360">
        <v>0</v>
      </c>
      <c r="AH120" s="360">
        <v>0</v>
      </c>
      <c r="AI120" s="360">
        <v>72.349999999999994</v>
      </c>
      <c r="AJ120" s="360">
        <v>89</v>
      </c>
      <c r="AK120" s="360">
        <v>85.32</v>
      </c>
      <c r="AL120" s="360">
        <v>340</v>
      </c>
      <c r="AM120" s="360">
        <v>98.82</v>
      </c>
      <c r="AN120" s="360">
        <v>14</v>
      </c>
      <c r="AO120" s="360">
        <v>115.04</v>
      </c>
      <c r="AP120" s="360">
        <v>3</v>
      </c>
      <c r="AQ120" s="360">
        <v>0</v>
      </c>
      <c r="AR120" s="360">
        <v>0</v>
      </c>
      <c r="AS120" s="360">
        <v>0</v>
      </c>
      <c r="AT120" s="360">
        <v>0</v>
      </c>
      <c r="AU120" s="360">
        <v>0</v>
      </c>
      <c r="AV120" s="360">
        <v>0</v>
      </c>
      <c r="AW120" s="360">
        <v>0</v>
      </c>
      <c r="AX120" s="360">
        <v>0</v>
      </c>
      <c r="AY120" s="360">
        <v>0</v>
      </c>
      <c r="AZ120" s="360">
        <v>0</v>
      </c>
      <c r="BA120" s="360">
        <v>0</v>
      </c>
      <c r="BB120" s="360">
        <v>0</v>
      </c>
      <c r="BC120" s="360">
        <v>0</v>
      </c>
      <c r="BD120" s="360">
        <v>0</v>
      </c>
      <c r="BE120" s="360">
        <v>0</v>
      </c>
      <c r="BF120" s="360">
        <v>0</v>
      </c>
      <c r="BG120" s="360">
        <v>0</v>
      </c>
      <c r="BH120" s="360">
        <v>0</v>
      </c>
      <c r="BI120" s="360">
        <v>0</v>
      </c>
      <c r="BJ120" s="360">
        <v>0</v>
      </c>
      <c r="BK120" s="360">
        <v>0</v>
      </c>
      <c r="BL120" s="360">
        <v>0</v>
      </c>
      <c r="BM120" s="360">
        <v>0</v>
      </c>
      <c r="BN120" s="360">
        <v>0</v>
      </c>
      <c r="BO120" s="360">
        <v>0</v>
      </c>
      <c r="BP120" s="360">
        <v>0</v>
      </c>
      <c r="BQ120" s="360">
        <v>0</v>
      </c>
      <c r="BR120" s="360">
        <v>0</v>
      </c>
      <c r="BS120" s="360">
        <v>0</v>
      </c>
      <c r="BT120" s="360">
        <v>0</v>
      </c>
      <c r="BU120" s="360">
        <v>0</v>
      </c>
      <c r="BV120" s="360">
        <v>0</v>
      </c>
      <c r="BW120" s="360">
        <v>0</v>
      </c>
      <c r="BX120" s="360">
        <v>0</v>
      </c>
      <c r="BY120" s="360">
        <v>0</v>
      </c>
      <c r="BZ120" s="360">
        <v>0</v>
      </c>
      <c r="CA120" s="360">
        <v>0</v>
      </c>
      <c r="CB120" s="360">
        <v>0</v>
      </c>
      <c r="CC120" s="360">
        <v>0</v>
      </c>
      <c r="CD120" s="360" t="s">
        <v>350</v>
      </c>
    </row>
    <row r="121" spans="1:82" x14ac:dyDescent="0.35">
      <c r="A121" s="360" t="s">
        <v>351</v>
      </c>
      <c r="B121" s="360" t="s">
        <v>352</v>
      </c>
      <c r="C121" s="360" t="s">
        <v>68</v>
      </c>
      <c r="D121" s="360" t="s">
        <v>77</v>
      </c>
      <c r="E121" s="360">
        <v>12</v>
      </c>
      <c r="F121" s="360">
        <v>0</v>
      </c>
      <c r="G121" s="360">
        <v>0</v>
      </c>
      <c r="H121" s="360">
        <v>12</v>
      </c>
      <c r="I121" s="360">
        <v>0</v>
      </c>
      <c r="J121" s="360">
        <v>0</v>
      </c>
      <c r="K121" s="360">
        <v>0</v>
      </c>
      <c r="L121" s="360">
        <v>0</v>
      </c>
      <c r="M121" s="360">
        <v>0</v>
      </c>
      <c r="N121" s="360">
        <v>0</v>
      </c>
      <c r="O121" s="360">
        <v>0</v>
      </c>
      <c r="P121" s="360">
        <v>0</v>
      </c>
      <c r="Q121" s="360">
        <v>0</v>
      </c>
      <c r="R121" s="360">
        <v>0</v>
      </c>
      <c r="S121" s="360">
        <v>0</v>
      </c>
      <c r="T121" s="360">
        <v>0</v>
      </c>
      <c r="U121" s="360">
        <v>0</v>
      </c>
      <c r="V121" s="360">
        <v>0</v>
      </c>
      <c r="W121" s="360">
        <v>0</v>
      </c>
      <c r="X121" s="360">
        <v>0</v>
      </c>
      <c r="Y121" s="360">
        <v>0</v>
      </c>
      <c r="Z121" s="360">
        <v>0</v>
      </c>
      <c r="AA121" s="360">
        <v>0</v>
      </c>
      <c r="AB121" s="360">
        <v>0</v>
      </c>
      <c r="AC121" s="360">
        <v>107.18</v>
      </c>
      <c r="AD121" s="360">
        <v>12</v>
      </c>
      <c r="AE121" s="360">
        <v>0</v>
      </c>
      <c r="AF121" s="360">
        <v>0</v>
      </c>
      <c r="AG121" s="360">
        <v>107.18</v>
      </c>
      <c r="AH121" s="360">
        <v>12</v>
      </c>
      <c r="AI121" s="360">
        <v>0</v>
      </c>
      <c r="AJ121" s="360">
        <v>0</v>
      </c>
      <c r="AK121" s="360">
        <v>0</v>
      </c>
      <c r="AL121" s="360">
        <v>0</v>
      </c>
      <c r="AM121" s="360">
        <v>0</v>
      </c>
      <c r="AN121" s="360">
        <v>0</v>
      </c>
      <c r="AO121" s="360">
        <v>0</v>
      </c>
      <c r="AP121" s="360">
        <v>0</v>
      </c>
      <c r="AQ121" s="360">
        <v>0</v>
      </c>
      <c r="AR121" s="360">
        <v>0</v>
      </c>
      <c r="AS121" s="360">
        <v>0</v>
      </c>
      <c r="AT121" s="360">
        <v>0</v>
      </c>
      <c r="AU121" s="360">
        <v>0</v>
      </c>
      <c r="AV121" s="360">
        <v>0</v>
      </c>
      <c r="AW121" s="360">
        <v>0</v>
      </c>
      <c r="AX121" s="360">
        <v>0</v>
      </c>
      <c r="AY121" s="360">
        <v>0</v>
      </c>
      <c r="AZ121" s="360">
        <v>0</v>
      </c>
      <c r="BA121" s="360">
        <v>0</v>
      </c>
      <c r="BB121" s="360">
        <v>0</v>
      </c>
      <c r="BC121" s="360">
        <v>0</v>
      </c>
      <c r="BD121" s="360">
        <v>0</v>
      </c>
      <c r="BE121" s="360">
        <v>0</v>
      </c>
      <c r="BF121" s="360">
        <v>0</v>
      </c>
      <c r="BG121" s="360">
        <v>0</v>
      </c>
      <c r="BH121" s="360">
        <v>0</v>
      </c>
      <c r="BI121" s="360">
        <v>0</v>
      </c>
      <c r="BJ121" s="360">
        <v>0</v>
      </c>
      <c r="BK121" s="360">
        <v>0</v>
      </c>
      <c r="BL121" s="360">
        <v>0</v>
      </c>
      <c r="BM121" s="360">
        <v>0</v>
      </c>
      <c r="BN121" s="360">
        <v>0</v>
      </c>
      <c r="BO121" s="360">
        <v>0</v>
      </c>
      <c r="BP121" s="360">
        <v>0</v>
      </c>
      <c r="BQ121" s="360">
        <v>0</v>
      </c>
      <c r="BR121" s="360">
        <v>0</v>
      </c>
      <c r="BS121" s="360">
        <v>0</v>
      </c>
      <c r="BT121" s="360">
        <v>0</v>
      </c>
      <c r="BU121" s="360">
        <v>0</v>
      </c>
      <c r="BV121" s="360">
        <v>0</v>
      </c>
      <c r="BW121" s="360">
        <v>0</v>
      </c>
      <c r="BX121" s="360">
        <v>0</v>
      </c>
      <c r="BY121" s="360">
        <v>0</v>
      </c>
      <c r="BZ121" s="360">
        <v>0</v>
      </c>
      <c r="CA121" s="360">
        <v>0</v>
      </c>
      <c r="CB121" s="360">
        <v>0</v>
      </c>
      <c r="CC121" s="360">
        <v>0</v>
      </c>
      <c r="CD121" s="360" t="s">
        <v>353</v>
      </c>
    </row>
    <row r="122" spans="1:82" x14ac:dyDescent="0.35">
      <c r="A122" s="360" t="s">
        <v>354</v>
      </c>
      <c r="B122" s="360" t="s">
        <v>355</v>
      </c>
      <c r="C122" s="360" t="s">
        <v>68</v>
      </c>
      <c r="D122" s="360" t="s">
        <v>77</v>
      </c>
      <c r="E122" s="360">
        <v>16565</v>
      </c>
      <c r="F122" s="360">
        <v>16285</v>
      </c>
      <c r="G122" s="360">
        <v>0</v>
      </c>
      <c r="H122" s="360">
        <v>0</v>
      </c>
      <c r="I122" s="360">
        <v>108.22</v>
      </c>
      <c r="J122" s="360">
        <v>15583</v>
      </c>
      <c r="K122" s="360">
        <v>108.22</v>
      </c>
      <c r="L122" s="360">
        <v>15583</v>
      </c>
      <c r="M122" s="360">
        <v>0</v>
      </c>
      <c r="N122" s="360">
        <v>0</v>
      </c>
      <c r="O122" s="360">
        <v>80.77</v>
      </c>
      <c r="P122" s="360">
        <v>164</v>
      </c>
      <c r="Q122" s="360">
        <v>91.84</v>
      </c>
      <c r="R122" s="360">
        <v>4675</v>
      </c>
      <c r="S122" s="360">
        <v>104.63</v>
      </c>
      <c r="T122" s="360">
        <v>5254</v>
      </c>
      <c r="U122" s="360">
        <v>124.04</v>
      </c>
      <c r="V122" s="360">
        <v>4920</v>
      </c>
      <c r="W122" s="360">
        <v>144.1</v>
      </c>
      <c r="X122" s="360">
        <v>496</v>
      </c>
      <c r="Y122" s="360">
        <v>160.41</v>
      </c>
      <c r="Z122" s="360">
        <v>61</v>
      </c>
      <c r="AA122" s="360">
        <v>192.5</v>
      </c>
      <c r="AB122" s="360">
        <v>13</v>
      </c>
      <c r="AC122" s="360">
        <v>0</v>
      </c>
      <c r="AD122" s="360">
        <v>0</v>
      </c>
      <c r="AE122" s="360">
        <v>0</v>
      </c>
      <c r="AF122" s="360">
        <v>0</v>
      </c>
      <c r="AG122" s="360">
        <v>0</v>
      </c>
      <c r="AH122" s="360">
        <v>0</v>
      </c>
      <c r="AI122" s="360">
        <v>0</v>
      </c>
      <c r="AJ122" s="360">
        <v>0</v>
      </c>
      <c r="AK122" s="360">
        <v>0</v>
      </c>
      <c r="AL122" s="360">
        <v>0</v>
      </c>
      <c r="AM122" s="360">
        <v>0</v>
      </c>
      <c r="AN122" s="360">
        <v>0</v>
      </c>
      <c r="AO122" s="360">
        <v>0</v>
      </c>
      <c r="AP122" s="360">
        <v>0</v>
      </c>
      <c r="AQ122" s="360">
        <v>0</v>
      </c>
      <c r="AR122" s="360">
        <v>0</v>
      </c>
      <c r="AS122" s="360">
        <v>173.85</v>
      </c>
      <c r="AT122" s="360">
        <v>702</v>
      </c>
      <c r="AU122" s="360">
        <v>173.85</v>
      </c>
      <c r="AV122" s="360">
        <v>702</v>
      </c>
      <c r="AW122" s="360">
        <v>0</v>
      </c>
      <c r="AX122" s="360">
        <v>0</v>
      </c>
      <c r="AY122" s="360">
        <v>165.4</v>
      </c>
      <c r="AZ122" s="360">
        <v>1</v>
      </c>
      <c r="BA122" s="360">
        <v>161.24</v>
      </c>
      <c r="BB122" s="360">
        <v>221</v>
      </c>
      <c r="BC122" s="360">
        <v>187.41</v>
      </c>
      <c r="BD122" s="360">
        <v>205</v>
      </c>
      <c r="BE122" s="360">
        <v>173.41</v>
      </c>
      <c r="BF122" s="360">
        <v>258</v>
      </c>
      <c r="BG122" s="360">
        <v>181.49</v>
      </c>
      <c r="BH122" s="360">
        <v>17</v>
      </c>
      <c r="BI122" s="360">
        <v>0</v>
      </c>
      <c r="BJ122" s="360">
        <v>0</v>
      </c>
      <c r="BK122" s="360">
        <v>0</v>
      </c>
      <c r="BL122" s="360">
        <v>0</v>
      </c>
      <c r="BM122" s="360">
        <v>0</v>
      </c>
      <c r="BN122" s="360">
        <v>0</v>
      </c>
      <c r="BO122" s="360">
        <v>0</v>
      </c>
      <c r="BP122" s="360">
        <v>0</v>
      </c>
      <c r="BQ122" s="360">
        <v>0</v>
      </c>
      <c r="BR122" s="360">
        <v>0</v>
      </c>
      <c r="BS122" s="360">
        <v>0</v>
      </c>
      <c r="BT122" s="360">
        <v>0</v>
      </c>
      <c r="BU122" s="360">
        <v>0</v>
      </c>
      <c r="BV122" s="360">
        <v>0</v>
      </c>
      <c r="BW122" s="360">
        <v>0</v>
      </c>
      <c r="BX122" s="360">
        <v>0</v>
      </c>
      <c r="BY122" s="360">
        <v>0</v>
      </c>
      <c r="BZ122" s="360">
        <v>0</v>
      </c>
      <c r="CA122" s="360">
        <v>0</v>
      </c>
      <c r="CB122" s="360">
        <v>0</v>
      </c>
      <c r="CC122" s="360">
        <v>280</v>
      </c>
      <c r="CD122" s="360" t="s">
        <v>356</v>
      </c>
    </row>
    <row r="123" spans="1:82" x14ac:dyDescent="0.35">
      <c r="A123" s="360" t="s">
        <v>357</v>
      </c>
      <c r="B123" s="360" t="s">
        <v>358</v>
      </c>
      <c r="C123" s="360" t="s">
        <v>68</v>
      </c>
      <c r="D123" s="360" t="s">
        <v>77</v>
      </c>
      <c r="E123" s="360">
        <v>4497</v>
      </c>
      <c r="F123" s="360">
        <v>4371</v>
      </c>
      <c r="G123" s="360">
        <v>0</v>
      </c>
      <c r="H123" s="360">
        <v>126</v>
      </c>
      <c r="I123" s="360">
        <v>111.22</v>
      </c>
      <c r="J123" s="360">
        <v>3970</v>
      </c>
      <c r="K123" s="360">
        <v>111.22</v>
      </c>
      <c r="L123" s="360">
        <v>3970</v>
      </c>
      <c r="M123" s="360">
        <v>0</v>
      </c>
      <c r="N123" s="360">
        <v>0</v>
      </c>
      <c r="O123" s="360">
        <v>84.83</v>
      </c>
      <c r="P123" s="360">
        <v>321</v>
      </c>
      <c r="Q123" s="360">
        <v>95.58</v>
      </c>
      <c r="R123" s="360">
        <v>1224</v>
      </c>
      <c r="S123" s="360">
        <v>110.96</v>
      </c>
      <c r="T123" s="360">
        <v>1190</v>
      </c>
      <c r="U123" s="360">
        <v>131.4</v>
      </c>
      <c r="V123" s="360">
        <v>1112</v>
      </c>
      <c r="W123" s="360">
        <v>154.31</v>
      </c>
      <c r="X123" s="360">
        <v>106</v>
      </c>
      <c r="Y123" s="360">
        <v>165.94</v>
      </c>
      <c r="Z123" s="360">
        <v>16</v>
      </c>
      <c r="AA123" s="360">
        <v>165.43</v>
      </c>
      <c r="AB123" s="360">
        <v>1</v>
      </c>
      <c r="AC123" s="360">
        <v>89.53</v>
      </c>
      <c r="AD123" s="360">
        <v>126</v>
      </c>
      <c r="AE123" s="360">
        <v>89.53</v>
      </c>
      <c r="AF123" s="360">
        <v>126</v>
      </c>
      <c r="AG123" s="360">
        <v>0</v>
      </c>
      <c r="AH123" s="360">
        <v>0</v>
      </c>
      <c r="AI123" s="360">
        <v>82.65</v>
      </c>
      <c r="AJ123" s="360">
        <v>54</v>
      </c>
      <c r="AK123" s="360">
        <v>92.67</v>
      </c>
      <c r="AL123" s="360">
        <v>66</v>
      </c>
      <c r="AM123" s="360">
        <v>108.08</v>
      </c>
      <c r="AN123" s="360">
        <v>4</v>
      </c>
      <c r="AO123" s="360">
        <v>134.9</v>
      </c>
      <c r="AP123" s="360">
        <v>2</v>
      </c>
      <c r="AQ123" s="360">
        <v>0</v>
      </c>
      <c r="AR123" s="360">
        <v>0</v>
      </c>
      <c r="AS123" s="360">
        <v>192.82</v>
      </c>
      <c r="AT123" s="360">
        <v>401</v>
      </c>
      <c r="AU123" s="360">
        <v>192.82</v>
      </c>
      <c r="AV123" s="360">
        <v>401</v>
      </c>
      <c r="AW123" s="360">
        <v>0</v>
      </c>
      <c r="AX123" s="360">
        <v>0</v>
      </c>
      <c r="AY123" s="360">
        <v>168.34</v>
      </c>
      <c r="AZ123" s="360">
        <v>1</v>
      </c>
      <c r="BA123" s="360">
        <v>165.1</v>
      </c>
      <c r="BB123" s="360">
        <v>67</v>
      </c>
      <c r="BC123" s="360">
        <v>191.3</v>
      </c>
      <c r="BD123" s="360">
        <v>222</v>
      </c>
      <c r="BE123" s="360">
        <v>211.04</v>
      </c>
      <c r="BF123" s="360">
        <v>98</v>
      </c>
      <c r="BG123" s="360">
        <v>211.5</v>
      </c>
      <c r="BH123" s="360">
        <v>11</v>
      </c>
      <c r="BI123" s="360">
        <v>396.66</v>
      </c>
      <c r="BJ123" s="360">
        <v>1</v>
      </c>
      <c r="BK123" s="360">
        <v>217.82</v>
      </c>
      <c r="BL123" s="360">
        <v>1</v>
      </c>
      <c r="BM123" s="360">
        <v>0</v>
      </c>
      <c r="BN123" s="360">
        <v>0</v>
      </c>
      <c r="BO123" s="360">
        <v>0</v>
      </c>
      <c r="BP123" s="360">
        <v>0</v>
      </c>
      <c r="BQ123" s="360">
        <v>0</v>
      </c>
      <c r="BR123" s="360">
        <v>0</v>
      </c>
      <c r="BS123" s="360">
        <v>0</v>
      </c>
      <c r="BT123" s="360">
        <v>0</v>
      </c>
      <c r="BU123" s="360">
        <v>0</v>
      </c>
      <c r="BV123" s="360">
        <v>0</v>
      </c>
      <c r="BW123" s="360">
        <v>0</v>
      </c>
      <c r="BX123" s="360">
        <v>0</v>
      </c>
      <c r="BY123" s="360">
        <v>0</v>
      </c>
      <c r="BZ123" s="360">
        <v>0</v>
      </c>
      <c r="CA123" s="360">
        <v>0</v>
      </c>
      <c r="CB123" s="360">
        <v>0</v>
      </c>
      <c r="CC123" s="360">
        <v>0</v>
      </c>
      <c r="CD123" s="360" t="s">
        <v>359</v>
      </c>
    </row>
    <row r="124" spans="1:82" x14ac:dyDescent="0.35">
      <c r="A124" s="360" t="s">
        <v>360</v>
      </c>
      <c r="B124" s="360" t="s">
        <v>361</v>
      </c>
      <c r="C124" s="360" t="s">
        <v>68</v>
      </c>
      <c r="D124" s="360" t="s">
        <v>77</v>
      </c>
      <c r="E124" s="360">
        <v>6036</v>
      </c>
      <c r="F124" s="360">
        <v>5525</v>
      </c>
      <c r="G124" s="360">
        <v>0</v>
      </c>
      <c r="H124" s="360">
        <v>503</v>
      </c>
      <c r="I124" s="360">
        <v>114.91</v>
      </c>
      <c r="J124" s="360">
        <v>5184</v>
      </c>
      <c r="K124" s="360">
        <v>114.91</v>
      </c>
      <c r="L124" s="360">
        <v>5184</v>
      </c>
      <c r="M124" s="360">
        <v>0</v>
      </c>
      <c r="N124" s="360">
        <v>0</v>
      </c>
      <c r="O124" s="360">
        <v>82</v>
      </c>
      <c r="P124" s="360">
        <v>121</v>
      </c>
      <c r="Q124" s="360">
        <v>98.26</v>
      </c>
      <c r="R124" s="360">
        <v>1215</v>
      </c>
      <c r="S124" s="360">
        <v>114.43</v>
      </c>
      <c r="T124" s="360">
        <v>1956</v>
      </c>
      <c r="U124" s="360">
        <v>127.75</v>
      </c>
      <c r="V124" s="360">
        <v>1840</v>
      </c>
      <c r="W124" s="360">
        <v>144.86000000000001</v>
      </c>
      <c r="X124" s="360">
        <v>48</v>
      </c>
      <c r="Y124" s="360">
        <v>147.34</v>
      </c>
      <c r="Z124" s="360">
        <v>4</v>
      </c>
      <c r="AA124" s="360">
        <v>0</v>
      </c>
      <c r="AB124" s="360">
        <v>0</v>
      </c>
      <c r="AC124" s="360">
        <v>98.44</v>
      </c>
      <c r="AD124" s="360">
        <v>503</v>
      </c>
      <c r="AE124" s="360">
        <v>98.44</v>
      </c>
      <c r="AF124" s="360">
        <v>503</v>
      </c>
      <c r="AG124" s="360">
        <v>0</v>
      </c>
      <c r="AH124" s="360">
        <v>0</v>
      </c>
      <c r="AI124" s="360">
        <v>82.08</v>
      </c>
      <c r="AJ124" s="360">
        <v>63</v>
      </c>
      <c r="AK124" s="360">
        <v>100.1</v>
      </c>
      <c r="AL124" s="360">
        <v>419</v>
      </c>
      <c r="AM124" s="360">
        <v>114.55</v>
      </c>
      <c r="AN124" s="360">
        <v>21</v>
      </c>
      <c r="AO124" s="360">
        <v>0</v>
      </c>
      <c r="AP124" s="360">
        <v>0</v>
      </c>
      <c r="AQ124" s="360">
        <v>0</v>
      </c>
      <c r="AR124" s="360">
        <v>0</v>
      </c>
      <c r="AS124" s="360">
        <v>229.07</v>
      </c>
      <c r="AT124" s="360">
        <v>341</v>
      </c>
      <c r="AU124" s="360">
        <v>229.07</v>
      </c>
      <c r="AV124" s="360">
        <v>341</v>
      </c>
      <c r="AW124" s="360">
        <v>0</v>
      </c>
      <c r="AX124" s="360">
        <v>0</v>
      </c>
      <c r="AY124" s="360">
        <v>190.6</v>
      </c>
      <c r="AZ124" s="360">
        <v>1</v>
      </c>
      <c r="BA124" s="360">
        <v>179.92</v>
      </c>
      <c r="BB124" s="360">
        <v>75</v>
      </c>
      <c r="BC124" s="360">
        <v>226.56</v>
      </c>
      <c r="BD124" s="360">
        <v>179</v>
      </c>
      <c r="BE124" s="360">
        <v>277.62</v>
      </c>
      <c r="BF124" s="360">
        <v>86</v>
      </c>
      <c r="BG124" s="360">
        <v>0</v>
      </c>
      <c r="BH124" s="360">
        <v>0</v>
      </c>
      <c r="BI124" s="360">
        <v>0</v>
      </c>
      <c r="BJ124" s="360">
        <v>0</v>
      </c>
      <c r="BK124" s="360">
        <v>0</v>
      </c>
      <c r="BL124" s="360">
        <v>0</v>
      </c>
      <c r="BM124" s="360">
        <v>0</v>
      </c>
      <c r="BN124" s="360">
        <v>0</v>
      </c>
      <c r="BO124" s="360">
        <v>0</v>
      </c>
      <c r="BP124" s="360">
        <v>0</v>
      </c>
      <c r="BQ124" s="360">
        <v>0</v>
      </c>
      <c r="BR124" s="360">
        <v>0</v>
      </c>
      <c r="BS124" s="360">
        <v>0</v>
      </c>
      <c r="BT124" s="360">
        <v>0</v>
      </c>
      <c r="BU124" s="360">
        <v>0</v>
      </c>
      <c r="BV124" s="360">
        <v>0</v>
      </c>
      <c r="BW124" s="360">
        <v>0</v>
      </c>
      <c r="BX124" s="360">
        <v>0</v>
      </c>
      <c r="BY124" s="360">
        <v>0</v>
      </c>
      <c r="BZ124" s="360">
        <v>0</v>
      </c>
      <c r="CA124" s="360">
        <v>0</v>
      </c>
      <c r="CB124" s="360">
        <v>0</v>
      </c>
      <c r="CC124" s="360">
        <v>8</v>
      </c>
      <c r="CD124" s="360" t="s">
        <v>362</v>
      </c>
    </row>
    <row r="125" spans="1:82" x14ac:dyDescent="0.35">
      <c r="A125" s="360" t="s">
        <v>363</v>
      </c>
      <c r="B125" s="360" t="s">
        <v>364</v>
      </c>
      <c r="C125" s="360" t="s">
        <v>68</v>
      </c>
      <c r="D125" s="360" t="s">
        <v>77</v>
      </c>
      <c r="E125" s="360">
        <v>11484</v>
      </c>
      <c r="F125" s="360">
        <v>11482</v>
      </c>
      <c r="G125" s="360">
        <v>0</v>
      </c>
      <c r="H125" s="360">
        <v>2</v>
      </c>
      <c r="I125" s="360">
        <v>116.82</v>
      </c>
      <c r="J125" s="360">
        <v>11282</v>
      </c>
      <c r="K125" s="360">
        <v>116.82</v>
      </c>
      <c r="L125" s="360">
        <v>11282</v>
      </c>
      <c r="M125" s="360">
        <v>0</v>
      </c>
      <c r="N125" s="360">
        <v>0</v>
      </c>
      <c r="O125" s="360">
        <v>89.7</v>
      </c>
      <c r="P125" s="360">
        <v>673</v>
      </c>
      <c r="Q125" s="360">
        <v>103.9</v>
      </c>
      <c r="R125" s="360">
        <v>3123</v>
      </c>
      <c r="S125" s="360">
        <v>117.05</v>
      </c>
      <c r="T125" s="360">
        <v>4445</v>
      </c>
      <c r="U125" s="360">
        <v>132.07</v>
      </c>
      <c r="V125" s="360">
        <v>2471</v>
      </c>
      <c r="W125" s="360">
        <v>149.41999999999999</v>
      </c>
      <c r="X125" s="360">
        <v>485</v>
      </c>
      <c r="Y125" s="360">
        <v>163.76</v>
      </c>
      <c r="Z125" s="360">
        <v>72</v>
      </c>
      <c r="AA125" s="360">
        <v>172.24</v>
      </c>
      <c r="AB125" s="360">
        <v>13</v>
      </c>
      <c r="AC125" s="360">
        <v>80.34</v>
      </c>
      <c r="AD125" s="360">
        <v>2</v>
      </c>
      <c r="AE125" s="360">
        <v>0</v>
      </c>
      <c r="AF125" s="360">
        <v>0</v>
      </c>
      <c r="AG125" s="360">
        <v>80.34</v>
      </c>
      <c r="AH125" s="360">
        <v>2</v>
      </c>
      <c r="AI125" s="360">
        <v>0</v>
      </c>
      <c r="AJ125" s="360">
        <v>0</v>
      </c>
      <c r="AK125" s="360">
        <v>0</v>
      </c>
      <c r="AL125" s="360">
        <v>0</v>
      </c>
      <c r="AM125" s="360">
        <v>0</v>
      </c>
      <c r="AN125" s="360">
        <v>0</v>
      </c>
      <c r="AO125" s="360">
        <v>0</v>
      </c>
      <c r="AP125" s="360">
        <v>0</v>
      </c>
      <c r="AQ125" s="360">
        <v>0</v>
      </c>
      <c r="AR125" s="360">
        <v>0</v>
      </c>
      <c r="AS125" s="360">
        <v>244.89</v>
      </c>
      <c r="AT125" s="360">
        <v>200</v>
      </c>
      <c r="AU125" s="360">
        <v>244.89</v>
      </c>
      <c r="AV125" s="360">
        <v>200</v>
      </c>
      <c r="AW125" s="360">
        <v>0</v>
      </c>
      <c r="AX125" s="360">
        <v>0</v>
      </c>
      <c r="AY125" s="360">
        <v>0</v>
      </c>
      <c r="AZ125" s="360">
        <v>0</v>
      </c>
      <c r="BA125" s="360">
        <v>213.82</v>
      </c>
      <c r="BB125" s="360">
        <v>45</v>
      </c>
      <c r="BC125" s="360">
        <v>229.4</v>
      </c>
      <c r="BD125" s="360">
        <v>48</v>
      </c>
      <c r="BE125" s="360">
        <v>250.36</v>
      </c>
      <c r="BF125" s="360">
        <v>71</v>
      </c>
      <c r="BG125" s="360">
        <v>293.62</v>
      </c>
      <c r="BH125" s="360">
        <v>36</v>
      </c>
      <c r="BI125" s="360">
        <v>0</v>
      </c>
      <c r="BJ125" s="360">
        <v>0</v>
      </c>
      <c r="BK125" s="360">
        <v>0</v>
      </c>
      <c r="BL125" s="360">
        <v>0</v>
      </c>
      <c r="BM125" s="360">
        <v>0</v>
      </c>
      <c r="BN125" s="360">
        <v>0</v>
      </c>
      <c r="BO125" s="360">
        <v>0</v>
      </c>
      <c r="BP125" s="360">
        <v>0</v>
      </c>
      <c r="BQ125" s="360">
        <v>0</v>
      </c>
      <c r="BR125" s="360">
        <v>0</v>
      </c>
      <c r="BS125" s="360">
        <v>0</v>
      </c>
      <c r="BT125" s="360">
        <v>0</v>
      </c>
      <c r="BU125" s="360">
        <v>0</v>
      </c>
      <c r="BV125" s="360">
        <v>0</v>
      </c>
      <c r="BW125" s="360">
        <v>0</v>
      </c>
      <c r="BX125" s="360">
        <v>0</v>
      </c>
      <c r="BY125" s="360">
        <v>0</v>
      </c>
      <c r="BZ125" s="360">
        <v>0</v>
      </c>
      <c r="CA125" s="360">
        <v>0</v>
      </c>
      <c r="CB125" s="360">
        <v>0</v>
      </c>
      <c r="CC125" s="360">
        <v>0</v>
      </c>
      <c r="CD125" s="360" t="s">
        <v>365</v>
      </c>
    </row>
    <row r="126" spans="1:82" x14ac:dyDescent="0.35">
      <c r="A126" s="360" t="s">
        <v>366</v>
      </c>
      <c r="B126" s="360" t="s">
        <v>367</v>
      </c>
      <c r="C126" s="360" t="s">
        <v>68</v>
      </c>
      <c r="D126" s="360" t="s">
        <v>77</v>
      </c>
      <c r="E126" s="360">
        <v>9846</v>
      </c>
      <c r="F126" s="360">
        <v>9304</v>
      </c>
      <c r="G126" s="360">
        <v>0</v>
      </c>
      <c r="H126" s="360">
        <v>460</v>
      </c>
      <c r="I126" s="360">
        <v>111.42</v>
      </c>
      <c r="J126" s="360">
        <v>9304</v>
      </c>
      <c r="K126" s="360">
        <v>111.42</v>
      </c>
      <c r="L126" s="360">
        <v>9304</v>
      </c>
      <c r="M126" s="360">
        <v>0</v>
      </c>
      <c r="N126" s="360">
        <v>0</v>
      </c>
      <c r="O126" s="360">
        <v>81.48</v>
      </c>
      <c r="P126" s="360">
        <v>269</v>
      </c>
      <c r="Q126" s="360">
        <v>93.98</v>
      </c>
      <c r="R126" s="360">
        <v>2670</v>
      </c>
      <c r="S126" s="360">
        <v>110.03</v>
      </c>
      <c r="T126" s="360">
        <v>3165</v>
      </c>
      <c r="U126" s="360">
        <v>127.66</v>
      </c>
      <c r="V126" s="360">
        <v>2896</v>
      </c>
      <c r="W126" s="360">
        <v>148.13999999999999</v>
      </c>
      <c r="X126" s="360">
        <v>261</v>
      </c>
      <c r="Y126" s="360">
        <v>163.9</v>
      </c>
      <c r="Z126" s="360">
        <v>35</v>
      </c>
      <c r="AA126" s="360">
        <v>182.52</v>
      </c>
      <c r="AB126" s="360">
        <v>8</v>
      </c>
      <c r="AC126" s="360">
        <v>88.15</v>
      </c>
      <c r="AD126" s="360">
        <v>460</v>
      </c>
      <c r="AE126" s="360">
        <v>88.15</v>
      </c>
      <c r="AF126" s="360">
        <v>460</v>
      </c>
      <c r="AG126" s="360">
        <v>0</v>
      </c>
      <c r="AH126" s="360">
        <v>0</v>
      </c>
      <c r="AI126" s="360">
        <v>79.7</v>
      </c>
      <c r="AJ126" s="360">
        <v>114</v>
      </c>
      <c r="AK126" s="360">
        <v>90.88</v>
      </c>
      <c r="AL126" s="360">
        <v>345</v>
      </c>
      <c r="AM126" s="360">
        <v>112.68</v>
      </c>
      <c r="AN126" s="360">
        <v>1</v>
      </c>
      <c r="AO126" s="360">
        <v>0</v>
      </c>
      <c r="AP126" s="360">
        <v>0</v>
      </c>
      <c r="AQ126" s="360">
        <v>0</v>
      </c>
      <c r="AR126" s="360">
        <v>0</v>
      </c>
      <c r="AS126" s="360">
        <v>0</v>
      </c>
      <c r="AT126" s="360">
        <v>0</v>
      </c>
      <c r="AU126" s="360">
        <v>0</v>
      </c>
      <c r="AV126" s="360">
        <v>0</v>
      </c>
      <c r="AW126" s="360">
        <v>0</v>
      </c>
      <c r="AX126" s="360">
        <v>0</v>
      </c>
      <c r="AY126" s="360">
        <v>0</v>
      </c>
      <c r="AZ126" s="360">
        <v>0</v>
      </c>
      <c r="BA126" s="360">
        <v>0</v>
      </c>
      <c r="BB126" s="360">
        <v>0</v>
      </c>
      <c r="BC126" s="360">
        <v>0</v>
      </c>
      <c r="BD126" s="360">
        <v>0</v>
      </c>
      <c r="BE126" s="360">
        <v>0</v>
      </c>
      <c r="BF126" s="360">
        <v>0</v>
      </c>
      <c r="BG126" s="360">
        <v>0</v>
      </c>
      <c r="BH126" s="360">
        <v>0</v>
      </c>
      <c r="BI126" s="360">
        <v>0</v>
      </c>
      <c r="BJ126" s="360">
        <v>0</v>
      </c>
      <c r="BK126" s="360">
        <v>0</v>
      </c>
      <c r="BL126" s="360">
        <v>0</v>
      </c>
      <c r="BM126" s="360">
        <v>0</v>
      </c>
      <c r="BN126" s="360">
        <v>0</v>
      </c>
      <c r="BO126" s="360">
        <v>0</v>
      </c>
      <c r="BP126" s="360">
        <v>0</v>
      </c>
      <c r="BQ126" s="360">
        <v>0</v>
      </c>
      <c r="BR126" s="360">
        <v>0</v>
      </c>
      <c r="BS126" s="360">
        <v>0</v>
      </c>
      <c r="BT126" s="360">
        <v>0</v>
      </c>
      <c r="BU126" s="360">
        <v>0</v>
      </c>
      <c r="BV126" s="360">
        <v>0</v>
      </c>
      <c r="BW126" s="360">
        <v>0</v>
      </c>
      <c r="BX126" s="360">
        <v>0</v>
      </c>
      <c r="BY126" s="360">
        <v>0</v>
      </c>
      <c r="BZ126" s="360">
        <v>0</v>
      </c>
      <c r="CA126" s="360">
        <v>0</v>
      </c>
      <c r="CB126" s="360">
        <v>0</v>
      </c>
      <c r="CC126" s="360">
        <v>82</v>
      </c>
      <c r="CD126" s="360" t="s">
        <v>368</v>
      </c>
    </row>
    <row r="127" spans="1:82" x14ac:dyDescent="0.35">
      <c r="A127" s="360" t="s">
        <v>369</v>
      </c>
      <c r="B127" s="360" t="s">
        <v>370</v>
      </c>
      <c r="C127" s="360" t="s">
        <v>68</v>
      </c>
      <c r="D127" s="360" t="s">
        <v>77</v>
      </c>
      <c r="E127" s="360">
        <v>17360</v>
      </c>
      <c r="F127" s="360">
        <v>15979</v>
      </c>
      <c r="G127" s="360">
        <v>215</v>
      </c>
      <c r="H127" s="360">
        <v>1076</v>
      </c>
      <c r="I127" s="360">
        <v>131.12</v>
      </c>
      <c r="J127" s="360">
        <v>15588</v>
      </c>
      <c r="K127" s="360">
        <v>131.75</v>
      </c>
      <c r="L127" s="360">
        <v>15373</v>
      </c>
      <c r="M127" s="360">
        <v>85.96</v>
      </c>
      <c r="N127" s="360">
        <v>215</v>
      </c>
      <c r="O127" s="360">
        <v>80.89</v>
      </c>
      <c r="P127" s="360">
        <v>502</v>
      </c>
      <c r="Q127" s="360">
        <v>102.03</v>
      </c>
      <c r="R127" s="360">
        <v>3608</v>
      </c>
      <c r="S127" s="360">
        <v>124.5</v>
      </c>
      <c r="T127" s="360">
        <v>6200</v>
      </c>
      <c r="U127" s="360">
        <v>161.04</v>
      </c>
      <c r="V127" s="360">
        <v>4030</v>
      </c>
      <c r="W127" s="360">
        <v>185.8</v>
      </c>
      <c r="X127" s="360">
        <v>945</v>
      </c>
      <c r="Y127" s="360">
        <v>222.16</v>
      </c>
      <c r="Z127" s="360">
        <v>71</v>
      </c>
      <c r="AA127" s="360">
        <v>266.89</v>
      </c>
      <c r="AB127" s="360">
        <v>17</v>
      </c>
      <c r="AC127" s="360">
        <v>80.81</v>
      </c>
      <c r="AD127" s="360">
        <v>1076</v>
      </c>
      <c r="AE127" s="360">
        <v>80.81</v>
      </c>
      <c r="AF127" s="360">
        <v>1076</v>
      </c>
      <c r="AG127" s="360">
        <v>0</v>
      </c>
      <c r="AH127" s="360">
        <v>0</v>
      </c>
      <c r="AI127" s="360">
        <v>65.13</v>
      </c>
      <c r="AJ127" s="360">
        <v>272</v>
      </c>
      <c r="AK127" s="360">
        <v>85.66</v>
      </c>
      <c r="AL127" s="360">
        <v>789</v>
      </c>
      <c r="AM127" s="360">
        <v>110.16</v>
      </c>
      <c r="AN127" s="360">
        <v>15</v>
      </c>
      <c r="AO127" s="360">
        <v>0</v>
      </c>
      <c r="AP127" s="360">
        <v>0</v>
      </c>
      <c r="AQ127" s="360">
        <v>0</v>
      </c>
      <c r="AR127" s="360">
        <v>0</v>
      </c>
      <c r="AS127" s="360">
        <v>194.1</v>
      </c>
      <c r="AT127" s="360">
        <v>606</v>
      </c>
      <c r="AU127" s="360">
        <v>194.1</v>
      </c>
      <c r="AV127" s="360">
        <v>606</v>
      </c>
      <c r="AW127" s="360">
        <v>0</v>
      </c>
      <c r="AX127" s="360">
        <v>0</v>
      </c>
      <c r="AY127" s="360">
        <v>146.52000000000001</v>
      </c>
      <c r="AZ127" s="360">
        <v>7</v>
      </c>
      <c r="BA127" s="360">
        <v>173.14</v>
      </c>
      <c r="BB127" s="360">
        <v>113</v>
      </c>
      <c r="BC127" s="360">
        <v>180.32</v>
      </c>
      <c r="BD127" s="360">
        <v>185</v>
      </c>
      <c r="BE127" s="360">
        <v>207.96</v>
      </c>
      <c r="BF127" s="360">
        <v>198</v>
      </c>
      <c r="BG127" s="360">
        <v>214.98</v>
      </c>
      <c r="BH127" s="360">
        <v>85</v>
      </c>
      <c r="BI127" s="360">
        <v>216.13</v>
      </c>
      <c r="BJ127" s="360">
        <v>12</v>
      </c>
      <c r="BK127" s="360">
        <v>272.36</v>
      </c>
      <c r="BL127" s="360">
        <v>6</v>
      </c>
      <c r="BM127" s="360">
        <v>0</v>
      </c>
      <c r="BN127" s="360">
        <v>0</v>
      </c>
      <c r="BO127" s="360">
        <v>0</v>
      </c>
      <c r="BP127" s="360">
        <v>0</v>
      </c>
      <c r="BQ127" s="360">
        <v>0</v>
      </c>
      <c r="BR127" s="360">
        <v>0</v>
      </c>
      <c r="BS127" s="360">
        <v>0</v>
      </c>
      <c r="BT127" s="360">
        <v>0</v>
      </c>
      <c r="BU127" s="360">
        <v>0</v>
      </c>
      <c r="BV127" s="360">
        <v>0</v>
      </c>
      <c r="BW127" s="360">
        <v>0</v>
      </c>
      <c r="BX127" s="360">
        <v>0</v>
      </c>
      <c r="BY127" s="360">
        <v>0</v>
      </c>
      <c r="BZ127" s="360">
        <v>0</v>
      </c>
      <c r="CA127" s="360">
        <v>0</v>
      </c>
      <c r="CB127" s="360">
        <v>0</v>
      </c>
      <c r="CC127" s="360">
        <v>90</v>
      </c>
      <c r="CD127" s="360" t="s">
        <v>371</v>
      </c>
    </row>
    <row r="128" spans="1:82" x14ac:dyDescent="0.35">
      <c r="A128" s="360" t="s">
        <v>372</v>
      </c>
      <c r="B128" s="360" t="s">
        <v>373</v>
      </c>
      <c r="C128" s="360" t="s">
        <v>67</v>
      </c>
      <c r="D128" s="360" t="s">
        <v>77</v>
      </c>
      <c r="E128" s="360">
        <v>7649</v>
      </c>
      <c r="F128" s="360">
        <v>7630</v>
      </c>
      <c r="G128" s="360">
        <v>0</v>
      </c>
      <c r="H128" s="360">
        <v>0</v>
      </c>
      <c r="I128" s="360">
        <v>87.33</v>
      </c>
      <c r="J128" s="360">
        <v>7428</v>
      </c>
      <c r="K128" s="360">
        <v>87.33</v>
      </c>
      <c r="L128" s="360">
        <v>7428</v>
      </c>
      <c r="M128" s="360">
        <v>0</v>
      </c>
      <c r="N128" s="360">
        <v>0</v>
      </c>
      <c r="O128" s="360">
        <v>65.930000000000007</v>
      </c>
      <c r="P128" s="360">
        <v>140</v>
      </c>
      <c r="Q128" s="360">
        <v>77.72</v>
      </c>
      <c r="R128" s="360">
        <v>2324</v>
      </c>
      <c r="S128" s="360">
        <v>85.61</v>
      </c>
      <c r="T128" s="360">
        <v>2223</v>
      </c>
      <c r="U128" s="360">
        <v>97.45</v>
      </c>
      <c r="V128" s="360">
        <v>2622</v>
      </c>
      <c r="W128" s="360">
        <v>106.58</v>
      </c>
      <c r="X128" s="360">
        <v>102</v>
      </c>
      <c r="Y128" s="360">
        <v>122.68</v>
      </c>
      <c r="Z128" s="360">
        <v>17</v>
      </c>
      <c r="AA128" s="360">
        <v>0</v>
      </c>
      <c r="AB128" s="360">
        <v>0</v>
      </c>
      <c r="AC128" s="360">
        <v>0</v>
      </c>
      <c r="AD128" s="360">
        <v>0</v>
      </c>
      <c r="AE128" s="360">
        <v>0</v>
      </c>
      <c r="AF128" s="360">
        <v>0</v>
      </c>
      <c r="AG128" s="360">
        <v>0</v>
      </c>
      <c r="AH128" s="360">
        <v>0</v>
      </c>
      <c r="AI128" s="360">
        <v>0</v>
      </c>
      <c r="AJ128" s="360">
        <v>0</v>
      </c>
      <c r="AK128" s="360">
        <v>0</v>
      </c>
      <c r="AL128" s="360">
        <v>0</v>
      </c>
      <c r="AM128" s="360">
        <v>0</v>
      </c>
      <c r="AN128" s="360">
        <v>0</v>
      </c>
      <c r="AO128" s="360">
        <v>0</v>
      </c>
      <c r="AP128" s="360">
        <v>0</v>
      </c>
      <c r="AQ128" s="360">
        <v>0</v>
      </c>
      <c r="AR128" s="360">
        <v>0</v>
      </c>
      <c r="AS128" s="360">
        <v>165.87</v>
      </c>
      <c r="AT128" s="360">
        <v>202</v>
      </c>
      <c r="AU128" s="360">
        <v>165.87</v>
      </c>
      <c r="AV128" s="360">
        <v>202</v>
      </c>
      <c r="AW128" s="360">
        <v>0</v>
      </c>
      <c r="AX128" s="360">
        <v>0</v>
      </c>
      <c r="AY128" s="360">
        <v>0</v>
      </c>
      <c r="AZ128" s="360">
        <v>0</v>
      </c>
      <c r="BA128" s="360">
        <v>126.58</v>
      </c>
      <c r="BB128" s="360">
        <v>35</v>
      </c>
      <c r="BC128" s="360">
        <v>155.68</v>
      </c>
      <c r="BD128" s="360">
        <v>121</v>
      </c>
      <c r="BE128" s="360">
        <v>214.23</v>
      </c>
      <c r="BF128" s="360">
        <v>35</v>
      </c>
      <c r="BG128" s="360">
        <v>249.57</v>
      </c>
      <c r="BH128" s="360">
        <v>9</v>
      </c>
      <c r="BI128" s="360">
        <v>247.42</v>
      </c>
      <c r="BJ128" s="360">
        <v>2</v>
      </c>
      <c r="BK128" s="360">
        <v>0</v>
      </c>
      <c r="BL128" s="360">
        <v>0</v>
      </c>
      <c r="BM128" s="360">
        <v>0</v>
      </c>
      <c r="BN128" s="360">
        <v>0</v>
      </c>
      <c r="BO128" s="360">
        <v>0</v>
      </c>
      <c r="BP128" s="360">
        <v>0</v>
      </c>
      <c r="BQ128" s="360">
        <v>0</v>
      </c>
      <c r="BR128" s="360">
        <v>0</v>
      </c>
      <c r="BS128" s="360">
        <v>0</v>
      </c>
      <c r="BT128" s="360">
        <v>0</v>
      </c>
      <c r="BU128" s="360">
        <v>0</v>
      </c>
      <c r="BV128" s="360">
        <v>0</v>
      </c>
      <c r="BW128" s="360">
        <v>0</v>
      </c>
      <c r="BX128" s="360">
        <v>0</v>
      </c>
      <c r="BY128" s="360">
        <v>0</v>
      </c>
      <c r="BZ128" s="360">
        <v>0</v>
      </c>
      <c r="CA128" s="360">
        <v>0</v>
      </c>
      <c r="CB128" s="360">
        <v>0</v>
      </c>
      <c r="CC128" s="360">
        <v>19</v>
      </c>
      <c r="CD128" s="360" t="s">
        <v>374</v>
      </c>
    </row>
    <row r="129" spans="1:82" x14ac:dyDescent="0.35">
      <c r="A129" s="360" t="s">
        <v>375</v>
      </c>
      <c r="B129" s="360" t="s">
        <v>376</v>
      </c>
      <c r="C129" s="360" t="s">
        <v>71</v>
      </c>
      <c r="D129" s="360" t="s">
        <v>77</v>
      </c>
      <c r="E129" s="360">
        <v>0</v>
      </c>
      <c r="F129" s="360">
        <v>0</v>
      </c>
      <c r="G129" s="360">
        <v>0</v>
      </c>
      <c r="H129" s="360">
        <v>0</v>
      </c>
      <c r="I129" s="360">
        <v>0</v>
      </c>
      <c r="J129" s="360">
        <v>0</v>
      </c>
      <c r="K129" s="360">
        <v>0</v>
      </c>
      <c r="L129" s="360">
        <v>0</v>
      </c>
      <c r="M129" s="360">
        <v>0</v>
      </c>
      <c r="N129" s="360">
        <v>0</v>
      </c>
      <c r="O129" s="360">
        <v>0</v>
      </c>
      <c r="P129" s="360">
        <v>0</v>
      </c>
      <c r="Q129" s="360">
        <v>0</v>
      </c>
      <c r="R129" s="360">
        <v>0</v>
      </c>
      <c r="S129" s="360">
        <v>0</v>
      </c>
      <c r="T129" s="360">
        <v>0</v>
      </c>
      <c r="U129" s="360">
        <v>0</v>
      </c>
      <c r="V129" s="360">
        <v>0</v>
      </c>
      <c r="W129" s="360">
        <v>0</v>
      </c>
      <c r="X129" s="360">
        <v>0</v>
      </c>
      <c r="Y129" s="360">
        <v>0</v>
      </c>
      <c r="Z129" s="360">
        <v>0</v>
      </c>
      <c r="AA129" s="360">
        <v>0</v>
      </c>
      <c r="AB129" s="360">
        <v>0</v>
      </c>
      <c r="AC129" s="360">
        <v>0</v>
      </c>
      <c r="AD129" s="360">
        <v>0</v>
      </c>
      <c r="AE129" s="360">
        <v>0</v>
      </c>
      <c r="AF129" s="360">
        <v>0</v>
      </c>
      <c r="AG129" s="360">
        <v>0</v>
      </c>
      <c r="AH129" s="360">
        <v>0</v>
      </c>
      <c r="AI129" s="360">
        <v>0</v>
      </c>
      <c r="AJ129" s="360">
        <v>0</v>
      </c>
      <c r="AK129" s="360">
        <v>0</v>
      </c>
      <c r="AL129" s="360">
        <v>0</v>
      </c>
      <c r="AM129" s="360">
        <v>0</v>
      </c>
      <c r="AN129" s="360">
        <v>0</v>
      </c>
      <c r="AO129" s="360">
        <v>0</v>
      </c>
      <c r="AP129" s="360">
        <v>0</v>
      </c>
      <c r="AQ129" s="360">
        <v>0</v>
      </c>
      <c r="AR129" s="360">
        <v>0</v>
      </c>
      <c r="AS129" s="360">
        <v>0</v>
      </c>
      <c r="AT129" s="360">
        <v>0</v>
      </c>
      <c r="AU129" s="360">
        <v>0</v>
      </c>
      <c r="AV129" s="360">
        <v>0</v>
      </c>
      <c r="AW129" s="360">
        <v>0</v>
      </c>
      <c r="AX129" s="360">
        <v>0</v>
      </c>
      <c r="AY129" s="360">
        <v>0</v>
      </c>
      <c r="AZ129" s="360">
        <v>0</v>
      </c>
      <c r="BA129" s="360">
        <v>0</v>
      </c>
      <c r="BB129" s="360">
        <v>0</v>
      </c>
      <c r="BC129" s="360">
        <v>0</v>
      </c>
      <c r="BD129" s="360">
        <v>0</v>
      </c>
      <c r="BE129" s="360">
        <v>0</v>
      </c>
      <c r="BF129" s="360">
        <v>0</v>
      </c>
      <c r="BG129" s="360">
        <v>0</v>
      </c>
      <c r="BH129" s="360">
        <v>0</v>
      </c>
      <c r="BI129" s="360">
        <v>0</v>
      </c>
      <c r="BJ129" s="360">
        <v>0</v>
      </c>
      <c r="BK129" s="360">
        <v>0</v>
      </c>
      <c r="BL129" s="360">
        <v>0</v>
      </c>
      <c r="BM129" s="360">
        <v>0</v>
      </c>
      <c r="BN129" s="360">
        <v>0</v>
      </c>
      <c r="BO129" s="360">
        <v>0</v>
      </c>
      <c r="BP129" s="360">
        <v>0</v>
      </c>
      <c r="BQ129" s="360">
        <v>0</v>
      </c>
      <c r="BR129" s="360">
        <v>0</v>
      </c>
      <c r="BS129" s="360">
        <v>0</v>
      </c>
      <c r="BT129" s="360">
        <v>0</v>
      </c>
      <c r="BU129" s="360">
        <v>0</v>
      </c>
      <c r="BV129" s="360">
        <v>0</v>
      </c>
      <c r="BW129" s="360">
        <v>0</v>
      </c>
      <c r="BX129" s="360">
        <v>0</v>
      </c>
      <c r="BY129" s="360">
        <v>0</v>
      </c>
      <c r="BZ129" s="360">
        <v>0</v>
      </c>
      <c r="CA129" s="360">
        <v>0</v>
      </c>
      <c r="CB129" s="360">
        <v>0</v>
      </c>
      <c r="CC129" s="360">
        <v>0</v>
      </c>
      <c r="CD129" s="360" t="s">
        <v>377</v>
      </c>
    </row>
    <row r="130" spans="1:82" x14ac:dyDescent="0.35">
      <c r="A130" s="360" t="s">
        <v>378</v>
      </c>
      <c r="B130" s="360" t="s">
        <v>379</v>
      </c>
      <c r="C130" s="360" t="s">
        <v>70</v>
      </c>
      <c r="D130" s="360" t="s">
        <v>77</v>
      </c>
      <c r="E130" s="360">
        <v>15361</v>
      </c>
      <c r="F130" s="360">
        <v>14249</v>
      </c>
      <c r="G130" s="360">
        <v>0</v>
      </c>
      <c r="H130" s="360">
        <v>1093</v>
      </c>
      <c r="I130" s="360">
        <v>80.62</v>
      </c>
      <c r="J130" s="360">
        <v>14210</v>
      </c>
      <c r="K130" s="360">
        <v>80.62</v>
      </c>
      <c r="L130" s="360">
        <v>14210</v>
      </c>
      <c r="M130" s="360">
        <v>0</v>
      </c>
      <c r="N130" s="360">
        <v>0</v>
      </c>
      <c r="O130" s="360">
        <v>57.87</v>
      </c>
      <c r="P130" s="360">
        <v>17</v>
      </c>
      <c r="Q130" s="360">
        <v>69.150000000000006</v>
      </c>
      <c r="R130" s="360">
        <v>3187</v>
      </c>
      <c r="S130" s="360">
        <v>78.34</v>
      </c>
      <c r="T130" s="360">
        <v>4694</v>
      </c>
      <c r="U130" s="360">
        <v>86.85</v>
      </c>
      <c r="V130" s="360">
        <v>5621</v>
      </c>
      <c r="W130" s="360">
        <v>97.99</v>
      </c>
      <c r="X130" s="360">
        <v>634</v>
      </c>
      <c r="Y130" s="360">
        <v>114.07</v>
      </c>
      <c r="Z130" s="360">
        <v>13</v>
      </c>
      <c r="AA130" s="360">
        <v>108.6</v>
      </c>
      <c r="AB130" s="360">
        <v>44</v>
      </c>
      <c r="AC130" s="360">
        <v>67.52</v>
      </c>
      <c r="AD130" s="360">
        <v>1093</v>
      </c>
      <c r="AE130" s="360">
        <v>74.38</v>
      </c>
      <c r="AF130" s="360">
        <v>880</v>
      </c>
      <c r="AG130" s="360">
        <v>39.19</v>
      </c>
      <c r="AH130" s="360">
        <v>213</v>
      </c>
      <c r="AI130" s="360">
        <v>0</v>
      </c>
      <c r="AJ130" s="360">
        <v>0</v>
      </c>
      <c r="AK130" s="360">
        <v>70.81</v>
      </c>
      <c r="AL130" s="360">
        <v>657</v>
      </c>
      <c r="AM130" s="360">
        <v>84.88</v>
      </c>
      <c r="AN130" s="360">
        <v>220</v>
      </c>
      <c r="AO130" s="360">
        <v>88.04</v>
      </c>
      <c r="AP130" s="360">
        <v>3</v>
      </c>
      <c r="AQ130" s="360">
        <v>0</v>
      </c>
      <c r="AR130" s="360">
        <v>0</v>
      </c>
      <c r="AS130" s="360">
        <v>118.4</v>
      </c>
      <c r="AT130" s="360">
        <v>39</v>
      </c>
      <c r="AU130" s="360">
        <v>118.4</v>
      </c>
      <c r="AV130" s="360">
        <v>39</v>
      </c>
      <c r="AW130" s="360">
        <v>0</v>
      </c>
      <c r="AX130" s="360">
        <v>0</v>
      </c>
      <c r="AY130" s="360">
        <v>0</v>
      </c>
      <c r="AZ130" s="360">
        <v>0</v>
      </c>
      <c r="BA130" s="360">
        <v>0</v>
      </c>
      <c r="BB130" s="360">
        <v>0</v>
      </c>
      <c r="BC130" s="360">
        <v>118.4</v>
      </c>
      <c r="BD130" s="360">
        <v>39</v>
      </c>
      <c r="BE130" s="360">
        <v>0</v>
      </c>
      <c r="BF130" s="360">
        <v>0</v>
      </c>
      <c r="BG130" s="360">
        <v>0</v>
      </c>
      <c r="BH130" s="360">
        <v>0</v>
      </c>
      <c r="BI130" s="360">
        <v>0</v>
      </c>
      <c r="BJ130" s="360">
        <v>0</v>
      </c>
      <c r="BK130" s="360">
        <v>0</v>
      </c>
      <c r="BL130" s="360">
        <v>0</v>
      </c>
      <c r="BM130" s="360">
        <v>0</v>
      </c>
      <c r="BN130" s="360">
        <v>0</v>
      </c>
      <c r="BO130" s="360">
        <v>0</v>
      </c>
      <c r="BP130" s="360">
        <v>0</v>
      </c>
      <c r="BQ130" s="360">
        <v>0</v>
      </c>
      <c r="BR130" s="360">
        <v>0</v>
      </c>
      <c r="BS130" s="360">
        <v>0</v>
      </c>
      <c r="BT130" s="360">
        <v>0</v>
      </c>
      <c r="BU130" s="360">
        <v>0</v>
      </c>
      <c r="BV130" s="360">
        <v>0</v>
      </c>
      <c r="BW130" s="360">
        <v>0</v>
      </c>
      <c r="BX130" s="360">
        <v>0</v>
      </c>
      <c r="BY130" s="360">
        <v>0</v>
      </c>
      <c r="BZ130" s="360">
        <v>0</v>
      </c>
      <c r="CA130" s="360">
        <v>0</v>
      </c>
      <c r="CB130" s="360">
        <v>0</v>
      </c>
      <c r="CC130" s="360">
        <v>19</v>
      </c>
      <c r="CD130" s="360" t="s">
        <v>380</v>
      </c>
    </row>
    <row r="131" spans="1:82" x14ac:dyDescent="0.35">
      <c r="A131" s="360" t="s">
        <v>381</v>
      </c>
      <c r="B131" s="360" t="s">
        <v>382</v>
      </c>
      <c r="C131" s="360" t="s">
        <v>66</v>
      </c>
      <c r="D131" s="360" t="s">
        <v>77</v>
      </c>
      <c r="E131" s="360">
        <v>6347</v>
      </c>
      <c r="F131" s="360">
        <v>4246</v>
      </c>
      <c r="G131" s="360">
        <v>0</v>
      </c>
      <c r="H131" s="360">
        <v>2085</v>
      </c>
      <c r="I131" s="360">
        <v>78.52</v>
      </c>
      <c r="J131" s="360">
        <v>4202</v>
      </c>
      <c r="K131" s="360">
        <v>78.52</v>
      </c>
      <c r="L131" s="360">
        <v>4202</v>
      </c>
      <c r="M131" s="360">
        <v>0</v>
      </c>
      <c r="N131" s="360">
        <v>0</v>
      </c>
      <c r="O131" s="360">
        <v>60.68</v>
      </c>
      <c r="P131" s="360">
        <v>32</v>
      </c>
      <c r="Q131" s="360">
        <v>67.83</v>
      </c>
      <c r="R131" s="360">
        <v>1010</v>
      </c>
      <c r="S131" s="360">
        <v>77.62</v>
      </c>
      <c r="T131" s="360">
        <v>1323</v>
      </c>
      <c r="U131" s="360">
        <v>85.01</v>
      </c>
      <c r="V131" s="360">
        <v>1724</v>
      </c>
      <c r="W131" s="360">
        <v>90.73</v>
      </c>
      <c r="X131" s="360">
        <v>111</v>
      </c>
      <c r="Y131" s="360">
        <v>94.03</v>
      </c>
      <c r="Z131" s="360">
        <v>2</v>
      </c>
      <c r="AA131" s="360">
        <v>0</v>
      </c>
      <c r="AB131" s="360">
        <v>0</v>
      </c>
      <c r="AC131" s="360">
        <v>76.180000000000007</v>
      </c>
      <c r="AD131" s="360">
        <v>1944</v>
      </c>
      <c r="AE131" s="360">
        <v>76.180000000000007</v>
      </c>
      <c r="AF131" s="360">
        <v>1944</v>
      </c>
      <c r="AG131" s="360">
        <v>0</v>
      </c>
      <c r="AH131" s="360">
        <v>0</v>
      </c>
      <c r="AI131" s="360">
        <v>60.96</v>
      </c>
      <c r="AJ131" s="360">
        <v>14</v>
      </c>
      <c r="AK131" s="360">
        <v>73.599999999999994</v>
      </c>
      <c r="AL131" s="360">
        <v>1295</v>
      </c>
      <c r="AM131" s="360">
        <v>81.34</v>
      </c>
      <c r="AN131" s="360">
        <v>606</v>
      </c>
      <c r="AO131" s="360">
        <v>90.64</v>
      </c>
      <c r="AP131" s="360">
        <v>26</v>
      </c>
      <c r="AQ131" s="360">
        <v>96.68</v>
      </c>
      <c r="AR131" s="360">
        <v>3</v>
      </c>
      <c r="AS131" s="360">
        <v>106.1</v>
      </c>
      <c r="AT131" s="360">
        <v>44</v>
      </c>
      <c r="AU131" s="360">
        <v>106.1</v>
      </c>
      <c r="AV131" s="360">
        <v>44</v>
      </c>
      <c r="AW131" s="360">
        <v>0</v>
      </c>
      <c r="AX131" s="360">
        <v>0</v>
      </c>
      <c r="AY131" s="360">
        <v>0</v>
      </c>
      <c r="AZ131" s="360">
        <v>0</v>
      </c>
      <c r="BA131" s="360">
        <v>85.14</v>
      </c>
      <c r="BB131" s="360">
        <v>8</v>
      </c>
      <c r="BC131" s="360">
        <v>105.28</v>
      </c>
      <c r="BD131" s="360">
        <v>23</v>
      </c>
      <c r="BE131" s="360">
        <v>120.48</v>
      </c>
      <c r="BF131" s="360">
        <v>13</v>
      </c>
      <c r="BG131" s="360">
        <v>0</v>
      </c>
      <c r="BH131" s="360">
        <v>0</v>
      </c>
      <c r="BI131" s="360">
        <v>0</v>
      </c>
      <c r="BJ131" s="360">
        <v>0</v>
      </c>
      <c r="BK131" s="360">
        <v>0</v>
      </c>
      <c r="BL131" s="360">
        <v>0</v>
      </c>
      <c r="BM131" s="360">
        <v>118.32</v>
      </c>
      <c r="BN131" s="360">
        <v>141</v>
      </c>
      <c r="BO131" s="360">
        <v>118.32</v>
      </c>
      <c r="BP131" s="360">
        <v>141</v>
      </c>
      <c r="BQ131" s="360">
        <v>0</v>
      </c>
      <c r="BR131" s="360">
        <v>0</v>
      </c>
      <c r="BS131" s="360">
        <v>0</v>
      </c>
      <c r="BT131" s="360">
        <v>0</v>
      </c>
      <c r="BU131" s="360">
        <v>110.29</v>
      </c>
      <c r="BV131" s="360">
        <v>41</v>
      </c>
      <c r="BW131" s="360">
        <v>121.62</v>
      </c>
      <c r="BX131" s="360">
        <v>100</v>
      </c>
      <c r="BY131" s="360">
        <v>0</v>
      </c>
      <c r="BZ131" s="360">
        <v>0</v>
      </c>
      <c r="CA131" s="360">
        <v>0</v>
      </c>
      <c r="CB131" s="360">
        <v>0</v>
      </c>
      <c r="CC131" s="360">
        <v>16</v>
      </c>
      <c r="CD131" s="360" t="s">
        <v>383</v>
      </c>
    </row>
    <row r="132" spans="1:82" x14ac:dyDescent="0.35">
      <c r="A132" s="360" t="s">
        <v>384</v>
      </c>
      <c r="B132" s="360" t="s">
        <v>385</v>
      </c>
      <c r="C132" s="360" t="s">
        <v>71</v>
      </c>
      <c r="D132" s="360" t="s">
        <v>77</v>
      </c>
      <c r="E132" s="360">
        <v>3029</v>
      </c>
      <c r="F132" s="360">
        <v>2736</v>
      </c>
      <c r="G132" s="360">
        <v>7</v>
      </c>
      <c r="H132" s="360">
        <v>286</v>
      </c>
      <c r="I132" s="360">
        <v>89.46</v>
      </c>
      <c r="J132" s="360">
        <v>2695</v>
      </c>
      <c r="K132" s="360">
        <v>89.46</v>
      </c>
      <c r="L132" s="360">
        <v>2695</v>
      </c>
      <c r="M132" s="360">
        <v>0</v>
      </c>
      <c r="N132" s="360">
        <v>0</v>
      </c>
      <c r="O132" s="360">
        <v>67.180000000000007</v>
      </c>
      <c r="P132" s="360">
        <v>115</v>
      </c>
      <c r="Q132" s="360">
        <v>77.84</v>
      </c>
      <c r="R132" s="360">
        <v>685</v>
      </c>
      <c r="S132" s="360">
        <v>88.93</v>
      </c>
      <c r="T132" s="360">
        <v>1076</v>
      </c>
      <c r="U132" s="360">
        <v>102.65</v>
      </c>
      <c r="V132" s="360">
        <v>789</v>
      </c>
      <c r="W132" s="360">
        <v>112.12</v>
      </c>
      <c r="X132" s="360">
        <v>28</v>
      </c>
      <c r="Y132" s="360">
        <v>125.21</v>
      </c>
      <c r="Z132" s="360">
        <v>2</v>
      </c>
      <c r="AA132" s="360">
        <v>0</v>
      </c>
      <c r="AB132" s="360">
        <v>0</v>
      </c>
      <c r="AC132" s="360">
        <v>66.819999999999993</v>
      </c>
      <c r="AD132" s="360">
        <v>286</v>
      </c>
      <c r="AE132" s="360">
        <v>66.819999999999993</v>
      </c>
      <c r="AF132" s="360">
        <v>286</v>
      </c>
      <c r="AG132" s="360">
        <v>0</v>
      </c>
      <c r="AH132" s="360">
        <v>0</v>
      </c>
      <c r="AI132" s="360">
        <v>63.71</v>
      </c>
      <c r="AJ132" s="360">
        <v>196</v>
      </c>
      <c r="AK132" s="360">
        <v>72.94</v>
      </c>
      <c r="AL132" s="360">
        <v>84</v>
      </c>
      <c r="AM132" s="360">
        <v>83.17</v>
      </c>
      <c r="AN132" s="360">
        <v>6</v>
      </c>
      <c r="AO132" s="360">
        <v>0</v>
      </c>
      <c r="AP132" s="360">
        <v>0</v>
      </c>
      <c r="AQ132" s="360">
        <v>0</v>
      </c>
      <c r="AR132" s="360">
        <v>0</v>
      </c>
      <c r="AS132" s="360">
        <v>148.66999999999999</v>
      </c>
      <c r="AT132" s="360">
        <v>48</v>
      </c>
      <c r="AU132" s="360">
        <v>161.72</v>
      </c>
      <c r="AV132" s="360">
        <v>41</v>
      </c>
      <c r="AW132" s="360">
        <v>72.239999999999995</v>
      </c>
      <c r="AX132" s="360">
        <v>7</v>
      </c>
      <c r="AY132" s="360">
        <v>0</v>
      </c>
      <c r="AZ132" s="360">
        <v>0</v>
      </c>
      <c r="BA132" s="360">
        <v>126.11</v>
      </c>
      <c r="BB132" s="360">
        <v>7</v>
      </c>
      <c r="BC132" s="360">
        <v>168.48</v>
      </c>
      <c r="BD132" s="360">
        <v>33</v>
      </c>
      <c r="BE132" s="360">
        <v>188.22</v>
      </c>
      <c r="BF132" s="360">
        <v>1</v>
      </c>
      <c r="BG132" s="360">
        <v>0</v>
      </c>
      <c r="BH132" s="360">
        <v>0</v>
      </c>
      <c r="BI132" s="360">
        <v>0</v>
      </c>
      <c r="BJ132" s="360">
        <v>0</v>
      </c>
      <c r="BK132" s="360">
        <v>0</v>
      </c>
      <c r="BL132" s="360">
        <v>0</v>
      </c>
      <c r="BM132" s="360">
        <v>0</v>
      </c>
      <c r="BN132" s="360">
        <v>0</v>
      </c>
      <c r="BO132" s="360">
        <v>0</v>
      </c>
      <c r="BP132" s="360">
        <v>0</v>
      </c>
      <c r="BQ132" s="360">
        <v>0</v>
      </c>
      <c r="BR132" s="360">
        <v>0</v>
      </c>
      <c r="BS132" s="360">
        <v>0</v>
      </c>
      <c r="BT132" s="360">
        <v>0</v>
      </c>
      <c r="BU132" s="360">
        <v>0</v>
      </c>
      <c r="BV132" s="360">
        <v>0</v>
      </c>
      <c r="BW132" s="360">
        <v>0</v>
      </c>
      <c r="BX132" s="360">
        <v>0</v>
      </c>
      <c r="BY132" s="360">
        <v>0</v>
      </c>
      <c r="BZ132" s="360">
        <v>0</v>
      </c>
      <c r="CA132" s="360">
        <v>0</v>
      </c>
      <c r="CB132" s="360">
        <v>0</v>
      </c>
      <c r="CC132" s="360">
        <v>0</v>
      </c>
      <c r="CD132" s="360" t="s">
        <v>386</v>
      </c>
    </row>
    <row r="133" spans="1:82" x14ac:dyDescent="0.35">
      <c r="A133" s="360" t="s">
        <v>387</v>
      </c>
      <c r="B133" s="360" t="s">
        <v>388</v>
      </c>
      <c r="C133" s="360" t="s">
        <v>66</v>
      </c>
      <c r="D133" s="360" t="s">
        <v>77</v>
      </c>
      <c r="E133" s="360">
        <v>1788</v>
      </c>
      <c r="F133" s="360">
        <v>1569</v>
      </c>
      <c r="G133" s="360">
        <v>0</v>
      </c>
      <c r="H133" s="360">
        <v>219</v>
      </c>
      <c r="I133" s="360">
        <v>81.599999999999994</v>
      </c>
      <c r="J133" s="360">
        <v>1547</v>
      </c>
      <c r="K133" s="360">
        <v>81.599999999999994</v>
      </c>
      <c r="L133" s="360">
        <v>1547</v>
      </c>
      <c r="M133" s="360">
        <v>0</v>
      </c>
      <c r="N133" s="360">
        <v>0</v>
      </c>
      <c r="O133" s="360">
        <v>58.51</v>
      </c>
      <c r="P133" s="360">
        <v>10</v>
      </c>
      <c r="Q133" s="360">
        <v>70.209999999999994</v>
      </c>
      <c r="R133" s="360">
        <v>415</v>
      </c>
      <c r="S133" s="360">
        <v>81.39</v>
      </c>
      <c r="T133" s="360">
        <v>515</v>
      </c>
      <c r="U133" s="360">
        <v>89.39</v>
      </c>
      <c r="V133" s="360">
        <v>570</v>
      </c>
      <c r="W133" s="360">
        <v>98.69</v>
      </c>
      <c r="X133" s="360">
        <v>37</v>
      </c>
      <c r="Y133" s="360">
        <v>0</v>
      </c>
      <c r="Z133" s="360">
        <v>0</v>
      </c>
      <c r="AA133" s="360">
        <v>0</v>
      </c>
      <c r="AB133" s="360">
        <v>0</v>
      </c>
      <c r="AC133" s="360">
        <v>70.81</v>
      </c>
      <c r="AD133" s="360">
        <v>219</v>
      </c>
      <c r="AE133" s="360">
        <v>70.81</v>
      </c>
      <c r="AF133" s="360">
        <v>219</v>
      </c>
      <c r="AG133" s="360">
        <v>0</v>
      </c>
      <c r="AH133" s="360">
        <v>0</v>
      </c>
      <c r="AI133" s="360">
        <v>57.1</v>
      </c>
      <c r="AJ133" s="360">
        <v>14</v>
      </c>
      <c r="AK133" s="360">
        <v>70.02</v>
      </c>
      <c r="AL133" s="360">
        <v>174</v>
      </c>
      <c r="AM133" s="360">
        <v>81.459999999999994</v>
      </c>
      <c r="AN133" s="360">
        <v>31</v>
      </c>
      <c r="AO133" s="360">
        <v>0</v>
      </c>
      <c r="AP133" s="360">
        <v>0</v>
      </c>
      <c r="AQ133" s="360">
        <v>0</v>
      </c>
      <c r="AR133" s="360">
        <v>0</v>
      </c>
      <c r="AS133" s="360">
        <v>113.64</v>
      </c>
      <c r="AT133" s="360">
        <v>22</v>
      </c>
      <c r="AU133" s="360">
        <v>113.64</v>
      </c>
      <c r="AV133" s="360">
        <v>22</v>
      </c>
      <c r="AW133" s="360">
        <v>0</v>
      </c>
      <c r="AX133" s="360">
        <v>0</v>
      </c>
      <c r="AY133" s="360">
        <v>0</v>
      </c>
      <c r="AZ133" s="360">
        <v>0</v>
      </c>
      <c r="BA133" s="360">
        <v>83.82</v>
      </c>
      <c r="BB133" s="360">
        <v>1</v>
      </c>
      <c r="BC133" s="360">
        <v>111.2</v>
      </c>
      <c r="BD133" s="360">
        <v>12</v>
      </c>
      <c r="BE133" s="360">
        <v>120.23</v>
      </c>
      <c r="BF133" s="360">
        <v>9</v>
      </c>
      <c r="BG133" s="360">
        <v>0</v>
      </c>
      <c r="BH133" s="360">
        <v>0</v>
      </c>
      <c r="BI133" s="360">
        <v>0</v>
      </c>
      <c r="BJ133" s="360">
        <v>0</v>
      </c>
      <c r="BK133" s="360">
        <v>0</v>
      </c>
      <c r="BL133" s="360">
        <v>0</v>
      </c>
      <c r="BM133" s="360">
        <v>0</v>
      </c>
      <c r="BN133" s="360">
        <v>0</v>
      </c>
      <c r="BO133" s="360">
        <v>0</v>
      </c>
      <c r="BP133" s="360">
        <v>0</v>
      </c>
      <c r="BQ133" s="360">
        <v>0</v>
      </c>
      <c r="BR133" s="360">
        <v>0</v>
      </c>
      <c r="BS133" s="360">
        <v>0</v>
      </c>
      <c r="BT133" s="360">
        <v>0</v>
      </c>
      <c r="BU133" s="360">
        <v>0</v>
      </c>
      <c r="BV133" s="360">
        <v>0</v>
      </c>
      <c r="BW133" s="360">
        <v>0</v>
      </c>
      <c r="BX133" s="360">
        <v>0</v>
      </c>
      <c r="BY133" s="360">
        <v>0</v>
      </c>
      <c r="BZ133" s="360">
        <v>0</v>
      </c>
      <c r="CA133" s="360">
        <v>0</v>
      </c>
      <c r="CB133" s="360">
        <v>0</v>
      </c>
      <c r="CC133" s="360">
        <v>0</v>
      </c>
      <c r="CD133" s="360" t="s">
        <v>389</v>
      </c>
    </row>
    <row r="134" spans="1:82" x14ac:dyDescent="0.35">
      <c r="A134" s="360" t="s">
        <v>390</v>
      </c>
      <c r="B134" s="360" t="s">
        <v>391</v>
      </c>
      <c r="C134" s="360" t="s">
        <v>72</v>
      </c>
      <c r="D134" s="360" t="s">
        <v>77</v>
      </c>
      <c r="E134" s="360">
        <v>2960</v>
      </c>
      <c r="F134" s="360">
        <v>2960</v>
      </c>
      <c r="G134" s="360">
        <v>0</v>
      </c>
      <c r="H134" s="360">
        <v>0</v>
      </c>
      <c r="I134" s="360">
        <v>83.92</v>
      </c>
      <c r="J134" s="360">
        <v>2869</v>
      </c>
      <c r="K134" s="360">
        <v>83.92</v>
      </c>
      <c r="L134" s="360">
        <v>2869</v>
      </c>
      <c r="M134" s="360">
        <v>0</v>
      </c>
      <c r="N134" s="360">
        <v>0</v>
      </c>
      <c r="O134" s="360">
        <v>77.86</v>
      </c>
      <c r="P134" s="360">
        <v>4</v>
      </c>
      <c r="Q134" s="360">
        <v>77.84</v>
      </c>
      <c r="R134" s="360">
        <v>782</v>
      </c>
      <c r="S134" s="360">
        <v>83.65</v>
      </c>
      <c r="T134" s="360">
        <v>1192</v>
      </c>
      <c r="U134" s="360">
        <v>89.42</v>
      </c>
      <c r="V134" s="360">
        <v>853</v>
      </c>
      <c r="W134" s="360">
        <v>94.85</v>
      </c>
      <c r="X134" s="360">
        <v>36</v>
      </c>
      <c r="Y134" s="360">
        <v>101.15</v>
      </c>
      <c r="Z134" s="360">
        <v>1</v>
      </c>
      <c r="AA134" s="360">
        <v>96.42</v>
      </c>
      <c r="AB134" s="360">
        <v>1</v>
      </c>
      <c r="AC134" s="360">
        <v>0</v>
      </c>
      <c r="AD134" s="360">
        <v>0</v>
      </c>
      <c r="AE134" s="360">
        <v>0</v>
      </c>
      <c r="AF134" s="360">
        <v>0</v>
      </c>
      <c r="AG134" s="360">
        <v>0</v>
      </c>
      <c r="AH134" s="360">
        <v>0</v>
      </c>
      <c r="AI134" s="360">
        <v>0</v>
      </c>
      <c r="AJ134" s="360">
        <v>0</v>
      </c>
      <c r="AK134" s="360">
        <v>0</v>
      </c>
      <c r="AL134" s="360">
        <v>0</v>
      </c>
      <c r="AM134" s="360">
        <v>0</v>
      </c>
      <c r="AN134" s="360">
        <v>0</v>
      </c>
      <c r="AO134" s="360">
        <v>0</v>
      </c>
      <c r="AP134" s="360">
        <v>0</v>
      </c>
      <c r="AQ134" s="360">
        <v>0</v>
      </c>
      <c r="AR134" s="360">
        <v>0</v>
      </c>
      <c r="AS134" s="360">
        <v>121.12</v>
      </c>
      <c r="AT134" s="360">
        <v>91</v>
      </c>
      <c r="AU134" s="360">
        <v>121.12</v>
      </c>
      <c r="AV134" s="360">
        <v>91</v>
      </c>
      <c r="AW134" s="360">
        <v>0</v>
      </c>
      <c r="AX134" s="360">
        <v>0</v>
      </c>
      <c r="AY134" s="360">
        <v>0</v>
      </c>
      <c r="AZ134" s="360">
        <v>0</v>
      </c>
      <c r="BA134" s="360">
        <v>87.4</v>
      </c>
      <c r="BB134" s="360">
        <v>19</v>
      </c>
      <c r="BC134" s="360">
        <v>117.8</v>
      </c>
      <c r="BD134" s="360">
        <v>45</v>
      </c>
      <c r="BE134" s="360">
        <v>146.94</v>
      </c>
      <c r="BF134" s="360">
        <v>24</v>
      </c>
      <c r="BG134" s="360">
        <v>178.16</v>
      </c>
      <c r="BH134" s="360">
        <v>3</v>
      </c>
      <c r="BI134" s="360">
        <v>0</v>
      </c>
      <c r="BJ134" s="360">
        <v>0</v>
      </c>
      <c r="BK134" s="360">
        <v>0</v>
      </c>
      <c r="BL134" s="360">
        <v>0</v>
      </c>
      <c r="BM134" s="360">
        <v>0</v>
      </c>
      <c r="BN134" s="360">
        <v>0</v>
      </c>
      <c r="BO134" s="360">
        <v>0</v>
      </c>
      <c r="BP134" s="360">
        <v>0</v>
      </c>
      <c r="BQ134" s="360">
        <v>0</v>
      </c>
      <c r="BR134" s="360">
        <v>0</v>
      </c>
      <c r="BS134" s="360">
        <v>0</v>
      </c>
      <c r="BT134" s="360">
        <v>0</v>
      </c>
      <c r="BU134" s="360">
        <v>0</v>
      </c>
      <c r="BV134" s="360">
        <v>0</v>
      </c>
      <c r="BW134" s="360">
        <v>0</v>
      </c>
      <c r="BX134" s="360">
        <v>0</v>
      </c>
      <c r="BY134" s="360">
        <v>0</v>
      </c>
      <c r="BZ134" s="360">
        <v>0</v>
      </c>
      <c r="CA134" s="360">
        <v>0</v>
      </c>
      <c r="CB134" s="360">
        <v>0</v>
      </c>
      <c r="CC134" s="360">
        <v>0</v>
      </c>
      <c r="CD134" s="360" t="s">
        <v>392</v>
      </c>
    </row>
    <row r="135" spans="1:82" x14ac:dyDescent="0.35">
      <c r="A135" s="360" t="s">
        <v>393</v>
      </c>
      <c r="B135" s="360" t="s">
        <v>394</v>
      </c>
      <c r="C135" s="360" t="s">
        <v>67</v>
      </c>
      <c r="D135" s="360" t="s">
        <v>77</v>
      </c>
      <c r="E135" s="360">
        <v>3382</v>
      </c>
      <c r="F135" s="360">
        <v>3017</v>
      </c>
      <c r="G135" s="360">
        <v>22</v>
      </c>
      <c r="H135" s="360">
        <v>280</v>
      </c>
      <c r="I135" s="360">
        <v>89.38</v>
      </c>
      <c r="J135" s="360">
        <v>2820</v>
      </c>
      <c r="K135" s="360">
        <v>89.19</v>
      </c>
      <c r="L135" s="360">
        <v>2798</v>
      </c>
      <c r="M135" s="360">
        <v>113.14</v>
      </c>
      <c r="N135" s="360">
        <v>22</v>
      </c>
      <c r="O135" s="360">
        <v>72.34</v>
      </c>
      <c r="P135" s="360">
        <v>4</v>
      </c>
      <c r="Q135" s="360">
        <v>75.23</v>
      </c>
      <c r="R135" s="360">
        <v>598</v>
      </c>
      <c r="S135" s="360">
        <v>88.2</v>
      </c>
      <c r="T135" s="360">
        <v>1074</v>
      </c>
      <c r="U135" s="360">
        <v>97.36</v>
      </c>
      <c r="V135" s="360">
        <v>1093</v>
      </c>
      <c r="W135" s="360">
        <v>107.95</v>
      </c>
      <c r="X135" s="360">
        <v>29</v>
      </c>
      <c r="Y135" s="360">
        <v>0</v>
      </c>
      <c r="Z135" s="360">
        <v>0</v>
      </c>
      <c r="AA135" s="360">
        <v>0</v>
      </c>
      <c r="AB135" s="360">
        <v>0</v>
      </c>
      <c r="AC135" s="360">
        <v>74.47</v>
      </c>
      <c r="AD135" s="360">
        <v>280</v>
      </c>
      <c r="AE135" s="360">
        <v>74.47</v>
      </c>
      <c r="AF135" s="360">
        <v>280</v>
      </c>
      <c r="AG135" s="360">
        <v>0</v>
      </c>
      <c r="AH135" s="360">
        <v>0</v>
      </c>
      <c r="AI135" s="360">
        <v>0</v>
      </c>
      <c r="AJ135" s="360">
        <v>0</v>
      </c>
      <c r="AK135" s="360">
        <v>73.62</v>
      </c>
      <c r="AL135" s="360">
        <v>262</v>
      </c>
      <c r="AM135" s="360">
        <v>86.86</v>
      </c>
      <c r="AN135" s="360">
        <v>18</v>
      </c>
      <c r="AO135" s="360">
        <v>0</v>
      </c>
      <c r="AP135" s="360">
        <v>0</v>
      </c>
      <c r="AQ135" s="360">
        <v>0</v>
      </c>
      <c r="AR135" s="360">
        <v>0</v>
      </c>
      <c r="AS135" s="360">
        <v>129.51</v>
      </c>
      <c r="AT135" s="360">
        <v>219</v>
      </c>
      <c r="AU135" s="360">
        <v>129.51</v>
      </c>
      <c r="AV135" s="360">
        <v>219</v>
      </c>
      <c r="AW135" s="360">
        <v>0</v>
      </c>
      <c r="AX135" s="360">
        <v>0</v>
      </c>
      <c r="AY135" s="360">
        <v>0</v>
      </c>
      <c r="AZ135" s="360">
        <v>0</v>
      </c>
      <c r="BA135" s="360">
        <v>108.49</v>
      </c>
      <c r="BB135" s="360">
        <v>38</v>
      </c>
      <c r="BC135" s="360">
        <v>129.72</v>
      </c>
      <c r="BD135" s="360">
        <v>124</v>
      </c>
      <c r="BE135" s="360">
        <v>143.07</v>
      </c>
      <c r="BF135" s="360">
        <v>57</v>
      </c>
      <c r="BG135" s="360">
        <v>0</v>
      </c>
      <c r="BH135" s="360">
        <v>0</v>
      </c>
      <c r="BI135" s="360">
        <v>0</v>
      </c>
      <c r="BJ135" s="360">
        <v>0</v>
      </c>
      <c r="BK135" s="360">
        <v>0</v>
      </c>
      <c r="BL135" s="360">
        <v>0</v>
      </c>
      <c r="BM135" s="360">
        <v>0</v>
      </c>
      <c r="BN135" s="360">
        <v>0</v>
      </c>
      <c r="BO135" s="360">
        <v>0</v>
      </c>
      <c r="BP135" s="360">
        <v>0</v>
      </c>
      <c r="BQ135" s="360">
        <v>0</v>
      </c>
      <c r="BR135" s="360">
        <v>0</v>
      </c>
      <c r="BS135" s="360">
        <v>0</v>
      </c>
      <c r="BT135" s="360">
        <v>0</v>
      </c>
      <c r="BU135" s="360">
        <v>0</v>
      </c>
      <c r="BV135" s="360">
        <v>0</v>
      </c>
      <c r="BW135" s="360">
        <v>0</v>
      </c>
      <c r="BX135" s="360">
        <v>0</v>
      </c>
      <c r="BY135" s="360">
        <v>0</v>
      </c>
      <c r="BZ135" s="360">
        <v>0</v>
      </c>
      <c r="CA135" s="360">
        <v>0</v>
      </c>
      <c r="CB135" s="360">
        <v>0</v>
      </c>
      <c r="CC135" s="360">
        <v>63</v>
      </c>
      <c r="CD135" s="360" t="s">
        <v>395</v>
      </c>
    </row>
    <row r="136" spans="1:82" x14ac:dyDescent="0.35">
      <c r="A136" s="360" t="s">
        <v>396</v>
      </c>
      <c r="B136" s="360" t="s">
        <v>397</v>
      </c>
      <c r="C136" s="360" t="s">
        <v>69</v>
      </c>
      <c r="D136" s="360" t="s">
        <v>77</v>
      </c>
      <c r="E136" s="360">
        <v>0</v>
      </c>
      <c r="F136" s="360">
        <v>0</v>
      </c>
      <c r="G136" s="360">
        <v>0</v>
      </c>
      <c r="H136" s="360">
        <v>0</v>
      </c>
      <c r="I136" s="360">
        <v>0</v>
      </c>
      <c r="J136" s="360">
        <v>0</v>
      </c>
      <c r="K136" s="360">
        <v>0</v>
      </c>
      <c r="L136" s="360">
        <v>0</v>
      </c>
      <c r="M136" s="360">
        <v>0</v>
      </c>
      <c r="N136" s="360">
        <v>0</v>
      </c>
      <c r="O136" s="360">
        <v>0</v>
      </c>
      <c r="P136" s="360">
        <v>0</v>
      </c>
      <c r="Q136" s="360">
        <v>0</v>
      </c>
      <c r="R136" s="360">
        <v>0</v>
      </c>
      <c r="S136" s="360">
        <v>0</v>
      </c>
      <c r="T136" s="360">
        <v>0</v>
      </c>
      <c r="U136" s="360">
        <v>0</v>
      </c>
      <c r="V136" s="360">
        <v>0</v>
      </c>
      <c r="W136" s="360">
        <v>0</v>
      </c>
      <c r="X136" s="360">
        <v>0</v>
      </c>
      <c r="Y136" s="360">
        <v>0</v>
      </c>
      <c r="Z136" s="360">
        <v>0</v>
      </c>
      <c r="AA136" s="360">
        <v>0</v>
      </c>
      <c r="AB136" s="360">
        <v>0</v>
      </c>
      <c r="AC136" s="360">
        <v>0</v>
      </c>
      <c r="AD136" s="360">
        <v>0</v>
      </c>
      <c r="AE136" s="360">
        <v>0</v>
      </c>
      <c r="AF136" s="360">
        <v>0</v>
      </c>
      <c r="AG136" s="360">
        <v>0</v>
      </c>
      <c r="AH136" s="360">
        <v>0</v>
      </c>
      <c r="AI136" s="360">
        <v>0</v>
      </c>
      <c r="AJ136" s="360">
        <v>0</v>
      </c>
      <c r="AK136" s="360">
        <v>0</v>
      </c>
      <c r="AL136" s="360">
        <v>0</v>
      </c>
      <c r="AM136" s="360">
        <v>0</v>
      </c>
      <c r="AN136" s="360">
        <v>0</v>
      </c>
      <c r="AO136" s="360">
        <v>0</v>
      </c>
      <c r="AP136" s="360">
        <v>0</v>
      </c>
      <c r="AQ136" s="360">
        <v>0</v>
      </c>
      <c r="AR136" s="360">
        <v>0</v>
      </c>
      <c r="AS136" s="360">
        <v>0</v>
      </c>
      <c r="AT136" s="360">
        <v>0</v>
      </c>
      <c r="AU136" s="360">
        <v>0</v>
      </c>
      <c r="AV136" s="360">
        <v>0</v>
      </c>
      <c r="AW136" s="360">
        <v>0</v>
      </c>
      <c r="AX136" s="360">
        <v>0</v>
      </c>
      <c r="AY136" s="360">
        <v>0</v>
      </c>
      <c r="AZ136" s="360">
        <v>0</v>
      </c>
      <c r="BA136" s="360">
        <v>0</v>
      </c>
      <c r="BB136" s="360">
        <v>0</v>
      </c>
      <c r="BC136" s="360">
        <v>0</v>
      </c>
      <c r="BD136" s="360">
        <v>0</v>
      </c>
      <c r="BE136" s="360">
        <v>0</v>
      </c>
      <c r="BF136" s="360">
        <v>0</v>
      </c>
      <c r="BG136" s="360">
        <v>0</v>
      </c>
      <c r="BH136" s="360">
        <v>0</v>
      </c>
      <c r="BI136" s="360">
        <v>0</v>
      </c>
      <c r="BJ136" s="360">
        <v>0</v>
      </c>
      <c r="BK136" s="360">
        <v>0</v>
      </c>
      <c r="BL136" s="360">
        <v>0</v>
      </c>
      <c r="BM136" s="360">
        <v>0</v>
      </c>
      <c r="BN136" s="360">
        <v>0</v>
      </c>
      <c r="BO136" s="360">
        <v>0</v>
      </c>
      <c r="BP136" s="360">
        <v>0</v>
      </c>
      <c r="BQ136" s="360">
        <v>0</v>
      </c>
      <c r="BR136" s="360">
        <v>0</v>
      </c>
      <c r="BS136" s="360">
        <v>0</v>
      </c>
      <c r="BT136" s="360">
        <v>0</v>
      </c>
      <c r="BU136" s="360">
        <v>0</v>
      </c>
      <c r="BV136" s="360">
        <v>0</v>
      </c>
      <c r="BW136" s="360">
        <v>0</v>
      </c>
      <c r="BX136" s="360">
        <v>0</v>
      </c>
      <c r="BY136" s="360">
        <v>0</v>
      </c>
      <c r="BZ136" s="360">
        <v>0</v>
      </c>
      <c r="CA136" s="360">
        <v>0</v>
      </c>
      <c r="CB136" s="360">
        <v>0</v>
      </c>
      <c r="CC136" s="360">
        <v>0</v>
      </c>
      <c r="CD136" s="360" t="s">
        <v>398</v>
      </c>
    </row>
    <row r="137" spans="1:82" x14ac:dyDescent="0.35">
      <c r="A137" s="360" t="s">
        <v>399</v>
      </c>
      <c r="B137" s="360" t="s">
        <v>400</v>
      </c>
      <c r="C137" s="360" t="s">
        <v>71</v>
      </c>
      <c r="D137" s="360" t="s">
        <v>77</v>
      </c>
      <c r="E137" s="360">
        <v>12388</v>
      </c>
      <c r="F137" s="360">
        <v>10824</v>
      </c>
      <c r="G137" s="360">
        <v>0</v>
      </c>
      <c r="H137" s="360">
        <v>71</v>
      </c>
      <c r="I137" s="360">
        <v>90.6</v>
      </c>
      <c r="J137" s="360">
        <v>10632</v>
      </c>
      <c r="K137" s="360">
        <v>90.6</v>
      </c>
      <c r="L137" s="360">
        <v>10632</v>
      </c>
      <c r="M137" s="360">
        <v>0</v>
      </c>
      <c r="N137" s="360">
        <v>0</v>
      </c>
      <c r="O137" s="360">
        <v>68.010000000000005</v>
      </c>
      <c r="P137" s="360">
        <v>250</v>
      </c>
      <c r="Q137" s="360">
        <v>79.56</v>
      </c>
      <c r="R137" s="360">
        <v>3284</v>
      </c>
      <c r="S137" s="360">
        <v>89.91</v>
      </c>
      <c r="T137" s="360">
        <v>2479</v>
      </c>
      <c r="U137" s="360">
        <v>99.05</v>
      </c>
      <c r="V137" s="360">
        <v>4160</v>
      </c>
      <c r="W137" s="360">
        <v>108.82</v>
      </c>
      <c r="X137" s="360">
        <v>430</v>
      </c>
      <c r="Y137" s="360">
        <v>115.63</v>
      </c>
      <c r="Z137" s="360">
        <v>29</v>
      </c>
      <c r="AA137" s="360">
        <v>0</v>
      </c>
      <c r="AB137" s="360">
        <v>0</v>
      </c>
      <c r="AC137" s="360">
        <v>91.96</v>
      </c>
      <c r="AD137" s="360">
        <v>62</v>
      </c>
      <c r="AE137" s="360">
        <v>91.96</v>
      </c>
      <c r="AF137" s="360">
        <v>62</v>
      </c>
      <c r="AG137" s="360">
        <v>0</v>
      </c>
      <c r="AH137" s="360">
        <v>0</v>
      </c>
      <c r="AI137" s="360">
        <v>0</v>
      </c>
      <c r="AJ137" s="360">
        <v>0</v>
      </c>
      <c r="AK137" s="360">
        <v>91.45</v>
      </c>
      <c r="AL137" s="360">
        <v>59</v>
      </c>
      <c r="AM137" s="360">
        <v>102.17</v>
      </c>
      <c r="AN137" s="360">
        <v>3</v>
      </c>
      <c r="AO137" s="360">
        <v>0</v>
      </c>
      <c r="AP137" s="360">
        <v>0</v>
      </c>
      <c r="AQ137" s="360">
        <v>0</v>
      </c>
      <c r="AR137" s="360">
        <v>0</v>
      </c>
      <c r="AS137" s="360">
        <v>185.52</v>
      </c>
      <c r="AT137" s="360">
        <v>192</v>
      </c>
      <c r="AU137" s="360">
        <v>185.52</v>
      </c>
      <c r="AV137" s="360">
        <v>192</v>
      </c>
      <c r="AW137" s="360">
        <v>0</v>
      </c>
      <c r="AX137" s="360">
        <v>0</v>
      </c>
      <c r="AY137" s="360">
        <v>126.98</v>
      </c>
      <c r="AZ137" s="360">
        <v>2</v>
      </c>
      <c r="BA137" s="360">
        <v>136.13999999999999</v>
      </c>
      <c r="BB137" s="360">
        <v>10</v>
      </c>
      <c r="BC137" s="360">
        <v>162.43</v>
      </c>
      <c r="BD137" s="360">
        <v>75</v>
      </c>
      <c r="BE137" s="360">
        <v>193.12</v>
      </c>
      <c r="BF137" s="360">
        <v>80</v>
      </c>
      <c r="BG137" s="360">
        <v>239.53</v>
      </c>
      <c r="BH137" s="360">
        <v>20</v>
      </c>
      <c r="BI137" s="360">
        <v>330.18</v>
      </c>
      <c r="BJ137" s="360">
        <v>4</v>
      </c>
      <c r="BK137" s="360">
        <v>262.60000000000002</v>
      </c>
      <c r="BL137" s="360">
        <v>1</v>
      </c>
      <c r="BM137" s="360">
        <v>131</v>
      </c>
      <c r="BN137" s="360">
        <v>9</v>
      </c>
      <c r="BO137" s="360">
        <v>131</v>
      </c>
      <c r="BP137" s="360">
        <v>9</v>
      </c>
      <c r="BQ137" s="360">
        <v>0</v>
      </c>
      <c r="BR137" s="360">
        <v>0</v>
      </c>
      <c r="BS137" s="360">
        <v>114.35</v>
      </c>
      <c r="BT137" s="360">
        <v>1</v>
      </c>
      <c r="BU137" s="360">
        <v>133.09</v>
      </c>
      <c r="BV137" s="360">
        <v>8</v>
      </c>
      <c r="BW137" s="360">
        <v>0</v>
      </c>
      <c r="BX137" s="360">
        <v>0</v>
      </c>
      <c r="BY137" s="360">
        <v>0</v>
      </c>
      <c r="BZ137" s="360">
        <v>0</v>
      </c>
      <c r="CA137" s="360">
        <v>0</v>
      </c>
      <c r="CB137" s="360">
        <v>0</v>
      </c>
      <c r="CC137" s="360">
        <v>1493</v>
      </c>
      <c r="CD137" s="360" t="s">
        <v>401</v>
      </c>
    </row>
    <row r="138" spans="1:82" x14ac:dyDescent="0.35">
      <c r="A138" s="360" t="s">
        <v>402</v>
      </c>
      <c r="B138" s="360" t="s">
        <v>403</v>
      </c>
      <c r="C138" s="360" t="s">
        <v>71</v>
      </c>
      <c r="D138" s="360" t="s">
        <v>77</v>
      </c>
      <c r="E138" s="360">
        <v>1</v>
      </c>
      <c r="F138" s="360">
        <v>1</v>
      </c>
      <c r="G138" s="360">
        <v>0</v>
      </c>
      <c r="H138" s="360">
        <v>0</v>
      </c>
      <c r="I138" s="360">
        <v>0</v>
      </c>
      <c r="J138" s="360">
        <v>0</v>
      </c>
      <c r="K138" s="360">
        <v>0</v>
      </c>
      <c r="L138" s="360">
        <v>0</v>
      </c>
      <c r="M138" s="360">
        <v>0</v>
      </c>
      <c r="N138" s="360">
        <v>0</v>
      </c>
      <c r="O138" s="360">
        <v>0</v>
      </c>
      <c r="P138" s="360">
        <v>0</v>
      </c>
      <c r="Q138" s="360">
        <v>0</v>
      </c>
      <c r="R138" s="360">
        <v>0</v>
      </c>
      <c r="S138" s="360">
        <v>0</v>
      </c>
      <c r="T138" s="360">
        <v>0</v>
      </c>
      <c r="U138" s="360">
        <v>0</v>
      </c>
      <c r="V138" s="360">
        <v>0</v>
      </c>
      <c r="W138" s="360">
        <v>0</v>
      </c>
      <c r="X138" s="360">
        <v>0</v>
      </c>
      <c r="Y138" s="360">
        <v>0</v>
      </c>
      <c r="Z138" s="360">
        <v>0</v>
      </c>
      <c r="AA138" s="360">
        <v>0</v>
      </c>
      <c r="AB138" s="360">
        <v>0</v>
      </c>
      <c r="AC138" s="360">
        <v>0</v>
      </c>
      <c r="AD138" s="360">
        <v>0</v>
      </c>
      <c r="AE138" s="360">
        <v>0</v>
      </c>
      <c r="AF138" s="360">
        <v>0</v>
      </c>
      <c r="AG138" s="360">
        <v>0</v>
      </c>
      <c r="AH138" s="360">
        <v>0</v>
      </c>
      <c r="AI138" s="360">
        <v>0</v>
      </c>
      <c r="AJ138" s="360">
        <v>0</v>
      </c>
      <c r="AK138" s="360">
        <v>0</v>
      </c>
      <c r="AL138" s="360">
        <v>0</v>
      </c>
      <c r="AM138" s="360">
        <v>0</v>
      </c>
      <c r="AN138" s="360">
        <v>0</v>
      </c>
      <c r="AO138" s="360">
        <v>0</v>
      </c>
      <c r="AP138" s="360">
        <v>0</v>
      </c>
      <c r="AQ138" s="360">
        <v>0</v>
      </c>
      <c r="AR138" s="360">
        <v>0</v>
      </c>
      <c r="AS138" s="360">
        <v>142</v>
      </c>
      <c r="AT138" s="360">
        <v>1</v>
      </c>
      <c r="AU138" s="360">
        <v>142</v>
      </c>
      <c r="AV138" s="360">
        <v>1</v>
      </c>
      <c r="AW138" s="360">
        <v>0</v>
      </c>
      <c r="AX138" s="360">
        <v>0</v>
      </c>
      <c r="AY138" s="360">
        <v>0</v>
      </c>
      <c r="AZ138" s="360">
        <v>0</v>
      </c>
      <c r="BA138" s="360">
        <v>0</v>
      </c>
      <c r="BB138" s="360">
        <v>0</v>
      </c>
      <c r="BC138" s="360">
        <v>142</v>
      </c>
      <c r="BD138" s="360">
        <v>1</v>
      </c>
      <c r="BE138" s="360">
        <v>0</v>
      </c>
      <c r="BF138" s="360">
        <v>0</v>
      </c>
      <c r="BG138" s="360">
        <v>0</v>
      </c>
      <c r="BH138" s="360">
        <v>0</v>
      </c>
      <c r="BI138" s="360">
        <v>0</v>
      </c>
      <c r="BJ138" s="360">
        <v>0</v>
      </c>
      <c r="BK138" s="360">
        <v>0</v>
      </c>
      <c r="BL138" s="360">
        <v>0</v>
      </c>
      <c r="BM138" s="360">
        <v>0</v>
      </c>
      <c r="BN138" s="360">
        <v>0</v>
      </c>
      <c r="BO138" s="360">
        <v>0</v>
      </c>
      <c r="BP138" s="360">
        <v>0</v>
      </c>
      <c r="BQ138" s="360">
        <v>0</v>
      </c>
      <c r="BR138" s="360">
        <v>0</v>
      </c>
      <c r="BS138" s="360">
        <v>0</v>
      </c>
      <c r="BT138" s="360">
        <v>0</v>
      </c>
      <c r="BU138" s="360">
        <v>0</v>
      </c>
      <c r="BV138" s="360">
        <v>0</v>
      </c>
      <c r="BW138" s="360">
        <v>0</v>
      </c>
      <c r="BX138" s="360">
        <v>0</v>
      </c>
      <c r="BY138" s="360">
        <v>0</v>
      </c>
      <c r="BZ138" s="360">
        <v>0</v>
      </c>
      <c r="CA138" s="360">
        <v>0</v>
      </c>
      <c r="CB138" s="360">
        <v>0</v>
      </c>
      <c r="CC138" s="360">
        <v>0</v>
      </c>
      <c r="CD138" s="360" t="s">
        <v>404</v>
      </c>
    </row>
    <row r="139" spans="1:82" x14ac:dyDescent="0.35">
      <c r="A139" s="360" t="s">
        <v>405</v>
      </c>
      <c r="B139" s="360" t="s">
        <v>406</v>
      </c>
      <c r="C139" s="360" t="s">
        <v>71</v>
      </c>
      <c r="D139" s="360" t="s">
        <v>77</v>
      </c>
      <c r="E139" s="360">
        <v>5193</v>
      </c>
      <c r="F139" s="360">
        <v>5120</v>
      </c>
      <c r="G139" s="360">
        <v>70</v>
      </c>
      <c r="H139" s="360">
        <v>0</v>
      </c>
      <c r="I139" s="360">
        <v>106.06</v>
      </c>
      <c r="J139" s="360">
        <v>5171</v>
      </c>
      <c r="K139" s="360">
        <v>106.33</v>
      </c>
      <c r="L139" s="360">
        <v>5101</v>
      </c>
      <c r="M139" s="360">
        <v>86.38</v>
      </c>
      <c r="N139" s="360">
        <v>70</v>
      </c>
      <c r="O139" s="360">
        <v>70.02</v>
      </c>
      <c r="P139" s="360">
        <v>180</v>
      </c>
      <c r="Q139" s="360">
        <v>89.54</v>
      </c>
      <c r="R139" s="360">
        <v>1177</v>
      </c>
      <c r="S139" s="360">
        <v>105.95</v>
      </c>
      <c r="T139" s="360">
        <v>1651</v>
      </c>
      <c r="U139" s="360">
        <v>118.46</v>
      </c>
      <c r="V139" s="360">
        <v>1944</v>
      </c>
      <c r="W139" s="360">
        <v>128.01</v>
      </c>
      <c r="X139" s="360">
        <v>135</v>
      </c>
      <c r="Y139" s="360">
        <v>133.09</v>
      </c>
      <c r="Z139" s="360">
        <v>11</v>
      </c>
      <c r="AA139" s="360">
        <v>155.85</v>
      </c>
      <c r="AB139" s="360">
        <v>3</v>
      </c>
      <c r="AC139" s="360">
        <v>0</v>
      </c>
      <c r="AD139" s="360">
        <v>0</v>
      </c>
      <c r="AE139" s="360">
        <v>0</v>
      </c>
      <c r="AF139" s="360">
        <v>0</v>
      </c>
      <c r="AG139" s="360">
        <v>0</v>
      </c>
      <c r="AH139" s="360">
        <v>0</v>
      </c>
      <c r="AI139" s="360">
        <v>0</v>
      </c>
      <c r="AJ139" s="360">
        <v>0</v>
      </c>
      <c r="AK139" s="360">
        <v>0</v>
      </c>
      <c r="AL139" s="360">
        <v>0</v>
      </c>
      <c r="AM139" s="360">
        <v>0</v>
      </c>
      <c r="AN139" s="360">
        <v>0</v>
      </c>
      <c r="AO139" s="360">
        <v>0</v>
      </c>
      <c r="AP139" s="360">
        <v>0</v>
      </c>
      <c r="AQ139" s="360">
        <v>0</v>
      </c>
      <c r="AR139" s="360">
        <v>0</v>
      </c>
      <c r="AS139" s="360">
        <v>179.61</v>
      </c>
      <c r="AT139" s="360">
        <v>19</v>
      </c>
      <c r="AU139" s="360">
        <v>179.61</v>
      </c>
      <c r="AV139" s="360">
        <v>19</v>
      </c>
      <c r="AW139" s="360">
        <v>0</v>
      </c>
      <c r="AX139" s="360">
        <v>0</v>
      </c>
      <c r="AY139" s="360">
        <v>0</v>
      </c>
      <c r="AZ139" s="360">
        <v>0</v>
      </c>
      <c r="BA139" s="360">
        <v>146.30000000000001</v>
      </c>
      <c r="BB139" s="360">
        <v>1</v>
      </c>
      <c r="BC139" s="360">
        <v>173.32</v>
      </c>
      <c r="BD139" s="360">
        <v>14</v>
      </c>
      <c r="BE139" s="360">
        <v>209.99</v>
      </c>
      <c r="BF139" s="360">
        <v>4</v>
      </c>
      <c r="BG139" s="360">
        <v>0</v>
      </c>
      <c r="BH139" s="360">
        <v>0</v>
      </c>
      <c r="BI139" s="360">
        <v>0</v>
      </c>
      <c r="BJ139" s="360">
        <v>0</v>
      </c>
      <c r="BK139" s="360">
        <v>0</v>
      </c>
      <c r="BL139" s="360">
        <v>0</v>
      </c>
      <c r="BM139" s="360">
        <v>0</v>
      </c>
      <c r="BN139" s="360">
        <v>0</v>
      </c>
      <c r="BO139" s="360">
        <v>0</v>
      </c>
      <c r="BP139" s="360">
        <v>0</v>
      </c>
      <c r="BQ139" s="360">
        <v>0</v>
      </c>
      <c r="BR139" s="360">
        <v>0</v>
      </c>
      <c r="BS139" s="360">
        <v>0</v>
      </c>
      <c r="BT139" s="360">
        <v>0</v>
      </c>
      <c r="BU139" s="360">
        <v>0</v>
      </c>
      <c r="BV139" s="360">
        <v>0</v>
      </c>
      <c r="BW139" s="360">
        <v>0</v>
      </c>
      <c r="BX139" s="360">
        <v>0</v>
      </c>
      <c r="BY139" s="360">
        <v>0</v>
      </c>
      <c r="BZ139" s="360">
        <v>0</v>
      </c>
      <c r="CA139" s="360">
        <v>0</v>
      </c>
      <c r="CB139" s="360">
        <v>0</v>
      </c>
      <c r="CC139" s="360">
        <v>3</v>
      </c>
      <c r="CD139" s="360" t="s">
        <v>407</v>
      </c>
    </row>
    <row r="140" spans="1:82" x14ac:dyDescent="0.35">
      <c r="A140" s="360" t="s">
        <v>408</v>
      </c>
      <c r="B140" s="360" t="s">
        <v>409</v>
      </c>
      <c r="C140" s="360" t="s">
        <v>66</v>
      </c>
      <c r="D140" s="360" t="s">
        <v>77</v>
      </c>
      <c r="E140" s="360">
        <v>5547</v>
      </c>
      <c r="F140" s="360">
        <v>2903</v>
      </c>
      <c r="G140" s="360">
        <v>0</v>
      </c>
      <c r="H140" s="360">
        <v>2644</v>
      </c>
      <c r="I140" s="360">
        <v>84.48</v>
      </c>
      <c r="J140" s="360">
        <v>2675</v>
      </c>
      <c r="K140" s="360">
        <v>84.48</v>
      </c>
      <c r="L140" s="360">
        <v>2675</v>
      </c>
      <c r="M140" s="360">
        <v>0</v>
      </c>
      <c r="N140" s="360">
        <v>0</v>
      </c>
      <c r="O140" s="360">
        <v>61.02</v>
      </c>
      <c r="P140" s="360">
        <v>7</v>
      </c>
      <c r="Q140" s="360">
        <v>68.53</v>
      </c>
      <c r="R140" s="360">
        <v>133</v>
      </c>
      <c r="S140" s="360">
        <v>76.16</v>
      </c>
      <c r="T140" s="360">
        <v>563</v>
      </c>
      <c r="U140" s="360">
        <v>87.55</v>
      </c>
      <c r="V140" s="360">
        <v>1852</v>
      </c>
      <c r="W140" s="360">
        <v>94.99</v>
      </c>
      <c r="X140" s="360">
        <v>113</v>
      </c>
      <c r="Y140" s="360">
        <v>101.43</v>
      </c>
      <c r="Z140" s="360">
        <v>7</v>
      </c>
      <c r="AA140" s="360">
        <v>0</v>
      </c>
      <c r="AB140" s="360">
        <v>0</v>
      </c>
      <c r="AC140" s="360">
        <v>80.37</v>
      </c>
      <c r="AD140" s="360">
        <v>2505</v>
      </c>
      <c r="AE140" s="360">
        <v>80.37</v>
      </c>
      <c r="AF140" s="360">
        <v>2505</v>
      </c>
      <c r="AG140" s="360">
        <v>0</v>
      </c>
      <c r="AH140" s="360">
        <v>0</v>
      </c>
      <c r="AI140" s="360">
        <v>59.63</v>
      </c>
      <c r="AJ140" s="360">
        <v>2</v>
      </c>
      <c r="AK140" s="360">
        <v>75.25</v>
      </c>
      <c r="AL140" s="360">
        <v>1049</v>
      </c>
      <c r="AM140" s="360">
        <v>84.03</v>
      </c>
      <c r="AN140" s="360">
        <v>1442</v>
      </c>
      <c r="AO140" s="360">
        <v>91.48</v>
      </c>
      <c r="AP140" s="360">
        <v>12</v>
      </c>
      <c r="AQ140" s="360">
        <v>0</v>
      </c>
      <c r="AR140" s="360">
        <v>0</v>
      </c>
      <c r="AS140" s="360">
        <v>104.67</v>
      </c>
      <c r="AT140" s="360">
        <v>228</v>
      </c>
      <c r="AU140" s="360">
        <v>104.67</v>
      </c>
      <c r="AV140" s="360">
        <v>228</v>
      </c>
      <c r="AW140" s="360">
        <v>0</v>
      </c>
      <c r="AX140" s="360">
        <v>0</v>
      </c>
      <c r="AY140" s="360">
        <v>0</v>
      </c>
      <c r="AZ140" s="360">
        <v>0</v>
      </c>
      <c r="BA140" s="360">
        <v>91.95</v>
      </c>
      <c r="BB140" s="360">
        <v>100</v>
      </c>
      <c r="BC140" s="360">
        <v>112.42</v>
      </c>
      <c r="BD140" s="360">
        <v>111</v>
      </c>
      <c r="BE140" s="360">
        <v>128.97999999999999</v>
      </c>
      <c r="BF140" s="360">
        <v>17</v>
      </c>
      <c r="BG140" s="360">
        <v>0</v>
      </c>
      <c r="BH140" s="360">
        <v>0</v>
      </c>
      <c r="BI140" s="360">
        <v>0</v>
      </c>
      <c r="BJ140" s="360">
        <v>0</v>
      </c>
      <c r="BK140" s="360">
        <v>0</v>
      </c>
      <c r="BL140" s="360">
        <v>0</v>
      </c>
      <c r="BM140" s="360">
        <v>167.61</v>
      </c>
      <c r="BN140" s="360">
        <v>139</v>
      </c>
      <c r="BO140" s="360">
        <v>167.61</v>
      </c>
      <c r="BP140" s="360">
        <v>139</v>
      </c>
      <c r="BQ140" s="360">
        <v>0</v>
      </c>
      <c r="BR140" s="360">
        <v>0</v>
      </c>
      <c r="BS140" s="360">
        <v>0</v>
      </c>
      <c r="BT140" s="360">
        <v>0</v>
      </c>
      <c r="BU140" s="360">
        <v>174.69</v>
      </c>
      <c r="BV140" s="360">
        <v>84</v>
      </c>
      <c r="BW140" s="360">
        <v>156.80000000000001</v>
      </c>
      <c r="BX140" s="360">
        <v>55</v>
      </c>
      <c r="BY140" s="360">
        <v>0</v>
      </c>
      <c r="BZ140" s="360">
        <v>0</v>
      </c>
      <c r="CA140" s="360">
        <v>0</v>
      </c>
      <c r="CB140" s="360">
        <v>0</v>
      </c>
      <c r="CC140" s="360">
        <v>0</v>
      </c>
      <c r="CD140" s="360" t="s">
        <v>410</v>
      </c>
    </row>
    <row r="141" spans="1:82" x14ac:dyDescent="0.35">
      <c r="A141" s="360" t="s">
        <v>411</v>
      </c>
      <c r="B141" s="360" t="s">
        <v>412</v>
      </c>
      <c r="C141" s="360" t="s">
        <v>69</v>
      </c>
      <c r="D141" s="360" t="s">
        <v>77</v>
      </c>
      <c r="E141" s="360">
        <v>24679</v>
      </c>
      <c r="F141" s="360">
        <v>23837</v>
      </c>
      <c r="G141" s="360">
        <v>0</v>
      </c>
      <c r="H141" s="360">
        <v>842</v>
      </c>
      <c r="I141" s="360">
        <v>80.25</v>
      </c>
      <c r="J141" s="360">
        <v>23540</v>
      </c>
      <c r="K141" s="360">
        <v>80.25</v>
      </c>
      <c r="L141" s="360">
        <v>23540</v>
      </c>
      <c r="M141" s="360">
        <v>0</v>
      </c>
      <c r="N141" s="360">
        <v>0</v>
      </c>
      <c r="O141" s="360">
        <v>63.29</v>
      </c>
      <c r="P141" s="360">
        <v>60</v>
      </c>
      <c r="Q141" s="360">
        <v>68.680000000000007</v>
      </c>
      <c r="R141" s="360">
        <v>4349</v>
      </c>
      <c r="S141" s="360">
        <v>78.099999999999994</v>
      </c>
      <c r="T141" s="360">
        <v>9327</v>
      </c>
      <c r="U141" s="360">
        <v>87.09</v>
      </c>
      <c r="V141" s="360">
        <v>9252</v>
      </c>
      <c r="W141" s="360">
        <v>94.18</v>
      </c>
      <c r="X141" s="360">
        <v>476</v>
      </c>
      <c r="Y141" s="360">
        <v>99.2</v>
      </c>
      <c r="Z141" s="360">
        <v>57</v>
      </c>
      <c r="AA141" s="360">
        <v>113.2</v>
      </c>
      <c r="AB141" s="360">
        <v>19</v>
      </c>
      <c r="AC141" s="360">
        <v>70.02</v>
      </c>
      <c r="AD141" s="360">
        <v>554</v>
      </c>
      <c r="AE141" s="360">
        <v>70.02</v>
      </c>
      <c r="AF141" s="360">
        <v>554</v>
      </c>
      <c r="AG141" s="360">
        <v>0</v>
      </c>
      <c r="AH141" s="360">
        <v>0</v>
      </c>
      <c r="AI141" s="360">
        <v>66.94</v>
      </c>
      <c r="AJ141" s="360">
        <v>36</v>
      </c>
      <c r="AK141" s="360">
        <v>69.17</v>
      </c>
      <c r="AL141" s="360">
        <v>452</v>
      </c>
      <c r="AM141" s="360">
        <v>77.19</v>
      </c>
      <c r="AN141" s="360">
        <v>61</v>
      </c>
      <c r="AO141" s="360">
        <v>82.62</v>
      </c>
      <c r="AP141" s="360">
        <v>5</v>
      </c>
      <c r="AQ141" s="360">
        <v>0</v>
      </c>
      <c r="AR141" s="360">
        <v>0</v>
      </c>
      <c r="AS141" s="360">
        <v>125.44</v>
      </c>
      <c r="AT141" s="360">
        <v>297</v>
      </c>
      <c r="AU141" s="360">
        <v>125.44</v>
      </c>
      <c r="AV141" s="360">
        <v>297</v>
      </c>
      <c r="AW141" s="360">
        <v>0</v>
      </c>
      <c r="AX141" s="360">
        <v>0</v>
      </c>
      <c r="AY141" s="360">
        <v>0</v>
      </c>
      <c r="AZ141" s="360">
        <v>0</v>
      </c>
      <c r="BA141" s="360">
        <v>125.1</v>
      </c>
      <c r="BB141" s="360">
        <v>113</v>
      </c>
      <c r="BC141" s="360">
        <v>123.62</v>
      </c>
      <c r="BD141" s="360">
        <v>153</v>
      </c>
      <c r="BE141" s="360">
        <v>131.6</v>
      </c>
      <c r="BF141" s="360">
        <v>26</v>
      </c>
      <c r="BG141" s="360">
        <v>157</v>
      </c>
      <c r="BH141" s="360">
        <v>5</v>
      </c>
      <c r="BI141" s="360">
        <v>0</v>
      </c>
      <c r="BJ141" s="360">
        <v>0</v>
      </c>
      <c r="BK141" s="360">
        <v>0</v>
      </c>
      <c r="BL141" s="360">
        <v>0</v>
      </c>
      <c r="BM141" s="360">
        <v>185.23</v>
      </c>
      <c r="BN141" s="360">
        <v>288</v>
      </c>
      <c r="BO141" s="360">
        <v>185.23</v>
      </c>
      <c r="BP141" s="360">
        <v>288</v>
      </c>
      <c r="BQ141" s="360">
        <v>0</v>
      </c>
      <c r="BR141" s="360">
        <v>0</v>
      </c>
      <c r="BS141" s="360">
        <v>0</v>
      </c>
      <c r="BT141" s="360">
        <v>0</v>
      </c>
      <c r="BU141" s="360">
        <v>178.56</v>
      </c>
      <c r="BV141" s="360">
        <v>190</v>
      </c>
      <c r="BW141" s="360">
        <v>198.19</v>
      </c>
      <c r="BX141" s="360">
        <v>98</v>
      </c>
      <c r="BY141" s="360">
        <v>0</v>
      </c>
      <c r="BZ141" s="360">
        <v>0</v>
      </c>
      <c r="CA141" s="360">
        <v>0</v>
      </c>
      <c r="CB141" s="360">
        <v>0</v>
      </c>
      <c r="CC141" s="360">
        <v>0</v>
      </c>
      <c r="CD141" s="360" t="s">
        <v>413</v>
      </c>
    </row>
    <row r="142" spans="1:82" x14ac:dyDescent="0.35">
      <c r="A142" s="360" t="s">
        <v>414</v>
      </c>
      <c r="B142" s="360" t="s">
        <v>415</v>
      </c>
      <c r="C142" s="360" t="s">
        <v>66</v>
      </c>
      <c r="D142" s="360" t="s">
        <v>77</v>
      </c>
      <c r="E142" s="360">
        <v>7519</v>
      </c>
      <c r="F142" s="360">
        <v>7508</v>
      </c>
      <c r="G142" s="360">
        <v>0</v>
      </c>
      <c r="H142" s="360">
        <v>0</v>
      </c>
      <c r="I142" s="360">
        <v>83.39</v>
      </c>
      <c r="J142" s="360">
        <v>7454</v>
      </c>
      <c r="K142" s="360">
        <v>83.39</v>
      </c>
      <c r="L142" s="360">
        <v>7454</v>
      </c>
      <c r="M142" s="360">
        <v>0</v>
      </c>
      <c r="N142" s="360">
        <v>0</v>
      </c>
      <c r="O142" s="360">
        <v>74.47</v>
      </c>
      <c r="P142" s="360">
        <v>14</v>
      </c>
      <c r="Q142" s="360">
        <v>77.7</v>
      </c>
      <c r="R142" s="360">
        <v>1481</v>
      </c>
      <c r="S142" s="360">
        <v>83.72</v>
      </c>
      <c r="T142" s="360">
        <v>2692</v>
      </c>
      <c r="U142" s="360">
        <v>85.55</v>
      </c>
      <c r="V142" s="360">
        <v>3155</v>
      </c>
      <c r="W142" s="360">
        <v>91.37</v>
      </c>
      <c r="X142" s="360">
        <v>111</v>
      </c>
      <c r="Y142" s="360">
        <v>92.59</v>
      </c>
      <c r="Z142" s="360">
        <v>1</v>
      </c>
      <c r="AA142" s="360">
        <v>0</v>
      </c>
      <c r="AB142" s="360">
        <v>0</v>
      </c>
      <c r="AC142" s="360">
        <v>0</v>
      </c>
      <c r="AD142" s="360">
        <v>0</v>
      </c>
      <c r="AE142" s="360">
        <v>0</v>
      </c>
      <c r="AF142" s="360">
        <v>0</v>
      </c>
      <c r="AG142" s="360">
        <v>0</v>
      </c>
      <c r="AH142" s="360">
        <v>0</v>
      </c>
      <c r="AI142" s="360">
        <v>0</v>
      </c>
      <c r="AJ142" s="360">
        <v>0</v>
      </c>
      <c r="AK142" s="360">
        <v>0</v>
      </c>
      <c r="AL142" s="360">
        <v>0</v>
      </c>
      <c r="AM142" s="360">
        <v>0</v>
      </c>
      <c r="AN142" s="360">
        <v>0</v>
      </c>
      <c r="AO142" s="360">
        <v>0</v>
      </c>
      <c r="AP142" s="360">
        <v>0</v>
      </c>
      <c r="AQ142" s="360">
        <v>0</v>
      </c>
      <c r="AR142" s="360">
        <v>0</v>
      </c>
      <c r="AS142" s="360">
        <v>102.06</v>
      </c>
      <c r="AT142" s="360">
        <v>54</v>
      </c>
      <c r="AU142" s="360">
        <v>102.06</v>
      </c>
      <c r="AV142" s="360">
        <v>54</v>
      </c>
      <c r="AW142" s="360">
        <v>0</v>
      </c>
      <c r="AX142" s="360">
        <v>0</v>
      </c>
      <c r="AY142" s="360">
        <v>0</v>
      </c>
      <c r="AZ142" s="360">
        <v>0</v>
      </c>
      <c r="BA142" s="360">
        <v>81.349999999999994</v>
      </c>
      <c r="BB142" s="360">
        <v>10</v>
      </c>
      <c r="BC142" s="360">
        <v>101.99</v>
      </c>
      <c r="BD142" s="360">
        <v>38</v>
      </c>
      <c r="BE142" s="360">
        <v>137.04</v>
      </c>
      <c r="BF142" s="360">
        <v>6</v>
      </c>
      <c r="BG142" s="360">
        <v>0</v>
      </c>
      <c r="BH142" s="360">
        <v>0</v>
      </c>
      <c r="BI142" s="360">
        <v>0</v>
      </c>
      <c r="BJ142" s="360">
        <v>0</v>
      </c>
      <c r="BK142" s="360">
        <v>0</v>
      </c>
      <c r="BL142" s="360">
        <v>0</v>
      </c>
      <c r="BM142" s="360">
        <v>0</v>
      </c>
      <c r="BN142" s="360">
        <v>0</v>
      </c>
      <c r="BO142" s="360">
        <v>0</v>
      </c>
      <c r="BP142" s="360">
        <v>0</v>
      </c>
      <c r="BQ142" s="360">
        <v>0</v>
      </c>
      <c r="BR142" s="360">
        <v>0</v>
      </c>
      <c r="BS142" s="360">
        <v>0</v>
      </c>
      <c r="BT142" s="360">
        <v>0</v>
      </c>
      <c r="BU142" s="360">
        <v>0</v>
      </c>
      <c r="BV142" s="360">
        <v>0</v>
      </c>
      <c r="BW142" s="360">
        <v>0</v>
      </c>
      <c r="BX142" s="360">
        <v>0</v>
      </c>
      <c r="BY142" s="360">
        <v>0</v>
      </c>
      <c r="BZ142" s="360">
        <v>0</v>
      </c>
      <c r="CA142" s="360">
        <v>0</v>
      </c>
      <c r="CB142" s="360">
        <v>0</v>
      </c>
      <c r="CC142" s="360">
        <v>11</v>
      </c>
      <c r="CD142" s="360" t="s">
        <v>416</v>
      </c>
    </row>
    <row r="143" spans="1:82" x14ac:dyDescent="0.35">
      <c r="A143" s="360" t="s">
        <v>417</v>
      </c>
      <c r="B143" s="360" t="s">
        <v>418</v>
      </c>
      <c r="C143" s="360" t="s">
        <v>66</v>
      </c>
      <c r="D143" s="360" t="s">
        <v>77</v>
      </c>
      <c r="E143" s="360">
        <v>3891</v>
      </c>
      <c r="F143" s="360">
        <v>3881</v>
      </c>
      <c r="G143" s="360">
        <v>10</v>
      </c>
      <c r="H143" s="360">
        <v>0</v>
      </c>
      <c r="I143" s="360">
        <v>80.47</v>
      </c>
      <c r="J143" s="360">
        <v>3629</v>
      </c>
      <c r="K143" s="360">
        <v>80.52</v>
      </c>
      <c r="L143" s="360">
        <v>3619</v>
      </c>
      <c r="M143" s="360">
        <v>63.02</v>
      </c>
      <c r="N143" s="360">
        <v>10</v>
      </c>
      <c r="O143" s="360">
        <v>0</v>
      </c>
      <c r="P143" s="360">
        <v>0</v>
      </c>
      <c r="Q143" s="360">
        <v>68.650000000000006</v>
      </c>
      <c r="R143" s="360">
        <v>390</v>
      </c>
      <c r="S143" s="360">
        <v>78.73</v>
      </c>
      <c r="T143" s="360">
        <v>1927</v>
      </c>
      <c r="U143" s="360">
        <v>86.38</v>
      </c>
      <c r="V143" s="360">
        <v>1252</v>
      </c>
      <c r="W143" s="360">
        <v>95.51</v>
      </c>
      <c r="X143" s="360">
        <v>50</v>
      </c>
      <c r="Y143" s="360">
        <v>0</v>
      </c>
      <c r="Z143" s="360">
        <v>0</v>
      </c>
      <c r="AA143" s="360">
        <v>0</v>
      </c>
      <c r="AB143" s="360">
        <v>0</v>
      </c>
      <c r="AC143" s="360">
        <v>0</v>
      </c>
      <c r="AD143" s="360">
        <v>0</v>
      </c>
      <c r="AE143" s="360">
        <v>0</v>
      </c>
      <c r="AF143" s="360">
        <v>0</v>
      </c>
      <c r="AG143" s="360">
        <v>0</v>
      </c>
      <c r="AH143" s="360">
        <v>0</v>
      </c>
      <c r="AI143" s="360">
        <v>0</v>
      </c>
      <c r="AJ143" s="360">
        <v>0</v>
      </c>
      <c r="AK143" s="360">
        <v>0</v>
      </c>
      <c r="AL143" s="360">
        <v>0</v>
      </c>
      <c r="AM143" s="360">
        <v>0</v>
      </c>
      <c r="AN143" s="360">
        <v>0</v>
      </c>
      <c r="AO143" s="360">
        <v>0</v>
      </c>
      <c r="AP143" s="360">
        <v>0</v>
      </c>
      <c r="AQ143" s="360">
        <v>0</v>
      </c>
      <c r="AR143" s="360">
        <v>0</v>
      </c>
      <c r="AS143" s="360">
        <v>106.33</v>
      </c>
      <c r="AT143" s="360">
        <v>262</v>
      </c>
      <c r="AU143" s="360">
        <v>106.33</v>
      </c>
      <c r="AV143" s="360">
        <v>262</v>
      </c>
      <c r="AW143" s="360">
        <v>0</v>
      </c>
      <c r="AX143" s="360">
        <v>0</v>
      </c>
      <c r="AY143" s="360">
        <v>0</v>
      </c>
      <c r="AZ143" s="360">
        <v>0</v>
      </c>
      <c r="BA143" s="360">
        <v>84.92</v>
      </c>
      <c r="BB143" s="360">
        <v>62</v>
      </c>
      <c r="BC143" s="360">
        <v>105.72</v>
      </c>
      <c r="BD143" s="360">
        <v>148</v>
      </c>
      <c r="BE143" s="360">
        <v>133.29</v>
      </c>
      <c r="BF143" s="360">
        <v>51</v>
      </c>
      <c r="BG143" s="360">
        <v>150.25</v>
      </c>
      <c r="BH143" s="360">
        <v>1</v>
      </c>
      <c r="BI143" s="360">
        <v>0</v>
      </c>
      <c r="BJ143" s="360">
        <v>0</v>
      </c>
      <c r="BK143" s="360">
        <v>0</v>
      </c>
      <c r="BL143" s="360">
        <v>0</v>
      </c>
      <c r="BM143" s="360">
        <v>0</v>
      </c>
      <c r="BN143" s="360">
        <v>0</v>
      </c>
      <c r="BO143" s="360">
        <v>0</v>
      </c>
      <c r="BP143" s="360">
        <v>0</v>
      </c>
      <c r="BQ143" s="360">
        <v>0</v>
      </c>
      <c r="BR143" s="360">
        <v>0</v>
      </c>
      <c r="BS143" s="360">
        <v>0</v>
      </c>
      <c r="BT143" s="360">
        <v>0</v>
      </c>
      <c r="BU143" s="360">
        <v>0</v>
      </c>
      <c r="BV143" s="360">
        <v>0</v>
      </c>
      <c r="BW143" s="360">
        <v>0</v>
      </c>
      <c r="BX143" s="360">
        <v>0</v>
      </c>
      <c r="BY143" s="360">
        <v>0</v>
      </c>
      <c r="BZ143" s="360">
        <v>0</v>
      </c>
      <c r="CA143" s="360">
        <v>0</v>
      </c>
      <c r="CB143" s="360">
        <v>0</v>
      </c>
      <c r="CC143" s="360">
        <v>0</v>
      </c>
      <c r="CD143" s="360" t="s">
        <v>419</v>
      </c>
    </row>
    <row r="144" spans="1:82" x14ac:dyDescent="0.35">
      <c r="A144" s="360" t="s">
        <v>805</v>
      </c>
      <c r="B144" s="360" t="s">
        <v>806</v>
      </c>
      <c r="C144" s="360" t="s">
        <v>67</v>
      </c>
      <c r="D144" s="360" t="s">
        <v>77</v>
      </c>
      <c r="E144" s="360">
        <v>5</v>
      </c>
      <c r="F144" s="360">
        <v>0</v>
      </c>
      <c r="G144" s="360">
        <v>0</v>
      </c>
      <c r="H144" s="360">
        <v>5</v>
      </c>
      <c r="I144" s="360">
        <v>0</v>
      </c>
      <c r="J144" s="360">
        <v>0</v>
      </c>
      <c r="K144" s="360">
        <v>0</v>
      </c>
      <c r="L144" s="360">
        <v>0</v>
      </c>
      <c r="M144" s="360">
        <v>0</v>
      </c>
      <c r="N144" s="360">
        <v>0</v>
      </c>
      <c r="O144" s="360">
        <v>0</v>
      </c>
      <c r="P144" s="360">
        <v>0</v>
      </c>
      <c r="Q144" s="360">
        <v>0</v>
      </c>
      <c r="R144" s="360">
        <v>0</v>
      </c>
      <c r="S144" s="360">
        <v>0</v>
      </c>
      <c r="T144" s="360">
        <v>0</v>
      </c>
      <c r="U144" s="360">
        <v>0</v>
      </c>
      <c r="V144" s="360">
        <v>0</v>
      </c>
      <c r="W144" s="360">
        <v>0</v>
      </c>
      <c r="X144" s="360">
        <v>0</v>
      </c>
      <c r="Y144" s="360">
        <v>0</v>
      </c>
      <c r="Z144" s="360">
        <v>0</v>
      </c>
      <c r="AA144" s="360">
        <v>0</v>
      </c>
      <c r="AB144" s="360">
        <v>0</v>
      </c>
      <c r="AC144" s="360">
        <v>0</v>
      </c>
      <c r="AD144" s="360">
        <v>0</v>
      </c>
      <c r="AE144" s="360">
        <v>0</v>
      </c>
      <c r="AF144" s="360">
        <v>0</v>
      </c>
      <c r="AG144" s="360">
        <v>0</v>
      </c>
      <c r="AH144" s="360">
        <v>0</v>
      </c>
      <c r="AI144" s="360">
        <v>0</v>
      </c>
      <c r="AJ144" s="360">
        <v>0</v>
      </c>
      <c r="AK144" s="360">
        <v>0</v>
      </c>
      <c r="AL144" s="360">
        <v>0</v>
      </c>
      <c r="AM144" s="360">
        <v>0</v>
      </c>
      <c r="AN144" s="360">
        <v>0</v>
      </c>
      <c r="AO144" s="360">
        <v>0</v>
      </c>
      <c r="AP144" s="360">
        <v>0</v>
      </c>
      <c r="AQ144" s="360">
        <v>0</v>
      </c>
      <c r="AR144" s="360">
        <v>0</v>
      </c>
      <c r="AS144" s="360">
        <v>0</v>
      </c>
      <c r="AT144" s="360">
        <v>0</v>
      </c>
      <c r="AU144" s="360">
        <v>0</v>
      </c>
      <c r="AV144" s="360">
        <v>0</v>
      </c>
      <c r="AW144" s="360">
        <v>0</v>
      </c>
      <c r="AX144" s="360">
        <v>0</v>
      </c>
      <c r="AY144" s="360">
        <v>0</v>
      </c>
      <c r="AZ144" s="360">
        <v>0</v>
      </c>
      <c r="BA144" s="360">
        <v>0</v>
      </c>
      <c r="BB144" s="360">
        <v>0</v>
      </c>
      <c r="BC144" s="360">
        <v>0</v>
      </c>
      <c r="BD144" s="360">
        <v>0</v>
      </c>
      <c r="BE144" s="360">
        <v>0</v>
      </c>
      <c r="BF144" s="360">
        <v>0</v>
      </c>
      <c r="BG144" s="360">
        <v>0</v>
      </c>
      <c r="BH144" s="360">
        <v>0</v>
      </c>
      <c r="BI144" s="360">
        <v>0</v>
      </c>
      <c r="BJ144" s="360">
        <v>0</v>
      </c>
      <c r="BK144" s="360">
        <v>0</v>
      </c>
      <c r="BL144" s="360">
        <v>0</v>
      </c>
      <c r="BM144" s="360">
        <v>114.84</v>
      </c>
      <c r="BN144" s="360">
        <v>5</v>
      </c>
      <c r="BO144" s="360">
        <v>114.84</v>
      </c>
      <c r="BP144" s="360">
        <v>5</v>
      </c>
      <c r="BQ144" s="360">
        <v>0</v>
      </c>
      <c r="BR144" s="360">
        <v>0</v>
      </c>
      <c r="BS144" s="360">
        <v>0</v>
      </c>
      <c r="BT144" s="360">
        <v>0</v>
      </c>
      <c r="BU144" s="360">
        <v>114.84</v>
      </c>
      <c r="BV144" s="360">
        <v>5</v>
      </c>
      <c r="BW144" s="360">
        <v>0</v>
      </c>
      <c r="BX144" s="360">
        <v>0</v>
      </c>
      <c r="BY144" s="360">
        <v>0</v>
      </c>
      <c r="BZ144" s="360">
        <v>0</v>
      </c>
      <c r="CA144" s="360">
        <v>0</v>
      </c>
      <c r="CB144" s="360">
        <v>0</v>
      </c>
      <c r="CC144" s="360">
        <v>0</v>
      </c>
      <c r="CD144" s="360" t="s">
        <v>807</v>
      </c>
    </row>
    <row r="145" spans="1:82" x14ac:dyDescent="0.35">
      <c r="A145" s="360" t="s">
        <v>870</v>
      </c>
      <c r="B145" s="360" t="s">
        <v>871</v>
      </c>
      <c r="C145" s="360" t="s">
        <v>66</v>
      </c>
      <c r="D145" s="360" t="s">
        <v>77</v>
      </c>
      <c r="E145" s="360">
        <v>8132</v>
      </c>
      <c r="F145" s="360">
        <v>7165</v>
      </c>
      <c r="G145" s="360">
        <v>0</v>
      </c>
      <c r="H145" s="360">
        <v>967</v>
      </c>
      <c r="I145" s="360">
        <v>88.4</v>
      </c>
      <c r="J145" s="360">
        <v>6890</v>
      </c>
      <c r="K145" s="360">
        <v>88.4</v>
      </c>
      <c r="L145" s="360">
        <v>6890</v>
      </c>
      <c r="M145" s="360">
        <v>0</v>
      </c>
      <c r="N145" s="360">
        <v>0</v>
      </c>
      <c r="O145" s="360">
        <v>69.400000000000006</v>
      </c>
      <c r="P145" s="360">
        <v>103</v>
      </c>
      <c r="Q145" s="360">
        <v>77.81</v>
      </c>
      <c r="R145" s="360">
        <v>1338</v>
      </c>
      <c r="S145" s="360">
        <v>86.9</v>
      </c>
      <c r="T145" s="360">
        <v>2389</v>
      </c>
      <c r="U145" s="360">
        <v>94.28</v>
      </c>
      <c r="V145" s="360">
        <v>2790</v>
      </c>
      <c r="W145" s="360">
        <v>100.39</v>
      </c>
      <c r="X145" s="360">
        <v>233</v>
      </c>
      <c r="Y145" s="360">
        <v>102.86</v>
      </c>
      <c r="Z145" s="360">
        <v>37</v>
      </c>
      <c r="AA145" s="360">
        <v>0</v>
      </c>
      <c r="AB145" s="360">
        <v>0</v>
      </c>
      <c r="AC145" s="360">
        <v>76.95</v>
      </c>
      <c r="AD145" s="360">
        <v>918</v>
      </c>
      <c r="AE145" s="360">
        <v>76.95</v>
      </c>
      <c r="AF145" s="360">
        <v>918</v>
      </c>
      <c r="AG145" s="360">
        <v>0</v>
      </c>
      <c r="AH145" s="360">
        <v>0</v>
      </c>
      <c r="AI145" s="360">
        <v>69.16</v>
      </c>
      <c r="AJ145" s="360">
        <v>58</v>
      </c>
      <c r="AK145" s="360">
        <v>76.11</v>
      </c>
      <c r="AL145" s="360">
        <v>741</v>
      </c>
      <c r="AM145" s="360">
        <v>85.86</v>
      </c>
      <c r="AN145" s="360">
        <v>117</v>
      </c>
      <c r="AO145" s="360">
        <v>94.25</v>
      </c>
      <c r="AP145" s="360">
        <v>2</v>
      </c>
      <c r="AQ145" s="360">
        <v>0</v>
      </c>
      <c r="AR145" s="360">
        <v>0</v>
      </c>
      <c r="AS145" s="360">
        <v>126.24</v>
      </c>
      <c r="AT145" s="360">
        <v>275</v>
      </c>
      <c r="AU145" s="360">
        <v>126.24</v>
      </c>
      <c r="AV145" s="360">
        <v>275</v>
      </c>
      <c r="AW145" s="360">
        <v>0</v>
      </c>
      <c r="AX145" s="360">
        <v>0</v>
      </c>
      <c r="AY145" s="360">
        <v>0</v>
      </c>
      <c r="AZ145" s="360">
        <v>0</v>
      </c>
      <c r="BA145" s="360">
        <v>104.02</v>
      </c>
      <c r="BB145" s="360">
        <v>51</v>
      </c>
      <c r="BC145" s="360">
        <v>127.15</v>
      </c>
      <c r="BD145" s="360">
        <v>150</v>
      </c>
      <c r="BE145" s="360">
        <v>140.13</v>
      </c>
      <c r="BF145" s="360">
        <v>60</v>
      </c>
      <c r="BG145" s="360">
        <v>138.05000000000001</v>
      </c>
      <c r="BH145" s="360">
        <v>14</v>
      </c>
      <c r="BI145" s="360">
        <v>0</v>
      </c>
      <c r="BJ145" s="360">
        <v>0</v>
      </c>
      <c r="BK145" s="360">
        <v>0</v>
      </c>
      <c r="BL145" s="360">
        <v>0</v>
      </c>
      <c r="BM145" s="360">
        <v>134.08000000000001</v>
      </c>
      <c r="BN145" s="360">
        <v>49</v>
      </c>
      <c r="BO145" s="360">
        <v>134.08000000000001</v>
      </c>
      <c r="BP145" s="360">
        <v>49</v>
      </c>
      <c r="BQ145" s="360">
        <v>0</v>
      </c>
      <c r="BR145" s="360">
        <v>0</v>
      </c>
      <c r="BS145" s="360">
        <v>0</v>
      </c>
      <c r="BT145" s="360">
        <v>0</v>
      </c>
      <c r="BU145" s="360">
        <v>121.29</v>
      </c>
      <c r="BV145" s="360">
        <v>1</v>
      </c>
      <c r="BW145" s="360">
        <v>134.35</v>
      </c>
      <c r="BX145" s="360">
        <v>48</v>
      </c>
      <c r="BY145" s="360">
        <v>0</v>
      </c>
      <c r="BZ145" s="360">
        <v>0</v>
      </c>
      <c r="CA145" s="360">
        <v>0</v>
      </c>
      <c r="CB145" s="360">
        <v>0</v>
      </c>
      <c r="CC145" s="360">
        <v>0</v>
      </c>
      <c r="CD145" s="360" t="s">
        <v>872</v>
      </c>
    </row>
    <row r="146" spans="1:82" x14ac:dyDescent="0.35">
      <c r="A146" s="360" t="s">
        <v>420</v>
      </c>
      <c r="B146" s="360" t="s">
        <v>421</v>
      </c>
      <c r="C146" s="360" t="s">
        <v>72</v>
      </c>
      <c r="D146" s="360" t="s">
        <v>77</v>
      </c>
      <c r="E146" s="360">
        <v>0</v>
      </c>
      <c r="F146" s="360">
        <v>0</v>
      </c>
      <c r="G146" s="360">
        <v>0</v>
      </c>
      <c r="H146" s="360">
        <v>0</v>
      </c>
      <c r="I146" s="360">
        <v>0</v>
      </c>
      <c r="J146" s="360">
        <v>0</v>
      </c>
      <c r="K146" s="360">
        <v>0</v>
      </c>
      <c r="L146" s="360">
        <v>0</v>
      </c>
      <c r="M146" s="360">
        <v>0</v>
      </c>
      <c r="N146" s="360">
        <v>0</v>
      </c>
      <c r="O146" s="360">
        <v>0</v>
      </c>
      <c r="P146" s="360">
        <v>0</v>
      </c>
      <c r="Q146" s="360">
        <v>0</v>
      </c>
      <c r="R146" s="360">
        <v>0</v>
      </c>
      <c r="S146" s="360">
        <v>0</v>
      </c>
      <c r="T146" s="360">
        <v>0</v>
      </c>
      <c r="U146" s="360">
        <v>0</v>
      </c>
      <c r="V146" s="360">
        <v>0</v>
      </c>
      <c r="W146" s="360">
        <v>0</v>
      </c>
      <c r="X146" s="360">
        <v>0</v>
      </c>
      <c r="Y146" s="360">
        <v>0</v>
      </c>
      <c r="Z146" s="360">
        <v>0</v>
      </c>
      <c r="AA146" s="360">
        <v>0</v>
      </c>
      <c r="AB146" s="360">
        <v>0</v>
      </c>
      <c r="AC146" s="360">
        <v>0</v>
      </c>
      <c r="AD146" s="360">
        <v>0</v>
      </c>
      <c r="AE146" s="360">
        <v>0</v>
      </c>
      <c r="AF146" s="360">
        <v>0</v>
      </c>
      <c r="AG146" s="360">
        <v>0</v>
      </c>
      <c r="AH146" s="360">
        <v>0</v>
      </c>
      <c r="AI146" s="360">
        <v>0</v>
      </c>
      <c r="AJ146" s="360">
        <v>0</v>
      </c>
      <c r="AK146" s="360">
        <v>0</v>
      </c>
      <c r="AL146" s="360">
        <v>0</v>
      </c>
      <c r="AM146" s="360">
        <v>0</v>
      </c>
      <c r="AN146" s="360">
        <v>0</v>
      </c>
      <c r="AO146" s="360">
        <v>0</v>
      </c>
      <c r="AP146" s="360">
        <v>0</v>
      </c>
      <c r="AQ146" s="360">
        <v>0</v>
      </c>
      <c r="AR146" s="360">
        <v>0</v>
      </c>
      <c r="AS146" s="360">
        <v>0</v>
      </c>
      <c r="AT146" s="360">
        <v>0</v>
      </c>
      <c r="AU146" s="360">
        <v>0</v>
      </c>
      <c r="AV146" s="360">
        <v>0</v>
      </c>
      <c r="AW146" s="360">
        <v>0</v>
      </c>
      <c r="AX146" s="360">
        <v>0</v>
      </c>
      <c r="AY146" s="360">
        <v>0</v>
      </c>
      <c r="AZ146" s="360">
        <v>0</v>
      </c>
      <c r="BA146" s="360">
        <v>0</v>
      </c>
      <c r="BB146" s="360">
        <v>0</v>
      </c>
      <c r="BC146" s="360">
        <v>0</v>
      </c>
      <c r="BD146" s="360">
        <v>0</v>
      </c>
      <c r="BE146" s="360">
        <v>0</v>
      </c>
      <c r="BF146" s="360">
        <v>0</v>
      </c>
      <c r="BG146" s="360">
        <v>0</v>
      </c>
      <c r="BH146" s="360">
        <v>0</v>
      </c>
      <c r="BI146" s="360">
        <v>0</v>
      </c>
      <c r="BJ146" s="360">
        <v>0</v>
      </c>
      <c r="BK146" s="360">
        <v>0</v>
      </c>
      <c r="BL146" s="360">
        <v>0</v>
      </c>
      <c r="BM146" s="360">
        <v>0</v>
      </c>
      <c r="BN146" s="360">
        <v>0</v>
      </c>
      <c r="BO146" s="360">
        <v>0</v>
      </c>
      <c r="BP146" s="360">
        <v>0</v>
      </c>
      <c r="BQ146" s="360">
        <v>0</v>
      </c>
      <c r="BR146" s="360">
        <v>0</v>
      </c>
      <c r="BS146" s="360">
        <v>0</v>
      </c>
      <c r="BT146" s="360">
        <v>0</v>
      </c>
      <c r="BU146" s="360">
        <v>0</v>
      </c>
      <c r="BV146" s="360">
        <v>0</v>
      </c>
      <c r="BW146" s="360">
        <v>0</v>
      </c>
      <c r="BX146" s="360">
        <v>0</v>
      </c>
      <c r="BY146" s="360">
        <v>0</v>
      </c>
      <c r="BZ146" s="360">
        <v>0</v>
      </c>
      <c r="CA146" s="360">
        <v>0</v>
      </c>
      <c r="CB146" s="360">
        <v>0</v>
      </c>
      <c r="CC146" s="360">
        <v>0</v>
      </c>
      <c r="CD146" s="360" t="s">
        <v>422</v>
      </c>
    </row>
    <row r="147" spans="1:82" x14ac:dyDescent="0.35">
      <c r="A147" s="360" t="s">
        <v>423</v>
      </c>
      <c r="B147" s="360" t="s">
        <v>424</v>
      </c>
      <c r="C147" s="360" t="s">
        <v>69</v>
      </c>
      <c r="D147" s="360" t="s">
        <v>77</v>
      </c>
      <c r="E147" s="360">
        <v>14219</v>
      </c>
      <c r="F147" s="360">
        <v>12735</v>
      </c>
      <c r="G147" s="360">
        <v>0</v>
      </c>
      <c r="H147" s="360">
        <v>1484</v>
      </c>
      <c r="I147" s="360">
        <v>80.73</v>
      </c>
      <c r="J147" s="360">
        <v>12689</v>
      </c>
      <c r="K147" s="360">
        <v>80.73</v>
      </c>
      <c r="L147" s="360">
        <v>12689</v>
      </c>
      <c r="M147" s="360">
        <v>0</v>
      </c>
      <c r="N147" s="360">
        <v>0</v>
      </c>
      <c r="O147" s="360">
        <v>61.36</v>
      </c>
      <c r="P147" s="360">
        <v>16</v>
      </c>
      <c r="Q147" s="360">
        <v>69.41</v>
      </c>
      <c r="R147" s="360">
        <v>2502</v>
      </c>
      <c r="S147" s="360">
        <v>78.89</v>
      </c>
      <c r="T147" s="360">
        <v>4723</v>
      </c>
      <c r="U147" s="360">
        <v>87.24</v>
      </c>
      <c r="V147" s="360">
        <v>5119</v>
      </c>
      <c r="W147" s="360">
        <v>92.89</v>
      </c>
      <c r="X147" s="360">
        <v>324</v>
      </c>
      <c r="Y147" s="360">
        <v>97.16</v>
      </c>
      <c r="Z147" s="360">
        <v>5</v>
      </c>
      <c r="AA147" s="360">
        <v>0</v>
      </c>
      <c r="AB147" s="360">
        <v>0</v>
      </c>
      <c r="AC147" s="360">
        <v>73.180000000000007</v>
      </c>
      <c r="AD147" s="360">
        <v>1484</v>
      </c>
      <c r="AE147" s="360">
        <v>73.36</v>
      </c>
      <c r="AF147" s="360">
        <v>1471</v>
      </c>
      <c r="AG147" s="360">
        <v>53.71</v>
      </c>
      <c r="AH147" s="360">
        <v>13</v>
      </c>
      <c r="AI147" s="360">
        <v>0</v>
      </c>
      <c r="AJ147" s="360">
        <v>0</v>
      </c>
      <c r="AK147" s="360">
        <v>71.27</v>
      </c>
      <c r="AL147" s="360">
        <v>1209</v>
      </c>
      <c r="AM147" s="360">
        <v>82.93</v>
      </c>
      <c r="AN147" s="360">
        <v>249</v>
      </c>
      <c r="AO147" s="360">
        <v>83.57</v>
      </c>
      <c r="AP147" s="360">
        <v>13</v>
      </c>
      <c r="AQ147" s="360">
        <v>0</v>
      </c>
      <c r="AR147" s="360">
        <v>0</v>
      </c>
      <c r="AS147" s="360">
        <v>98.69</v>
      </c>
      <c r="AT147" s="360">
        <v>46</v>
      </c>
      <c r="AU147" s="360">
        <v>98.69</v>
      </c>
      <c r="AV147" s="360">
        <v>46</v>
      </c>
      <c r="AW147" s="360">
        <v>0</v>
      </c>
      <c r="AX147" s="360">
        <v>0</v>
      </c>
      <c r="AY147" s="360">
        <v>0</v>
      </c>
      <c r="AZ147" s="360">
        <v>0</v>
      </c>
      <c r="BA147" s="360">
        <v>83.18</v>
      </c>
      <c r="BB147" s="360">
        <v>8</v>
      </c>
      <c r="BC147" s="360">
        <v>100.92</v>
      </c>
      <c r="BD147" s="360">
        <v>34</v>
      </c>
      <c r="BE147" s="360">
        <v>110.76</v>
      </c>
      <c r="BF147" s="360">
        <v>4</v>
      </c>
      <c r="BG147" s="360">
        <v>0</v>
      </c>
      <c r="BH147" s="360">
        <v>0</v>
      </c>
      <c r="BI147" s="360">
        <v>0</v>
      </c>
      <c r="BJ147" s="360">
        <v>0</v>
      </c>
      <c r="BK147" s="360">
        <v>0</v>
      </c>
      <c r="BL147" s="360">
        <v>0</v>
      </c>
      <c r="BM147" s="360">
        <v>0</v>
      </c>
      <c r="BN147" s="360">
        <v>0</v>
      </c>
      <c r="BO147" s="360">
        <v>0</v>
      </c>
      <c r="BP147" s="360">
        <v>0</v>
      </c>
      <c r="BQ147" s="360">
        <v>0</v>
      </c>
      <c r="BR147" s="360">
        <v>0</v>
      </c>
      <c r="BS147" s="360">
        <v>0</v>
      </c>
      <c r="BT147" s="360">
        <v>0</v>
      </c>
      <c r="BU147" s="360">
        <v>0</v>
      </c>
      <c r="BV147" s="360">
        <v>0</v>
      </c>
      <c r="BW147" s="360">
        <v>0</v>
      </c>
      <c r="BX147" s="360">
        <v>0</v>
      </c>
      <c r="BY147" s="360">
        <v>0</v>
      </c>
      <c r="BZ147" s="360">
        <v>0</v>
      </c>
      <c r="CA147" s="360">
        <v>0</v>
      </c>
      <c r="CB147" s="360">
        <v>0</v>
      </c>
      <c r="CC147" s="360">
        <v>0</v>
      </c>
      <c r="CD147" s="360" t="s">
        <v>425</v>
      </c>
    </row>
    <row r="148" spans="1:82" x14ac:dyDescent="0.35">
      <c r="A148" s="360" t="s">
        <v>426</v>
      </c>
      <c r="B148" s="360" t="s">
        <v>427</v>
      </c>
      <c r="C148" s="360" t="s">
        <v>73</v>
      </c>
      <c r="D148" s="360" t="s">
        <v>77</v>
      </c>
      <c r="E148" s="360">
        <v>2585</v>
      </c>
      <c r="F148" s="360">
        <v>2585</v>
      </c>
      <c r="G148" s="360">
        <v>0</v>
      </c>
      <c r="H148" s="360">
        <v>0</v>
      </c>
      <c r="I148" s="360">
        <v>90.12</v>
      </c>
      <c r="J148" s="360">
        <v>2503</v>
      </c>
      <c r="K148" s="360">
        <v>90.12</v>
      </c>
      <c r="L148" s="360">
        <v>2503</v>
      </c>
      <c r="M148" s="360">
        <v>0</v>
      </c>
      <c r="N148" s="360">
        <v>0</v>
      </c>
      <c r="O148" s="360">
        <v>0</v>
      </c>
      <c r="P148" s="360">
        <v>0</v>
      </c>
      <c r="Q148" s="360">
        <v>81.45</v>
      </c>
      <c r="R148" s="360">
        <v>774</v>
      </c>
      <c r="S148" s="360">
        <v>90.8</v>
      </c>
      <c r="T148" s="360">
        <v>808</v>
      </c>
      <c r="U148" s="360">
        <v>96.19</v>
      </c>
      <c r="V148" s="360">
        <v>871</v>
      </c>
      <c r="W148" s="360">
        <v>107.73</v>
      </c>
      <c r="X148" s="360">
        <v>50</v>
      </c>
      <c r="Y148" s="360">
        <v>0</v>
      </c>
      <c r="Z148" s="360">
        <v>0</v>
      </c>
      <c r="AA148" s="360">
        <v>0</v>
      </c>
      <c r="AB148" s="360">
        <v>0</v>
      </c>
      <c r="AC148" s="360">
        <v>0</v>
      </c>
      <c r="AD148" s="360">
        <v>0</v>
      </c>
      <c r="AE148" s="360">
        <v>0</v>
      </c>
      <c r="AF148" s="360">
        <v>0</v>
      </c>
      <c r="AG148" s="360">
        <v>0</v>
      </c>
      <c r="AH148" s="360">
        <v>0</v>
      </c>
      <c r="AI148" s="360">
        <v>0</v>
      </c>
      <c r="AJ148" s="360">
        <v>0</v>
      </c>
      <c r="AK148" s="360">
        <v>0</v>
      </c>
      <c r="AL148" s="360">
        <v>0</v>
      </c>
      <c r="AM148" s="360">
        <v>0</v>
      </c>
      <c r="AN148" s="360">
        <v>0</v>
      </c>
      <c r="AO148" s="360">
        <v>0</v>
      </c>
      <c r="AP148" s="360">
        <v>0</v>
      </c>
      <c r="AQ148" s="360">
        <v>0</v>
      </c>
      <c r="AR148" s="360">
        <v>0</v>
      </c>
      <c r="AS148" s="360">
        <v>121.09</v>
      </c>
      <c r="AT148" s="360">
        <v>82</v>
      </c>
      <c r="AU148" s="360">
        <v>121.09</v>
      </c>
      <c r="AV148" s="360">
        <v>82</v>
      </c>
      <c r="AW148" s="360">
        <v>0</v>
      </c>
      <c r="AX148" s="360">
        <v>0</v>
      </c>
      <c r="AY148" s="360">
        <v>0</v>
      </c>
      <c r="AZ148" s="360">
        <v>0</v>
      </c>
      <c r="BA148" s="360">
        <v>100.01</v>
      </c>
      <c r="BB148" s="360">
        <v>11</v>
      </c>
      <c r="BC148" s="360">
        <v>121.54</v>
      </c>
      <c r="BD148" s="360">
        <v>59</v>
      </c>
      <c r="BE148" s="360">
        <v>138.25</v>
      </c>
      <c r="BF148" s="360">
        <v>12</v>
      </c>
      <c r="BG148" s="360">
        <v>0</v>
      </c>
      <c r="BH148" s="360">
        <v>0</v>
      </c>
      <c r="BI148" s="360">
        <v>0</v>
      </c>
      <c r="BJ148" s="360">
        <v>0</v>
      </c>
      <c r="BK148" s="360">
        <v>0</v>
      </c>
      <c r="BL148" s="360">
        <v>0</v>
      </c>
      <c r="BM148" s="360">
        <v>0</v>
      </c>
      <c r="BN148" s="360">
        <v>0</v>
      </c>
      <c r="BO148" s="360">
        <v>0</v>
      </c>
      <c r="BP148" s="360">
        <v>0</v>
      </c>
      <c r="BQ148" s="360">
        <v>0</v>
      </c>
      <c r="BR148" s="360">
        <v>0</v>
      </c>
      <c r="BS148" s="360">
        <v>0</v>
      </c>
      <c r="BT148" s="360">
        <v>0</v>
      </c>
      <c r="BU148" s="360">
        <v>0</v>
      </c>
      <c r="BV148" s="360">
        <v>0</v>
      </c>
      <c r="BW148" s="360">
        <v>0</v>
      </c>
      <c r="BX148" s="360">
        <v>0</v>
      </c>
      <c r="BY148" s="360">
        <v>0</v>
      </c>
      <c r="BZ148" s="360">
        <v>0</v>
      </c>
      <c r="CA148" s="360">
        <v>0</v>
      </c>
      <c r="CB148" s="360">
        <v>0</v>
      </c>
      <c r="CC148" s="360">
        <v>0</v>
      </c>
      <c r="CD148" s="360" t="s">
        <v>428</v>
      </c>
    </row>
    <row r="149" spans="1:82" x14ac:dyDescent="0.35">
      <c r="A149" s="360" t="s">
        <v>429</v>
      </c>
      <c r="B149" s="360" t="s">
        <v>430</v>
      </c>
      <c r="C149" s="360" t="s">
        <v>66</v>
      </c>
      <c r="D149" s="360" t="s">
        <v>77</v>
      </c>
      <c r="E149" s="360">
        <v>4112</v>
      </c>
      <c r="F149" s="360">
        <v>3176</v>
      </c>
      <c r="G149" s="360">
        <v>0</v>
      </c>
      <c r="H149" s="360">
        <v>936</v>
      </c>
      <c r="I149" s="360">
        <v>87.19</v>
      </c>
      <c r="J149" s="360">
        <v>3043</v>
      </c>
      <c r="K149" s="360">
        <v>87.19</v>
      </c>
      <c r="L149" s="360">
        <v>3043</v>
      </c>
      <c r="M149" s="360">
        <v>0</v>
      </c>
      <c r="N149" s="360">
        <v>0</v>
      </c>
      <c r="O149" s="360">
        <v>57.6</v>
      </c>
      <c r="P149" s="360">
        <v>42</v>
      </c>
      <c r="Q149" s="360">
        <v>66.86</v>
      </c>
      <c r="R149" s="360">
        <v>248</v>
      </c>
      <c r="S149" s="360">
        <v>79.87</v>
      </c>
      <c r="T149" s="360">
        <v>831</v>
      </c>
      <c r="U149" s="360">
        <v>93.17</v>
      </c>
      <c r="V149" s="360">
        <v>1779</v>
      </c>
      <c r="W149" s="360">
        <v>99.31</v>
      </c>
      <c r="X149" s="360">
        <v>139</v>
      </c>
      <c r="Y149" s="360">
        <v>103.45</v>
      </c>
      <c r="Z149" s="360">
        <v>4</v>
      </c>
      <c r="AA149" s="360">
        <v>0</v>
      </c>
      <c r="AB149" s="360">
        <v>0</v>
      </c>
      <c r="AC149" s="360">
        <v>71.5</v>
      </c>
      <c r="AD149" s="360">
        <v>936</v>
      </c>
      <c r="AE149" s="360">
        <v>71.5</v>
      </c>
      <c r="AF149" s="360">
        <v>936</v>
      </c>
      <c r="AG149" s="360">
        <v>0</v>
      </c>
      <c r="AH149" s="360">
        <v>0</v>
      </c>
      <c r="AI149" s="360">
        <v>57.91</v>
      </c>
      <c r="AJ149" s="360">
        <v>24</v>
      </c>
      <c r="AK149" s="360">
        <v>67.22</v>
      </c>
      <c r="AL149" s="360">
        <v>589</v>
      </c>
      <c r="AM149" s="360">
        <v>80.209999999999994</v>
      </c>
      <c r="AN149" s="360">
        <v>316</v>
      </c>
      <c r="AO149" s="360">
        <v>85.48</v>
      </c>
      <c r="AP149" s="360">
        <v>7</v>
      </c>
      <c r="AQ149" s="360">
        <v>0</v>
      </c>
      <c r="AR149" s="360">
        <v>0</v>
      </c>
      <c r="AS149" s="360">
        <v>120.78</v>
      </c>
      <c r="AT149" s="360">
        <v>133</v>
      </c>
      <c r="AU149" s="360">
        <v>120.78</v>
      </c>
      <c r="AV149" s="360">
        <v>133</v>
      </c>
      <c r="AW149" s="360">
        <v>0</v>
      </c>
      <c r="AX149" s="360">
        <v>0</v>
      </c>
      <c r="AY149" s="360">
        <v>0</v>
      </c>
      <c r="AZ149" s="360">
        <v>0</v>
      </c>
      <c r="BA149" s="360">
        <v>95.61</v>
      </c>
      <c r="BB149" s="360">
        <v>29</v>
      </c>
      <c r="BC149" s="360">
        <v>123.4</v>
      </c>
      <c r="BD149" s="360">
        <v>72</v>
      </c>
      <c r="BE149" s="360">
        <v>134.72</v>
      </c>
      <c r="BF149" s="360">
        <v>30</v>
      </c>
      <c r="BG149" s="360">
        <v>182.58</v>
      </c>
      <c r="BH149" s="360">
        <v>2</v>
      </c>
      <c r="BI149" s="360">
        <v>0</v>
      </c>
      <c r="BJ149" s="360">
        <v>0</v>
      </c>
      <c r="BK149" s="360">
        <v>0</v>
      </c>
      <c r="BL149" s="360">
        <v>0</v>
      </c>
      <c r="BM149" s="360">
        <v>0</v>
      </c>
      <c r="BN149" s="360">
        <v>0</v>
      </c>
      <c r="BO149" s="360">
        <v>0</v>
      </c>
      <c r="BP149" s="360">
        <v>0</v>
      </c>
      <c r="BQ149" s="360">
        <v>0</v>
      </c>
      <c r="BR149" s="360">
        <v>0</v>
      </c>
      <c r="BS149" s="360">
        <v>0</v>
      </c>
      <c r="BT149" s="360">
        <v>0</v>
      </c>
      <c r="BU149" s="360">
        <v>0</v>
      </c>
      <c r="BV149" s="360">
        <v>0</v>
      </c>
      <c r="BW149" s="360">
        <v>0</v>
      </c>
      <c r="BX149" s="360">
        <v>0</v>
      </c>
      <c r="BY149" s="360">
        <v>0</v>
      </c>
      <c r="BZ149" s="360">
        <v>0</v>
      </c>
      <c r="CA149" s="360">
        <v>0</v>
      </c>
      <c r="CB149" s="360">
        <v>0</v>
      </c>
      <c r="CC149" s="360">
        <v>0</v>
      </c>
      <c r="CD149" s="360" t="s">
        <v>431</v>
      </c>
    </row>
    <row r="150" spans="1:82" x14ac:dyDescent="0.35">
      <c r="A150" s="360" t="s">
        <v>432</v>
      </c>
      <c r="B150" s="360" t="s">
        <v>433</v>
      </c>
      <c r="C150" s="360" t="s">
        <v>69</v>
      </c>
      <c r="D150" s="360" t="s">
        <v>77</v>
      </c>
      <c r="E150" s="360">
        <v>8309</v>
      </c>
      <c r="F150" s="360">
        <v>8037</v>
      </c>
      <c r="G150" s="360">
        <v>0</v>
      </c>
      <c r="H150" s="360">
        <v>269</v>
      </c>
      <c r="I150" s="360">
        <v>72.69</v>
      </c>
      <c r="J150" s="360">
        <v>7918</v>
      </c>
      <c r="K150" s="360">
        <v>72.69</v>
      </c>
      <c r="L150" s="360">
        <v>7918</v>
      </c>
      <c r="M150" s="360">
        <v>0</v>
      </c>
      <c r="N150" s="360">
        <v>0</v>
      </c>
      <c r="O150" s="360">
        <v>55.4</v>
      </c>
      <c r="P150" s="360">
        <v>16</v>
      </c>
      <c r="Q150" s="360">
        <v>61.65</v>
      </c>
      <c r="R150" s="360">
        <v>1677</v>
      </c>
      <c r="S150" s="360">
        <v>72.62</v>
      </c>
      <c r="T150" s="360">
        <v>3203</v>
      </c>
      <c r="U150" s="360">
        <v>78.569999999999993</v>
      </c>
      <c r="V150" s="360">
        <v>2872</v>
      </c>
      <c r="W150" s="360">
        <v>86.89</v>
      </c>
      <c r="X150" s="360">
        <v>144</v>
      </c>
      <c r="Y150" s="360">
        <v>88.52</v>
      </c>
      <c r="Z150" s="360">
        <v>5</v>
      </c>
      <c r="AA150" s="360">
        <v>106.83</v>
      </c>
      <c r="AB150" s="360">
        <v>1</v>
      </c>
      <c r="AC150" s="360">
        <v>62.31</v>
      </c>
      <c r="AD150" s="360">
        <v>269</v>
      </c>
      <c r="AE150" s="360">
        <v>62.31</v>
      </c>
      <c r="AF150" s="360">
        <v>269</v>
      </c>
      <c r="AG150" s="360">
        <v>0</v>
      </c>
      <c r="AH150" s="360">
        <v>0</v>
      </c>
      <c r="AI150" s="360">
        <v>66.98</v>
      </c>
      <c r="AJ150" s="360">
        <v>14</v>
      </c>
      <c r="AK150" s="360">
        <v>60.8</v>
      </c>
      <c r="AL150" s="360">
        <v>230</v>
      </c>
      <c r="AM150" s="360">
        <v>72.680000000000007</v>
      </c>
      <c r="AN150" s="360">
        <v>21</v>
      </c>
      <c r="AO150" s="360">
        <v>78.739999999999995</v>
      </c>
      <c r="AP150" s="360">
        <v>4</v>
      </c>
      <c r="AQ150" s="360">
        <v>0</v>
      </c>
      <c r="AR150" s="360">
        <v>0</v>
      </c>
      <c r="AS150" s="360">
        <v>94.02</v>
      </c>
      <c r="AT150" s="360">
        <v>119</v>
      </c>
      <c r="AU150" s="360">
        <v>94.02</v>
      </c>
      <c r="AV150" s="360">
        <v>119</v>
      </c>
      <c r="AW150" s="360">
        <v>0</v>
      </c>
      <c r="AX150" s="360">
        <v>0</v>
      </c>
      <c r="AY150" s="360">
        <v>0</v>
      </c>
      <c r="AZ150" s="360">
        <v>0</v>
      </c>
      <c r="BA150" s="360">
        <v>71.19</v>
      </c>
      <c r="BB150" s="360">
        <v>12</v>
      </c>
      <c r="BC150" s="360">
        <v>93.49</v>
      </c>
      <c r="BD150" s="360">
        <v>80</v>
      </c>
      <c r="BE150" s="360">
        <v>103.42</v>
      </c>
      <c r="BF150" s="360">
        <v>22</v>
      </c>
      <c r="BG150" s="360">
        <v>109.79</v>
      </c>
      <c r="BH150" s="360">
        <v>4</v>
      </c>
      <c r="BI150" s="360">
        <v>140.88999999999999</v>
      </c>
      <c r="BJ150" s="360">
        <v>1</v>
      </c>
      <c r="BK150" s="360">
        <v>0</v>
      </c>
      <c r="BL150" s="360">
        <v>0</v>
      </c>
      <c r="BM150" s="360">
        <v>0</v>
      </c>
      <c r="BN150" s="360">
        <v>0</v>
      </c>
      <c r="BO150" s="360">
        <v>0</v>
      </c>
      <c r="BP150" s="360">
        <v>0</v>
      </c>
      <c r="BQ150" s="360">
        <v>0</v>
      </c>
      <c r="BR150" s="360">
        <v>0</v>
      </c>
      <c r="BS150" s="360">
        <v>0</v>
      </c>
      <c r="BT150" s="360">
        <v>0</v>
      </c>
      <c r="BU150" s="360">
        <v>0</v>
      </c>
      <c r="BV150" s="360">
        <v>0</v>
      </c>
      <c r="BW150" s="360">
        <v>0</v>
      </c>
      <c r="BX150" s="360">
        <v>0</v>
      </c>
      <c r="BY150" s="360">
        <v>0</v>
      </c>
      <c r="BZ150" s="360">
        <v>0</v>
      </c>
      <c r="CA150" s="360">
        <v>0</v>
      </c>
      <c r="CB150" s="360">
        <v>0</v>
      </c>
      <c r="CC150" s="360">
        <v>3</v>
      </c>
      <c r="CD150" s="360" t="s">
        <v>434</v>
      </c>
    </row>
    <row r="151" spans="1:82" x14ac:dyDescent="0.35">
      <c r="A151" s="360" t="s">
        <v>435</v>
      </c>
      <c r="B151" s="360" t="s">
        <v>436</v>
      </c>
      <c r="C151" s="360" t="s">
        <v>67</v>
      </c>
      <c r="D151" s="360" t="s">
        <v>77</v>
      </c>
      <c r="E151" s="360">
        <v>14257</v>
      </c>
      <c r="F151" s="360">
        <v>13331</v>
      </c>
      <c r="G151" s="360">
        <v>2</v>
      </c>
      <c r="H151" s="360">
        <v>924</v>
      </c>
      <c r="I151" s="360">
        <v>80.89</v>
      </c>
      <c r="J151" s="360">
        <v>13333</v>
      </c>
      <c r="K151" s="360">
        <v>80.900000000000006</v>
      </c>
      <c r="L151" s="360">
        <v>13331</v>
      </c>
      <c r="M151" s="360">
        <v>61.95</v>
      </c>
      <c r="N151" s="360">
        <v>2</v>
      </c>
      <c r="O151" s="360">
        <v>61.53</v>
      </c>
      <c r="P151" s="360">
        <v>70</v>
      </c>
      <c r="Q151" s="360">
        <v>72.19</v>
      </c>
      <c r="R151" s="360">
        <v>2531</v>
      </c>
      <c r="S151" s="360">
        <v>78.25</v>
      </c>
      <c r="T151" s="360">
        <v>4945</v>
      </c>
      <c r="U151" s="360">
        <v>86.59</v>
      </c>
      <c r="V151" s="360">
        <v>5334</v>
      </c>
      <c r="W151" s="360">
        <v>93.33</v>
      </c>
      <c r="X151" s="360">
        <v>402</v>
      </c>
      <c r="Y151" s="360">
        <v>104.32</v>
      </c>
      <c r="Z151" s="360">
        <v>38</v>
      </c>
      <c r="AA151" s="360">
        <v>106.93</v>
      </c>
      <c r="AB151" s="360">
        <v>11</v>
      </c>
      <c r="AC151" s="360">
        <v>75.59</v>
      </c>
      <c r="AD151" s="360">
        <v>924</v>
      </c>
      <c r="AE151" s="360">
        <v>75.59</v>
      </c>
      <c r="AF151" s="360">
        <v>924</v>
      </c>
      <c r="AG151" s="360">
        <v>0</v>
      </c>
      <c r="AH151" s="360">
        <v>0</v>
      </c>
      <c r="AI151" s="360">
        <v>0</v>
      </c>
      <c r="AJ151" s="360">
        <v>0</v>
      </c>
      <c r="AK151" s="360">
        <v>75.22</v>
      </c>
      <c r="AL151" s="360">
        <v>849</v>
      </c>
      <c r="AM151" s="360">
        <v>79.84</v>
      </c>
      <c r="AN151" s="360">
        <v>74</v>
      </c>
      <c r="AO151" s="360">
        <v>79.489999999999995</v>
      </c>
      <c r="AP151" s="360">
        <v>1</v>
      </c>
      <c r="AQ151" s="360">
        <v>0</v>
      </c>
      <c r="AR151" s="360">
        <v>0</v>
      </c>
      <c r="AS151" s="360">
        <v>0</v>
      </c>
      <c r="AT151" s="360">
        <v>0</v>
      </c>
      <c r="AU151" s="360">
        <v>0</v>
      </c>
      <c r="AV151" s="360">
        <v>0</v>
      </c>
      <c r="AW151" s="360">
        <v>0</v>
      </c>
      <c r="AX151" s="360">
        <v>0</v>
      </c>
      <c r="AY151" s="360">
        <v>0</v>
      </c>
      <c r="AZ151" s="360">
        <v>0</v>
      </c>
      <c r="BA151" s="360">
        <v>0</v>
      </c>
      <c r="BB151" s="360">
        <v>0</v>
      </c>
      <c r="BC151" s="360">
        <v>0</v>
      </c>
      <c r="BD151" s="360">
        <v>0</v>
      </c>
      <c r="BE151" s="360">
        <v>0</v>
      </c>
      <c r="BF151" s="360">
        <v>0</v>
      </c>
      <c r="BG151" s="360">
        <v>0</v>
      </c>
      <c r="BH151" s="360">
        <v>0</v>
      </c>
      <c r="BI151" s="360">
        <v>0</v>
      </c>
      <c r="BJ151" s="360">
        <v>0</v>
      </c>
      <c r="BK151" s="360">
        <v>0</v>
      </c>
      <c r="BL151" s="360">
        <v>0</v>
      </c>
      <c r="BM151" s="360">
        <v>0</v>
      </c>
      <c r="BN151" s="360">
        <v>0</v>
      </c>
      <c r="BO151" s="360">
        <v>0</v>
      </c>
      <c r="BP151" s="360">
        <v>0</v>
      </c>
      <c r="BQ151" s="360">
        <v>0</v>
      </c>
      <c r="BR151" s="360">
        <v>0</v>
      </c>
      <c r="BS151" s="360">
        <v>0</v>
      </c>
      <c r="BT151" s="360">
        <v>0</v>
      </c>
      <c r="BU151" s="360">
        <v>0</v>
      </c>
      <c r="BV151" s="360">
        <v>0</v>
      </c>
      <c r="BW151" s="360">
        <v>0</v>
      </c>
      <c r="BX151" s="360">
        <v>0</v>
      </c>
      <c r="BY151" s="360">
        <v>0</v>
      </c>
      <c r="BZ151" s="360">
        <v>0</v>
      </c>
      <c r="CA151" s="360">
        <v>0</v>
      </c>
      <c r="CB151" s="360">
        <v>0</v>
      </c>
      <c r="CC151" s="360">
        <v>0</v>
      </c>
      <c r="CD151" s="360" t="s">
        <v>437</v>
      </c>
    </row>
    <row r="152" spans="1:82" x14ac:dyDescent="0.35">
      <c r="A152" s="360" t="s">
        <v>438</v>
      </c>
      <c r="B152" s="360" t="s">
        <v>439</v>
      </c>
      <c r="C152" s="360" t="s">
        <v>66</v>
      </c>
      <c r="D152" s="360" t="s">
        <v>77</v>
      </c>
      <c r="E152" s="360">
        <v>24777</v>
      </c>
      <c r="F152" s="360">
        <v>22626</v>
      </c>
      <c r="G152" s="360">
        <v>0</v>
      </c>
      <c r="H152" s="360">
        <v>2151</v>
      </c>
      <c r="I152" s="360">
        <v>79.040000000000006</v>
      </c>
      <c r="J152" s="360">
        <v>22062</v>
      </c>
      <c r="K152" s="360">
        <v>79.040000000000006</v>
      </c>
      <c r="L152" s="360">
        <v>22062</v>
      </c>
      <c r="M152" s="360">
        <v>0</v>
      </c>
      <c r="N152" s="360">
        <v>0</v>
      </c>
      <c r="O152" s="360">
        <v>61.74</v>
      </c>
      <c r="P152" s="360">
        <v>60</v>
      </c>
      <c r="Q152" s="360">
        <v>67.8</v>
      </c>
      <c r="R152" s="360">
        <v>6274</v>
      </c>
      <c r="S152" s="360">
        <v>80.7</v>
      </c>
      <c r="T152" s="360">
        <v>6403</v>
      </c>
      <c r="U152" s="360">
        <v>85.31</v>
      </c>
      <c r="V152" s="360">
        <v>8862</v>
      </c>
      <c r="W152" s="360">
        <v>90.61</v>
      </c>
      <c r="X152" s="360">
        <v>446</v>
      </c>
      <c r="Y152" s="360">
        <v>97.37</v>
      </c>
      <c r="Z152" s="360">
        <v>15</v>
      </c>
      <c r="AA152" s="360">
        <v>97.81</v>
      </c>
      <c r="AB152" s="360">
        <v>2</v>
      </c>
      <c r="AC152" s="360">
        <v>70.39</v>
      </c>
      <c r="AD152" s="360">
        <v>1942</v>
      </c>
      <c r="AE152" s="360">
        <v>70.39</v>
      </c>
      <c r="AF152" s="360">
        <v>1942</v>
      </c>
      <c r="AG152" s="360">
        <v>0</v>
      </c>
      <c r="AH152" s="360">
        <v>0</v>
      </c>
      <c r="AI152" s="360">
        <v>0</v>
      </c>
      <c r="AJ152" s="360">
        <v>0</v>
      </c>
      <c r="AK152" s="360">
        <v>70.19</v>
      </c>
      <c r="AL152" s="360">
        <v>1905</v>
      </c>
      <c r="AM152" s="360">
        <v>81.3</v>
      </c>
      <c r="AN152" s="360">
        <v>17</v>
      </c>
      <c r="AO152" s="360">
        <v>80.58</v>
      </c>
      <c r="AP152" s="360">
        <v>18</v>
      </c>
      <c r="AQ152" s="360">
        <v>78.680000000000007</v>
      </c>
      <c r="AR152" s="360">
        <v>2</v>
      </c>
      <c r="AS152" s="360">
        <v>117.09</v>
      </c>
      <c r="AT152" s="360">
        <v>564</v>
      </c>
      <c r="AU152" s="360">
        <v>117.09</v>
      </c>
      <c r="AV152" s="360">
        <v>564</v>
      </c>
      <c r="AW152" s="360">
        <v>0</v>
      </c>
      <c r="AX152" s="360">
        <v>0</v>
      </c>
      <c r="AY152" s="360">
        <v>0</v>
      </c>
      <c r="AZ152" s="360">
        <v>0</v>
      </c>
      <c r="BA152" s="360">
        <v>109.25</v>
      </c>
      <c r="BB152" s="360">
        <v>133</v>
      </c>
      <c r="BC152" s="360">
        <v>116.26</v>
      </c>
      <c r="BD152" s="360">
        <v>297</v>
      </c>
      <c r="BE152" s="360">
        <v>119.53</v>
      </c>
      <c r="BF152" s="360">
        <v>124</v>
      </c>
      <c r="BG152" s="360">
        <v>147.29</v>
      </c>
      <c r="BH152" s="360">
        <v>9</v>
      </c>
      <c r="BI152" s="360">
        <v>0</v>
      </c>
      <c r="BJ152" s="360">
        <v>0</v>
      </c>
      <c r="BK152" s="360">
        <v>833.24</v>
      </c>
      <c r="BL152" s="360">
        <v>1</v>
      </c>
      <c r="BM152" s="360">
        <v>132.03</v>
      </c>
      <c r="BN152" s="360">
        <v>209</v>
      </c>
      <c r="BO152" s="360">
        <v>132.03</v>
      </c>
      <c r="BP152" s="360">
        <v>209</v>
      </c>
      <c r="BQ152" s="360">
        <v>0</v>
      </c>
      <c r="BR152" s="360">
        <v>0</v>
      </c>
      <c r="BS152" s="360">
        <v>0</v>
      </c>
      <c r="BT152" s="360">
        <v>0</v>
      </c>
      <c r="BU152" s="360">
        <v>132.99</v>
      </c>
      <c r="BV152" s="360">
        <v>182</v>
      </c>
      <c r="BW152" s="360">
        <v>125.58</v>
      </c>
      <c r="BX152" s="360">
        <v>27</v>
      </c>
      <c r="BY152" s="360">
        <v>0</v>
      </c>
      <c r="BZ152" s="360">
        <v>0</v>
      </c>
      <c r="CA152" s="360">
        <v>0</v>
      </c>
      <c r="CB152" s="360">
        <v>0</v>
      </c>
      <c r="CC152" s="360">
        <v>0</v>
      </c>
      <c r="CD152" s="360" t="s">
        <v>440</v>
      </c>
    </row>
    <row r="153" spans="1:82" x14ac:dyDescent="0.35">
      <c r="A153" s="360" t="s">
        <v>441</v>
      </c>
      <c r="B153" s="360" t="s">
        <v>442</v>
      </c>
      <c r="C153" s="360" t="s">
        <v>73</v>
      </c>
      <c r="D153" s="360" t="s">
        <v>77</v>
      </c>
      <c r="E153" s="360">
        <v>5630</v>
      </c>
      <c r="F153" s="360">
        <v>5630</v>
      </c>
      <c r="G153" s="360">
        <v>0</v>
      </c>
      <c r="H153" s="360">
        <v>0</v>
      </c>
      <c r="I153" s="360">
        <v>82.92</v>
      </c>
      <c r="J153" s="360">
        <v>5551</v>
      </c>
      <c r="K153" s="360">
        <v>82.92</v>
      </c>
      <c r="L153" s="360">
        <v>5551</v>
      </c>
      <c r="M153" s="360">
        <v>0</v>
      </c>
      <c r="N153" s="360">
        <v>0</v>
      </c>
      <c r="O153" s="360">
        <v>65.459999999999994</v>
      </c>
      <c r="P153" s="360">
        <v>336</v>
      </c>
      <c r="Q153" s="360">
        <v>74.930000000000007</v>
      </c>
      <c r="R153" s="360">
        <v>1665</v>
      </c>
      <c r="S153" s="360">
        <v>83.22</v>
      </c>
      <c r="T153" s="360">
        <v>1633</v>
      </c>
      <c r="U153" s="360">
        <v>92.27</v>
      </c>
      <c r="V153" s="360">
        <v>1820</v>
      </c>
      <c r="W153" s="360">
        <v>99.86</v>
      </c>
      <c r="X153" s="360">
        <v>90</v>
      </c>
      <c r="Y153" s="360">
        <v>103.1</v>
      </c>
      <c r="Z153" s="360">
        <v>7</v>
      </c>
      <c r="AA153" s="360">
        <v>0</v>
      </c>
      <c r="AB153" s="360">
        <v>0</v>
      </c>
      <c r="AC153" s="360">
        <v>0</v>
      </c>
      <c r="AD153" s="360">
        <v>0</v>
      </c>
      <c r="AE153" s="360">
        <v>0</v>
      </c>
      <c r="AF153" s="360">
        <v>0</v>
      </c>
      <c r="AG153" s="360">
        <v>0</v>
      </c>
      <c r="AH153" s="360">
        <v>0</v>
      </c>
      <c r="AI153" s="360">
        <v>0</v>
      </c>
      <c r="AJ153" s="360">
        <v>0</v>
      </c>
      <c r="AK153" s="360">
        <v>0</v>
      </c>
      <c r="AL153" s="360">
        <v>0</v>
      </c>
      <c r="AM153" s="360">
        <v>0</v>
      </c>
      <c r="AN153" s="360">
        <v>0</v>
      </c>
      <c r="AO153" s="360">
        <v>0</v>
      </c>
      <c r="AP153" s="360">
        <v>0</v>
      </c>
      <c r="AQ153" s="360">
        <v>0</v>
      </c>
      <c r="AR153" s="360">
        <v>0</v>
      </c>
      <c r="AS153" s="360">
        <v>106.31</v>
      </c>
      <c r="AT153" s="360">
        <v>79</v>
      </c>
      <c r="AU153" s="360">
        <v>106.31</v>
      </c>
      <c r="AV153" s="360">
        <v>79</v>
      </c>
      <c r="AW153" s="360">
        <v>0</v>
      </c>
      <c r="AX153" s="360">
        <v>0</v>
      </c>
      <c r="AY153" s="360">
        <v>0</v>
      </c>
      <c r="AZ153" s="360">
        <v>0</v>
      </c>
      <c r="BA153" s="360">
        <v>94.48</v>
      </c>
      <c r="BB153" s="360">
        <v>24</v>
      </c>
      <c r="BC153" s="360">
        <v>105.03</v>
      </c>
      <c r="BD153" s="360">
        <v>40</v>
      </c>
      <c r="BE153" s="360">
        <v>127.76</v>
      </c>
      <c r="BF153" s="360">
        <v>13</v>
      </c>
      <c r="BG153" s="360">
        <v>134.72</v>
      </c>
      <c r="BH153" s="360">
        <v>2</v>
      </c>
      <c r="BI153" s="360">
        <v>0</v>
      </c>
      <c r="BJ153" s="360">
        <v>0</v>
      </c>
      <c r="BK153" s="360">
        <v>0</v>
      </c>
      <c r="BL153" s="360">
        <v>0</v>
      </c>
      <c r="BM153" s="360">
        <v>0</v>
      </c>
      <c r="BN153" s="360">
        <v>0</v>
      </c>
      <c r="BO153" s="360">
        <v>0</v>
      </c>
      <c r="BP153" s="360">
        <v>0</v>
      </c>
      <c r="BQ153" s="360">
        <v>0</v>
      </c>
      <c r="BR153" s="360">
        <v>0</v>
      </c>
      <c r="BS153" s="360">
        <v>0</v>
      </c>
      <c r="BT153" s="360">
        <v>0</v>
      </c>
      <c r="BU153" s="360">
        <v>0</v>
      </c>
      <c r="BV153" s="360">
        <v>0</v>
      </c>
      <c r="BW153" s="360">
        <v>0</v>
      </c>
      <c r="BX153" s="360">
        <v>0</v>
      </c>
      <c r="BY153" s="360">
        <v>0</v>
      </c>
      <c r="BZ153" s="360">
        <v>0</v>
      </c>
      <c r="CA153" s="360">
        <v>0</v>
      </c>
      <c r="CB153" s="360">
        <v>0</v>
      </c>
      <c r="CC153" s="360">
        <v>0</v>
      </c>
      <c r="CD153" s="360" t="s">
        <v>443</v>
      </c>
    </row>
    <row r="154" spans="1:82" x14ac:dyDescent="0.35">
      <c r="A154" s="360" t="s">
        <v>444</v>
      </c>
      <c r="B154" s="360" t="s">
        <v>445</v>
      </c>
      <c r="C154" s="360" t="s">
        <v>66</v>
      </c>
      <c r="D154" s="360" t="s">
        <v>77</v>
      </c>
      <c r="E154" s="360">
        <v>1183</v>
      </c>
      <c r="F154" s="360">
        <v>870</v>
      </c>
      <c r="G154" s="360">
        <v>0</v>
      </c>
      <c r="H154" s="360">
        <v>313</v>
      </c>
      <c r="I154" s="360">
        <v>83.89</v>
      </c>
      <c r="J154" s="360">
        <v>870</v>
      </c>
      <c r="K154" s="360">
        <v>83.89</v>
      </c>
      <c r="L154" s="360">
        <v>870</v>
      </c>
      <c r="M154" s="360">
        <v>0</v>
      </c>
      <c r="N154" s="360">
        <v>0</v>
      </c>
      <c r="O154" s="360">
        <v>61.21</v>
      </c>
      <c r="P154" s="360">
        <v>24</v>
      </c>
      <c r="Q154" s="360">
        <v>69.900000000000006</v>
      </c>
      <c r="R154" s="360">
        <v>112</v>
      </c>
      <c r="S154" s="360">
        <v>80.67</v>
      </c>
      <c r="T154" s="360">
        <v>258</v>
      </c>
      <c r="U154" s="360">
        <v>89.72</v>
      </c>
      <c r="V154" s="360">
        <v>461</v>
      </c>
      <c r="W154" s="360">
        <v>100.94</v>
      </c>
      <c r="X154" s="360">
        <v>15</v>
      </c>
      <c r="Y154" s="360">
        <v>0</v>
      </c>
      <c r="Z154" s="360">
        <v>0</v>
      </c>
      <c r="AA154" s="360">
        <v>0</v>
      </c>
      <c r="AB154" s="360">
        <v>0</v>
      </c>
      <c r="AC154" s="360">
        <v>76.89</v>
      </c>
      <c r="AD154" s="360">
        <v>313</v>
      </c>
      <c r="AE154" s="360">
        <v>76.89</v>
      </c>
      <c r="AF154" s="360">
        <v>313</v>
      </c>
      <c r="AG154" s="360">
        <v>0</v>
      </c>
      <c r="AH154" s="360">
        <v>0</v>
      </c>
      <c r="AI154" s="360">
        <v>63.73</v>
      </c>
      <c r="AJ154" s="360">
        <v>20</v>
      </c>
      <c r="AK154" s="360">
        <v>75.540000000000006</v>
      </c>
      <c r="AL154" s="360">
        <v>199</v>
      </c>
      <c r="AM154" s="360">
        <v>82.56</v>
      </c>
      <c r="AN154" s="360">
        <v>94</v>
      </c>
      <c r="AO154" s="360">
        <v>0</v>
      </c>
      <c r="AP154" s="360">
        <v>0</v>
      </c>
      <c r="AQ154" s="360">
        <v>0</v>
      </c>
      <c r="AR154" s="360">
        <v>0</v>
      </c>
      <c r="AS154" s="360">
        <v>0</v>
      </c>
      <c r="AT154" s="360">
        <v>0</v>
      </c>
      <c r="AU154" s="360">
        <v>0</v>
      </c>
      <c r="AV154" s="360">
        <v>0</v>
      </c>
      <c r="AW154" s="360">
        <v>0</v>
      </c>
      <c r="AX154" s="360">
        <v>0</v>
      </c>
      <c r="AY154" s="360">
        <v>0</v>
      </c>
      <c r="AZ154" s="360">
        <v>0</v>
      </c>
      <c r="BA154" s="360">
        <v>0</v>
      </c>
      <c r="BB154" s="360">
        <v>0</v>
      </c>
      <c r="BC154" s="360">
        <v>0</v>
      </c>
      <c r="BD154" s="360">
        <v>0</v>
      </c>
      <c r="BE154" s="360">
        <v>0</v>
      </c>
      <c r="BF154" s="360">
        <v>0</v>
      </c>
      <c r="BG154" s="360">
        <v>0</v>
      </c>
      <c r="BH154" s="360">
        <v>0</v>
      </c>
      <c r="BI154" s="360">
        <v>0</v>
      </c>
      <c r="BJ154" s="360">
        <v>0</v>
      </c>
      <c r="BK154" s="360">
        <v>0</v>
      </c>
      <c r="BL154" s="360">
        <v>0</v>
      </c>
      <c r="BM154" s="360">
        <v>0</v>
      </c>
      <c r="BN154" s="360">
        <v>0</v>
      </c>
      <c r="BO154" s="360">
        <v>0</v>
      </c>
      <c r="BP154" s="360">
        <v>0</v>
      </c>
      <c r="BQ154" s="360">
        <v>0</v>
      </c>
      <c r="BR154" s="360">
        <v>0</v>
      </c>
      <c r="BS154" s="360">
        <v>0</v>
      </c>
      <c r="BT154" s="360">
        <v>0</v>
      </c>
      <c r="BU154" s="360">
        <v>0</v>
      </c>
      <c r="BV154" s="360">
        <v>0</v>
      </c>
      <c r="BW154" s="360">
        <v>0</v>
      </c>
      <c r="BX154" s="360">
        <v>0</v>
      </c>
      <c r="BY154" s="360">
        <v>0</v>
      </c>
      <c r="BZ154" s="360">
        <v>0</v>
      </c>
      <c r="CA154" s="360">
        <v>0</v>
      </c>
      <c r="CB154" s="360">
        <v>0</v>
      </c>
      <c r="CC154" s="360">
        <v>0</v>
      </c>
      <c r="CD154" s="360" t="s">
        <v>446</v>
      </c>
    </row>
    <row r="155" spans="1:82" x14ac:dyDescent="0.35">
      <c r="A155" s="360" t="s">
        <v>447</v>
      </c>
      <c r="B155" s="360" t="s">
        <v>448</v>
      </c>
      <c r="C155" s="360" t="s">
        <v>70</v>
      </c>
      <c r="D155" s="360" t="s">
        <v>77</v>
      </c>
      <c r="E155" s="360">
        <v>2092</v>
      </c>
      <c r="F155" s="360">
        <v>640</v>
      </c>
      <c r="G155" s="360">
        <v>0</v>
      </c>
      <c r="H155" s="360">
        <v>1452</v>
      </c>
      <c r="I155" s="360">
        <v>94.41</v>
      </c>
      <c r="J155" s="360">
        <v>640</v>
      </c>
      <c r="K155" s="360">
        <v>94.41</v>
      </c>
      <c r="L155" s="360">
        <v>640</v>
      </c>
      <c r="M155" s="360">
        <v>0</v>
      </c>
      <c r="N155" s="360">
        <v>0</v>
      </c>
      <c r="O155" s="360">
        <v>0</v>
      </c>
      <c r="P155" s="360">
        <v>0</v>
      </c>
      <c r="Q155" s="360">
        <v>76.099999999999994</v>
      </c>
      <c r="R155" s="360">
        <v>155</v>
      </c>
      <c r="S155" s="360">
        <v>85.94</v>
      </c>
      <c r="T155" s="360">
        <v>113</v>
      </c>
      <c r="U155" s="360">
        <v>99.6</v>
      </c>
      <c r="V155" s="360">
        <v>223</v>
      </c>
      <c r="W155" s="360">
        <v>102.96</v>
      </c>
      <c r="X155" s="360">
        <v>104</v>
      </c>
      <c r="Y155" s="360">
        <v>133.29</v>
      </c>
      <c r="Z155" s="360">
        <v>45</v>
      </c>
      <c r="AA155" s="360">
        <v>0</v>
      </c>
      <c r="AB155" s="360">
        <v>0</v>
      </c>
      <c r="AC155" s="360">
        <v>84.71</v>
      </c>
      <c r="AD155" s="360">
        <v>1452</v>
      </c>
      <c r="AE155" s="360">
        <v>84.71</v>
      </c>
      <c r="AF155" s="360">
        <v>1452</v>
      </c>
      <c r="AG155" s="360">
        <v>0</v>
      </c>
      <c r="AH155" s="360">
        <v>0</v>
      </c>
      <c r="AI155" s="360">
        <v>0</v>
      </c>
      <c r="AJ155" s="360">
        <v>0</v>
      </c>
      <c r="AK155" s="360">
        <v>83.45</v>
      </c>
      <c r="AL155" s="360">
        <v>1174</v>
      </c>
      <c r="AM155" s="360">
        <v>89.98</v>
      </c>
      <c r="AN155" s="360">
        <v>277</v>
      </c>
      <c r="AO155" s="360">
        <v>95.84</v>
      </c>
      <c r="AP155" s="360">
        <v>1</v>
      </c>
      <c r="AQ155" s="360">
        <v>0</v>
      </c>
      <c r="AR155" s="360">
        <v>0</v>
      </c>
      <c r="AS155" s="360">
        <v>0</v>
      </c>
      <c r="AT155" s="360">
        <v>0</v>
      </c>
      <c r="AU155" s="360">
        <v>0</v>
      </c>
      <c r="AV155" s="360">
        <v>0</v>
      </c>
      <c r="AW155" s="360">
        <v>0</v>
      </c>
      <c r="AX155" s="360">
        <v>0</v>
      </c>
      <c r="AY155" s="360">
        <v>0</v>
      </c>
      <c r="AZ155" s="360">
        <v>0</v>
      </c>
      <c r="BA155" s="360">
        <v>0</v>
      </c>
      <c r="BB155" s="360">
        <v>0</v>
      </c>
      <c r="BC155" s="360">
        <v>0</v>
      </c>
      <c r="BD155" s="360">
        <v>0</v>
      </c>
      <c r="BE155" s="360">
        <v>0</v>
      </c>
      <c r="BF155" s="360">
        <v>0</v>
      </c>
      <c r="BG155" s="360">
        <v>0</v>
      </c>
      <c r="BH155" s="360">
        <v>0</v>
      </c>
      <c r="BI155" s="360">
        <v>0</v>
      </c>
      <c r="BJ155" s="360">
        <v>0</v>
      </c>
      <c r="BK155" s="360">
        <v>0</v>
      </c>
      <c r="BL155" s="360">
        <v>0</v>
      </c>
      <c r="BM155" s="360">
        <v>0</v>
      </c>
      <c r="BN155" s="360">
        <v>0</v>
      </c>
      <c r="BO155" s="360">
        <v>0</v>
      </c>
      <c r="BP155" s="360">
        <v>0</v>
      </c>
      <c r="BQ155" s="360">
        <v>0</v>
      </c>
      <c r="BR155" s="360">
        <v>0</v>
      </c>
      <c r="BS155" s="360">
        <v>0</v>
      </c>
      <c r="BT155" s="360">
        <v>0</v>
      </c>
      <c r="BU155" s="360">
        <v>0</v>
      </c>
      <c r="BV155" s="360">
        <v>0</v>
      </c>
      <c r="BW155" s="360">
        <v>0</v>
      </c>
      <c r="BX155" s="360">
        <v>0</v>
      </c>
      <c r="BY155" s="360">
        <v>0</v>
      </c>
      <c r="BZ155" s="360">
        <v>0</v>
      </c>
      <c r="CA155" s="360">
        <v>0</v>
      </c>
      <c r="CB155" s="360">
        <v>0</v>
      </c>
      <c r="CC155" s="360">
        <v>0</v>
      </c>
      <c r="CD155" s="360" t="s">
        <v>449</v>
      </c>
    </row>
    <row r="156" spans="1:82" x14ac:dyDescent="0.35">
      <c r="A156" s="360" t="s">
        <v>450</v>
      </c>
      <c r="B156" s="360" t="s">
        <v>451</v>
      </c>
      <c r="C156" s="360" t="s">
        <v>71</v>
      </c>
      <c r="D156" s="360" t="s">
        <v>77</v>
      </c>
      <c r="E156" s="360">
        <v>7818</v>
      </c>
      <c r="F156" s="360">
        <v>7760</v>
      </c>
      <c r="G156" s="360">
        <v>0</v>
      </c>
      <c r="H156" s="360">
        <v>0</v>
      </c>
      <c r="I156" s="360">
        <v>111.83</v>
      </c>
      <c r="J156" s="360">
        <v>7703</v>
      </c>
      <c r="K156" s="360">
        <v>111.83</v>
      </c>
      <c r="L156" s="360">
        <v>7703</v>
      </c>
      <c r="M156" s="360">
        <v>0</v>
      </c>
      <c r="N156" s="360">
        <v>0</v>
      </c>
      <c r="O156" s="360">
        <v>71.55</v>
      </c>
      <c r="P156" s="360">
        <v>162</v>
      </c>
      <c r="Q156" s="360">
        <v>95.83</v>
      </c>
      <c r="R156" s="360">
        <v>1757</v>
      </c>
      <c r="S156" s="360">
        <v>109.39</v>
      </c>
      <c r="T156" s="360">
        <v>2570</v>
      </c>
      <c r="U156" s="360">
        <v>123.56</v>
      </c>
      <c r="V156" s="360">
        <v>2922</v>
      </c>
      <c r="W156" s="360">
        <v>133.44</v>
      </c>
      <c r="X156" s="360">
        <v>257</v>
      </c>
      <c r="Y156" s="360">
        <v>141.69999999999999</v>
      </c>
      <c r="Z156" s="360">
        <v>29</v>
      </c>
      <c r="AA156" s="360">
        <v>158.38999999999999</v>
      </c>
      <c r="AB156" s="360">
        <v>6</v>
      </c>
      <c r="AC156" s="360">
        <v>0</v>
      </c>
      <c r="AD156" s="360">
        <v>0</v>
      </c>
      <c r="AE156" s="360">
        <v>0</v>
      </c>
      <c r="AF156" s="360">
        <v>0</v>
      </c>
      <c r="AG156" s="360">
        <v>0</v>
      </c>
      <c r="AH156" s="360">
        <v>0</v>
      </c>
      <c r="AI156" s="360">
        <v>0</v>
      </c>
      <c r="AJ156" s="360">
        <v>0</v>
      </c>
      <c r="AK156" s="360">
        <v>0</v>
      </c>
      <c r="AL156" s="360">
        <v>0</v>
      </c>
      <c r="AM156" s="360">
        <v>0</v>
      </c>
      <c r="AN156" s="360">
        <v>0</v>
      </c>
      <c r="AO156" s="360">
        <v>0</v>
      </c>
      <c r="AP156" s="360">
        <v>0</v>
      </c>
      <c r="AQ156" s="360">
        <v>0</v>
      </c>
      <c r="AR156" s="360">
        <v>0</v>
      </c>
      <c r="AS156" s="360">
        <v>196.97</v>
      </c>
      <c r="AT156" s="360">
        <v>57</v>
      </c>
      <c r="AU156" s="360">
        <v>196.97</v>
      </c>
      <c r="AV156" s="360">
        <v>57</v>
      </c>
      <c r="AW156" s="360">
        <v>0</v>
      </c>
      <c r="AX156" s="360">
        <v>0</v>
      </c>
      <c r="AY156" s="360">
        <v>0</v>
      </c>
      <c r="AZ156" s="360">
        <v>0</v>
      </c>
      <c r="BA156" s="360">
        <v>158.28</v>
      </c>
      <c r="BB156" s="360">
        <v>9</v>
      </c>
      <c r="BC156" s="360">
        <v>186.74</v>
      </c>
      <c r="BD156" s="360">
        <v>24</v>
      </c>
      <c r="BE156" s="360">
        <v>221.71</v>
      </c>
      <c r="BF156" s="360">
        <v>24</v>
      </c>
      <c r="BG156" s="360">
        <v>0</v>
      </c>
      <c r="BH156" s="360">
        <v>0</v>
      </c>
      <c r="BI156" s="360">
        <v>0</v>
      </c>
      <c r="BJ156" s="360">
        <v>0</v>
      </c>
      <c r="BK156" s="360">
        <v>0</v>
      </c>
      <c r="BL156" s="360">
        <v>0</v>
      </c>
      <c r="BM156" s="360">
        <v>0</v>
      </c>
      <c r="BN156" s="360">
        <v>0</v>
      </c>
      <c r="BO156" s="360">
        <v>0</v>
      </c>
      <c r="BP156" s="360">
        <v>0</v>
      </c>
      <c r="BQ156" s="360">
        <v>0</v>
      </c>
      <c r="BR156" s="360">
        <v>0</v>
      </c>
      <c r="BS156" s="360">
        <v>0</v>
      </c>
      <c r="BT156" s="360">
        <v>0</v>
      </c>
      <c r="BU156" s="360">
        <v>0</v>
      </c>
      <c r="BV156" s="360">
        <v>0</v>
      </c>
      <c r="BW156" s="360">
        <v>0</v>
      </c>
      <c r="BX156" s="360">
        <v>0</v>
      </c>
      <c r="BY156" s="360">
        <v>0</v>
      </c>
      <c r="BZ156" s="360">
        <v>0</v>
      </c>
      <c r="CA156" s="360">
        <v>0</v>
      </c>
      <c r="CB156" s="360">
        <v>0</v>
      </c>
      <c r="CC156" s="360">
        <v>58</v>
      </c>
      <c r="CD156" s="360" t="s">
        <v>452</v>
      </c>
    </row>
    <row r="157" spans="1:82" x14ac:dyDescent="0.35">
      <c r="A157" s="360" t="s">
        <v>808</v>
      </c>
      <c r="B157" s="360" t="s">
        <v>809</v>
      </c>
      <c r="C157" s="360" t="s">
        <v>67</v>
      </c>
      <c r="D157" s="360" t="s">
        <v>77</v>
      </c>
      <c r="E157" s="360">
        <v>22</v>
      </c>
      <c r="F157" s="360">
        <v>0</v>
      </c>
      <c r="G157" s="360">
        <v>0</v>
      </c>
      <c r="H157" s="360">
        <v>22</v>
      </c>
      <c r="I157" s="360">
        <v>0</v>
      </c>
      <c r="J157" s="360">
        <v>0</v>
      </c>
      <c r="K157" s="360">
        <v>0</v>
      </c>
      <c r="L157" s="360">
        <v>0</v>
      </c>
      <c r="M157" s="360">
        <v>0</v>
      </c>
      <c r="N157" s="360">
        <v>0</v>
      </c>
      <c r="O157" s="360">
        <v>0</v>
      </c>
      <c r="P157" s="360">
        <v>0</v>
      </c>
      <c r="Q157" s="360">
        <v>0</v>
      </c>
      <c r="R157" s="360">
        <v>0</v>
      </c>
      <c r="S157" s="360">
        <v>0</v>
      </c>
      <c r="T157" s="360">
        <v>0</v>
      </c>
      <c r="U157" s="360">
        <v>0</v>
      </c>
      <c r="V157" s="360">
        <v>0</v>
      </c>
      <c r="W157" s="360">
        <v>0</v>
      </c>
      <c r="X157" s="360">
        <v>0</v>
      </c>
      <c r="Y157" s="360">
        <v>0</v>
      </c>
      <c r="Z157" s="360">
        <v>0</v>
      </c>
      <c r="AA157" s="360">
        <v>0</v>
      </c>
      <c r="AB157" s="360">
        <v>0</v>
      </c>
      <c r="AC157" s="360">
        <v>0</v>
      </c>
      <c r="AD157" s="360">
        <v>0</v>
      </c>
      <c r="AE157" s="360">
        <v>0</v>
      </c>
      <c r="AF157" s="360">
        <v>0</v>
      </c>
      <c r="AG157" s="360">
        <v>0</v>
      </c>
      <c r="AH157" s="360">
        <v>0</v>
      </c>
      <c r="AI157" s="360">
        <v>0</v>
      </c>
      <c r="AJ157" s="360">
        <v>0</v>
      </c>
      <c r="AK157" s="360">
        <v>0</v>
      </c>
      <c r="AL157" s="360">
        <v>0</v>
      </c>
      <c r="AM157" s="360">
        <v>0</v>
      </c>
      <c r="AN157" s="360">
        <v>0</v>
      </c>
      <c r="AO157" s="360">
        <v>0</v>
      </c>
      <c r="AP157" s="360">
        <v>0</v>
      </c>
      <c r="AQ157" s="360">
        <v>0</v>
      </c>
      <c r="AR157" s="360">
        <v>0</v>
      </c>
      <c r="AS157" s="360">
        <v>0</v>
      </c>
      <c r="AT157" s="360">
        <v>0</v>
      </c>
      <c r="AU157" s="360">
        <v>0</v>
      </c>
      <c r="AV157" s="360">
        <v>0</v>
      </c>
      <c r="AW157" s="360">
        <v>0</v>
      </c>
      <c r="AX157" s="360">
        <v>0</v>
      </c>
      <c r="AY157" s="360">
        <v>0</v>
      </c>
      <c r="AZ157" s="360">
        <v>0</v>
      </c>
      <c r="BA157" s="360">
        <v>0</v>
      </c>
      <c r="BB157" s="360">
        <v>0</v>
      </c>
      <c r="BC157" s="360">
        <v>0</v>
      </c>
      <c r="BD157" s="360">
        <v>0</v>
      </c>
      <c r="BE157" s="360">
        <v>0</v>
      </c>
      <c r="BF157" s="360">
        <v>0</v>
      </c>
      <c r="BG157" s="360">
        <v>0</v>
      </c>
      <c r="BH157" s="360">
        <v>0</v>
      </c>
      <c r="BI157" s="360">
        <v>0</v>
      </c>
      <c r="BJ157" s="360">
        <v>0</v>
      </c>
      <c r="BK157" s="360">
        <v>0</v>
      </c>
      <c r="BL157" s="360">
        <v>0</v>
      </c>
      <c r="BM157" s="360">
        <v>110.47</v>
      </c>
      <c r="BN157" s="360">
        <v>22</v>
      </c>
      <c r="BO157" s="360">
        <v>110.47</v>
      </c>
      <c r="BP157" s="360">
        <v>22</v>
      </c>
      <c r="BQ157" s="360">
        <v>0</v>
      </c>
      <c r="BR157" s="360">
        <v>0</v>
      </c>
      <c r="BS157" s="360">
        <v>110.47</v>
      </c>
      <c r="BT157" s="360">
        <v>9</v>
      </c>
      <c r="BU157" s="360">
        <v>110.47</v>
      </c>
      <c r="BV157" s="360">
        <v>10</v>
      </c>
      <c r="BW157" s="360">
        <v>110.47</v>
      </c>
      <c r="BX157" s="360">
        <v>3</v>
      </c>
      <c r="BY157" s="360">
        <v>0</v>
      </c>
      <c r="BZ157" s="360">
        <v>0</v>
      </c>
      <c r="CA157" s="360">
        <v>0</v>
      </c>
      <c r="CB157" s="360">
        <v>0</v>
      </c>
      <c r="CC157" s="360">
        <v>0</v>
      </c>
      <c r="CD157" s="360" t="s">
        <v>810</v>
      </c>
    </row>
    <row r="158" spans="1:82" x14ac:dyDescent="0.35">
      <c r="A158" s="360" t="s">
        <v>453</v>
      </c>
      <c r="B158" s="360" t="s">
        <v>454</v>
      </c>
      <c r="C158" s="360" t="s">
        <v>71</v>
      </c>
      <c r="D158" s="360" t="s">
        <v>77</v>
      </c>
      <c r="E158" s="360">
        <v>15047</v>
      </c>
      <c r="F158" s="360">
        <v>13395</v>
      </c>
      <c r="G158" s="360">
        <v>0</v>
      </c>
      <c r="H158" s="360">
        <v>1652</v>
      </c>
      <c r="I158" s="360">
        <v>91.4</v>
      </c>
      <c r="J158" s="360">
        <v>12746</v>
      </c>
      <c r="K158" s="360">
        <v>91.4</v>
      </c>
      <c r="L158" s="360">
        <v>12746</v>
      </c>
      <c r="M158" s="360">
        <v>0</v>
      </c>
      <c r="N158" s="360">
        <v>0</v>
      </c>
      <c r="O158" s="360">
        <v>70.2</v>
      </c>
      <c r="P158" s="360">
        <v>253</v>
      </c>
      <c r="Q158" s="360">
        <v>79.75</v>
      </c>
      <c r="R158" s="360">
        <v>3066</v>
      </c>
      <c r="S158" s="360">
        <v>89.93</v>
      </c>
      <c r="T158" s="360">
        <v>4762</v>
      </c>
      <c r="U158" s="360">
        <v>100.66</v>
      </c>
      <c r="V158" s="360">
        <v>4271</v>
      </c>
      <c r="W158" s="360">
        <v>112.55</v>
      </c>
      <c r="X158" s="360">
        <v>359</v>
      </c>
      <c r="Y158" s="360">
        <v>119.35</v>
      </c>
      <c r="Z158" s="360">
        <v>33</v>
      </c>
      <c r="AA158" s="360">
        <v>155.47999999999999</v>
      </c>
      <c r="AB158" s="360">
        <v>2</v>
      </c>
      <c r="AC158" s="360">
        <v>83.1</v>
      </c>
      <c r="AD158" s="360">
        <v>1407</v>
      </c>
      <c r="AE158" s="360">
        <v>82.76</v>
      </c>
      <c r="AF158" s="360">
        <v>1378</v>
      </c>
      <c r="AG158" s="360">
        <v>99.36</v>
      </c>
      <c r="AH158" s="360">
        <v>29</v>
      </c>
      <c r="AI158" s="360">
        <v>73.25</v>
      </c>
      <c r="AJ158" s="360">
        <v>133</v>
      </c>
      <c r="AK158" s="360">
        <v>81.319999999999993</v>
      </c>
      <c r="AL158" s="360">
        <v>1048</v>
      </c>
      <c r="AM158" s="360">
        <v>91.51</v>
      </c>
      <c r="AN158" s="360">
        <v>173</v>
      </c>
      <c r="AO158" s="360">
        <v>135.04</v>
      </c>
      <c r="AP158" s="360">
        <v>24</v>
      </c>
      <c r="AQ158" s="360">
        <v>0</v>
      </c>
      <c r="AR158" s="360">
        <v>0</v>
      </c>
      <c r="AS158" s="360">
        <v>170.35</v>
      </c>
      <c r="AT158" s="360">
        <v>649</v>
      </c>
      <c r="AU158" s="360">
        <v>170.35</v>
      </c>
      <c r="AV158" s="360">
        <v>649</v>
      </c>
      <c r="AW158" s="360">
        <v>0</v>
      </c>
      <c r="AX158" s="360">
        <v>0</v>
      </c>
      <c r="AY158" s="360">
        <v>133.69999999999999</v>
      </c>
      <c r="AZ158" s="360">
        <v>5</v>
      </c>
      <c r="BA158" s="360">
        <v>131.6</v>
      </c>
      <c r="BB158" s="360">
        <v>143</v>
      </c>
      <c r="BC158" s="360">
        <v>161.94</v>
      </c>
      <c r="BD158" s="360">
        <v>259</v>
      </c>
      <c r="BE158" s="360">
        <v>195.79</v>
      </c>
      <c r="BF158" s="360">
        <v>216</v>
      </c>
      <c r="BG158" s="360">
        <v>263.08999999999997</v>
      </c>
      <c r="BH158" s="360">
        <v>23</v>
      </c>
      <c r="BI158" s="360">
        <v>267.51</v>
      </c>
      <c r="BJ158" s="360">
        <v>2</v>
      </c>
      <c r="BK158" s="360">
        <v>256.38</v>
      </c>
      <c r="BL158" s="360">
        <v>1</v>
      </c>
      <c r="BM158" s="360">
        <v>124.04</v>
      </c>
      <c r="BN158" s="360">
        <v>245</v>
      </c>
      <c r="BO158" s="360">
        <v>149.56</v>
      </c>
      <c r="BP158" s="360">
        <v>52</v>
      </c>
      <c r="BQ158" s="360">
        <v>117.17</v>
      </c>
      <c r="BR158" s="360">
        <v>193</v>
      </c>
      <c r="BS158" s="360">
        <v>119.97</v>
      </c>
      <c r="BT158" s="360">
        <v>1</v>
      </c>
      <c r="BU158" s="360">
        <v>141.65</v>
      </c>
      <c r="BV158" s="360">
        <v>36</v>
      </c>
      <c r="BW158" s="360">
        <v>170.52</v>
      </c>
      <c r="BX158" s="360">
        <v>15</v>
      </c>
      <c r="BY158" s="360">
        <v>0</v>
      </c>
      <c r="BZ158" s="360">
        <v>0</v>
      </c>
      <c r="CA158" s="360">
        <v>0</v>
      </c>
      <c r="CB158" s="360">
        <v>0</v>
      </c>
      <c r="CC158" s="360">
        <v>0</v>
      </c>
      <c r="CD158" s="360" t="s">
        <v>455</v>
      </c>
    </row>
    <row r="159" spans="1:82" x14ac:dyDescent="0.35">
      <c r="A159" s="360" t="s">
        <v>456</v>
      </c>
      <c r="B159" s="360" t="s">
        <v>457</v>
      </c>
      <c r="C159" s="360" t="s">
        <v>71</v>
      </c>
      <c r="D159" s="360" t="s">
        <v>77</v>
      </c>
      <c r="E159" s="360">
        <v>6836</v>
      </c>
      <c r="F159" s="360">
        <v>6489</v>
      </c>
      <c r="G159" s="360">
        <v>0</v>
      </c>
      <c r="H159" s="360">
        <v>341</v>
      </c>
      <c r="I159" s="360">
        <v>114.11</v>
      </c>
      <c r="J159" s="360">
        <v>6379</v>
      </c>
      <c r="K159" s="360">
        <v>114.11</v>
      </c>
      <c r="L159" s="360">
        <v>6379</v>
      </c>
      <c r="M159" s="360">
        <v>0</v>
      </c>
      <c r="N159" s="360">
        <v>0</v>
      </c>
      <c r="O159" s="360">
        <v>86.77</v>
      </c>
      <c r="P159" s="360">
        <v>352</v>
      </c>
      <c r="Q159" s="360">
        <v>98.77</v>
      </c>
      <c r="R159" s="360">
        <v>1543</v>
      </c>
      <c r="S159" s="360">
        <v>113.15</v>
      </c>
      <c r="T159" s="360">
        <v>1984</v>
      </c>
      <c r="U159" s="360">
        <v>127.07</v>
      </c>
      <c r="V159" s="360">
        <v>2348</v>
      </c>
      <c r="W159" s="360">
        <v>143.9</v>
      </c>
      <c r="X159" s="360">
        <v>141</v>
      </c>
      <c r="Y159" s="360">
        <v>157.56</v>
      </c>
      <c r="Z159" s="360">
        <v>7</v>
      </c>
      <c r="AA159" s="360">
        <v>187.7</v>
      </c>
      <c r="AB159" s="360">
        <v>4</v>
      </c>
      <c r="AC159" s="360">
        <v>106.55</v>
      </c>
      <c r="AD159" s="360">
        <v>341</v>
      </c>
      <c r="AE159" s="360">
        <v>106.55</v>
      </c>
      <c r="AF159" s="360">
        <v>341</v>
      </c>
      <c r="AG159" s="360">
        <v>0</v>
      </c>
      <c r="AH159" s="360">
        <v>0</v>
      </c>
      <c r="AI159" s="360">
        <v>91.96</v>
      </c>
      <c r="AJ159" s="360">
        <v>80</v>
      </c>
      <c r="AK159" s="360">
        <v>109.04</v>
      </c>
      <c r="AL159" s="360">
        <v>244</v>
      </c>
      <c r="AM159" s="360">
        <v>139.63999999999999</v>
      </c>
      <c r="AN159" s="360">
        <v>17</v>
      </c>
      <c r="AO159" s="360">
        <v>0</v>
      </c>
      <c r="AP159" s="360">
        <v>0</v>
      </c>
      <c r="AQ159" s="360">
        <v>0</v>
      </c>
      <c r="AR159" s="360">
        <v>0</v>
      </c>
      <c r="AS159" s="360">
        <v>133.26</v>
      </c>
      <c r="AT159" s="360">
        <v>110</v>
      </c>
      <c r="AU159" s="360">
        <v>133.26</v>
      </c>
      <c r="AV159" s="360">
        <v>110</v>
      </c>
      <c r="AW159" s="360">
        <v>0</v>
      </c>
      <c r="AX159" s="360">
        <v>0</v>
      </c>
      <c r="AY159" s="360">
        <v>0</v>
      </c>
      <c r="AZ159" s="360">
        <v>0</v>
      </c>
      <c r="BA159" s="360">
        <v>117.34</v>
      </c>
      <c r="BB159" s="360">
        <v>38</v>
      </c>
      <c r="BC159" s="360">
        <v>134.04</v>
      </c>
      <c r="BD159" s="360">
        <v>55</v>
      </c>
      <c r="BE159" s="360">
        <v>152.43</v>
      </c>
      <c r="BF159" s="360">
        <v>8</v>
      </c>
      <c r="BG159" s="360">
        <v>178.78</v>
      </c>
      <c r="BH159" s="360">
        <v>9</v>
      </c>
      <c r="BI159" s="360">
        <v>0</v>
      </c>
      <c r="BJ159" s="360">
        <v>0</v>
      </c>
      <c r="BK159" s="360">
        <v>0</v>
      </c>
      <c r="BL159" s="360">
        <v>0</v>
      </c>
      <c r="BM159" s="360">
        <v>0</v>
      </c>
      <c r="BN159" s="360">
        <v>0</v>
      </c>
      <c r="BO159" s="360">
        <v>0</v>
      </c>
      <c r="BP159" s="360">
        <v>0</v>
      </c>
      <c r="BQ159" s="360">
        <v>0</v>
      </c>
      <c r="BR159" s="360">
        <v>0</v>
      </c>
      <c r="BS159" s="360">
        <v>0</v>
      </c>
      <c r="BT159" s="360">
        <v>0</v>
      </c>
      <c r="BU159" s="360">
        <v>0</v>
      </c>
      <c r="BV159" s="360">
        <v>0</v>
      </c>
      <c r="BW159" s="360">
        <v>0</v>
      </c>
      <c r="BX159" s="360">
        <v>0</v>
      </c>
      <c r="BY159" s="360">
        <v>0</v>
      </c>
      <c r="BZ159" s="360">
        <v>0</v>
      </c>
      <c r="CA159" s="360">
        <v>0</v>
      </c>
      <c r="CB159" s="360">
        <v>0</v>
      </c>
      <c r="CC159" s="360">
        <v>6</v>
      </c>
      <c r="CD159" s="360" t="s">
        <v>458</v>
      </c>
    </row>
    <row r="160" spans="1:82" x14ac:dyDescent="0.35">
      <c r="A160" s="360" t="s">
        <v>459</v>
      </c>
      <c r="B160" s="363" t="s">
        <v>460</v>
      </c>
      <c r="C160" s="363" t="s">
        <v>73</v>
      </c>
      <c r="D160" s="363" t="s">
        <v>77</v>
      </c>
      <c r="E160" s="363">
        <v>5562</v>
      </c>
      <c r="F160" s="360">
        <v>5508</v>
      </c>
      <c r="G160" s="360">
        <v>0</v>
      </c>
      <c r="H160" s="360">
        <v>54</v>
      </c>
      <c r="I160" s="363">
        <v>83.43</v>
      </c>
      <c r="J160" s="363">
        <v>5431</v>
      </c>
      <c r="K160" s="363">
        <v>83.43</v>
      </c>
      <c r="L160" s="363">
        <v>5431</v>
      </c>
      <c r="M160" s="363">
        <v>0</v>
      </c>
      <c r="N160" s="363">
        <v>0</v>
      </c>
      <c r="O160" s="363">
        <v>63.58</v>
      </c>
      <c r="P160" s="363">
        <v>119</v>
      </c>
      <c r="Q160" s="363">
        <v>75.040000000000006</v>
      </c>
      <c r="R160" s="363">
        <v>2004</v>
      </c>
      <c r="S160" s="363">
        <v>83.96</v>
      </c>
      <c r="T160" s="363">
        <v>1373</v>
      </c>
      <c r="U160" s="363">
        <v>92.37</v>
      </c>
      <c r="V160" s="363">
        <v>1780</v>
      </c>
      <c r="W160" s="363">
        <v>98.58</v>
      </c>
      <c r="X160" s="363">
        <v>134</v>
      </c>
      <c r="Y160" s="363">
        <v>105.57</v>
      </c>
      <c r="Z160" s="363">
        <v>18</v>
      </c>
      <c r="AA160" s="363">
        <v>130.49</v>
      </c>
      <c r="AB160" s="363">
        <v>3</v>
      </c>
      <c r="AC160" s="363">
        <v>76.19</v>
      </c>
      <c r="AD160" s="363">
        <v>54</v>
      </c>
      <c r="AE160" s="363">
        <v>76.19</v>
      </c>
      <c r="AF160" s="363">
        <v>54</v>
      </c>
      <c r="AG160" s="363">
        <v>0</v>
      </c>
      <c r="AH160" s="363">
        <v>0</v>
      </c>
      <c r="AI160" s="363">
        <v>0</v>
      </c>
      <c r="AJ160" s="363">
        <v>0</v>
      </c>
      <c r="AK160" s="363">
        <v>75.430000000000007</v>
      </c>
      <c r="AL160" s="363">
        <v>51</v>
      </c>
      <c r="AM160" s="363">
        <v>89.18</v>
      </c>
      <c r="AN160" s="363">
        <v>3</v>
      </c>
      <c r="AO160" s="363">
        <v>0</v>
      </c>
      <c r="AP160" s="363">
        <v>0</v>
      </c>
      <c r="AQ160" s="363">
        <v>0</v>
      </c>
      <c r="AR160" s="363">
        <v>0</v>
      </c>
      <c r="AS160" s="363">
        <v>129.75</v>
      </c>
      <c r="AT160" s="363">
        <v>77</v>
      </c>
      <c r="AU160" s="363">
        <v>129.75</v>
      </c>
      <c r="AV160" s="363">
        <v>77</v>
      </c>
      <c r="AW160" s="363">
        <v>0</v>
      </c>
      <c r="AX160" s="363">
        <v>0</v>
      </c>
      <c r="AY160" s="363">
        <v>0</v>
      </c>
      <c r="AZ160" s="363">
        <v>0</v>
      </c>
      <c r="BA160" s="363">
        <v>114.23</v>
      </c>
      <c r="BB160" s="363">
        <v>7</v>
      </c>
      <c r="BC160" s="363">
        <v>130.58000000000001</v>
      </c>
      <c r="BD160" s="363">
        <v>18</v>
      </c>
      <c r="BE160" s="363">
        <v>129.47999999999999</v>
      </c>
      <c r="BF160" s="363">
        <v>44</v>
      </c>
      <c r="BG160" s="363">
        <v>148.38999999999999</v>
      </c>
      <c r="BH160" s="363">
        <v>7</v>
      </c>
      <c r="BI160" s="363">
        <v>105.07</v>
      </c>
      <c r="BJ160" s="363">
        <v>1</v>
      </c>
      <c r="BK160" s="363">
        <v>0</v>
      </c>
      <c r="BL160" s="363">
        <v>0</v>
      </c>
      <c r="BM160" s="363">
        <v>0</v>
      </c>
      <c r="BN160" s="363">
        <v>0</v>
      </c>
      <c r="BO160" s="363">
        <v>0</v>
      </c>
      <c r="BP160" s="363">
        <v>0</v>
      </c>
      <c r="BQ160" s="363">
        <v>0</v>
      </c>
      <c r="BR160" s="363">
        <v>0</v>
      </c>
      <c r="BS160" s="363">
        <v>0</v>
      </c>
      <c r="BT160" s="363">
        <v>0</v>
      </c>
      <c r="BU160" s="363">
        <v>0</v>
      </c>
      <c r="BV160" s="363">
        <v>0</v>
      </c>
      <c r="BW160" s="363">
        <v>0</v>
      </c>
      <c r="BX160" s="363">
        <v>0</v>
      </c>
      <c r="BY160" s="363">
        <v>0</v>
      </c>
      <c r="BZ160" s="363">
        <v>0</v>
      </c>
      <c r="CA160" s="363">
        <v>0</v>
      </c>
      <c r="CB160" s="363">
        <v>0</v>
      </c>
      <c r="CC160" s="363">
        <v>0</v>
      </c>
      <c r="CD160" s="363" t="s">
        <v>461</v>
      </c>
    </row>
    <row r="161" spans="1:82" x14ac:dyDescent="0.35">
      <c r="A161" s="348" t="s">
        <v>811</v>
      </c>
      <c r="B161" s="348" t="s">
        <v>812</v>
      </c>
      <c r="C161" s="348" t="s">
        <v>71</v>
      </c>
      <c r="D161" s="348" t="s">
        <v>77</v>
      </c>
      <c r="E161" s="348">
        <v>55</v>
      </c>
      <c r="F161" s="360">
        <v>41</v>
      </c>
      <c r="G161" s="360">
        <v>0</v>
      </c>
      <c r="H161" s="360">
        <v>14</v>
      </c>
      <c r="I161" s="348">
        <v>112.51</v>
      </c>
      <c r="J161" s="348">
        <v>9</v>
      </c>
      <c r="K161" s="348">
        <v>112.51</v>
      </c>
      <c r="L161" s="348">
        <v>9</v>
      </c>
      <c r="M161" s="348">
        <v>0</v>
      </c>
      <c r="N161" s="348">
        <v>0</v>
      </c>
      <c r="O161" s="348">
        <v>0</v>
      </c>
      <c r="P161" s="348">
        <v>0</v>
      </c>
      <c r="Q161" s="348">
        <v>101.47</v>
      </c>
      <c r="R161" s="348">
        <v>2</v>
      </c>
      <c r="S161" s="348">
        <v>112.36</v>
      </c>
      <c r="T161" s="348">
        <v>4</v>
      </c>
      <c r="U161" s="348">
        <v>120.08</v>
      </c>
      <c r="V161" s="348">
        <v>3</v>
      </c>
      <c r="W161" s="348">
        <v>0</v>
      </c>
      <c r="X161" s="348">
        <v>0</v>
      </c>
      <c r="Y161" s="348">
        <v>0</v>
      </c>
      <c r="Z161" s="348">
        <v>0</v>
      </c>
      <c r="AA161" s="348">
        <v>0</v>
      </c>
      <c r="AB161" s="348">
        <v>0</v>
      </c>
      <c r="AC161" s="348">
        <v>90.76</v>
      </c>
      <c r="AD161" s="348">
        <v>14</v>
      </c>
      <c r="AE161" s="348">
        <v>105.81</v>
      </c>
      <c r="AF161" s="348">
        <v>4</v>
      </c>
      <c r="AG161" s="348">
        <v>84.75</v>
      </c>
      <c r="AH161" s="348">
        <v>10</v>
      </c>
      <c r="AI161" s="348">
        <v>0</v>
      </c>
      <c r="AJ161" s="348">
        <v>0</v>
      </c>
      <c r="AK161" s="348">
        <v>105.81</v>
      </c>
      <c r="AL161" s="348">
        <v>4</v>
      </c>
      <c r="AM161" s="348">
        <v>0</v>
      </c>
      <c r="AN161" s="348">
        <v>0</v>
      </c>
      <c r="AO161" s="348">
        <v>0</v>
      </c>
      <c r="AP161" s="348">
        <v>0</v>
      </c>
      <c r="AQ161" s="348">
        <v>0</v>
      </c>
      <c r="AR161" s="348">
        <v>0</v>
      </c>
      <c r="AS161" s="348">
        <v>195.61</v>
      </c>
      <c r="AT161" s="348">
        <v>32</v>
      </c>
      <c r="AU161" s="348">
        <v>195.61</v>
      </c>
      <c r="AV161" s="348">
        <v>32</v>
      </c>
      <c r="AW161" s="348">
        <v>0</v>
      </c>
      <c r="AX161" s="348">
        <v>0</v>
      </c>
      <c r="AY161" s="348">
        <v>0</v>
      </c>
      <c r="AZ161" s="348">
        <v>0</v>
      </c>
      <c r="BA161" s="348">
        <v>172.6</v>
      </c>
      <c r="BB161" s="348">
        <v>16</v>
      </c>
      <c r="BC161" s="348">
        <v>218.63</v>
      </c>
      <c r="BD161" s="348">
        <v>16</v>
      </c>
      <c r="BE161" s="348">
        <v>0</v>
      </c>
      <c r="BF161" s="348">
        <v>0</v>
      </c>
      <c r="BG161" s="348">
        <v>0</v>
      </c>
      <c r="BH161" s="348">
        <v>0</v>
      </c>
      <c r="BI161" s="348">
        <v>0</v>
      </c>
      <c r="BJ161" s="348">
        <v>0</v>
      </c>
      <c r="BK161" s="348">
        <v>0</v>
      </c>
      <c r="BL161" s="348">
        <v>0</v>
      </c>
      <c r="BM161" s="348">
        <v>0</v>
      </c>
      <c r="BN161" s="348">
        <v>0</v>
      </c>
      <c r="BO161" s="348">
        <v>0</v>
      </c>
      <c r="BP161" s="348">
        <v>0</v>
      </c>
      <c r="BQ161" s="348">
        <v>0</v>
      </c>
      <c r="BR161" s="348">
        <v>0</v>
      </c>
      <c r="BS161" s="348">
        <v>0</v>
      </c>
      <c r="BT161" s="348">
        <v>0</v>
      </c>
      <c r="BU161" s="348">
        <v>0</v>
      </c>
      <c r="BV161" s="348">
        <v>0</v>
      </c>
      <c r="BW161" s="348">
        <v>0</v>
      </c>
      <c r="BX161" s="348">
        <v>0</v>
      </c>
      <c r="BY161" s="348">
        <v>0</v>
      </c>
      <c r="BZ161" s="348">
        <v>0</v>
      </c>
      <c r="CA161" s="363">
        <v>0</v>
      </c>
      <c r="CB161" s="363">
        <v>0</v>
      </c>
      <c r="CC161" s="348">
        <v>0</v>
      </c>
      <c r="CD161" s="348" t="s">
        <v>813</v>
      </c>
    </row>
    <row r="162" spans="1:82" x14ac:dyDescent="0.35">
      <c r="A162" s="360" t="s">
        <v>462</v>
      </c>
      <c r="B162" s="360" t="s">
        <v>463</v>
      </c>
      <c r="C162" s="360" t="s">
        <v>70</v>
      </c>
      <c r="D162" s="360" t="s">
        <v>77</v>
      </c>
      <c r="E162" s="360">
        <v>9</v>
      </c>
      <c r="F162" s="360">
        <v>0</v>
      </c>
      <c r="G162" s="360">
        <v>0</v>
      </c>
      <c r="H162" s="360">
        <v>9</v>
      </c>
      <c r="I162" s="360">
        <v>0</v>
      </c>
      <c r="J162" s="360">
        <v>0</v>
      </c>
      <c r="K162" s="360">
        <v>0</v>
      </c>
      <c r="L162" s="360">
        <v>0</v>
      </c>
      <c r="M162" s="360">
        <v>0</v>
      </c>
      <c r="N162" s="360">
        <v>0</v>
      </c>
      <c r="O162" s="360">
        <v>0</v>
      </c>
      <c r="P162" s="360">
        <v>0</v>
      </c>
      <c r="Q162" s="360">
        <v>0</v>
      </c>
      <c r="R162" s="360">
        <v>0</v>
      </c>
      <c r="S162" s="360">
        <v>0</v>
      </c>
      <c r="T162" s="360">
        <v>0</v>
      </c>
      <c r="U162" s="360">
        <v>0</v>
      </c>
      <c r="V162" s="360">
        <v>0</v>
      </c>
      <c r="W162" s="360">
        <v>0</v>
      </c>
      <c r="X162" s="360">
        <v>0</v>
      </c>
      <c r="Y162" s="360">
        <v>0</v>
      </c>
      <c r="Z162" s="360">
        <v>0</v>
      </c>
      <c r="AA162" s="360">
        <v>0</v>
      </c>
      <c r="AB162" s="360">
        <v>0</v>
      </c>
      <c r="AC162" s="360">
        <v>72.42</v>
      </c>
      <c r="AD162" s="360">
        <v>8</v>
      </c>
      <c r="AE162" s="360">
        <v>76.67</v>
      </c>
      <c r="AF162" s="360">
        <v>5</v>
      </c>
      <c r="AG162" s="360">
        <v>65.349999999999994</v>
      </c>
      <c r="AH162" s="360">
        <v>3</v>
      </c>
      <c r="AI162" s="360">
        <v>77.959999999999994</v>
      </c>
      <c r="AJ162" s="360">
        <v>4</v>
      </c>
      <c r="AK162" s="360">
        <v>71.53</v>
      </c>
      <c r="AL162" s="360">
        <v>1</v>
      </c>
      <c r="AM162" s="360">
        <v>0</v>
      </c>
      <c r="AN162" s="360">
        <v>0</v>
      </c>
      <c r="AO162" s="360">
        <v>0</v>
      </c>
      <c r="AP162" s="360">
        <v>0</v>
      </c>
      <c r="AQ162" s="360">
        <v>0</v>
      </c>
      <c r="AR162" s="360">
        <v>0</v>
      </c>
      <c r="AS162" s="360">
        <v>0</v>
      </c>
      <c r="AT162" s="360">
        <v>0</v>
      </c>
      <c r="AU162" s="360">
        <v>0</v>
      </c>
      <c r="AV162" s="360">
        <v>0</v>
      </c>
      <c r="AW162" s="360">
        <v>0</v>
      </c>
      <c r="AX162" s="360">
        <v>0</v>
      </c>
      <c r="AY162" s="360">
        <v>0</v>
      </c>
      <c r="AZ162" s="360">
        <v>0</v>
      </c>
      <c r="BA162" s="360">
        <v>0</v>
      </c>
      <c r="BB162" s="360">
        <v>0</v>
      </c>
      <c r="BC162" s="360">
        <v>0</v>
      </c>
      <c r="BD162" s="360">
        <v>0</v>
      </c>
      <c r="BE162" s="360">
        <v>0</v>
      </c>
      <c r="BF162" s="360">
        <v>0</v>
      </c>
      <c r="BG162" s="360">
        <v>0</v>
      </c>
      <c r="BH162" s="360">
        <v>0</v>
      </c>
      <c r="BI162" s="360">
        <v>0</v>
      </c>
      <c r="BJ162" s="360">
        <v>0</v>
      </c>
      <c r="BK162" s="360">
        <v>0</v>
      </c>
      <c r="BL162" s="360">
        <v>0</v>
      </c>
      <c r="BM162" s="360">
        <v>107.79</v>
      </c>
      <c r="BN162" s="360">
        <v>1</v>
      </c>
      <c r="BO162" s="360">
        <v>107.79</v>
      </c>
      <c r="BP162" s="360">
        <v>1</v>
      </c>
      <c r="BQ162" s="360">
        <v>0</v>
      </c>
      <c r="BR162" s="360">
        <v>0</v>
      </c>
      <c r="BS162" s="360">
        <v>0</v>
      </c>
      <c r="BT162" s="360">
        <v>0</v>
      </c>
      <c r="BU162" s="360">
        <v>0</v>
      </c>
      <c r="BV162" s="360">
        <v>0</v>
      </c>
      <c r="BW162" s="360">
        <v>107.79</v>
      </c>
      <c r="BX162" s="360">
        <v>1</v>
      </c>
      <c r="BY162" s="360">
        <v>0</v>
      </c>
      <c r="BZ162" s="360">
        <v>0</v>
      </c>
      <c r="CA162" s="360">
        <v>0</v>
      </c>
      <c r="CB162" s="360">
        <v>0</v>
      </c>
      <c r="CC162" s="360">
        <v>0</v>
      </c>
      <c r="CD162" s="360" t="s">
        <v>464</v>
      </c>
    </row>
    <row r="163" spans="1:82" x14ac:dyDescent="0.35">
      <c r="A163" s="360" t="s">
        <v>465</v>
      </c>
      <c r="B163" s="360" t="s">
        <v>466</v>
      </c>
      <c r="C163" s="360" t="s">
        <v>900</v>
      </c>
      <c r="D163" s="360" t="s">
        <v>77</v>
      </c>
      <c r="E163" s="360">
        <v>1470</v>
      </c>
      <c r="F163" s="360">
        <v>1229</v>
      </c>
      <c r="G163" s="360">
        <v>0</v>
      </c>
      <c r="H163" s="360">
        <v>241</v>
      </c>
      <c r="I163" s="360">
        <v>84.79</v>
      </c>
      <c r="J163" s="360">
        <v>1229</v>
      </c>
      <c r="K163" s="360">
        <v>84.79</v>
      </c>
      <c r="L163" s="360">
        <v>1229</v>
      </c>
      <c r="M163" s="360">
        <v>0</v>
      </c>
      <c r="N163" s="360">
        <v>0</v>
      </c>
      <c r="O163" s="360">
        <v>60.78</v>
      </c>
      <c r="P163" s="360">
        <v>4</v>
      </c>
      <c r="Q163" s="360">
        <v>74.56</v>
      </c>
      <c r="R163" s="360">
        <v>309</v>
      </c>
      <c r="S163" s="360">
        <v>83.63</v>
      </c>
      <c r="T163" s="360">
        <v>441</v>
      </c>
      <c r="U163" s="360">
        <v>92.34</v>
      </c>
      <c r="V163" s="360">
        <v>446</v>
      </c>
      <c r="W163" s="360">
        <v>98.97</v>
      </c>
      <c r="X163" s="360">
        <v>29</v>
      </c>
      <c r="Y163" s="360">
        <v>0</v>
      </c>
      <c r="Z163" s="360">
        <v>0</v>
      </c>
      <c r="AA163" s="360">
        <v>0</v>
      </c>
      <c r="AB163" s="360">
        <v>0</v>
      </c>
      <c r="AC163" s="360">
        <v>73.56</v>
      </c>
      <c r="AD163" s="360">
        <v>241</v>
      </c>
      <c r="AE163" s="360">
        <v>73.56</v>
      </c>
      <c r="AF163" s="360">
        <v>241</v>
      </c>
      <c r="AG163" s="360">
        <v>0</v>
      </c>
      <c r="AH163" s="360">
        <v>0</v>
      </c>
      <c r="AI163" s="360">
        <v>57.81</v>
      </c>
      <c r="AJ163" s="360">
        <v>79</v>
      </c>
      <c r="AK163" s="360">
        <v>74.989999999999995</v>
      </c>
      <c r="AL163" s="360">
        <v>85</v>
      </c>
      <c r="AM163" s="360">
        <v>88.24</v>
      </c>
      <c r="AN163" s="360">
        <v>70</v>
      </c>
      <c r="AO163" s="360">
        <v>87.15</v>
      </c>
      <c r="AP163" s="360">
        <v>7</v>
      </c>
      <c r="AQ163" s="360">
        <v>0</v>
      </c>
      <c r="AR163" s="360">
        <v>0</v>
      </c>
      <c r="AS163" s="360">
        <v>0</v>
      </c>
      <c r="AT163" s="360">
        <v>0</v>
      </c>
      <c r="AU163" s="360">
        <v>0</v>
      </c>
      <c r="AV163" s="360">
        <v>0</v>
      </c>
      <c r="AW163" s="360">
        <v>0</v>
      </c>
      <c r="AX163" s="360">
        <v>0</v>
      </c>
      <c r="AY163" s="360">
        <v>0</v>
      </c>
      <c r="AZ163" s="360">
        <v>0</v>
      </c>
      <c r="BA163" s="360">
        <v>0</v>
      </c>
      <c r="BB163" s="360">
        <v>0</v>
      </c>
      <c r="BC163" s="360">
        <v>0</v>
      </c>
      <c r="BD163" s="360">
        <v>0</v>
      </c>
      <c r="BE163" s="360">
        <v>0</v>
      </c>
      <c r="BF163" s="360">
        <v>0</v>
      </c>
      <c r="BG163" s="360">
        <v>0</v>
      </c>
      <c r="BH163" s="360">
        <v>0</v>
      </c>
      <c r="BI163" s="360">
        <v>0</v>
      </c>
      <c r="BJ163" s="360">
        <v>0</v>
      </c>
      <c r="BK163" s="360">
        <v>0</v>
      </c>
      <c r="BL163" s="360">
        <v>0</v>
      </c>
      <c r="BM163" s="360">
        <v>0</v>
      </c>
      <c r="BN163" s="360">
        <v>0</v>
      </c>
      <c r="BO163" s="360">
        <v>0</v>
      </c>
      <c r="BP163" s="360">
        <v>0</v>
      </c>
      <c r="BQ163" s="360">
        <v>0</v>
      </c>
      <c r="BR163" s="360">
        <v>0</v>
      </c>
      <c r="BS163" s="360">
        <v>0</v>
      </c>
      <c r="BT163" s="360">
        <v>0</v>
      </c>
      <c r="BU163" s="360">
        <v>0</v>
      </c>
      <c r="BV163" s="360">
        <v>0</v>
      </c>
      <c r="BW163" s="360">
        <v>0</v>
      </c>
      <c r="BX163" s="360">
        <v>0</v>
      </c>
      <c r="BY163" s="360">
        <v>0</v>
      </c>
      <c r="BZ163" s="360">
        <v>0</v>
      </c>
      <c r="CA163" s="360">
        <v>0</v>
      </c>
      <c r="CB163" s="360">
        <v>0</v>
      </c>
      <c r="CC163" s="360">
        <v>0</v>
      </c>
      <c r="CD163" s="360" t="s">
        <v>467</v>
      </c>
    </row>
    <row r="164" spans="1:82" x14ac:dyDescent="0.35">
      <c r="A164" s="360" t="s">
        <v>468</v>
      </c>
      <c r="B164" s="360" t="s">
        <v>469</v>
      </c>
      <c r="C164" s="360" t="s">
        <v>70</v>
      </c>
      <c r="D164" s="360" t="s">
        <v>77</v>
      </c>
      <c r="E164" s="360">
        <v>17</v>
      </c>
      <c r="F164" s="360">
        <v>1</v>
      </c>
      <c r="G164" s="360">
        <v>0</v>
      </c>
      <c r="H164" s="360">
        <v>16</v>
      </c>
      <c r="I164" s="360">
        <v>105.8</v>
      </c>
      <c r="J164" s="360">
        <v>1</v>
      </c>
      <c r="K164" s="360">
        <v>105.8</v>
      </c>
      <c r="L164" s="360">
        <v>1</v>
      </c>
      <c r="M164" s="360">
        <v>0</v>
      </c>
      <c r="N164" s="360">
        <v>0</v>
      </c>
      <c r="O164" s="360">
        <v>0</v>
      </c>
      <c r="P164" s="360">
        <v>0</v>
      </c>
      <c r="Q164" s="360">
        <v>0</v>
      </c>
      <c r="R164" s="360">
        <v>0</v>
      </c>
      <c r="S164" s="360">
        <v>105.8</v>
      </c>
      <c r="T164" s="360">
        <v>1</v>
      </c>
      <c r="U164" s="360">
        <v>0</v>
      </c>
      <c r="V164" s="360">
        <v>0</v>
      </c>
      <c r="W164" s="360">
        <v>0</v>
      </c>
      <c r="X164" s="360">
        <v>0</v>
      </c>
      <c r="Y164" s="360">
        <v>0</v>
      </c>
      <c r="Z164" s="360">
        <v>0</v>
      </c>
      <c r="AA164" s="360">
        <v>0</v>
      </c>
      <c r="AB164" s="360">
        <v>0</v>
      </c>
      <c r="AC164" s="360">
        <v>96.14</v>
      </c>
      <c r="AD164" s="360">
        <v>16</v>
      </c>
      <c r="AE164" s="360">
        <v>97.39</v>
      </c>
      <c r="AF164" s="360">
        <v>12</v>
      </c>
      <c r="AG164" s="360">
        <v>92.4</v>
      </c>
      <c r="AH164" s="360">
        <v>4</v>
      </c>
      <c r="AI164" s="360">
        <v>92.4</v>
      </c>
      <c r="AJ164" s="360">
        <v>7</v>
      </c>
      <c r="AK164" s="360">
        <v>92.4</v>
      </c>
      <c r="AL164" s="360">
        <v>3</v>
      </c>
      <c r="AM164" s="360">
        <v>0</v>
      </c>
      <c r="AN164" s="360">
        <v>0</v>
      </c>
      <c r="AO164" s="360">
        <v>122.34</v>
      </c>
      <c r="AP164" s="360">
        <v>2</v>
      </c>
      <c r="AQ164" s="360">
        <v>0</v>
      </c>
      <c r="AR164" s="360">
        <v>0</v>
      </c>
      <c r="AS164" s="360">
        <v>0</v>
      </c>
      <c r="AT164" s="360">
        <v>0</v>
      </c>
      <c r="AU164" s="360">
        <v>0</v>
      </c>
      <c r="AV164" s="360">
        <v>0</v>
      </c>
      <c r="AW164" s="360">
        <v>0</v>
      </c>
      <c r="AX164" s="360">
        <v>0</v>
      </c>
      <c r="AY164" s="360">
        <v>0</v>
      </c>
      <c r="AZ164" s="360">
        <v>0</v>
      </c>
      <c r="BA164" s="360">
        <v>0</v>
      </c>
      <c r="BB164" s="360">
        <v>0</v>
      </c>
      <c r="BC164" s="360">
        <v>0</v>
      </c>
      <c r="BD164" s="360">
        <v>0</v>
      </c>
      <c r="BE164" s="360">
        <v>0</v>
      </c>
      <c r="BF164" s="360">
        <v>0</v>
      </c>
      <c r="BG164" s="360">
        <v>0</v>
      </c>
      <c r="BH164" s="360">
        <v>0</v>
      </c>
      <c r="BI164" s="360">
        <v>0</v>
      </c>
      <c r="BJ164" s="360">
        <v>0</v>
      </c>
      <c r="BK164" s="360">
        <v>0</v>
      </c>
      <c r="BL164" s="360">
        <v>0</v>
      </c>
      <c r="BM164" s="360">
        <v>0</v>
      </c>
      <c r="BN164" s="360">
        <v>0</v>
      </c>
      <c r="BO164" s="360">
        <v>0</v>
      </c>
      <c r="BP164" s="360">
        <v>0</v>
      </c>
      <c r="BQ164" s="360">
        <v>0</v>
      </c>
      <c r="BR164" s="360">
        <v>0</v>
      </c>
      <c r="BS164" s="360">
        <v>0</v>
      </c>
      <c r="BT164" s="360">
        <v>0</v>
      </c>
      <c r="BU164" s="360">
        <v>0</v>
      </c>
      <c r="BV164" s="360">
        <v>0</v>
      </c>
      <c r="BW164" s="360">
        <v>0</v>
      </c>
      <c r="BX164" s="360">
        <v>0</v>
      </c>
      <c r="BY164" s="360">
        <v>0</v>
      </c>
      <c r="BZ164" s="360">
        <v>0</v>
      </c>
      <c r="CA164" s="360">
        <v>0</v>
      </c>
      <c r="CB164" s="360">
        <v>0</v>
      </c>
      <c r="CC164" s="360">
        <v>0</v>
      </c>
      <c r="CD164" s="360" t="s">
        <v>470</v>
      </c>
    </row>
    <row r="165" spans="1:82" x14ac:dyDescent="0.35">
      <c r="A165" s="360" t="s">
        <v>814</v>
      </c>
      <c r="B165" s="360" t="s">
        <v>815</v>
      </c>
      <c r="C165" s="360" t="s">
        <v>71</v>
      </c>
      <c r="D165" s="360" t="s">
        <v>77</v>
      </c>
      <c r="E165" s="360">
        <v>11</v>
      </c>
      <c r="F165" s="360">
        <v>0</v>
      </c>
      <c r="G165" s="360">
        <v>0</v>
      </c>
      <c r="H165" s="360">
        <v>11</v>
      </c>
      <c r="I165" s="360">
        <v>0</v>
      </c>
      <c r="J165" s="360">
        <v>0</v>
      </c>
      <c r="K165" s="360">
        <v>0</v>
      </c>
      <c r="L165" s="360">
        <v>0</v>
      </c>
      <c r="M165" s="360">
        <v>0</v>
      </c>
      <c r="N165" s="360">
        <v>0</v>
      </c>
      <c r="O165" s="360">
        <v>0</v>
      </c>
      <c r="P165" s="360">
        <v>0</v>
      </c>
      <c r="Q165" s="360">
        <v>0</v>
      </c>
      <c r="R165" s="360">
        <v>0</v>
      </c>
      <c r="S165" s="360">
        <v>0</v>
      </c>
      <c r="T165" s="360">
        <v>0</v>
      </c>
      <c r="U165" s="360">
        <v>0</v>
      </c>
      <c r="V165" s="360">
        <v>0</v>
      </c>
      <c r="W165" s="360">
        <v>0</v>
      </c>
      <c r="X165" s="360">
        <v>0</v>
      </c>
      <c r="Y165" s="360">
        <v>0</v>
      </c>
      <c r="Z165" s="360">
        <v>0</v>
      </c>
      <c r="AA165" s="360">
        <v>0</v>
      </c>
      <c r="AB165" s="360">
        <v>0</v>
      </c>
      <c r="AC165" s="360">
        <v>77.11</v>
      </c>
      <c r="AD165" s="360">
        <v>4</v>
      </c>
      <c r="AE165" s="360">
        <v>77.11</v>
      </c>
      <c r="AF165" s="360">
        <v>4</v>
      </c>
      <c r="AG165" s="360">
        <v>0</v>
      </c>
      <c r="AH165" s="360">
        <v>0</v>
      </c>
      <c r="AI165" s="360">
        <v>0</v>
      </c>
      <c r="AJ165" s="360">
        <v>0</v>
      </c>
      <c r="AK165" s="360">
        <v>77.11</v>
      </c>
      <c r="AL165" s="360">
        <v>4</v>
      </c>
      <c r="AM165" s="360">
        <v>0</v>
      </c>
      <c r="AN165" s="360">
        <v>0</v>
      </c>
      <c r="AO165" s="360">
        <v>0</v>
      </c>
      <c r="AP165" s="360">
        <v>0</v>
      </c>
      <c r="AQ165" s="360">
        <v>0</v>
      </c>
      <c r="AR165" s="360">
        <v>0</v>
      </c>
      <c r="AS165" s="360">
        <v>0</v>
      </c>
      <c r="AT165" s="360">
        <v>0</v>
      </c>
      <c r="AU165" s="360">
        <v>0</v>
      </c>
      <c r="AV165" s="360">
        <v>0</v>
      </c>
      <c r="AW165" s="360">
        <v>0</v>
      </c>
      <c r="AX165" s="360">
        <v>0</v>
      </c>
      <c r="AY165" s="360">
        <v>0</v>
      </c>
      <c r="AZ165" s="360">
        <v>0</v>
      </c>
      <c r="BA165" s="360">
        <v>0</v>
      </c>
      <c r="BB165" s="360">
        <v>0</v>
      </c>
      <c r="BC165" s="360">
        <v>0</v>
      </c>
      <c r="BD165" s="360">
        <v>0</v>
      </c>
      <c r="BE165" s="360">
        <v>0</v>
      </c>
      <c r="BF165" s="360">
        <v>0</v>
      </c>
      <c r="BG165" s="360">
        <v>0</v>
      </c>
      <c r="BH165" s="360">
        <v>0</v>
      </c>
      <c r="BI165" s="360">
        <v>0</v>
      </c>
      <c r="BJ165" s="360">
        <v>0</v>
      </c>
      <c r="BK165" s="360">
        <v>0</v>
      </c>
      <c r="BL165" s="360">
        <v>0</v>
      </c>
      <c r="BM165" s="360">
        <v>115.07</v>
      </c>
      <c r="BN165" s="360">
        <v>7</v>
      </c>
      <c r="BO165" s="360">
        <v>115.07</v>
      </c>
      <c r="BP165" s="360">
        <v>7</v>
      </c>
      <c r="BQ165" s="360">
        <v>0</v>
      </c>
      <c r="BR165" s="360">
        <v>0</v>
      </c>
      <c r="BS165" s="360">
        <v>0</v>
      </c>
      <c r="BT165" s="360">
        <v>0</v>
      </c>
      <c r="BU165" s="360">
        <v>115.07</v>
      </c>
      <c r="BV165" s="360">
        <v>7</v>
      </c>
      <c r="BW165" s="360">
        <v>0</v>
      </c>
      <c r="BX165" s="360">
        <v>0</v>
      </c>
      <c r="BY165" s="360">
        <v>0</v>
      </c>
      <c r="BZ165" s="360">
        <v>0</v>
      </c>
      <c r="CA165" s="360">
        <v>0</v>
      </c>
      <c r="CB165" s="360">
        <v>0</v>
      </c>
      <c r="CC165" s="360">
        <v>0</v>
      </c>
      <c r="CD165" s="360" t="s">
        <v>816</v>
      </c>
    </row>
    <row r="166" spans="1:82" x14ac:dyDescent="0.35">
      <c r="A166" s="360" t="s">
        <v>471</v>
      </c>
      <c r="B166" s="360" t="s">
        <v>472</v>
      </c>
      <c r="C166" s="360" t="s">
        <v>900</v>
      </c>
      <c r="D166" s="360" t="s">
        <v>77</v>
      </c>
      <c r="E166" s="360">
        <v>20088</v>
      </c>
      <c r="F166" s="360">
        <v>19963</v>
      </c>
      <c r="G166" s="360">
        <v>0</v>
      </c>
      <c r="H166" s="360">
        <v>0</v>
      </c>
      <c r="I166" s="360">
        <v>79.17</v>
      </c>
      <c r="J166" s="360">
        <v>19703</v>
      </c>
      <c r="K166" s="360">
        <v>79.17</v>
      </c>
      <c r="L166" s="360">
        <v>19703</v>
      </c>
      <c r="M166" s="360">
        <v>0</v>
      </c>
      <c r="N166" s="360">
        <v>0</v>
      </c>
      <c r="O166" s="360">
        <v>53.95</v>
      </c>
      <c r="P166" s="360">
        <v>77</v>
      </c>
      <c r="Q166" s="360">
        <v>71.709999999999994</v>
      </c>
      <c r="R166" s="360">
        <v>4905</v>
      </c>
      <c r="S166" s="360">
        <v>78.069999999999993</v>
      </c>
      <c r="T166" s="360">
        <v>6570</v>
      </c>
      <c r="U166" s="360">
        <v>84.5</v>
      </c>
      <c r="V166" s="360">
        <v>7879</v>
      </c>
      <c r="W166" s="360">
        <v>93.66</v>
      </c>
      <c r="X166" s="360">
        <v>267</v>
      </c>
      <c r="Y166" s="360">
        <v>96.51</v>
      </c>
      <c r="Z166" s="360">
        <v>4</v>
      </c>
      <c r="AA166" s="360">
        <v>93.64</v>
      </c>
      <c r="AB166" s="360">
        <v>1</v>
      </c>
      <c r="AC166" s="360">
        <v>0</v>
      </c>
      <c r="AD166" s="360">
        <v>0</v>
      </c>
      <c r="AE166" s="360">
        <v>0</v>
      </c>
      <c r="AF166" s="360">
        <v>0</v>
      </c>
      <c r="AG166" s="360">
        <v>0</v>
      </c>
      <c r="AH166" s="360">
        <v>0</v>
      </c>
      <c r="AI166" s="360">
        <v>0</v>
      </c>
      <c r="AJ166" s="360">
        <v>0</v>
      </c>
      <c r="AK166" s="360">
        <v>0</v>
      </c>
      <c r="AL166" s="360">
        <v>0</v>
      </c>
      <c r="AM166" s="360">
        <v>0</v>
      </c>
      <c r="AN166" s="360">
        <v>0</v>
      </c>
      <c r="AO166" s="360">
        <v>0</v>
      </c>
      <c r="AP166" s="360">
        <v>0</v>
      </c>
      <c r="AQ166" s="360">
        <v>0</v>
      </c>
      <c r="AR166" s="360">
        <v>0</v>
      </c>
      <c r="AS166" s="360">
        <v>100.14</v>
      </c>
      <c r="AT166" s="360">
        <v>260</v>
      </c>
      <c r="AU166" s="360">
        <v>100.14</v>
      </c>
      <c r="AV166" s="360">
        <v>260</v>
      </c>
      <c r="AW166" s="360">
        <v>0</v>
      </c>
      <c r="AX166" s="360">
        <v>0</v>
      </c>
      <c r="AY166" s="360">
        <v>0</v>
      </c>
      <c r="AZ166" s="360">
        <v>0</v>
      </c>
      <c r="BA166" s="360">
        <v>86.65</v>
      </c>
      <c r="BB166" s="360">
        <v>71</v>
      </c>
      <c r="BC166" s="360">
        <v>101.77</v>
      </c>
      <c r="BD166" s="360">
        <v>139</v>
      </c>
      <c r="BE166" s="360">
        <v>114.77</v>
      </c>
      <c r="BF166" s="360">
        <v>50</v>
      </c>
      <c r="BG166" s="360">
        <v>0</v>
      </c>
      <c r="BH166" s="360">
        <v>0</v>
      </c>
      <c r="BI166" s="360">
        <v>0</v>
      </c>
      <c r="BJ166" s="360">
        <v>0</v>
      </c>
      <c r="BK166" s="360">
        <v>0</v>
      </c>
      <c r="BL166" s="360">
        <v>0</v>
      </c>
      <c r="BM166" s="360">
        <v>0</v>
      </c>
      <c r="BN166" s="360">
        <v>0</v>
      </c>
      <c r="BO166" s="360">
        <v>0</v>
      </c>
      <c r="BP166" s="360">
        <v>0</v>
      </c>
      <c r="BQ166" s="360">
        <v>0</v>
      </c>
      <c r="BR166" s="360">
        <v>0</v>
      </c>
      <c r="BS166" s="360">
        <v>0</v>
      </c>
      <c r="BT166" s="360">
        <v>0</v>
      </c>
      <c r="BU166" s="360">
        <v>0</v>
      </c>
      <c r="BV166" s="360">
        <v>0</v>
      </c>
      <c r="BW166" s="360">
        <v>0</v>
      </c>
      <c r="BX166" s="360">
        <v>0</v>
      </c>
      <c r="BY166" s="360">
        <v>0</v>
      </c>
      <c r="BZ166" s="360">
        <v>0</v>
      </c>
      <c r="CA166" s="360">
        <v>0</v>
      </c>
      <c r="CB166" s="360">
        <v>0</v>
      </c>
      <c r="CC166" s="360">
        <v>125</v>
      </c>
      <c r="CD166" s="360" t="s">
        <v>473</v>
      </c>
    </row>
    <row r="167" spans="1:82" x14ac:dyDescent="0.35">
      <c r="A167" s="360" t="s">
        <v>906</v>
      </c>
      <c r="B167" s="360" t="s">
        <v>322</v>
      </c>
      <c r="C167" s="360" t="s">
        <v>68</v>
      </c>
      <c r="D167" s="360" t="s">
        <v>77</v>
      </c>
      <c r="E167" s="360">
        <v>20067</v>
      </c>
      <c r="F167" s="360">
        <v>19286</v>
      </c>
      <c r="G167" s="360">
        <v>0</v>
      </c>
      <c r="H167" s="360">
        <v>781</v>
      </c>
      <c r="I167" s="360">
        <v>99.07</v>
      </c>
      <c r="J167" s="360">
        <v>19234</v>
      </c>
      <c r="K167" s="360">
        <v>99.07</v>
      </c>
      <c r="L167" s="360">
        <v>19234</v>
      </c>
      <c r="M167" s="360">
        <v>0</v>
      </c>
      <c r="N167" s="360">
        <v>0</v>
      </c>
      <c r="O167" s="360">
        <v>74.540000000000006</v>
      </c>
      <c r="P167" s="360">
        <v>719</v>
      </c>
      <c r="Q167" s="360">
        <v>82.84</v>
      </c>
      <c r="R167" s="360">
        <v>5067</v>
      </c>
      <c r="S167" s="360">
        <v>95.26</v>
      </c>
      <c r="T167" s="360">
        <v>6578</v>
      </c>
      <c r="U167" s="360">
        <v>112.71</v>
      </c>
      <c r="V167" s="360">
        <v>5081</v>
      </c>
      <c r="W167" s="360">
        <v>128.01</v>
      </c>
      <c r="X167" s="360">
        <v>1471</v>
      </c>
      <c r="Y167" s="360">
        <v>138.65</v>
      </c>
      <c r="Z167" s="360">
        <v>266</v>
      </c>
      <c r="AA167" s="360">
        <v>148.33000000000001</v>
      </c>
      <c r="AB167" s="360">
        <v>52</v>
      </c>
      <c r="AC167" s="360">
        <v>89.24</v>
      </c>
      <c r="AD167" s="360">
        <v>781</v>
      </c>
      <c r="AE167" s="360">
        <v>89.03</v>
      </c>
      <c r="AF167" s="360">
        <v>774</v>
      </c>
      <c r="AG167" s="360">
        <v>113.19</v>
      </c>
      <c r="AH167" s="360">
        <v>7</v>
      </c>
      <c r="AI167" s="360">
        <v>77.41</v>
      </c>
      <c r="AJ167" s="360">
        <v>248</v>
      </c>
      <c r="AK167" s="360">
        <v>92.1</v>
      </c>
      <c r="AL167" s="360">
        <v>426</v>
      </c>
      <c r="AM167" s="360">
        <v>103.49</v>
      </c>
      <c r="AN167" s="360">
        <v>84</v>
      </c>
      <c r="AO167" s="360">
        <v>111.49</v>
      </c>
      <c r="AP167" s="360">
        <v>16</v>
      </c>
      <c r="AQ167" s="360">
        <v>0</v>
      </c>
      <c r="AR167" s="360">
        <v>0</v>
      </c>
      <c r="AS167" s="360">
        <v>195.25</v>
      </c>
      <c r="AT167" s="360">
        <v>52</v>
      </c>
      <c r="AU167" s="360">
        <v>195.25</v>
      </c>
      <c r="AV167" s="360">
        <v>52</v>
      </c>
      <c r="AW167" s="360">
        <v>0</v>
      </c>
      <c r="AX167" s="360">
        <v>0</v>
      </c>
      <c r="AY167" s="360">
        <v>0</v>
      </c>
      <c r="AZ167" s="360">
        <v>0</v>
      </c>
      <c r="BA167" s="360">
        <v>183.28</v>
      </c>
      <c r="BB167" s="360">
        <v>4</v>
      </c>
      <c r="BC167" s="360">
        <v>193.16</v>
      </c>
      <c r="BD167" s="360">
        <v>34</v>
      </c>
      <c r="BE167" s="360">
        <v>203.07</v>
      </c>
      <c r="BF167" s="360">
        <v>13</v>
      </c>
      <c r="BG167" s="360">
        <v>212.97</v>
      </c>
      <c r="BH167" s="360">
        <v>1</v>
      </c>
      <c r="BI167" s="360">
        <v>0</v>
      </c>
      <c r="BJ167" s="360">
        <v>0</v>
      </c>
      <c r="BK167" s="360">
        <v>0</v>
      </c>
      <c r="BL167" s="360">
        <v>0</v>
      </c>
      <c r="BM167" s="360">
        <v>0</v>
      </c>
      <c r="BN167" s="360">
        <v>0</v>
      </c>
      <c r="BO167" s="360">
        <v>0</v>
      </c>
      <c r="BP167" s="360">
        <v>0</v>
      </c>
      <c r="BQ167" s="360">
        <v>0</v>
      </c>
      <c r="BR167" s="360">
        <v>0</v>
      </c>
      <c r="BS167" s="360">
        <v>0</v>
      </c>
      <c r="BT167" s="360">
        <v>0</v>
      </c>
      <c r="BU167" s="360">
        <v>0</v>
      </c>
      <c r="BV167" s="360">
        <v>0</v>
      </c>
      <c r="BW167" s="360">
        <v>0</v>
      </c>
      <c r="BX167" s="360">
        <v>0</v>
      </c>
      <c r="BY167" s="360">
        <v>0</v>
      </c>
      <c r="BZ167" s="360">
        <v>0</v>
      </c>
      <c r="CA167" s="360">
        <v>0</v>
      </c>
      <c r="CB167" s="360">
        <v>0</v>
      </c>
      <c r="CC167" s="360">
        <v>0</v>
      </c>
      <c r="CD167" s="360" t="s">
        <v>323</v>
      </c>
    </row>
    <row r="168" spans="1:82" x14ac:dyDescent="0.35">
      <c r="A168" s="360" t="s">
        <v>474</v>
      </c>
      <c r="B168" s="360" t="s">
        <v>475</v>
      </c>
      <c r="C168" s="360" t="s">
        <v>68</v>
      </c>
      <c r="D168" s="360" t="s">
        <v>77</v>
      </c>
      <c r="E168" s="360">
        <v>6646</v>
      </c>
      <c r="F168" s="360">
        <v>6445</v>
      </c>
      <c r="G168" s="360">
        <v>0</v>
      </c>
      <c r="H168" s="360">
        <v>201</v>
      </c>
      <c r="I168" s="360">
        <v>131.77000000000001</v>
      </c>
      <c r="J168" s="360">
        <v>6445</v>
      </c>
      <c r="K168" s="360">
        <v>131.77000000000001</v>
      </c>
      <c r="L168" s="360">
        <v>6445</v>
      </c>
      <c r="M168" s="360">
        <v>0</v>
      </c>
      <c r="N168" s="360">
        <v>0</v>
      </c>
      <c r="O168" s="360">
        <v>99.61</v>
      </c>
      <c r="P168" s="360">
        <v>819</v>
      </c>
      <c r="Q168" s="360">
        <v>116.76</v>
      </c>
      <c r="R168" s="360">
        <v>1592</v>
      </c>
      <c r="S168" s="360">
        <v>136.85</v>
      </c>
      <c r="T168" s="360">
        <v>2382</v>
      </c>
      <c r="U168" s="360">
        <v>151.47</v>
      </c>
      <c r="V168" s="360">
        <v>1394</v>
      </c>
      <c r="W168" s="360">
        <v>172.29</v>
      </c>
      <c r="X168" s="360">
        <v>242</v>
      </c>
      <c r="Y168" s="360">
        <v>187.27</v>
      </c>
      <c r="Z168" s="360">
        <v>16</v>
      </c>
      <c r="AA168" s="360">
        <v>0</v>
      </c>
      <c r="AB168" s="360">
        <v>0</v>
      </c>
      <c r="AC168" s="360">
        <v>109.14</v>
      </c>
      <c r="AD168" s="360">
        <v>201</v>
      </c>
      <c r="AE168" s="360">
        <v>109.14</v>
      </c>
      <c r="AF168" s="360">
        <v>201</v>
      </c>
      <c r="AG168" s="360">
        <v>0</v>
      </c>
      <c r="AH168" s="360">
        <v>0</v>
      </c>
      <c r="AI168" s="360">
        <v>101.84</v>
      </c>
      <c r="AJ168" s="360">
        <v>121</v>
      </c>
      <c r="AK168" s="360">
        <v>118.58</v>
      </c>
      <c r="AL168" s="360">
        <v>73</v>
      </c>
      <c r="AM168" s="360">
        <v>135.38999999999999</v>
      </c>
      <c r="AN168" s="360">
        <v>6</v>
      </c>
      <c r="AO168" s="360">
        <v>146.82</v>
      </c>
      <c r="AP168" s="360">
        <v>1</v>
      </c>
      <c r="AQ168" s="360">
        <v>0</v>
      </c>
      <c r="AR168" s="360">
        <v>0</v>
      </c>
      <c r="AS168" s="360">
        <v>0</v>
      </c>
      <c r="AT168" s="360">
        <v>0</v>
      </c>
      <c r="AU168" s="360">
        <v>0</v>
      </c>
      <c r="AV168" s="360">
        <v>0</v>
      </c>
      <c r="AW168" s="360">
        <v>0</v>
      </c>
      <c r="AX168" s="360">
        <v>0</v>
      </c>
      <c r="AY168" s="360">
        <v>0</v>
      </c>
      <c r="AZ168" s="360">
        <v>0</v>
      </c>
      <c r="BA168" s="360">
        <v>0</v>
      </c>
      <c r="BB168" s="360">
        <v>0</v>
      </c>
      <c r="BC168" s="360">
        <v>0</v>
      </c>
      <c r="BD168" s="360">
        <v>0</v>
      </c>
      <c r="BE168" s="360">
        <v>0</v>
      </c>
      <c r="BF168" s="360">
        <v>0</v>
      </c>
      <c r="BG168" s="360">
        <v>0</v>
      </c>
      <c r="BH168" s="360">
        <v>0</v>
      </c>
      <c r="BI168" s="360">
        <v>0</v>
      </c>
      <c r="BJ168" s="360">
        <v>0</v>
      </c>
      <c r="BK168" s="360">
        <v>0</v>
      </c>
      <c r="BL168" s="360">
        <v>0</v>
      </c>
      <c r="BM168" s="360">
        <v>0</v>
      </c>
      <c r="BN168" s="360">
        <v>0</v>
      </c>
      <c r="BO168" s="360">
        <v>0</v>
      </c>
      <c r="BP168" s="360">
        <v>0</v>
      </c>
      <c r="BQ168" s="360">
        <v>0</v>
      </c>
      <c r="BR168" s="360">
        <v>0</v>
      </c>
      <c r="BS168" s="360">
        <v>0</v>
      </c>
      <c r="BT168" s="360">
        <v>0</v>
      </c>
      <c r="BU168" s="360">
        <v>0</v>
      </c>
      <c r="BV168" s="360">
        <v>0</v>
      </c>
      <c r="BW168" s="360">
        <v>0</v>
      </c>
      <c r="BX168" s="360">
        <v>0</v>
      </c>
      <c r="BY168" s="360">
        <v>0</v>
      </c>
      <c r="BZ168" s="360">
        <v>0</v>
      </c>
      <c r="CA168" s="360">
        <v>0</v>
      </c>
      <c r="CB168" s="360">
        <v>0</v>
      </c>
      <c r="CC168" s="360">
        <v>0</v>
      </c>
      <c r="CD168" s="360" t="s">
        <v>476</v>
      </c>
    </row>
    <row r="169" spans="1:82" x14ac:dyDescent="0.35">
      <c r="A169" s="360" t="s">
        <v>477</v>
      </c>
      <c r="B169" s="360" t="s">
        <v>478</v>
      </c>
      <c r="C169" s="360" t="s">
        <v>68</v>
      </c>
      <c r="D169" s="360" t="s">
        <v>77</v>
      </c>
      <c r="E169" s="360">
        <v>4400</v>
      </c>
      <c r="F169" s="360">
        <v>4361</v>
      </c>
      <c r="G169" s="360">
        <v>0</v>
      </c>
      <c r="H169" s="360">
        <v>0</v>
      </c>
      <c r="I169" s="360">
        <v>118.93</v>
      </c>
      <c r="J169" s="360">
        <v>4328</v>
      </c>
      <c r="K169" s="360">
        <v>118.93</v>
      </c>
      <c r="L169" s="360">
        <v>4328</v>
      </c>
      <c r="M169" s="360">
        <v>0</v>
      </c>
      <c r="N169" s="360">
        <v>0</v>
      </c>
      <c r="O169" s="360">
        <v>91.95</v>
      </c>
      <c r="P169" s="360">
        <v>277</v>
      </c>
      <c r="Q169" s="360">
        <v>106.73</v>
      </c>
      <c r="R169" s="360">
        <v>1381</v>
      </c>
      <c r="S169" s="360">
        <v>120.26</v>
      </c>
      <c r="T169" s="360">
        <v>1459</v>
      </c>
      <c r="U169" s="360">
        <v>136.53</v>
      </c>
      <c r="V169" s="360">
        <v>1147</v>
      </c>
      <c r="W169" s="360">
        <v>151.08000000000001</v>
      </c>
      <c r="X169" s="360">
        <v>58</v>
      </c>
      <c r="Y169" s="360">
        <v>170.07</v>
      </c>
      <c r="Z169" s="360">
        <v>5</v>
      </c>
      <c r="AA169" s="360">
        <v>195.65</v>
      </c>
      <c r="AB169" s="360">
        <v>1</v>
      </c>
      <c r="AC169" s="360">
        <v>0</v>
      </c>
      <c r="AD169" s="360">
        <v>0</v>
      </c>
      <c r="AE169" s="360">
        <v>0</v>
      </c>
      <c r="AF169" s="360">
        <v>0</v>
      </c>
      <c r="AG169" s="360">
        <v>0</v>
      </c>
      <c r="AH169" s="360">
        <v>0</v>
      </c>
      <c r="AI169" s="360">
        <v>0</v>
      </c>
      <c r="AJ169" s="360">
        <v>0</v>
      </c>
      <c r="AK169" s="360">
        <v>0</v>
      </c>
      <c r="AL169" s="360">
        <v>0</v>
      </c>
      <c r="AM169" s="360">
        <v>0</v>
      </c>
      <c r="AN169" s="360">
        <v>0</v>
      </c>
      <c r="AO169" s="360">
        <v>0</v>
      </c>
      <c r="AP169" s="360">
        <v>0</v>
      </c>
      <c r="AQ169" s="360">
        <v>0</v>
      </c>
      <c r="AR169" s="360">
        <v>0</v>
      </c>
      <c r="AS169" s="360">
        <v>289.61</v>
      </c>
      <c r="AT169" s="360">
        <v>33</v>
      </c>
      <c r="AU169" s="360">
        <v>289.61</v>
      </c>
      <c r="AV169" s="360">
        <v>33</v>
      </c>
      <c r="AW169" s="360">
        <v>0</v>
      </c>
      <c r="AX169" s="360">
        <v>0</v>
      </c>
      <c r="AY169" s="360">
        <v>0</v>
      </c>
      <c r="AZ169" s="360">
        <v>0</v>
      </c>
      <c r="BA169" s="360">
        <v>180.66</v>
      </c>
      <c r="BB169" s="360">
        <v>1</v>
      </c>
      <c r="BC169" s="360">
        <v>256.57</v>
      </c>
      <c r="BD169" s="360">
        <v>6</v>
      </c>
      <c r="BE169" s="360">
        <v>285.22000000000003</v>
      </c>
      <c r="BF169" s="360">
        <v>20</v>
      </c>
      <c r="BG169" s="360">
        <v>355.49</v>
      </c>
      <c r="BH169" s="360">
        <v>6</v>
      </c>
      <c r="BI169" s="360">
        <v>0</v>
      </c>
      <c r="BJ169" s="360">
        <v>0</v>
      </c>
      <c r="BK169" s="360">
        <v>0</v>
      </c>
      <c r="BL169" s="360">
        <v>0</v>
      </c>
      <c r="BM169" s="360">
        <v>0</v>
      </c>
      <c r="BN169" s="360">
        <v>0</v>
      </c>
      <c r="BO169" s="360">
        <v>0</v>
      </c>
      <c r="BP169" s="360">
        <v>0</v>
      </c>
      <c r="BQ169" s="360">
        <v>0</v>
      </c>
      <c r="BR169" s="360">
        <v>0</v>
      </c>
      <c r="BS169" s="360">
        <v>0</v>
      </c>
      <c r="BT169" s="360">
        <v>0</v>
      </c>
      <c r="BU169" s="360">
        <v>0</v>
      </c>
      <c r="BV169" s="360">
        <v>0</v>
      </c>
      <c r="BW169" s="360">
        <v>0</v>
      </c>
      <c r="BX169" s="360">
        <v>0</v>
      </c>
      <c r="BY169" s="360">
        <v>0</v>
      </c>
      <c r="BZ169" s="360">
        <v>0</v>
      </c>
      <c r="CA169" s="360">
        <v>0</v>
      </c>
      <c r="CB169" s="360">
        <v>0</v>
      </c>
      <c r="CC169" s="360">
        <v>39</v>
      </c>
      <c r="CD169" s="360" t="s">
        <v>479</v>
      </c>
    </row>
    <row r="170" spans="1:82" x14ac:dyDescent="0.35">
      <c r="A170" s="360" t="s">
        <v>480</v>
      </c>
      <c r="B170" s="360" t="s">
        <v>481</v>
      </c>
      <c r="C170" s="360" t="s">
        <v>73</v>
      </c>
      <c r="D170" s="360" t="s">
        <v>77</v>
      </c>
      <c r="E170" s="360">
        <v>3659</v>
      </c>
      <c r="F170" s="360">
        <v>2408</v>
      </c>
      <c r="G170" s="360">
        <v>0</v>
      </c>
      <c r="H170" s="360">
        <v>1251</v>
      </c>
      <c r="I170" s="360">
        <v>99.9</v>
      </c>
      <c r="J170" s="360">
        <v>2391</v>
      </c>
      <c r="K170" s="360">
        <v>99.9</v>
      </c>
      <c r="L170" s="360">
        <v>2391</v>
      </c>
      <c r="M170" s="360">
        <v>0</v>
      </c>
      <c r="N170" s="360">
        <v>0</v>
      </c>
      <c r="O170" s="360">
        <v>0</v>
      </c>
      <c r="P170" s="360">
        <v>0</v>
      </c>
      <c r="Q170" s="360">
        <v>83.12</v>
      </c>
      <c r="R170" s="360">
        <v>442</v>
      </c>
      <c r="S170" s="360">
        <v>97.62</v>
      </c>
      <c r="T170" s="360">
        <v>839</v>
      </c>
      <c r="U170" s="360">
        <v>107.73</v>
      </c>
      <c r="V170" s="360">
        <v>1059</v>
      </c>
      <c r="W170" s="360">
        <v>118.24</v>
      </c>
      <c r="X170" s="360">
        <v>46</v>
      </c>
      <c r="Y170" s="360">
        <v>141.47</v>
      </c>
      <c r="Z170" s="360">
        <v>5</v>
      </c>
      <c r="AA170" s="360">
        <v>0</v>
      </c>
      <c r="AB170" s="360">
        <v>0</v>
      </c>
      <c r="AC170" s="360">
        <v>91.41</v>
      </c>
      <c r="AD170" s="360">
        <v>1251</v>
      </c>
      <c r="AE170" s="360">
        <v>91.41</v>
      </c>
      <c r="AF170" s="360">
        <v>1251</v>
      </c>
      <c r="AG170" s="360">
        <v>0</v>
      </c>
      <c r="AH170" s="360">
        <v>0</v>
      </c>
      <c r="AI170" s="360">
        <v>76.680000000000007</v>
      </c>
      <c r="AJ170" s="360">
        <v>1</v>
      </c>
      <c r="AK170" s="360">
        <v>88.02</v>
      </c>
      <c r="AL170" s="360">
        <v>936</v>
      </c>
      <c r="AM170" s="360">
        <v>101.53</v>
      </c>
      <c r="AN170" s="360">
        <v>312</v>
      </c>
      <c r="AO170" s="360">
        <v>111.79</v>
      </c>
      <c r="AP170" s="360">
        <v>2</v>
      </c>
      <c r="AQ170" s="360">
        <v>0</v>
      </c>
      <c r="AR170" s="360">
        <v>0</v>
      </c>
      <c r="AS170" s="360">
        <v>152.34</v>
      </c>
      <c r="AT170" s="360">
        <v>17</v>
      </c>
      <c r="AU170" s="360">
        <v>152.34</v>
      </c>
      <c r="AV170" s="360">
        <v>17</v>
      </c>
      <c r="AW170" s="360">
        <v>0</v>
      </c>
      <c r="AX170" s="360">
        <v>0</v>
      </c>
      <c r="AY170" s="360">
        <v>0</v>
      </c>
      <c r="AZ170" s="360">
        <v>0</v>
      </c>
      <c r="BA170" s="360">
        <v>0</v>
      </c>
      <c r="BB170" s="360">
        <v>0</v>
      </c>
      <c r="BC170" s="360">
        <v>141.22999999999999</v>
      </c>
      <c r="BD170" s="360">
        <v>8</v>
      </c>
      <c r="BE170" s="360">
        <v>162.22</v>
      </c>
      <c r="BF170" s="360">
        <v>9</v>
      </c>
      <c r="BG170" s="360">
        <v>0</v>
      </c>
      <c r="BH170" s="360">
        <v>0</v>
      </c>
      <c r="BI170" s="360">
        <v>0</v>
      </c>
      <c r="BJ170" s="360">
        <v>0</v>
      </c>
      <c r="BK170" s="360">
        <v>0</v>
      </c>
      <c r="BL170" s="360">
        <v>0</v>
      </c>
      <c r="BM170" s="360">
        <v>0</v>
      </c>
      <c r="BN170" s="360">
        <v>0</v>
      </c>
      <c r="BO170" s="360">
        <v>0</v>
      </c>
      <c r="BP170" s="360">
        <v>0</v>
      </c>
      <c r="BQ170" s="360">
        <v>0</v>
      </c>
      <c r="BR170" s="360">
        <v>0</v>
      </c>
      <c r="BS170" s="360">
        <v>0</v>
      </c>
      <c r="BT170" s="360">
        <v>0</v>
      </c>
      <c r="BU170" s="360">
        <v>0</v>
      </c>
      <c r="BV170" s="360">
        <v>0</v>
      </c>
      <c r="BW170" s="360">
        <v>0</v>
      </c>
      <c r="BX170" s="360">
        <v>0</v>
      </c>
      <c r="BY170" s="360">
        <v>0</v>
      </c>
      <c r="BZ170" s="360">
        <v>0</v>
      </c>
      <c r="CA170" s="360">
        <v>0</v>
      </c>
      <c r="CB170" s="360">
        <v>0</v>
      </c>
      <c r="CC170" s="360">
        <v>0</v>
      </c>
      <c r="CD170" s="360" t="s">
        <v>482</v>
      </c>
    </row>
    <row r="171" spans="1:82" x14ac:dyDescent="0.35">
      <c r="A171" s="360" t="s">
        <v>483</v>
      </c>
      <c r="B171" s="360" t="s">
        <v>484</v>
      </c>
      <c r="C171" s="360" t="s">
        <v>71</v>
      </c>
      <c r="D171" s="360" t="s">
        <v>77</v>
      </c>
      <c r="E171" s="360">
        <v>2888</v>
      </c>
      <c r="F171" s="360">
        <v>2633</v>
      </c>
      <c r="G171" s="360">
        <v>8</v>
      </c>
      <c r="H171" s="360">
        <v>212</v>
      </c>
      <c r="I171" s="360">
        <v>117.95</v>
      </c>
      <c r="J171" s="360">
        <v>2602</v>
      </c>
      <c r="K171" s="360">
        <v>117.95</v>
      </c>
      <c r="L171" s="360">
        <v>2602</v>
      </c>
      <c r="M171" s="360">
        <v>0</v>
      </c>
      <c r="N171" s="360">
        <v>0</v>
      </c>
      <c r="O171" s="360">
        <v>77.52</v>
      </c>
      <c r="P171" s="360">
        <v>14</v>
      </c>
      <c r="Q171" s="360">
        <v>99.29</v>
      </c>
      <c r="R171" s="360">
        <v>693</v>
      </c>
      <c r="S171" s="360">
        <v>117.18</v>
      </c>
      <c r="T171" s="360">
        <v>711</v>
      </c>
      <c r="U171" s="360">
        <v>128.36000000000001</v>
      </c>
      <c r="V171" s="360">
        <v>1060</v>
      </c>
      <c r="W171" s="360">
        <v>140.34</v>
      </c>
      <c r="X171" s="360">
        <v>110</v>
      </c>
      <c r="Y171" s="360">
        <v>157.31</v>
      </c>
      <c r="Z171" s="360">
        <v>13</v>
      </c>
      <c r="AA171" s="360">
        <v>173.73</v>
      </c>
      <c r="AB171" s="360">
        <v>1</v>
      </c>
      <c r="AC171" s="360">
        <v>90.78</v>
      </c>
      <c r="AD171" s="360">
        <v>212</v>
      </c>
      <c r="AE171" s="360">
        <v>90.78</v>
      </c>
      <c r="AF171" s="360">
        <v>212</v>
      </c>
      <c r="AG171" s="360">
        <v>0</v>
      </c>
      <c r="AH171" s="360">
        <v>0</v>
      </c>
      <c r="AI171" s="360">
        <v>67.849999999999994</v>
      </c>
      <c r="AJ171" s="360">
        <v>25</v>
      </c>
      <c r="AK171" s="360">
        <v>93.3</v>
      </c>
      <c r="AL171" s="360">
        <v>179</v>
      </c>
      <c r="AM171" s="360">
        <v>106.08</v>
      </c>
      <c r="AN171" s="360">
        <v>8</v>
      </c>
      <c r="AO171" s="360">
        <v>0</v>
      </c>
      <c r="AP171" s="360">
        <v>0</v>
      </c>
      <c r="AQ171" s="360">
        <v>0</v>
      </c>
      <c r="AR171" s="360">
        <v>0</v>
      </c>
      <c r="AS171" s="360">
        <v>191.42</v>
      </c>
      <c r="AT171" s="360">
        <v>39</v>
      </c>
      <c r="AU171" s="360">
        <v>213.1</v>
      </c>
      <c r="AV171" s="360">
        <v>31</v>
      </c>
      <c r="AW171" s="360">
        <v>107.43</v>
      </c>
      <c r="AX171" s="360">
        <v>8</v>
      </c>
      <c r="AY171" s="360">
        <v>151.85</v>
      </c>
      <c r="AZ171" s="360">
        <v>2</v>
      </c>
      <c r="BA171" s="360">
        <v>175.78</v>
      </c>
      <c r="BB171" s="360">
        <v>4</v>
      </c>
      <c r="BC171" s="360">
        <v>222.53</v>
      </c>
      <c r="BD171" s="360">
        <v>23</v>
      </c>
      <c r="BE171" s="360">
        <v>231</v>
      </c>
      <c r="BF171" s="360">
        <v>1</v>
      </c>
      <c r="BG171" s="360">
        <v>250.29</v>
      </c>
      <c r="BH171" s="360">
        <v>1</v>
      </c>
      <c r="BI171" s="360">
        <v>0</v>
      </c>
      <c r="BJ171" s="360">
        <v>0</v>
      </c>
      <c r="BK171" s="360">
        <v>0</v>
      </c>
      <c r="BL171" s="360">
        <v>0</v>
      </c>
      <c r="BM171" s="360">
        <v>0</v>
      </c>
      <c r="BN171" s="360">
        <v>0</v>
      </c>
      <c r="BO171" s="360">
        <v>0</v>
      </c>
      <c r="BP171" s="360">
        <v>0</v>
      </c>
      <c r="BQ171" s="360">
        <v>0</v>
      </c>
      <c r="BR171" s="360">
        <v>0</v>
      </c>
      <c r="BS171" s="360">
        <v>0</v>
      </c>
      <c r="BT171" s="360">
        <v>0</v>
      </c>
      <c r="BU171" s="360">
        <v>0</v>
      </c>
      <c r="BV171" s="360">
        <v>0</v>
      </c>
      <c r="BW171" s="360">
        <v>0</v>
      </c>
      <c r="BX171" s="360">
        <v>0</v>
      </c>
      <c r="BY171" s="360">
        <v>0</v>
      </c>
      <c r="BZ171" s="360">
        <v>0</v>
      </c>
      <c r="CA171" s="360">
        <v>0</v>
      </c>
      <c r="CB171" s="360">
        <v>0</v>
      </c>
      <c r="CC171" s="360">
        <v>35</v>
      </c>
      <c r="CD171" s="360" t="s">
        <v>485</v>
      </c>
    </row>
    <row r="172" spans="1:82" x14ac:dyDescent="0.35">
      <c r="A172" s="360" t="s">
        <v>873</v>
      </c>
      <c r="B172" s="360" t="s">
        <v>874</v>
      </c>
      <c r="C172" s="360" t="s">
        <v>71</v>
      </c>
      <c r="D172" s="360" t="s">
        <v>77</v>
      </c>
      <c r="E172" s="360">
        <v>0</v>
      </c>
      <c r="F172" s="360">
        <v>0</v>
      </c>
      <c r="G172" s="360">
        <v>0</v>
      </c>
      <c r="H172" s="360">
        <v>0</v>
      </c>
      <c r="I172" s="360">
        <v>0</v>
      </c>
      <c r="J172" s="360">
        <v>0</v>
      </c>
      <c r="K172" s="360">
        <v>0</v>
      </c>
      <c r="L172" s="360">
        <v>0</v>
      </c>
      <c r="M172" s="360">
        <v>0</v>
      </c>
      <c r="N172" s="360">
        <v>0</v>
      </c>
      <c r="O172" s="360">
        <v>0</v>
      </c>
      <c r="P172" s="360">
        <v>0</v>
      </c>
      <c r="Q172" s="360">
        <v>0</v>
      </c>
      <c r="R172" s="360">
        <v>0</v>
      </c>
      <c r="S172" s="360">
        <v>0</v>
      </c>
      <c r="T172" s="360">
        <v>0</v>
      </c>
      <c r="U172" s="360">
        <v>0</v>
      </c>
      <c r="V172" s="360">
        <v>0</v>
      </c>
      <c r="W172" s="360">
        <v>0</v>
      </c>
      <c r="X172" s="360">
        <v>0</v>
      </c>
      <c r="Y172" s="360">
        <v>0</v>
      </c>
      <c r="Z172" s="360">
        <v>0</v>
      </c>
      <c r="AA172" s="360">
        <v>0</v>
      </c>
      <c r="AB172" s="360">
        <v>0</v>
      </c>
      <c r="AC172" s="360">
        <v>0</v>
      </c>
      <c r="AD172" s="360">
        <v>0</v>
      </c>
      <c r="AE172" s="360">
        <v>0</v>
      </c>
      <c r="AF172" s="360">
        <v>0</v>
      </c>
      <c r="AG172" s="360">
        <v>0</v>
      </c>
      <c r="AH172" s="360">
        <v>0</v>
      </c>
      <c r="AI172" s="360">
        <v>0</v>
      </c>
      <c r="AJ172" s="360">
        <v>0</v>
      </c>
      <c r="AK172" s="360">
        <v>0</v>
      </c>
      <c r="AL172" s="360">
        <v>0</v>
      </c>
      <c r="AM172" s="360">
        <v>0</v>
      </c>
      <c r="AN172" s="360">
        <v>0</v>
      </c>
      <c r="AO172" s="360">
        <v>0</v>
      </c>
      <c r="AP172" s="360">
        <v>0</v>
      </c>
      <c r="AQ172" s="360">
        <v>0</v>
      </c>
      <c r="AR172" s="360">
        <v>0</v>
      </c>
      <c r="AS172" s="360">
        <v>0</v>
      </c>
      <c r="AT172" s="360">
        <v>0</v>
      </c>
      <c r="AU172" s="360">
        <v>0</v>
      </c>
      <c r="AV172" s="360">
        <v>0</v>
      </c>
      <c r="AW172" s="360">
        <v>0</v>
      </c>
      <c r="AX172" s="360">
        <v>0</v>
      </c>
      <c r="AY172" s="360">
        <v>0</v>
      </c>
      <c r="AZ172" s="360">
        <v>0</v>
      </c>
      <c r="BA172" s="360">
        <v>0</v>
      </c>
      <c r="BB172" s="360">
        <v>0</v>
      </c>
      <c r="BC172" s="360">
        <v>0</v>
      </c>
      <c r="BD172" s="360">
        <v>0</v>
      </c>
      <c r="BE172" s="360">
        <v>0</v>
      </c>
      <c r="BF172" s="360">
        <v>0</v>
      </c>
      <c r="BG172" s="360">
        <v>0</v>
      </c>
      <c r="BH172" s="360">
        <v>0</v>
      </c>
      <c r="BI172" s="360">
        <v>0</v>
      </c>
      <c r="BJ172" s="360">
        <v>0</v>
      </c>
      <c r="BK172" s="360">
        <v>0</v>
      </c>
      <c r="BL172" s="360">
        <v>0</v>
      </c>
      <c r="BM172" s="360">
        <v>0</v>
      </c>
      <c r="BN172" s="360">
        <v>0</v>
      </c>
      <c r="BO172" s="360">
        <v>0</v>
      </c>
      <c r="BP172" s="360">
        <v>0</v>
      </c>
      <c r="BQ172" s="360">
        <v>0</v>
      </c>
      <c r="BR172" s="360">
        <v>0</v>
      </c>
      <c r="BS172" s="360">
        <v>0</v>
      </c>
      <c r="BT172" s="360">
        <v>0</v>
      </c>
      <c r="BU172" s="360">
        <v>0</v>
      </c>
      <c r="BV172" s="360">
        <v>0</v>
      </c>
      <c r="BW172" s="360">
        <v>0</v>
      </c>
      <c r="BX172" s="360">
        <v>0</v>
      </c>
      <c r="BY172" s="360">
        <v>0</v>
      </c>
      <c r="BZ172" s="360">
        <v>0</v>
      </c>
      <c r="CA172" s="360">
        <v>0</v>
      </c>
      <c r="CB172" s="360">
        <v>0</v>
      </c>
      <c r="CC172" s="360">
        <v>0</v>
      </c>
      <c r="CD172" s="360" t="s">
        <v>875</v>
      </c>
    </row>
    <row r="173" spans="1:82" x14ac:dyDescent="0.35">
      <c r="A173" s="360" t="s">
        <v>486</v>
      </c>
      <c r="B173" s="360" t="s">
        <v>487</v>
      </c>
      <c r="C173" s="360" t="s">
        <v>900</v>
      </c>
      <c r="D173" s="360" t="s">
        <v>77</v>
      </c>
      <c r="E173" s="360">
        <v>31</v>
      </c>
      <c r="F173" s="360">
        <v>2</v>
      </c>
      <c r="G173" s="360">
        <v>5</v>
      </c>
      <c r="H173" s="360">
        <v>24</v>
      </c>
      <c r="I173" s="360">
        <v>0</v>
      </c>
      <c r="J173" s="360">
        <v>0</v>
      </c>
      <c r="K173" s="360">
        <v>0</v>
      </c>
      <c r="L173" s="360">
        <v>0</v>
      </c>
      <c r="M173" s="360">
        <v>0</v>
      </c>
      <c r="N173" s="360">
        <v>0</v>
      </c>
      <c r="O173" s="360">
        <v>0</v>
      </c>
      <c r="P173" s="360">
        <v>0</v>
      </c>
      <c r="Q173" s="360">
        <v>0</v>
      </c>
      <c r="R173" s="360">
        <v>0</v>
      </c>
      <c r="S173" s="360">
        <v>0</v>
      </c>
      <c r="T173" s="360">
        <v>0</v>
      </c>
      <c r="U173" s="360">
        <v>0</v>
      </c>
      <c r="V173" s="360">
        <v>0</v>
      </c>
      <c r="W173" s="360">
        <v>0</v>
      </c>
      <c r="X173" s="360">
        <v>0</v>
      </c>
      <c r="Y173" s="360">
        <v>0</v>
      </c>
      <c r="Z173" s="360">
        <v>0</v>
      </c>
      <c r="AA173" s="360">
        <v>0</v>
      </c>
      <c r="AB173" s="360">
        <v>0</v>
      </c>
      <c r="AC173" s="360">
        <v>0</v>
      </c>
      <c r="AD173" s="360">
        <v>0</v>
      </c>
      <c r="AE173" s="360">
        <v>0</v>
      </c>
      <c r="AF173" s="360">
        <v>0</v>
      </c>
      <c r="AG173" s="360">
        <v>0</v>
      </c>
      <c r="AH173" s="360">
        <v>0</v>
      </c>
      <c r="AI173" s="360">
        <v>0</v>
      </c>
      <c r="AJ173" s="360">
        <v>0</v>
      </c>
      <c r="AK173" s="360">
        <v>0</v>
      </c>
      <c r="AL173" s="360">
        <v>0</v>
      </c>
      <c r="AM173" s="360">
        <v>0</v>
      </c>
      <c r="AN173" s="360">
        <v>0</v>
      </c>
      <c r="AO173" s="360">
        <v>0</v>
      </c>
      <c r="AP173" s="360">
        <v>0</v>
      </c>
      <c r="AQ173" s="360">
        <v>0</v>
      </c>
      <c r="AR173" s="360">
        <v>0</v>
      </c>
      <c r="AS173" s="360">
        <v>104.31</v>
      </c>
      <c r="AT173" s="360">
        <v>7</v>
      </c>
      <c r="AU173" s="360">
        <v>125.1</v>
      </c>
      <c r="AV173" s="360">
        <v>2</v>
      </c>
      <c r="AW173" s="360">
        <v>96</v>
      </c>
      <c r="AX173" s="360">
        <v>5</v>
      </c>
      <c r="AY173" s="360">
        <v>0</v>
      </c>
      <c r="AZ173" s="360">
        <v>0</v>
      </c>
      <c r="BA173" s="360">
        <v>115.38</v>
      </c>
      <c r="BB173" s="360">
        <v>1</v>
      </c>
      <c r="BC173" s="360">
        <v>134.82</v>
      </c>
      <c r="BD173" s="360">
        <v>1</v>
      </c>
      <c r="BE173" s="360">
        <v>0</v>
      </c>
      <c r="BF173" s="360">
        <v>0</v>
      </c>
      <c r="BG173" s="360">
        <v>0</v>
      </c>
      <c r="BH173" s="360">
        <v>0</v>
      </c>
      <c r="BI173" s="360">
        <v>0</v>
      </c>
      <c r="BJ173" s="360">
        <v>0</v>
      </c>
      <c r="BK173" s="360">
        <v>0</v>
      </c>
      <c r="BL173" s="360">
        <v>0</v>
      </c>
      <c r="BM173" s="360">
        <v>211.42</v>
      </c>
      <c r="BN173" s="360">
        <v>24</v>
      </c>
      <c r="BO173" s="360">
        <v>177.67</v>
      </c>
      <c r="BP173" s="360">
        <v>10</v>
      </c>
      <c r="BQ173" s="360">
        <v>235.53</v>
      </c>
      <c r="BR173" s="360">
        <v>14</v>
      </c>
      <c r="BS173" s="360">
        <v>212</v>
      </c>
      <c r="BT173" s="360">
        <v>2</v>
      </c>
      <c r="BU173" s="360">
        <v>169.09</v>
      </c>
      <c r="BV173" s="360">
        <v>8</v>
      </c>
      <c r="BW173" s="360">
        <v>0</v>
      </c>
      <c r="BX173" s="360">
        <v>0</v>
      </c>
      <c r="BY173" s="360">
        <v>0</v>
      </c>
      <c r="BZ173" s="360">
        <v>0</v>
      </c>
      <c r="CA173" s="360">
        <v>0</v>
      </c>
      <c r="CB173" s="360">
        <v>0</v>
      </c>
      <c r="CC173" s="360">
        <v>0</v>
      </c>
      <c r="CD173" s="360" t="s">
        <v>488</v>
      </c>
    </row>
    <row r="174" spans="1:82" x14ac:dyDescent="0.35">
      <c r="A174" s="360" t="s">
        <v>489</v>
      </c>
      <c r="B174" s="360" t="s">
        <v>490</v>
      </c>
      <c r="C174" s="360" t="s">
        <v>70</v>
      </c>
      <c r="D174" s="360" t="s">
        <v>77</v>
      </c>
      <c r="E174" s="360">
        <v>1209</v>
      </c>
      <c r="F174" s="360">
        <v>1183</v>
      </c>
      <c r="G174" s="360">
        <v>0</v>
      </c>
      <c r="H174" s="360">
        <v>26</v>
      </c>
      <c r="I174" s="360">
        <v>93.47</v>
      </c>
      <c r="J174" s="360">
        <v>1183</v>
      </c>
      <c r="K174" s="360">
        <v>93.47</v>
      </c>
      <c r="L174" s="360">
        <v>1183</v>
      </c>
      <c r="M174" s="360">
        <v>0</v>
      </c>
      <c r="N174" s="360">
        <v>0</v>
      </c>
      <c r="O174" s="360">
        <v>76.260000000000005</v>
      </c>
      <c r="P174" s="360">
        <v>8</v>
      </c>
      <c r="Q174" s="360">
        <v>84.31</v>
      </c>
      <c r="R174" s="360">
        <v>291</v>
      </c>
      <c r="S174" s="360">
        <v>93.98</v>
      </c>
      <c r="T174" s="360">
        <v>738</v>
      </c>
      <c r="U174" s="360">
        <v>108.36</v>
      </c>
      <c r="V174" s="360">
        <v>120</v>
      </c>
      <c r="W174" s="360">
        <v>118.25</v>
      </c>
      <c r="X174" s="360">
        <v>26</v>
      </c>
      <c r="Y174" s="360">
        <v>0</v>
      </c>
      <c r="Z174" s="360">
        <v>0</v>
      </c>
      <c r="AA174" s="360">
        <v>0</v>
      </c>
      <c r="AB174" s="360">
        <v>0</v>
      </c>
      <c r="AC174" s="360">
        <v>86.27</v>
      </c>
      <c r="AD174" s="360">
        <v>26</v>
      </c>
      <c r="AE174" s="360">
        <v>86.27</v>
      </c>
      <c r="AF174" s="360">
        <v>26</v>
      </c>
      <c r="AG174" s="360">
        <v>0</v>
      </c>
      <c r="AH174" s="360">
        <v>0</v>
      </c>
      <c r="AI174" s="360">
        <v>0</v>
      </c>
      <c r="AJ174" s="360">
        <v>0</v>
      </c>
      <c r="AK174" s="360">
        <v>85.62</v>
      </c>
      <c r="AL174" s="360">
        <v>25</v>
      </c>
      <c r="AM174" s="360">
        <v>0</v>
      </c>
      <c r="AN174" s="360">
        <v>0</v>
      </c>
      <c r="AO174" s="360">
        <v>102.74</v>
      </c>
      <c r="AP174" s="360">
        <v>1</v>
      </c>
      <c r="AQ174" s="360">
        <v>0</v>
      </c>
      <c r="AR174" s="360">
        <v>0</v>
      </c>
      <c r="AS174" s="360">
        <v>0</v>
      </c>
      <c r="AT174" s="360">
        <v>0</v>
      </c>
      <c r="AU174" s="360">
        <v>0</v>
      </c>
      <c r="AV174" s="360">
        <v>0</v>
      </c>
      <c r="AW174" s="360">
        <v>0</v>
      </c>
      <c r="AX174" s="360">
        <v>0</v>
      </c>
      <c r="AY174" s="360">
        <v>0</v>
      </c>
      <c r="AZ174" s="360">
        <v>0</v>
      </c>
      <c r="BA174" s="360">
        <v>0</v>
      </c>
      <c r="BB174" s="360">
        <v>0</v>
      </c>
      <c r="BC174" s="360">
        <v>0</v>
      </c>
      <c r="BD174" s="360">
        <v>0</v>
      </c>
      <c r="BE174" s="360">
        <v>0</v>
      </c>
      <c r="BF174" s="360">
        <v>0</v>
      </c>
      <c r="BG174" s="360">
        <v>0</v>
      </c>
      <c r="BH174" s="360">
        <v>0</v>
      </c>
      <c r="BI174" s="360">
        <v>0</v>
      </c>
      <c r="BJ174" s="360">
        <v>0</v>
      </c>
      <c r="BK174" s="360">
        <v>0</v>
      </c>
      <c r="BL174" s="360">
        <v>0</v>
      </c>
      <c r="BM174" s="360">
        <v>0</v>
      </c>
      <c r="BN174" s="360">
        <v>0</v>
      </c>
      <c r="BO174" s="360">
        <v>0</v>
      </c>
      <c r="BP174" s="360">
        <v>0</v>
      </c>
      <c r="BQ174" s="360">
        <v>0</v>
      </c>
      <c r="BR174" s="360">
        <v>0</v>
      </c>
      <c r="BS174" s="360">
        <v>0</v>
      </c>
      <c r="BT174" s="360">
        <v>0</v>
      </c>
      <c r="BU174" s="360">
        <v>0</v>
      </c>
      <c r="BV174" s="360">
        <v>0</v>
      </c>
      <c r="BW174" s="360">
        <v>0</v>
      </c>
      <c r="BX174" s="360">
        <v>0</v>
      </c>
      <c r="BY174" s="360">
        <v>0</v>
      </c>
      <c r="BZ174" s="360">
        <v>0</v>
      </c>
      <c r="CA174" s="360">
        <v>0</v>
      </c>
      <c r="CB174" s="360">
        <v>0</v>
      </c>
      <c r="CC174" s="360">
        <v>0</v>
      </c>
      <c r="CD174" s="360" t="s">
        <v>491</v>
      </c>
    </row>
    <row r="175" spans="1:82" x14ac:dyDescent="0.35">
      <c r="A175" s="360" t="s">
        <v>492</v>
      </c>
      <c r="B175" s="360" t="s">
        <v>493</v>
      </c>
      <c r="C175" s="360" t="s">
        <v>73</v>
      </c>
      <c r="D175" s="360" t="s">
        <v>77</v>
      </c>
      <c r="E175" s="360">
        <v>28139</v>
      </c>
      <c r="F175" s="360">
        <v>27876</v>
      </c>
      <c r="G175" s="360">
        <v>0</v>
      </c>
      <c r="H175" s="360">
        <v>263</v>
      </c>
      <c r="I175" s="360">
        <v>82.92</v>
      </c>
      <c r="J175" s="360">
        <v>27308</v>
      </c>
      <c r="K175" s="360">
        <v>82.92</v>
      </c>
      <c r="L175" s="360">
        <v>27308</v>
      </c>
      <c r="M175" s="360">
        <v>0</v>
      </c>
      <c r="N175" s="360">
        <v>0</v>
      </c>
      <c r="O175" s="360">
        <v>59.61</v>
      </c>
      <c r="P175" s="360">
        <v>44</v>
      </c>
      <c r="Q175" s="360">
        <v>71.88</v>
      </c>
      <c r="R175" s="360">
        <v>7366</v>
      </c>
      <c r="S175" s="360">
        <v>79.42</v>
      </c>
      <c r="T175" s="360">
        <v>7825</v>
      </c>
      <c r="U175" s="360">
        <v>91.58</v>
      </c>
      <c r="V175" s="360">
        <v>11479</v>
      </c>
      <c r="W175" s="360">
        <v>100.14</v>
      </c>
      <c r="X175" s="360">
        <v>584</v>
      </c>
      <c r="Y175" s="360">
        <v>105.71</v>
      </c>
      <c r="Z175" s="360">
        <v>6</v>
      </c>
      <c r="AA175" s="360">
        <v>115.06</v>
      </c>
      <c r="AB175" s="360">
        <v>4</v>
      </c>
      <c r="AC175" s="360">
        <v>72</v>
      </c>
      <c r="AD175" s="360">
        <v>80</v>
      </c>
      <c r="AE175" s="360">
        <v>72</v>
      </c>
      <c r="AF175" s="360">
        <v>80</v>
      </c>
      <c r="AG175" s="360">
        <v>0</v>
      </c>
      <c r="AH175" s="360">
        <v>0</v>
      </c>
      <c r="AI175" s="360">
        <v>0</v>
      </c>
      <c r="AJ175" s="360">
        <v>0</v>
      </c>
      <c r="AK175" s="360">
        <v>71.209999999999994</v>
      </c>
      <c r="AL175" s="360">
        <v>77</v>
      </c>
      <c r="AM175" s="360">
        <v>0</v>
      </c>
      <c r="AN175" s="360">
        <v>0</v>
      </c>
      <c r="AO175" s="360">
        <v>92.3</v>
      </c>
      <c r="AP175" s="360">
        <v>3</v>
      </c>
      <c r="AQ175" s="360">
        <v>0</v>
      </c>
      <c r="AR175" s="360">
        <v>0</v>
      </c>
      <c r="AS175" s="360">
        <v>119.72</v>
      </c>
      <c r="AT175" s="360">
        <v>568</v>
      </c>
      <c r="AU175" s="360">
        <v>119.72</v>
      </c>
      <c r="AV175" s="360">
        <v>568</v>
      </c>
      <c r="AW175" s="360">
        <v>0</v>
      </c>
      <c r="AX175" s="360">
        <v>0</v>
      </c>
      <c r="AY175" s="360">
        <v>0</v>
      </c>
      <c r="AZ175" s="360">
        <v>0</v>
      </c>
      <c r="BA175" s="360">
        <v>87.48</v>
      </c>
      <c r="BB175" s="360">
        <v>41</v>
      </c>
      <c r="BC175" s="360">
        <v>113.45</v>
      </c>
      <c r="BD175" s="360">
        <v>277</v>
      </c>
      <c r="BE175" s="360">
        <v>127.65</v>
      </c>
      <c r="BF175" s="360">
        <v>176</v>
      </c>
      <c r="BG175" s="360">
        <v>140.72</v>
      </c>
      <c r="BH175" s="360">
        <v>68</v>
      </c>
      <c r="BI175" s="360">
        <v>140.30000000000001</v>
      </c>
      <c r="BJ175" s="360">
        <v>5</v>
      </c>
      <c r="BK175" s="360">
        <v>254.21</v>
      </c>
      <c r="BL175" s="360">
        <v>1</v>
      </c>
      <c r="BM175" s="360">
        <v>127.56</v>
      </c>
      <c r="BN175" s="360">
        <v>183</v>
      </c>
      <c r="BO175" s="360">
        <v>127.56</v>
      </c>
      <c r="BP175" s="360">
        <v>183</v>
      </c>
      <c r="BQ175" s="360">
        <v>0</v>
      </c>
      <c r="BR175" s="360">
        <v>0</v>
      </c>
      <c r="BS175" s="360">
        <v>0</v>
      </c>
      <c r="BT175" s="360">
        <v>0</v>
      </c>
      <c r="BU175" s="360">
        <v>131.49</v>
      </c>
      <c r="BV175" s="360">
        <v>106</v>
      </c>
      <c r="BW175" s="360">
        <v>122.15</v>
      </c>
      <c r="BX175" s="360">
        <v>77</v>
      </c>
      <c r="BY175" s="360">
        <v>0</v>
      </c>
      <c r="BZ175" s="360">
        <v>0</v>
      </c>
      <c r="CA175" s="360">
        <v>0</v>
      </c>
      <c r="CB175" s="360">
        <v>0</v>
      </c>
      <c r="CC175" s="360">
        <v>0</v>
      </c>
      <c r="CD175" s="360" t="s">
        <v>494</v>
      </c>
    </row>
    <row r="176" spans="1:82" x14ac:dyDescent="0.35">
      <c r="A176" s="360" t="s">
        <v>495</v>
      </c>
      <c r="B176" s="360" t="s">
        <v>496</v>
      </c>
      <c r="C176" s="360" t="s">
        <v>72</v>
      </c>
      <c r="D176" s="360" t="s">
        <v>77</v>
      </c>
      <c r="E176" s="360">
        <v>4012</v>
      </c>
      <c r="F176" s="360">
        <v>3015</v>
      </c>
      <c r="G176" s="360">
        <v>0</v>
      </c>
      <c r="H176" s="360">
        <v>921</v>
      </c>
      <c r="I176" s="360">
        <v>84.45</v>
      </c>
      <c r="J176" s="360">
        <v>2884</v>
      </c>
      <c r="K176" s="360">
        <v>84.45</v>
      </c>
      <c r="L176" s="360">
        <v>2884</v>
      </c>
      <c r="M176" s="360">
        <v>0</v>
      </c>
      <c r="N176" s="360">
        <v>0</v>
      </c>
      <c r="O176" s="360">
        <v>60.41</v>
      </c>
      <c r="P176" s="360">
        <v>93</v>
      </c>
      <c r="Q176" s="360">
        <v>72.86</v>
      </c>
      <c r="R176" s="360">
        <v>436</v>
      </c>
      <c r="S176" s="360">
        <v>80.97</v>
      </c>
      <c r="T176" s="360">
        <v>784</v>
      </c>
      <c r="U176" s="360">
        <v>90.55</v>
      </c>
      <c r="V176" s="360">
        <v>1515</v>
      </c>
      <c r="W176" s="360">
        <v>98.29</v>
      </c>
      <c r="X176" s="360">
        <v>55</v>
      </c>
      <c r="Y176" s="360">
        <v>102.91</v>
      </c>
      <c r="Z176" s="360">
        <v>1</v>
      </c>
      <c r="AA176" s="360">
        <v>0</v>
      </c>
      <c r="AB176" s="360">
        <v>0</v>
      </c>
      <c r="AC176" s="360">
        <v>74.47</v>
      </c>
      <c r="AD176" s="360">
        <v>921</v>
      </c>
      <c r="AE176" s="360">
        <v>74.47</v>
      </c>
      <c r="AF176" s="360">
        <v>921</v>
      </c>
      <c r="AG176" s="360">
        <v>0</v>
      </c>
      <c r="AH176" s="360">
        <v>0</v>
      </c>
      <c r="AI176" s="360">
        <v>61.52</v>
      </c>
      <c r="AJ176" s="360">
        <v>31</v>
      </c>
      <c r="AK176" s="360">
        <v>73.84</v>
      </c>
      <c r="AL176" s="360">
        <v>795</v>
      </c>
      <c r="AM176" s="360">
        <v>83.15</v>
      </c>
      <c r="AN176" s="360">
        <v>88</v>
      </c>
      <c r="AO176" s="360">
        <v>94.69</v>
      </c>
      <c r="AP176" s="360">
        <v>7</v>
      </c>
      <c r="AQ176" s="360">
        <v>0</v>
      </c>
      <c r="AR176" s="360">
        <v>0</v>
      </c>
      <c r="AS176" s="360">
        <v>126.86</v>
      </c>
      <c r="AT176" s="360">
        <v>131</v>
      </c>
      <c r="AU176" s="360">
        <v>126.86</v>
      </c>
      <c r="AV176" s="360">
        <v>131</v>
      </c>
      <c r="AW176" s="360">
        <v>0</v>
      </c>
      <c r="AX176" s="360">
        <v>0</v>
      </c>
      <c r="AY176" s="360">
        <v>0</v>
      </c>
      <c r="AZ176" s="360">
        <v>0</v>
      </c>
      <c r="BA176" s="360">
        <v>98.43</v>
      </c>
      <c r="BB176" s="360">
        <v>38</v>
      </c>
      <c r="BC176" s="360">
        <v>124.79</v>
      </c>
      <c r="BD176" s="360">
        <v>55</v>
      </c>
      <c r="BE176" s="360">
        <v>150.38999999999999</v>
      </c>
      <c r="BF176" s="360">
        <v>32</v>
      </c>
      <c r="BG176" s="360">
        <v>199.74</v>
      </c>
      <c r="BH176" s="360">
        <v>4</v>
      </c>
      <c r="BI176" s="360">
        <v>0</v>
      </c>
      <c r="BJ176" s="360">
        <v>0</v>
      </c>
      <c r="BK176" s="360">
        <v>201.75</v>
      </c>
      <c r="BL176" s="360">
        <v>2</v>
      </c>
      <c r="BM176" s="360">
        <v>0</v>
      </c>
      <c r="BN176" s="360">
        <v>0</v>
      </c>
      <c r="BO176" s="360">
        <v>0</v>
      </c>
      <c r="BP176" s="360">
        <v>0</v>
      </c>
      <c r="BQ176" s="360">
        <v>0</v>
      </c>
      <c r="BR176" s="360">
        <v>0</v>
      </c>
      <c r="BS176" s="360">
        <v>0</v>
      </c>
      <c r="BT176" s="360">
        <v>0</v>
      </c>
      <c r="BU176" s="360">
        <v>0</v>
      </c>
      <c r="BV176" s="360">
        <v>0</v>
      </c>
      <c r="BW176" s="360">
        <v>0</v>
      </c>
      <c r="BX176" s="360">
        <v>0</v>
      </c>
      <c r="BY176" s="360">
        <v>0</v>
      </c>
      <c r="BZ176" s="360">
        <v>0</v>
      </c>
      <c r="CA176" s="360">
        <v>0</v>
      </c>
      <c r="CB176" s="360">
        <v>0</v>
      </c>
      <c r="CC176" s="360">
        <v>76</v>
      </c>
      <c r="CD176" s="360" t="s">
        <v>497</v>
      </c>
    </row>
    <row r="177" spans="1:82" x14ac:dyDescent="0.35">
      <c r="A177" s="360" t="s">
        <v>876</v>
      </c>
      <c r="B177" s="360" t="s">
        <v>877</v>
      </c>
      <c r="C177" s="360" t="s">
        <v>70</v>
      </c>
      <c r="D177" s="360" t="s">
        <v>77</v>
      </c>
      <c r="E177" s="360">
        <v>0</v>
      </c>
      <c r="F177" s="360">
        <v>0</v>
      </c>
      <c r="G177" s="360">
        <v>0</v>
      </c>
      <c r="H177" s="360">
        <v>0</v>
      </c>
      <c r="I177" s="360">
        <v>0</v>
      </c>
      <c r="J177" s="360">
        <v>0</v>
      </c>
      <c r="K177" s="360">
        <v>0</v>
      </c>
      <c r="L177" s="360">
        <v>0</v>
      </c>
      <c r="M177" s="360">
        <v>0</v>
      </c>
      <c r="N177" s="360">
        <v>0</v>
      </c>
      <c r="O177" s="360">
        <v>0</v>
      </c>
      <c r="P177" s="360">
        <v>0</v>
      </c>
      <c r="Q177" s="360">
        <v>0</v>
      </c>
      <c r="R177" s="360">
        <v>0</v>
      </c>
      <c r="S177" s="360">
        <v>0</v>
      </c>
      <c r="T177" s="360">
        <v>0</v>
      </c>
      <c r="U177" s="360">
        <v>0</v>
      </c>
      <c r="V177" s="360">
        <v>0</v>
      </c>
      <c r="W177" s="360">
        <v>0</v>
      </c>
      <c r="X177" s="360">
        <v>0</v>
      </c>
      <c r="Y177" s="360">
        <v>0</v>
      </c>
      <c r="Z177" s="360">
        <v>0</v>
      </c>
      <c r="AA177" s="360">
        <v>0</v>
      </c>
      <c r="AB177" s="360">
        <v>0</v>
      </c>
      <c r="AC177" s="360">
        <v>0</v>
      </c>
      <c r="AD177" s="360">
        <v>0</v>
      </c>
      <c r="AE177" s="360">
        <v>0</v>
      </c>
      <c r="AF177" s="360">
        <v>0</v>
      </c>
      <c r="AG177" s="360">
        <v>0</v>
      </c>
      <c r="AH177" s="360">
        <v>0</v>
      </c>
      <c r="AI177" s="360">
        <v>0</v>
      </c>
      <c r="AJ177" s="360">
        <v>0</v>
      </c>
      <c r="AK177" s="360">
        <v>0</v>
      </c>
      <c r="AL177" s="360">
        <v>0</v>
      </c>
      <c r="AM177" s="360">
        <v>0</v>
      </c>
      <c r="AN177" s="360">
        <v>0</v>
      </c>
      <c r="AO177" s="360">
        <v>0</v>
      </c>
      <c r="AP177" s="360">
        <v>0</v>
      </c>
      <c r="AQ177" s="360">
        <v>0</v>
      </c>
      <c r="AR177" s="360">
        <v>0</v>
      </c>
      <c r="AS177" s="360">
        <v>0</v>
      </c>
      <c r="AT177" s="360">
        <v>0</v>
      </c>
      <c r="AU177" s="360">
        <v>0</v>
      </c>
      <c r="AV177" s="360">
        <v>0</v>
      </c>
      <c r="AW177" s="360">
        <v>0</v>
      </c>
      <c r="AX177" s="360">
        <v>0</v>
      </c>
      <c r="AY177" s="360">
        <v>0</v>
      </c>
      <c r="AZ177" s="360">
        <v>0</v>
      </c>
      <c r="BA177" s="360">
        <v>0</v>
      </c>
      <c r="BB177" s="360">
        <v>0</v>
      </c>
      <c r="BC177" s="360">
        <v>0</v>
      </c>
      <c r="BD177" s="360">
        <v>0</v>
      </c>
      <c r="BE177" s="360">
        <v>0</v>
      </c>
      <c r="BF177" s="360">
        <v>0</v>
      </c>
      <c r="BG177" s="360">
        <v>0</v>
      </c>
      <c r="BH177" s="360">
        <v>0</v>
      </c>
      <c r="BI177" s="360">
        <v>0</v>
      </c>
      <c r="BJ177" s="360">
        <v>0</v>
      </c>
      <c r="BK177" s="360">
        <v>0</v>
      </c>
      <c r="BL177" s="360">
        <v>0</v>
      </c>
      <c r="BM177" s="360">
        <v>0</v>
      </c>
      <c r="BN177" s="360">
        <v>0</v>
      </c>
      <c r="BO177" s="360">
        <v>0</v>
      </c>
      <c r="BP177" s="360">
        <v>0</v>
      </c>
      <c r="BQ177" s="360">
        <v>0</v>
      </c>
      <c r="BR177" s="360">
        <v>0</v>
      </c>
      <c r="BS177" s="360">
        <v>0</v>
      </c>
      <c r="BT177" s="360">
        <v>0</v>
      </c>
      <c r="BU177" s="360">
        <v>0</v>
      </c>
      <c r="BV177" s="360">
        <v>0</v>
      </c>
      <c r="BW177" s="360">
        <v>0</v>
      </c>
      <c r="BX177" s="360">
        <v>0</v>
      </c>
      <c r="BY177" s="360">
        <v>0</v>
      </c>
      <c r="BZ177" s="360">
        <v>0</v>
      </c>
      <c r="CA177" s="360">
        <v>0</v>
      </c>
      <c r="CB177" s="360">
        <v>0</v>
      </c>
      <c r="CC177" s="360">
        <v>0</v>
      </c>
      <c r="CD177" s="360" t="s">
        <v>878</v>
      </c>
    </row>
    <row r="178" spans="1:82" x14ac:dyDescent="0.35">
      <c r="A178" s="360" t="s">
        <v>498</v>
      </c>
      <c r="B178" s="360" t="s">
        <v>499</v>
      </c>
      <c r="C178" s="360" t="s">
        <v>900</v>
      </c>
      <c r="D178" s="360" t="s">
        <v>77</v>
      </c>
      <c r="E178" s="360">
        <v>3010</v>
      </c>
      <c r="F178" s="360">
        <v>3000</v>
      </c>
      <c r="G178" s="360">
        <v>10</v>
      </c>
      <c r="H178" s="360">
        <v>0</v>
      </c>
      <c r="I178" s="360">
        <v>82.7</v>
      </c>
      <c r="J178" s="360">
        <v>2971</v>
      </c>
      <c r="K178" s="360">
        <v>82.61</v>
      </c>
      <c r="L178" s="360">
        <v>2961</v>
      </c>
      <c r="M178" s="360">
        <v>107.28</v>
      </c>
      <c r="N178" s="360">
        <v>10</v>
      </c>
      <c r="O178" s="360">
        <v>61.82</v>
      </c>
      <c r="P178" s="360">
        <v>29</v>
      </c>
      <c r="Q178" s="360">
        <v>72.03</v>
      </c>
      <c r="R178" s="360">
        <v>713</v>
      </c>
      <c r="S178" s="360">
        <v>81.709999999999994</v>
      </c>
      <c r="T178" s="360">
        <v>1226</v>
      </c>
      <c r="U178" s="360">
        <v>91.61</v>
      </c>
      <c r="V178" s="360">
        <v>955</v>
      </c>
      <c r="W178" s="360">
        <v>99.78</v>
      </c>
      <c r="X178" s="360">
        <v>35</v>
      </c>
      <c r="Y178" s="360">
        <v>108.52</v>
      </c>
      <c r="Z178" s="360">
        <v>3</v>
      </c>
      <c r="AA178" s="360">
        <v>0</v>
      </c>
      <c r="AB178" s="360">
        <v>0</v>
      </c>
      <c r="AC178" s="360">
        <v>0</v>
      </c>
      <c r="AD178" s="360">
        <v>0</v>
      </c>
      <c r="AE178" s="360">
        <v>0</v>
      </c>
      <c r="AF178" s="360">
        <v>0</v>
      </c>
      <c r="AG178" s="360">
        <v>0</v>
      </c>
      <c r="AH178" s="360">
        <v>0</v>
      </c>
      <c r="AI178" s="360">
        <v>0</v>
      </c>
      <c r="AJ178" s="360">
        <v>0</v>
      </c>
      <c r="AK178" s="360">
        <v>0</v>
      </c>
      <c r="AL178" s="360">
        <v>0</v>
      </c>
      <c r="AM178" s="360">
        <v>0</v>
      </c>
      <c r="AN178" s="360">
        <v>0</v>
      </c>
      <c r="AO178" s="360">
        <v>0</v>
      </c>
      <c r="AP178" s="360">
        <v>0</v>
      </c>
      <c r="AQ178" s="360">
        <v>0</v>
      </c>
      <c r="AR178" s="360">
        <v>0</v>
      </c>
      <c r="AS178" s="360">
        <v>119.97</v>
      </c>
      <c r="AT178" s="360">
        <v>39</v>
      </c>
      <c r="AU178" s="360">
        <v>119.97</v>
      </c>
      <c r="AV178" s="360">
        <v>39</v>
      </c>
      <c r="AW178" s="360">
        <v>0</v>
      </c>
      <c r="AX178" s="360">
        <v>0</v>
      </c>
      <c r="AY178" s="360">
        <v>0</v>
      </c>
      <c r="AZ178" s="360">
        <v>0</v>
      </c>
      <c r="BA178" s="360">
        <v>97.1</v>
      </c>
      <c r="BB178" s="360">
        <v>4</v>
      </c>
      <c r="BC178" s="360">
        <v>118.63</v>
      </c>
      <c r="BD178" s="360">
        <v>26</v>
      </c>
      <c r="BE178" s="360">
        <v>131.52000000000001</v>
      </c>
      <c r="BF178" s="360">
        <v>8</v>
      </c>
      <c r="BG178" s="360">
        <v>154.05000000000001</v>
      </c>
      <c r="BH178" s="360">
        <v>1</v>
      </c>
      <c r="BI178" s="360">
        <v>0</v>
      </c>
      <c r="BJ178" s="360">
        <v>0</v>
      </c>
      <c r="BK178" s="360">
        <v>0</v>
      </c>
      <c r="BL178" s="360">
        <v>0</v>
      </c>
      <c r="BM178" s="360">
        <v>0</v>
      </c>
      <c r="BN178" s="360">
        <v>0</v>
      </c>
      <c r="BO178" s="360">
        <v>0</v>
      </c>
      <c r="BP178" s="360">
        <v>0</v>
      </c>
      <c r="BQ178" s="360">
        <v>0</v>
      </c>
      <c r="BR178" s="360">
        <v>0</v>
      </c>
      <c r="BS178" s="360">
        <v>0</v>
      </c>
      <c r="BT178" s="360">
        <v>0</v>
      </c>
      <c r="BU178" s="360">
        <v>0</v>
      </c>
      <c r="BV178" s="360">
        <v>0</v>
      </c>
      <c r="BW178" s="360">
        <v>0</v>
      </c>
      <c r="BX178" s="360">
        <v>0</v>
      </c>
      <c r="BY178" s="360">
        <v>0</v>
      </c>
      <c r="BZ178" s="360">
        <v>0</v>
      </c>
      <c r="CA178" s="360">
        <v>0</v>
      </c>
      <c r="CB178" s="360">
        <v>0</v>
      </c>
      <c r="CC178" s="360">
        <v>0</v>
      </c>
      <c r="CD178" s="360" t="s">
        <v>500</v>
      </c>
    </row>
    <row r="179" spans="1:82" x14ac:dyDescent="0.35">
      <c r="A179" s="360" t="s">
        <v>501</v>
      </c>
      <c r="B179" s="360" t="s">
        <v>502</v>
      </c>
      <c r="C179" s="360" t="s">
        <v>900</v>
      </c>
      <c r="D179" s="360" t="s">
        <v>77</v>
      </c>
      <c r="E179" s="360">
        <v>38405</v>
      </c>
      <c r="F179" s="360">
        <v>37109</v>
      </c>
      <c r="G179" s="360">
        <v>0</v>
      </c>
      <c r="H179" s="360">
        <v>1288</v>
      </c>
      <c r="I179" s="360">
        <v>78.17</v>
      </c>
      <c r="J179" s="360">
        <v>36410</v>
      </c>
      <c r="K179" s="360">
        <v>78.17</v>
      </c>
      <c r="L179" s="360">
        <v>36410</v>
      </c>
      <c r="M179" s="360">
        <v>0</v>
      </c>
      <c r="N179" s="360">
        <v>0</v>
      </c>
      <c r="O179" s="360">
        <v>65.08</v>
      </c>
      <c r="P179" s="360">
        <v>176</v>
      </c>
      <c r="Q179" s="360">
        <v>69.78</v>
      </c>
      <c r="R179" s="360">
        <v>12638</v>
      </c>
      <c r="S179" s="360">
        <v>78.989999999999995</v>
      </c>
      <c r="T179" s="360">
        <v>13213</v>
      </c>
      <c r="U179" s="360">
        <v>87.32</v>
      </c>
      <c r="V179" s="360">
        <v>10033</v>
      </c>
      <c r="W179" s="360">
        <v>94.38</v>
      </c>
      <c r="X179" s="360">
        <v>330</v>
      </c>
      <c r="Y179" s="360">
        <v>97.78</v>
      </c>
      <c r="Z179" s="360">
        <v>17</v>
      </c>
      <c r="AA179" s="360">
        <v>110.54</v>
      </c>
      <c r="AB179" s="360">
        <v>3</v>
      </c>
      <c r="AC179" s="360">
        <v>69.33</v>
      </c>
      <c r="AD179" s="360">
        <v>1146</v>
      </c>
      <c r="AE179" s="360">
        <v>69.33</v>
      </c>
      <c r="AF179" s="360">
        <v>1146</v>
      </c>
      <c r="AG179" s="360">
        <v>0</v>
      </c>
      <c r="AH179" s="360">
        <v>0</v>
      </c>
      <c r="AI179" s="360">
        <v>59.24</v>
      </c>
      <c r="AJ179" s="360">
        <v>175</v>
      </c>
      <c r="AK179" s="360">
        <v>68.7</v>
      </c>
      <c r="AL179" s="360">
        <v>783</v>
      </c>
      <c r="AM179" s="360">
        <v>81.180000000000007</v>
      </c>
      <c r="AN179" s="360">
        <v>178</v>
      </c>
      <c r="AO179" s="360">
        <v>84.62</v>
      </c>
      <c r="AP179" s="360">
        <v>10</v>
      </c>
      <c r="AQ179" s="360">
        <v>0</v>
      </c>
      <c r="AR179" s="360">
        <v>0</v>
      </c>
      <c r="AS179" s="360">
        <v>114</v>
      </c>
      <c r="AT179" s="360">
        <v>699</v>
      </c>
      <c r="AU179" s="360">
        <v>114</v>
      </c>
      <c r="AV179" s="360">
        <v>699</v>
      </c>
      <c r="AW179" s="360">
        <v>0</v>
      </c>
      <c r="AX179" s="360">
        <v>0</v>
      </c>
      <c r="AY179" s="360">
        <v>0</v>
      </c>
      <c r="AZ179" s="360">
        <v>0</v>
      </c>
      <c r="BA179" s="360">
        <v>92.62</v>
      </c>
      <c r="BB179" s="360">
        <v>110</v>
      </c>
      <c r="BC179" s="360">
        <v>108.59</v>
      </c>
      <c r="BD179" s="360">
        <v>264</v>
      </c>
      <c r="BE179" s="360">
        <v>118.29</v>
      </c>
      <c r="BF179" s="360">
        <v>247</v>
      </c>
      <c r="BG179" s="360">
        <v>148.88999999999999</v>
      </c>
      <c r="BH179" s="360">
        <v>75</v>
      </c>
      <c r="BI179" s="360">
        <v>149.04</v>
      </c>
      <c r="BJ179" s="360">
        <v>3</v>
      </c>
      <c r="BK179" s="360">
        <v>0</v>
      </c>
      <c r="BL179" s="360">
        <v>0</v>
      </c>
      <c r="BM179" s="360">
        <v>191.55</v>
      </c>
      <c r="BN179" s="360">
        <v>142</v>
      </c>
      <c r="BO179" s="360">
        <v>191.55</v>
      </c>
      <c r="BP179" s="360">
        <v>142</v>
      </c>
      <c r="BQ179" s="360">
        <v>0</v>
      </c>
      <c r="BR179" s="360">
        <v>0</v>
      </c>
      <c r="BS179" s="360">
        <v>0</v>
      </c>
      <c r="BT179" s="360">
        <v>0</v>
      </c>
      <c r="BU179" s="360">
        <v>186.75</v>
      </c>
      <c r="BV179" s="360">
        <v>97</v>
      </c>
      <c r="BW179" s="360">
        <v>201.92</v>
      </c>
      <c r="BX179" s="360">
        <v>45</v>
      </c>
      <c r="BY179" s="360">
        <v>0</v>
      </c>
      <c r="BZ179" s="360">
        <v>0</v>
      </c>
      <c r="CA179" s="360">
        <v>0</v>
      </c>
      <c r="CB179" s="360">
        <v>0</v>
      </c>
      <c r="CC179" s="360">
        <v>8</v>
      </c>
      <c r="CD179" s="360" t="s">
        <v>503</v>
      </c>
    </row>
    <row r="180" spans="1:82" x14ac:dyDescent="0.35">
      <c r="A180" s="360" t="s">
        <v>504</v>
      </c>
      <c r="B180" s="360" t="s">
        <v>505</v>
      </c>
      <c r="C180" s="360" t="s">
        <v>73</v>
      </c>
      <c r="D180" s="360" t="s">
        <v>77</v>
      </c>
      <c r="E180" s="360">
        <v>4015</v>
      </c>
      <c r="F180" s="360">
        <v>3654</v>
      </c>
      <c r="G180" s="360">
        <v>0</v>
      </c>
      <c r="H180" s="360">
        <v>322</v>
      </c>
      <c r="I180" s="360">
        <v>87.45</v>
      </c>
      <c r="J180" s="360">
        <v>3325</v>
      </c>
      <c r="K180" s="360">
        <v>87.45</v>
      </c>
      <c r="L180" s="360">
        <v>3325</v>
      </c>
      <c r="M180" s="360">
        <v>0</v>
      </c>
      <c r="N180" s="360">
        <v>0</v>
      </c>
      <c r="O180" s="360">
        <v>55.31</v>
      </c>
      <c r="P180" s="360">
        <v>18</v>
      </c>
      <c r="Q180" s="360">
        <v>74.23</v>
      </c>
      <c r="R180" s="360">
        <v>386</v>
      </c>
      <c r="S180" s="360">
        <v>85.44</v>
      </c>
      <c r="T180" s="360">
        <v>1554</v>
      </c>
      <c r="U180" s="360">
        <v>93.67</v>
      </c>
      <c r="V180" s="360">
        <v>1323</v>
      </c>
      <c r="W180" s="360">
        <v>101.07</v>
      </c>
      <c r="X180" s="360">
        <v>41</v>
      </c>
      <c r="Y180" s="360">
        <v>0</v>
      </c>
      <c r="Z180" s="360">
        <v>0</v>
      </c>
      <c r="AA180" s="360">
        <v>100.03</v>
      </c>
      <c r="AB180" s="360">
        <v>3</v>
      </c>
      <c r="AC180" s="360">
        <v>75.33</v>
      </c>
      <c r="AD180" s="360">
        <v>295</v>
      </c>
      <c r="AE180" s="360">
        <v>75.33</v>
      </c>
      <c r="AF180" s="360">
        <v>295</v>
      </c>
      <c r="AG180" s="360">
        <v>0</v>
      </c>
      <c r="AH180" s="360">
        <v>0</v>
      </c>
      <c r="AI180" s="360">
        <v>63.52</v>
      </c>
      <c r="AJ180" s="360">
        <v>16</v>
      </c>
      <c r="AK180" s="360">
        <v>73.38</v>
      </c>
      <c r="AL180" s="360">
        <v>214</v>
      </c>
      <c r="AM180" s="360">
        <v>84.66</v>
      </c>
      <c r="AN180" s="360">
        <v>65</v>
      </c>
      <c r="AO180" s="360">
        <v>0</v>
      </c>
      <c r="AP180" s="360">
        <v>0</v>
      </c>
      <c r="AQ180" s="360">
        <v>0</v>
      </c>
      <c r="AR180" s="360">
        <v>0</v>
      </c>
      <c r="AS180" s="360">
        <v>106.52</v>
      </c>
      <c r="AT180" s="360">
        <v>329</v>
      </c>
      <c r="AU180" s="360">
        <v>106.52</v>
      </c>
      <c r="AV180" s="360">
        <v>329</v>
      </c>
      <c r="AW180" s="360">
        <v>0</v>
      </c>
      <c r="AX180" s="360">
        <v>0</v>
      </c>
      <c r="AY180" s="360">
        <v>0</v>
      </c>
      <c r="AZ180" s="360">
        <v>0</v>
      </c>
      <c r="BA180" s="360">
        <v>77.88</v>
      </c>
      <c r="BB180" s="360">
        <v>20</v>
      </c>
      <c r="BC180" s="360">
        <v>103.53</v>
      </c>
      <c r="BD180" s="360">
        <v>139</v>
      </c>
      <c r="BE180" s="360">
        <v>111.56</v>
      </c>
      <c r="BF180" s="360">
        <v>165</v>
      </c>
      <c r="BG180" s="360">
        <v>137.97999999999999</v>
      </c>
      <c r="BH180" s="360">
        <v>5</v>
      </c>
      <c r="BI180" s="360">
        <v>0</v>
      </c>
      <c r="BJ180" s="360">
        <v>0</v>
      </c>
      <c r="BK180" s="360">
        <v>0</v>
      </c>
      <c r="BL180" s="360">
        <v>0</v>
      </c>
      <c r="BM180" s="360">
        <v>80.930000000000007</v>
      </c>
      <c r="BN180" s="360">
        <v>27</v>
      </c>
      <c r="BO180" s="360">
        <v>102.37</v>
      </c>
      <c r="BP180" s="360">
        <v>14</v>
      </c>
      <c r="BQ180" s="360">
        <v>57.85</v>
      </c>
      <c r="BR180" s="360">
        <v>13</v>
      </c>
      <c r="BS180" s="360">
        <v>0</v>
      </c>
      <c r="BT180" s="360">
        <v>0</v>
      </c>
      <c r="BU180" s="360">
        <v>94.2</v>
      </c>
      <c r="BV180" s="360">
        <v>5</v>
      </c>
      <c r="BW180" s="360">
        <v>106.92</v>
      </c>
      <c r="BX180" s="360">
        <v>9</v>
      </c>
      <c r="BY180" s="360">
        <v>0</v>
      </c>
      <c r="BZ180" s="360">
        <v>0</v>
      </c>
      <c r="CA180" s="360">
        <v>0</v>
      </c>
      <c r="CB180" s="360">
        <v>0</v>
      </c>
      <c r="CC180" s="360">
        <v>39</v>
      </c>
      <c r="CD180" s="360" t="s">
        <v>506</v>
      </c>
    </row>
    <row r="181" spans="1:82" x14ac:dyDescent="0.35">
      <c r="A181" s="360" t="s">
        <v>507</v>
      </c>
      <c r="B181" s="360" t="s">
        <v>508</v>
      </c>
      <c r="C181" s="360" t="s">
        <v>71</v>
      </c>
      <c r="D181" s="360" t="s">
        <v>77</v>
      </c>
      <c r="E181" s="360">
        <v>6032</v>
      </c>
      <c r="F181" s="360">
        <v>6023</v>
      </c>
      <c r="G181" s="360">
        <v>0</v>
      </c>
      <c r="H181" s="360">
        <v>9</v>
      </c>
      <c r="I181" s="360">
        <v>109.95</v>
      </c>
      <c r="J181" s="360">
        <v>5874</v>
      </c>
      <c r="K181" s="360">
        <v>109.95</v>
      </c>
      <c r="L181" s="360">
        <v>5874</v>
      </c>
      <c r="M181" s="360">
        <v>0</v>
      </c>
      <c r="N181" s="360">
        <v>0</v>
      </c>
      <c r="O181" s="360">
        <v>82.54</v>
      </c>
      <c r="P181" s="360">
        <v>247</v>
      </c>
      <c r="Q181" s="360">
        <v>94.35</v>
      </c>
      <c r="R181" s="360">
        <v>2092</v>
      </c>
      <c r="S181" s="360">
        <v>113.68</v>
      </c>
      <c r="T181" s="360">
        <v>1555</v>
      </c>
      <c r="U181" s="360">
        <v>125.42</v>
      </c>
      <c r="V181" s="360">
        <v>1795</v>
      </c>
      <c r="W181" s="360">
        <v>137.74</v>
      </c>
      <c r="X181" s="360">
        <v>148</v>
      </c>
      <c r="Y181" s="360">
        <v>158.41</v>
      </c>
      <c r="Z181" s="360">
        <v>34</v>
      </c>
      <c r="AA181" s="360">
        <v>152.71</v>
      </c>
      <c r="AB181" s="360">
        <v>3</v>
      </c>
      <c r="AC181" s="360">
        <v>96.2</v>
      </c>
      <c r="AD181" s="360">
        <v>9</v>
      </c>
      <c r="AE181" s="360">
        <v>96.2</v>
      </c>
      <c r="AF181" s="360">
        <v>9</v>
      </c>
      <c r="AG181" s="360">
        <v>0</v>
      </c>
      <c r="AH181" s="360">
        <v>0</v>
      </c>
      <c r="AI181" s="360">
        <v>0</v>
      </c>
      <c r="AJ181" s="360">
        <v>0</v>
      </c>
      <c r="AK181" s="360">
        <v>94.8</v>
      </c>
      <c r="AL181" s="360">
        <v>8</v>
      </c>
      <c r="AM181" s="360">
        <v>107.43</v>
      </c>
      <c r="AN181" s="360">
        <v>1</v>
      </c>
      <c r="AO181" s="360">
        <v>0</v>
      </c>
      <c r="AP181" s="360">
        <v>0</v>
      </c>
      <c r="AQ181" s="360">
        <v>0</v>
      </c>
      <c r="AR181" s="360">
        <v>0</v>
      </c>
      <c r="AS181" s="360">
        <v>213.51</v>
      </c>
      <c r="AT181" s="360">
        <v>149</v>
      </c>
      <c r="AU181" s="360">
        <v>213.51</v>
      </c>
      <c r="AV181" s="360">
        <v>149</v>
      </c>
      <c r="AW181" s="360">
        <v>0</v>
      </c>
      <c r="AX181" s="360">
        <v>0</v>
      </c>
      <c r="AY181" s="360">
        <v>0</v>
      </c>
      <c r="AZ181" s="360">
        <v>0</v>
      </c>
      <c r="BA181" s="360">
        <v>148.74</v>
      </c>
      <c r="BB181" s="360">
        <v>4</v>
      </c>
      <c r="BC181" s="360">
        <v>198.56</v>
      </c>
      <c r="BD181" s="360">
        <v>60</v>
      </c>
      <c r="BE181" s="360">
        <v>227.43</v>
      </c>
      <c r="BF181" s="360">
        <v>81</v>
      </c>
      <c r="BG181" s="360">
        <v>220.74</v>
      </c>
      <c r="BH181" s="360">
        <v>4</v>
      </c>
      <c r="BI181" s="360">
        <v>0</v>
      </c>
      <c r="BJ181" s="360">
        <v>0</v>
      </c>
      <c r="BK181" s="360">
        <v>0</v>
      </c>
      <c r="BL181" s="360">
        <v>0</v>
      </c>
      <c r="BM181" s="360">
        <v>0</v>
      </c>
      <c r="BN181" s="360">
        <v>0</v>
      </c>
      <c r="BO181" s="360">
        <v>0</v>
      </c>
      <c r="BP181" s="360">
        <v>0</v>
      </c>
      <c r="BQ181" s="360">
        <v>0</v>
      </c>
      <c r="BR181" s="360">
        <v>0</v>
      </c>
      <c r="BS181" s="360">
        <v>0</v>
      </c>
      <c r="BT181" s="360">
        <v>0</v>
      </c>
      <c r="BU181" s="360">
        <v>0</v>
      </c>
      <c r="BV181" s="360">
        <v>0</v>
      </c>
      <c r="BW181" s="360">
        <v>0</v>
      </c>
      <c r="BX181" s="360">
        <v>0</v>
      </c>
      <c r="BY181" s="360">
        <v>0</v>
      </c>
      <c r="BZ181" s="360">
        <v>0</v>
      </c>
      <c r="CA181" s="360">
        <v>0</v>
      </c>
      <c r="CB181" s="360">
        <v>0</v>
      </c>
      <c r="CC181" s="360">
        <v>0</v>
      </c>
      <c r="CD181" s="360" t="s">
        <v>509</v>
      </c>
    </row>
    <row r="182" spans="1:82" x14ac:dyDescent="0.35">
      <c r="A182" s="360" t="s">
        <v>510</v>
      </c>
      <c r="B182" s="360" t="s">
        <v>511</v>
      </c>
      <c r="C182" s="360" t="s">
        <v>73</v>
      </c>
      <c r="D182" s="360" t="s">
        <v>77</v>
      </c>
      <c r="E182" s="360">
        <v>9883</v>
      </c>
      <c r="F182" s="360">
        <v>9746</v>
      </c>
      <c r="G182" s="360">
        <v>0</v>
      </c>
      <c r="H182" s="360">
        <v>72</v>
      </c>
      <c r="I182" s="360">
        <v>86.37</v>
      </c>
      <c r="J182" s="360">
        <v>9683</v>
      </c>
      <c r="K182" s="360">
        <v>86.37</v>
      </c>
      <c r="L182" s="360">
        <v>9683</v>
      </c>
      <c r="M182" s="360">
        <v>0</v>
      </c>
      <c r="N182" s="360">
        <v>0</v>
      </c>
      <c r="O182" s="360">
        <v>77.31</v>
      </c>
      <c r="P182" s="360">
        <v>130</v>
      </c>
      <c r="Q182" s="360">
        <v>79.790000000000006</v>
      </c>
      <c r="R182" s="360">
        <v>4027</v>
      </c>
      <c r="S182" s="360">
        <v>84.58</v>
      </c>
      <c r="T182" s="360">
        <v>2784</v>
      </c>
      <c r="U182" s="360">
        <v>97.64</v>
      </c>
      <c r="V182" s="360">
        <v>2501</v>
      </c>
      <c r="W182" s="360">
        <v>104.94</v>
      </c>
      <c r="X182" s="360">
        <v>230</v>
      </c>
      <c r="Y182" s="360">
        <v>113.6</v>
      </c>
      <c r="Z182" s="360">
        <v>10</v>
      </c>
      <c r="AA182" s="360">
        <v>112.14</v>
      </c>
      <c r="AB182" s="360">
        <v>1</v>
      </c>
      <c r="AC182" s="360">
        <v>74.95</v>
      </c>
      <c r="AD182" s="360">
        <v>21</v>
      </c>
      <c r="AE182" s="360">
        <v>74.95</v>
      </c>
      <c r="AF182" s="360">
        <v>21</v>
      </c>
      <c r="AG182" s="360">
        <v>0</v>
      </c>
      <c r="AH182" s="360">
        <v>0</v>
      </c>
      <c r="AI182" s="360">
        <v>67.08</v>
      </c>
      <c r="AJ182" s="360">
        <v>11</v>
      </c>
      <c r="AK182" s="360">
        <v>83.61</v>
      </c>
      <c r="AL182" s="360">
        <v>10</v>
      </c>
      <c r="AM182" s="360">
        <v>0</v>
      </c>
      <c r="AN182" s="360">
        <v>0</v>
      </c>
      <c r="AO182" s="360">
        <v>0</v>
      </c>
      <c r="AP182" s="360">
        <v>0</v>
      </c>
      <c r="AQ182" s="360">
        <v>0</v>
      </c>
      <c r="AR182" s="360">
        <v>0</v>
      </c>
      <c r="AS182" s="360">
        <v>112.14</v>
      </c>
      <c r="AT182" s="360">
        <v>63</v>
      </c>
      <c r="AU182" s="360">
        <v>112.14</v>
      </c>
      <c r="AV182" s="360">
        <v>63</v>
      </c>
      <c r="AW182" s="360">
        <v>0</v>
      </c>
      <c r="AX182" s="360">
        <v>0</v>
      </c>
      <c r="AY182" s="360">
        <v>0</v>
      </c>
      <c r="AZ182" s="360">
        <v>0</v>
      </c>
      <c r="BA182" s="360">
        <v>71.56</v>
      </c>
      <c r="BB182" s="360">
        <v>1</v>
      </c>
      <c r="BC182" s="360">
        <v>101.66</v>
      </c>
      <c r="BD182" s="360">
        <v>22</v>
      </c>
      <c r="BE182" s="360">
        <v>117.95</v>
      </c>
      <c r="BF182" s="360">
        <v>31</v>
      </c>
      <c r="BG182" s="360">
        <v>122.32</v>
      </c>
      <c r="BH182" s="360">
        <v>9</v>
      </c>
      <c r="BI182" s="360">
        <v>0</v>
      </c>
      <c r="BJ182" s="360">
        <v>0</v>
      </c>
      <c r="BK182" s="360">
        <v>0</v>
      </c>
      <c r="BL182" s="360">
        <v>0</v>
      </c>
      <c r="BM182" s="360">
        <v>103.18</v>
      </c>
      <c r="BN182" s="360">
        <v>51</v>
      </c>
      <c r="BO182" s="360">
        <v>103.18</v>
      </c>
      <c r="BP182" s="360">
        <v>51</v>
      </c>
      <c r="BQ182" s="360">
        <v>0</v>
      </c>
      <c r="BR182" s="360">
        <v>0</v>
      </c>
      <c r="BS182" s="360">
        <v>0</v>
      </c>
      <c r="BT182" s="360">
        <v>0</v>
      </c>
      <c r="BU182" s="360">
        <v>99.78</v>
      </c>
      <c r="BV182" s="360">
        <v>43</v>
      </c>
      <c r="BW182" s="360">
        <v>121.47</v>
      </c>
      <c r="BX182" s="360">
        <v>8</v>
      </c>
      <c r="BY182" s="360">
        <v>0</v>
      </c>
      <c r="BZ182" s="360">
        <v>0</v>
      </c>
      <c r="CA182" s="360">
        <v>0</v>
      </c>
      <c r="CB182" s="360">
        <v>0</v>
      </c>
      <c r="CC182" s="360">
        <v>65</v>
      </c>
      <c r="CD182" s="360" t="s">
        <v>512</v>
      </c>
    </row>
    <row r="183" spans="1:82" x14ac:dyDescent="0.35">
      <c r="A183" s="360" t="s">
        <v>513</v>
      </c>
      <c r="B183" s="360" t="s">
        <v>514</v>
      </c>
      <c r="C183" s="360" t="s">
        <v>72</v>
      </c>
      <c r="D183" s="360" t="s">
        <v>77</v>
      </c>
      <c r="E183" s="360">
        <v>5591</v>
      </c>
      <c r="F183" s="360">
        <v>4608</v>
      </c>
      <c r="G183" s="360">
        <v>0</v>
      </c>
      <c r="H183" s="360">
        <v>980</v>
      </c>
      <c r="I183" s="360">
        <v>89.07</v>
      </c>
      <c r="J183" s="360">
        <v>4587</v>
      </c>
      <c r="K183" s="360">
        <v>89.07</v>
      </c>
      <c r="L183" s="360">
        <v>4587</v>
      </c>
      <c r="M183" s="362">
        <v>0</v>
      </c>
      <c r="N183" s="360">
        <v>0</v>
      </c>
      <c r="O183" s="360">
        <v>71.760000000000005</v>
      </c>
      <c r="P183" s="360">
        <v>75</v>
      </c>
      <c r="Q183" s="360">
        <v>77.83</v>
      </c>
      <c r="R183" s="360">
        <v>779</v>
      </c>
      <c r="S183" s="360">
        <v>86.46</v>
      </c>
      <c r="T183" s="360">
        <v>1916</v>
      </c>
      <c r="U183" s="360">
        <v>96.3</v>
      </c>
      <c r="V183" s="360">
        <v>1637</v>
      </c>
      <c r="W183" s="360">
        <v>105.6</v>
      </c>
      <c r="X183" s="360">
        <v>152</v>
      </c>
      <c r="Y183" s="360">
        <v>111.64</v>
      </c>
      <c r="Z183" s="360">
        <v>22</v>
      </c>
      <c r="AA183" s="360">
        <v>128.36000000000001</v>
      </c>
      <c r="AB183" s="360">
        <v>6</v>
      </c>
      <c r="AC183" s="360">
        <v>81.94</v>
      </c>
      <c r="AD183" s="360">
        <v>980</v>
      </c>
      <c r="AE183" s="360">
        <v>81.94</v>
      </c>
      <c r="AF183" s="360">
        <v>980</v>
      </c>
      <c r="AG183" s="360">
        <v>0</v>
      </c>
      <c r="AH183" s="360">
        <v>0</v>
      </c>
      <c r="AI183" s="360">
        <v>72.7</v>
      </c>
      <c r="AJ183" s="360">
        <v>3</v>
      </c>
      <c r="AK183" s="360">
        <v>81.23</v>
      </c>
      <c r="AL183" s="360">
        <v>900</v>
      </c>
      <c r="AM183" s="360">
        <v>90.59</v>
      </c>
      <c r="AN183" s="360">
        <v>77</v>
      </c>
      <c r="AO183" s="360">
        <v>0</v>
      </c>
      <c r="AP183" s="360">
        <v>0</v>
      </c>
      <c r="AQ183" s="360">
        <v>0</v>
      </c>
      <c r="AR183" s="360">
        <v>0</v>
      </c>
      <c r="AS183" s="360">
        <v>120.26</v>
      </c>
      <c r="AT183" s="360">
        <v>21</v>
      </c>
      <c r="AU183" s="360">
        <v>120.26</v>
      </c>
      <c r="AV183" s="360">
        <v>21</v>
      </c>
      <c r="AW183" s="360">
        <v>0</v>
      </c>
      <c r="AX183" s="360">
        <v>0</v>
      </c>
      <c r="AY183" s="360">
        <v>0</v>
      </c>
      <c r="AZ183" s="360">
        <v>0</v>
      </c>
      <c r="BA183" s="360">
        <v>104.11</v>
      </c>
      <c r="BB183" s="360">
        <v>12</v>
      </c>
      <c r="BC183" s="360">
        <v>130.29</v>
      </c>
      <c r="BD183" s="360">
        <v>5</v>
      </c>
      <c r="BE183" s="360">
        <v>138.82</v>
      </c>
      <c r="BF183" s="360">
        <v>3</v>
      </c>
      <c r="BG183" s="360">
        <v>208.25</v>
      </c>
      <c r="BH183" s="360">
        <v>1</v>
      </c>
      <c r="BI183" s="360">
        <v>0</v>
      </c>
      <c r="BJ183" s="360">
        <v>0</v>
      </c>
      <c r="BK183" s="360">
        <v>0</v>
      </c>
      <c r="BL183" s="360">
        <v>0</v>
      </c>
      <c r="BM183" s="360">
        <v>0</v>
      </c>
      <c r="BN183" s="360">
        <v>0</v>
      </c>
      <c r="BO183" s="360">
        <v>0</v>
      </c>
      <c r="BP183" s="360">
        <v>0</v>
      </c>
      <c r="BQ183" s="360">
        <v>0</v>
      </c>
      <c r="BR183" s="360">
        <v>0</v>
      </c>
      <c r="BS183" s="360">
        <v>0</v>
      </c>
      <c r="BT183" s="360">
        <v>0</v>
      </c>
      <c r="BU183" s="360">
        <v>0</v>
      </c>
      <c r="BV183" s="360">
        <v>0</v>
      </c>
      <c r="BW183" s="360">
        <v>0</v>
      </c>
      <c r="BX183" s="360">
        <v>0</v>
      </c>
      <c r="BY183" s="360">
        <v>0</v>
      </c>
      <c r="BZ183" s="360">
        <v>0</v>
      </c>
      <c r="CA183" s="360">
        <v>0</v>
      </c>
      <c r="CB183" s="360">
        <v>0</v>
      </c>
      <c r="CC183" s="360">
        <v>3</v>
      </c>
      <c r="CD183" s="360" t="s">
        <v>515</v>
      </c>
    </row>
    <row r="184" spans="1:82" x14ac:dyDescent="0.35">
      <c r="A184" s="360" t="s">
        <v>516</v>
      </c>
      <c r="B184" s="360" t="s">
        <v>517</v>
      </c>
      <c r="C184" s="360" t="s">
        <v>67</v>
      </c>
      <c r="D184" s="360" t="s">
        <v>77</v>
      </c>
      <c r="E184" s="360">
        <v>5593</v>
      </c>
      <c r="F184" s="360">
        <v>4310</v>
      </c>
      <c r="G184" s="360">
        <v>0</v>
      </c>
      <c r="H184" s="360">
        <v>1069</v>
      </c>
      <c r="I184" s="360">
        <v>111.17</v>
      </c>
      <c r="J184" s="360">
        <v>4029</v>
      </c>
      <c r="K184" s="360">
        <v>111.17</v>
      </c>
      <c r="L184" s="360">
        <v>4029</v>
      </c>
      <c r="M184" s="360">
        <v>0</v>
      </c>
      <c r="N184" s="360">
        <v>0</v>
      </c>
      <c r="O184" s="360">
        <v>81.11</v>
      </c>
      <c r="P184" s="360">
        <v>13</v>
      </c>
      <c r="Q184" s="360">
        <v>93.63</v>
      </c>
      <c r="R184" s="360">
        <v>510</v>
      </c>
      <c r="S184" s="360">
        <v>110.22</v>
      </c>
      <c r="T184" s="360">
        <v>1650</v>
      </c>
      <c r="U184" s="360">
        <v>116.48</v>
      </c>
      <c r="V184" s="360">
        <v>1787</v>
      </c>
      <c r="W184" s="360">
        <v>131.79</v>
      </c>
      <c r="X184" s="360">
        <v>67</v>
      </c>
      <c r="Y184" s="360">
        <v>0</v>
      </c>
      <c r="Z184" s="360">
        <v>0</v>
      </c>
      <c r="AA184" s="360">
        <v>145.51</v>
      </c>
      <c r="AB184" s="360">
        <v>2</v>
      </c>
      <c r="AC184" s="360">
        <v>108.16</v>
      </c>
      <c r="AD184" s="360">
        <v>1069</v>
      </c>
      <c r="AE184" s="360">
        <v>108.16</v>
      </c>
      <c r="AF184" s="360">
        <v>1069</v>
      </c>
      <c r="AG184" s="360">
        <v>0</v>
      </c>
      <c r="AH184" s="360">
        <v>0</v>
      </c>
      <c r="AI184" s="360">
        <v>83.99</v>
      </c>
      <c r="AJ184" s="360">
        <v>7</v>
      </c>
      <c r="AK184" s="360">
        <v>99.72</v>
      </c>
      <c r="AL184" s="360">
        <v>481</v>
      </c>
      <c r="AM184" s="360">
        <v>115.44</v>
      </c>
      <c r="AN184" s="360">
        <v>581</v>
      </c>
      <c r="AO184" s="360">
        <v>0</v>
      </c>
      <c r="AP184" s="360">
        <v>0</v>
      </c>
      <c r="AQ184" s="360">
        <v>0</v>
      </c>
      <c r="AR184" s="360">
        <v>0</v>
      </c>
      <c r="AS184" s="360">
        <v>151.69999999999999</v>
      </c>
      <c r="AT184" s="360">
        <v>281</v>
      </c>
      <c r="AU184" s="360">
        <v>151.69999999999999</v>
      </c>
      <c r="AV184" s="360">
        <v>281</v>
      </c>
      <c r="AW184" s="360">
        <v>0</v>
      </c>
      <c r="AX184" s="360">
        <v>0</v>
      </c>
      <c r="AY184" s="360">
        <v>0</v>
      </c>
      <c r="AZ184" s="360">
        <v>0</v>
      </c>
      <c r="BA184" s="360">
        <v>134.26</v>
      </c>
      <c r="BB184" s="360">
        <v>112</v>
      </c>
      <c r="BC184" s="360">
        <v>156.75</v>
      </c>
      <c r="BD184" s="360">
        <v>139</v>
      </c>
      <c r="BE184" s="360">
        <v>187.31</v>
      </c>
      <c r="BF184" s="360">
        <v>27</v>
      </c>
      <c r="BG184" s="360">
        <v>248.93</v>
      </c>
      <c r="BH184" s="360">
        <v>3</v>
      </c>
      <c r="BI184" s="360">
        <v>0</v>
      </c>
      <c r="BJ184" s="360">
        <v>0</v>
      </c>
      <c r="BK184" s="360">
        <v>0</v>
      </c>
      <c r="BL184" s="360">
        <v>0</v>
      </c>
      <c r="BM184" s="360">
        <v>0</v>
      </c>
      <c r="BN184" s="360">
        <v>0</v>
      </c>
      <c r="BO184" s="360">
        <v>0</v>
      </c>
      <c r="BP184" s="360">
        <v>0</v>
      </c>
      <c r="BQ184" s="360">
        <v>0</v>
      </c>
      <c r="BR184" s="360">
        <v>0</v>
      </c>
      <c r="BS184" s="360">
        <v>0</v>
      </c>
      <c r="BT184" s="360">
        <v>0</v>
      </c>
      <c r="BU184" s="360">
        <v>0</v>
      </c>
      <c r="BV184" s="360">
        <v>0</v>
      </c>
      <c r="BW184" s="360">
        <v>0</v>
      </c>
      <c r="BX184" s="360">
        <v>0</v>
      </c>
      <c r="BY184" s="360">
        <v>0</v>
      </c>
      <c r="BZ184" s="360">
        <v>0</v>
      </c>
      <c r="CA184" s="360">
        <v>0</v>
      </c>
      <c r="CB184" s="360">
        <v>0</v>
      </c>
      <c r="CC184" s="360">
        <v>214</v>
      </c>
      <c r="CD184" s="360" t="s">
        <v>518</v>
      </c>
    </row>
    <row r="185" spans="1:82" x14ac:dyDescent="0.35">
      <c r="A185" s="360" t="s">
        <v>908</v>
      </c>
      <c r="B185" s="360" t="s">
        <v>519</v>
      </c>
      <c r="C185" s="360" t="s">
        <v>66</v>
      </c>
      <c r="D185" s="360" t="s">
        <v>77</v>
      </c>
      <c r="E185" s="360">
        <v>2935</v>
      </c>
      <c r="F185" s="360">
        <v>1998</v>
      </c>
      <c r="G185" s="360">
        <v>0</v>
      </c>
      <c r="H185" s="360">
        <v>937</v>
      </c>
      <c r="I185" s="360">
        <v>86.11</v>
      </c>
      <c r="J185" s="360">
        <v>1982</v>
      </c>
      <c r="K185" s="360">
        <v>86.11</v>
      </c>
      <c r="L185" s="360">
        <v>1982</v>
      </c>
      <c r="M185" s="360">
        <v>0</v>
      </c>
      <c r="N185" s="360">
        <v>0</v>
      </c>
      <c r="O185" s="360">
        <v>61.33</v>
      </c>
      <c r="P185" s="360">
        <v>4</v>
      </c>
      <c r="Q185" s="360">
        <v>73.010000000000005</v>
      </c>
      <c r="R185" s="360">
        <v>169</v>
      </c>
      <c r="S185" s="360">
        <v>84.28</v>
      </c>
      <c r="T185" s="360">
        <v>789</v>
      </c>
      <c r="U185" s="360">
        <v>89.52</v>
      </c>
      <c r="V185" s="360">
        <v>978</v>
      </c>
      <c r="W185" s="360">
        <v>95.53</v>
      </c>
      <c r="X185" s="360">
        <v>40</v>
      </c>
      <c r="Y185" s="360">
        <v>111.07</v>
      </c>
      <c r="Z185" s="360">
        <v>2</v>
      </c>
      <c r="AA185" s="360">
        <v>0</v>
      </c>
      <c r="AB185" s="360">
        <v>0</v>
      </c>
      <c r="AC185" s="360">
        <v>81.319999999999993</v>
      </c>
      <c r="AD185" s="360">
        <v>937</v>
      </c>
      <c r="AE185" s="360">
        <v>81.319999999999993</v>
      </c>
      <c r="AF185" s="360">
        <v>937</v>
      </c>
      <c r="AG185" s="360">
        <v>0</v>
      </c>
      <c r="AH185" s="360">
        <v>0</v>
      </c>
      <c r="AI185" s="360">
        <v>63.5</v>
      </c>
      <c r="AJ185" s="360">
        <v>2</v>
      </c>
      <c r="AK185" s="360">
        <v>77.23</v>
      </c>
      <c r="AL185" s="360">
        <v>522</v>
      </c>
      <c r="AM185" s="360">
        <v>86.55</v>
      </c>
      <c r="AN185" s="360">
        <v>410</v>
      </c>
      <c r="AO185" s="360">
        <v>92.49</v>
      </c>
      <c r="AP185" s="360">
        <v>3</v>
      </c>
      <c r="AQ185" s="360">
        <v>0</v>
      </c>
      <c r="AR185" s="360">
        <v>0</v>
      </c>
      <c r="AS185" s="360">
        <v>105.76</v>
      </c>
      <c r="AT185" s="360">
        <v>16</v>
      </c>
      <c r="AU185" s="360">
        <v>105.76</v>
      </c>
      <c r="AV185" s="360">
        <v>16</v>
      </c>
      <c r="AW185" s="360">
        <v>0</v>
      </c>
      <c r="AX185" s="360">
        <v>0</v>
      </c>
      <c r="AY185" s="360">
        <v>0</v>
      </c>
      <c r="AZ185" s="360">
        <v>0</v>
      </c>
      <c r="BA185" s="360">
        <v>84.13</v>
      </c>
      <c r="BB185" s="360">
        <v>2</v>
      </c>
      <c r="BC185" s="360">
        <v>106.85</v>
      </c>
      <c r="BD185" s="360">
        <v>12</v>
      </c>
      <c r="BE185" s="360">
        <v>120.88</v>
      </c>
      <c r="BF185" s="360">
        <v>2</v>
      </c>
      <c r="BG185" s="360">
        <v>0</v>
      </c>
      <c r="BH185" s="360">
        <v>0</v>
      </c>
      <c r="BI185" s="360">
        <v>0</v>
      </c>
      <c r="BJ185" s="360">
        <v>0</v>
      </c>
      <c r="BK185" s="360">
        <v>0</v>
      </c>
      <c r="BL185" s="360">
        <v>0</v>
      </c>
      <c r="BM185" s="360">
        <v>0</v>
      </c>
      <c r="BN185" s="360">
        <v>0</v>
      </c>
      <c r="BO185" s="360">
        <v>0</v>
      </c>
      <c r="BP185" s="360">
        <v>0</v>
      </c>
      <c r="BQ185" s="360">
        <v>0</v>
      </c>
      <c r="BR185" s="360">
        <v>0</v>
      </c>
      <c r="BS185" s="360">
        <v>0</v>
      </c>
      <c r="BT185" s="360">
        <v>0</v>
      </c>
      <c r="BU185" s="360">
        <v>0</v>
      </c>
      <c r="BV185" s="360">
        <v>0</v>
      </c>
      <c r="BW185" s="360">
        <v>0</v>
      </c>
      <c r="BX185" s="360">
        <v>0</v>
      </c>
      <c r="BY185" s="360">
        <v>0</v>
      </c>
      <c r="BZ185" s="360">
        <v>0</v>
      </c>
      <c r="CA185" s="360">
        <v>0</v>
      </c>
      <c r="CB185" s="360">
        <v>0</v>
      </c>
      <c r="CC185" s="360">
        <v>0</v>
      </c>
      <c r="CD185" s="360" t="s">
        <v>520</v>
      </c>
    </row>
    <row r="186" spans="1:82" x14ac:dyDescent="0.35">
      <c r="A186" s="360" t="s">
        <v>521</v>
      </c>
      <c r="B186" s="360" t="s">
        <v>522</v>
      </c>
      <c r="C186" s="360" t="s">
        <v>72</v>
      </c>
      <c r="D186" s="360" t="s">
        <v>77</v>
      </c>
      <c r="E186" s="360">
        <v>8</v>
      </c>
      <c r="F186" s="360">
        <v>8</v>
      </c>
      <c r="G186" s="360">
        <v>0</v>
      </c>
      <c r="H186" s="360">
        <v>0</v>
      </c>
      <c r="I186" s="360">
        <v>138.66</v>
      </c>
      <c r="J186" s="360">
        <v>8</v>
      </c>
      <c r="K186" s="360">
        <v>138.66</v>
      </c>
      <c r="L186" s="360">
        <v>8</v>
      </c>
      <c r="M186" s="360">
        <v>0</v>
      </c>
      <c r="N186" s="360">
        <v>0</v>
      </c>
      <c r="O186" s="360">
        <v>0</v>
      </c>
      <c r="P186" s="360">
        <v>0</v>
      </c>
      <c r="Q186" s="360">
        <v>103.56</v>
      </c>
      <c r="R186" s="360">
        <v>2</v>
      </c>
      <c r="S186" s="360">
        <v>138.08000000000001</v>
      </c>
      <c r="T186" s="360">
        <v>3</v>
      </c>
      <c r="U186" s="360">
        <v>162.66</v>
      </c>
      <c r="V186" s="360">
        <v>3</v>
      </c>
      <c r="W186" s="360">
        <v>0</v>
      </c>
      <c r="X186" s="360">
        <v>0</v>
      </c>
      <c r="Y186" s="360">
        <v>0</v>
      </c>
      <c r="Z186" s="360">
        <v>0</v>
      </c>
      <c r="AA186" s="360">
        <v>0</v>
      </c>
      <c r="AB186" s="360">
        <v>0</v>
      </c>
      <c r="AC186" s="360">
        <v>0</v>
      </c>
      <c r="AD186" s="360">
        <v>0</v>
      </c>
      <c r="AE186" s="360">
        <v>0</v>
      </c>
      <c r="AF186" s="360">
        <v>0</v>
      </c>
      <c r="AG186" s="360">
        <v>0</v>
      </c>
      <c r="AH186" s="360">
        <v>0</v>
      </c>
      <c r="AI186" s="360">
        <v>0</v>
      </c>
      <c r="AJ186" s="360">
        <v>0</v>
      </c>
      <c r="AK186" s="360">
        <v>0</v>
      </c>
      <c r="AL186" s="360">
        <v>0</v>
      </c>
      <c r="AM186" s="360">
        <v>0</v>
      </c>
      <c r="AN186" s="360">
        <v>0</v>
      </c>
      <c r="AO186" s="360">
        <v>0</v>
      </c>
      <c r="AP186" s="360">
        <v>0</v>
      </c>
      <c r="AQ186" s="360">
        <v>0</v>
      </c>
      <c r="AR186" s="360">
        <v>0</v>
      </c>
      <c r="AS186" s="360">
        <v>0</v>
      </c>
      <c r="AT186" s="360">
        <v>0</v>
      </c>
      <c r="AU186" s="360">
        <v>0</v>
      </c>
      <c r="AV186" s="360">
        <v>0</v>
      </c>
      <c r="AW186" s="360">
        <v>0</v>
      </c>
      <c r="AX186" s="360">
        <v>0</v>
      </c>
      <c r="AY186" s="360">
        <v>0</v>
      </c>
      <c r="AZ186" s="360">
        <v>0</v>
      </c>
      <c r="BA186" s="360">
        <v>0</v>
      </c>
      <c r="BB186" s="360">
        <v>0</v>
      </c>
      <c r="BC186" s="360">
        <v>0</v>
      </c>
      <c r="BD186" s="360">
        <v>0</v>
      </c>
      <c r="BE186" s="360">
        <v>0</v>
      </c>
      <c r="BF186" s="360">
        <v>0</v>
      </c>
      <c r="BG186" s="360">
        <v>0</v>
      </c>
      <c r="BH186" s="360">
        <v>0</v>
      </c>
      <c r="BI186" s="360">
        <v>0</v>
      </c>
      <c r="BJ186" s="360">
        <v>0</v>
      </c>
      <c r="BK186" s="360">
        <v>0</v>
      </c>
      <c r="BL186" s="360">
        <v>0</v>
      </c>
      <c r="BM186" s="360">
        <v>0</v>
      </c>
      <c r="BN186" s="360">
        <v>0</v>
      </c>
      <c r="BO186" s="360">
        <v>0</v>
      </c>
      <c r="BP186" s="360">
        <v>0</v>
      </c>
      <c r="BQ186" s="360">
        <v>0</v>
      </c>
      <c r="BR186" s="360">
        <v>0</v>
      </c>
      <c r="BS186" s="360">
        <v>0</v>
      </c>
      <c r="BT186" s="360">
        <v>0</v>
      </c>
      <c r="BU186" s="360">
        <v>0</v>
      </c>
      <c r="BV186" s="360">
        <v>0</v>
      </c>
      <c r="BW186" s="360">
        <v>0</v>
      </c>
      <c r="BX186" s="360">
        <v>0</v>
      </c>
      <c r="BY186" s="360">
        <v>0</v>
      </c>
      <c r="BZ186" s="360">
        <v>0</v>
      </c>
      <c r="CA186" s="360">
        <v>0</v>
      </c>
      <c r="CB186" s="360">
        <v>0</v>
      </c>
      <c r="CC186" s="360">
        <v>0</v>
      </c>
      <c r="CD186" s="360" t="s">
        <v>523</v>
      </c>
    </row>
    <row r="187" spans="1:82" x14ac:dyDescent="0.35">
      <c r="A187" s="360" t="s">
        <v>524</v>
      </c>
      <c r="B187" s="360" t="s">
        <v>525</v>
      </c>
      <c r="C187" s="360" t="s">
        <v>66</v>
      </c>
      <c r="D187" s="360" t="s">
        <v>77</v>
      </c>
      <c r="E187" s="360">
        <v>3778</v>
      </c>
      <c r="F187" s="360">
        <v>2691</v>
      </c>
      <c r="G187" s="360">
        <v>0</v>
      </c>
      <c r="H187" s="360">
        <v>1063</v>
      </c>
      <c r="I187" s="360">
        <v>83.64</v>
      </c>
      <c r="J187" s="360">
        <v>2627</v>
      </c>
      <c r="K187" s="360">
        <v>83.64</v>
      </c>
      <c r="L187" s="360">
        <v>2627</v>
      </c>
      <c r="M187" s="360">
        <v>0</v>
      </c>
      <c r="N187" s="360">
        <v>0</v>
      </c>
      <c r="O187" s="360">
        <v>0</v>
      </c>
      <c r="P187" s="360">
        <v>0</v>
      </c>
      <c r="Q187" s="360">
        <v>70.510000000000005</v>
      </c>
      <c r="R187" s="360">
        <v>167</v>
      </c>
      <c r="S187" s="360">
        <v>80</v>
      </c>
      <c r="T187" s="360">
        <v>1032</v>
      </c>
      <c r="U187" s="360">
        <v>87.71</v>
      </c>
      <c r="V187" s="360">
        <v>1411</v>
      </c>
      <c r="W187" s="360">
        <v>94.97</v>
      </c>
      <c r="X187" s="360">
        <v>15</v>
      </c>
      <c r="Y187" s="360">
        <v>109.66</v>
      </c>
      <c r="Z187" s="360">
        <v>1</v>
      </c>
      <c r="AA187" s="360">
        <v>104.38</v>
      </c>
      <c r="AB187" s="360">
        <v>1</v>
      </c>
      <c r="AC187" s="360">
        <v>75.180000000000007</v>
      </c>
      <c r="AD187" s="360">
        <v>1057</v>
      </c>
      <c r="AE187" s="360">
        <v>75.180000000000007</v>
      </c>
      <c r="AF187" s="360">
        <v>1057</v>
      </c>
      <c r="AG187" s="360">
        <v>0</v>
      </c>
      <c r="AH187" s="360">
        <v>0</v>
      </c>
      <c r="AI187" s="360">
        <v>95.72</v>
      </c>
      <c r="AJ187" s="360">
        <v>9</v>
      </c>
      <c r="AK187" s="360">
        <v>70.010000000000005</v>
      </c>
      <c r="AL187" s="360">
        <v>617</v>
      </c>
      <c r="AM187" s="360">
        <v>81.099999999999994</v>
      </c>
      <c r="AN187" s="360">
        <v>421</v>
      </c>
      <c r="AO187" s="360">
        <v>126.16</v>
      </c>
      <c r="AP187" s="360">
        <v>10</v>
      </c>
      <c r="AQ187" s="360">
        <v>0</v>
      </c>
      <c r="AR187" s="360">
        <v>0</v>
      </c>
      <c r="AS187" s="360">
        <v>115.18</v>
      </c>
      <c r="AT187" s="360">
        <v>64</v>
      </c>
      <c r="AU187" s="360">
        <v>115.18</v>
      </c>
      <c r="AV187" s="360">
        <v>64</v>
      </c>
      <c r="AW187" s="360">
        <v>0</v>
      </c>
      <c r="AX187" s="360">
        <v>0</v>
      </c>
      <c r="AY187" s="360">
        <v>0</v>
      </c>
      <c r="AZ187" s="360">
        <v>0</v>
      </c>
      <c r="BA187" s="360">
        <v>97.05</v>
      </c>
      <c r="BB187" s="360">
        <v>16</v>
      </c>
      <c r="BC187" s="360">
        <v>113.44</v>
      </c>
      <c r="BD187" s="360">
        <v>36</v>
      </c>
      <c r="BE187" s="360">
        <v>142.05000000000001</v>
      </c>
      <c r="BF187" s="360">
        <v>11</v>
      </c>
      <c r="BG187" s="360">
        <v>172.6</v>
      </c>
      <c r="BH187" s="360">
        <v>1</v>
      </c>
      <c r="BI187" s="360">
        <v>0</v>
      </c>
      <c r="BJ187" s="360">
        <v>0</v>
      </c>
      <c r="BK187" s="360">
        <v>0</v>
      </c>
      <c r="BL187" s="360">
        <v>0</v>
      </c>
      <c r="BM187" s="360">
        <v>97.4</v>
      </c>
      <c r="BN187" s="360">
        <v>6</v>
      </c>
      <c r="BO187" s="360">
        <v>97.4</v>
      </c>
      <c r="BP187" s="360">
        <v>6</v>
      </c>
      <c r="BQ187" s="360">
        <v>0</v>
      </c>
      <c r="BR187" s="360">
        <v>0</v>
      </c>
      <c r="BS187" s="360">
        <v>0</v>
      </c>
      <c r="BT187" s="360">
        <v>0</v>
      </c>
      <c r="BU187" s="360">
        <v>97.4</v>
      </c>
      <c r="BV187" s="360">
        <v>6</v>
      </c>
      <c r="BW187" s="360">
        <v>0</v>
      </c>
      <c r="BX187" s="360">
        <v>0</v>
      </c>
      <c r="BY187" s="360">
        <v>0</v>
      </c>
      <c r="BZ187" s="360">
        <v>0</v>
      </c>
      <c r="CA187" s="360">
        <v>0</v>
      </c>
      <c r="CB187" s="360">
        <v>0</v>
      </c>
      <c r="CC187" s="360">
        <v>24</v>
      </c>
      <c r="CD187" s="360" t="s">
        <v>526</v>
      </c>
    </row>
    <row r="188" spans="1:82" x14ac:dyDescent="0.35">
      <c r="A188" s="360" t="s">
        <v>527</v>
      </c>
      <c r="B188" s="360" t="s">
        <v>528</v>
      </c>
      <c r="C188" s="360" t="s">
        <v>66</v>
      </c>
      <c r="D188" s="360" t="s">
        <v>77</v>
      </c>
      <c r="E188" s="360">
        <v>5826</v>
      </c>
      <c r="F188" s="360">
        <v>4760</v>
      </c>
      <c r="G188" s="360">
        <v>0</v>
      </c>
      <c r="H188" s="360">
        <v>1066</v>
      </c>
      <c r="I188" s="360">
        <v>85.9</v>
      </c>
      <c r="J188" s="360">
        <v>4745</v>
      </c>
      <c r="K188" s="360">
        <v>85.9</v>
      </c>
      <c r="L188" s="360">
        <v>4745</v>
      </c>
      <c r="M188" s="360">
        <v>0</v>
      </c>
      <c r="N188" s="360">
        <v>0</v>
      </c>
      <c r="O188" s="360">
        <v>55.72</v>
      </c>
      <c r="P188" s="360">
        <v>2</v>
      </c>
      <c r="Q188" s="360">
        <v>71.91</v>
      </c>
      <c r="R188" s="360">
        <v>276</v>
      </c>
      <c r="S188" s="360">
        <v>81.97</v>
      </c>
      <c r="T188" s="360">
        <v>1903</v>
      </c>
      <c r="U188" s="360">
        <v>90.06</v>
      </c>
      <c r="V188" s="360">
        <v>2443</v>
      </c>
      <c r="W188" s="360">
        <v>94.85</v>
      </c>
      <c r="X188" s="360">
        <v>115</v>
      </c>
      <c r="Y188" s="360">
        <v>0</v>
      </c>
      <c r="Z188" s="360">
        <v>0</v>
      </c>
      <c r="AA188" s="360">
        <v>121.81</v>
      </c>
      <c r="AB188" s="360">
        <v>6</v>
      </c>
      <c r="AC188" s="360">
        <v>76.319999999999993</v>
      </c>
      <c r="AD188" s="360">
        <v>1066</v>
      </c>
      <c r="AE188" s="360">
        <v>76.319999999999993</v>
      </c>
      <c r="AF188" s="360">
        <v>1066</v>
      </c>
      <c r="AG188" s="360">
        <v>0</v>
      </c>
      <c r="AH188" s="360">
        <v>0</v>
      </c>
      <c r="AI188" s="360">
        <v>59.04</v>
      </c>
      <c r="AJ188" s="360">
        <v>17</v>
      </c>
      <c r="AK188" s="360">
        <v>72.23</v>
      </c>
      <c r="AL188" s="360">
        <v>474</v>
      </c>
      <c r="AM188" s="360">
        <v>80.150000000000006</v>
      </c>
      <c r="AN188" s="360">
        <v>570</v>
      </c>
      <c r="AO188" s="360">
        <v>88.48</v>
      </c>
      <c r="AP188" s="360">
        <v>4</v>
      </c>
      <c r="AQ188" s="360">
        <v>82.65</v>
      </c>
      <c r="AR188" s="360">
        <v>1</v>
      </c>
      <c r="AS188" s="360">
        <v>92.71</v>
      </c>
      <c r="AT188" s="360">
        <v>15</v>
      </c>
      <c r="AU188" s="360">
        <v>92.71</v>
      </c>
      <c r="AV188" s="360">
        <v>15</v>
      </c>
      <c r="AW188" s="360">
        <v>0</v>
      </c>
      <c r="AX188" s="360">
        <v>0</v>
      </c>
      <c r="AY188" s="360">
        <v>0</v>
      </c>
      <c r="AZ188" s="360">
        <v>0</v>
      </c>
      <c r="BA188" s="360">
        <v>91.19</v>
      </c>
      <c r="BB188" s="360">
        <v>14</v>
      </c>
      <c r="BC188" s="360">
        <v>114.12</v>
      </c>
      <c r="BD188" s="360">
        <v>1</v>
      </c>
      <c r="BE188" s="360">
        <v>0</v>
      </c>
      <c r="BF188" s="360">
        <v>0</v>
      </c>
      <c r="BG188" s="360">
        <v>0</v>
      </c>
      <c r="BH188" s="360">
        <v>0</v>
      </c>
      <c r="BI188" s="360">
        <v>0</v>
      </c>
      <c r="BJ188" s="360">
        <v>0</v>
      </c>
      <c r="BK188" s="360">
        <v>0</v>
      </c>
      <c r="BL188" s="360">
        <v>0</v>
      </c>
      <c r="BM188" s="360">
        <v>0</v>
      </c>
      <c r="BN188" s="360">
        <v>0</v>
      </c>
      <c r="BO188" s="360">
        <v>0</v>
      </c>
      <c r="BP188" s="360">
        <v>0</v>
      </c>
      <c r="BQ188" s="360">
        <v>0</v>
      </c>
      <c r="BR188" s="360">
        <v>0</v>
      </c>
      <c r="BS188" s="360">
        <v>0</v>
      </c>
      <c r="BT188" s="360">
        <v>0</v>
      </c>
      <c r="BU188" s="360">
        <v>0</v>
      </c>
      <c r="BV188" s="360">
        <v>0</v>
      </c>
      <c r="BW188" s="360">
        <v>0</v>
      </c>
      <c r="BX188" s="360">
        <v>0</v>
      </c>
      <c r="BY188" s="360">
        <v>0</v>
      </c>
      <c r="BZ188" s="360">
        <v>0</v>
      </c>
      <c r="CA188" s="360">
        <v>0</v>
      </c>
      <c r="CB188" s="360">
        <v>0</v>
      </c>
      <c r="CC188" s="360">
        <v>0</v>
      </c>
      <c r="CD188" s="360" t="s">
        <v>529</v>
      </c>
    </row>
    <row r="189" spans="1:82" x14ac:dyDescent="0.35">
      <c r="A189" s="360" t="s">
        <v>530</v>
      </c>
      <c r="B189" s="360" t="s">
        <v>531</v>
      </c>
      <c r="C189" s="360" t="s">
        <v>70</v>
      </c>
      <c r="D189" s="360" t="s">
        <v>77</v>
      </c>
      <c r="E189" s="360">
        <v>40</v>
      </c>
      <c r="F189" s="360">
        <v>0</v>
      </c>
      <c r="G189" s="360">
        <v>0</v>
      </c>
      <c r="H189" s="360">
        <v>40</v>
      </c>
      <c r="I189" s="360">
        <v>0</v>
      </c>
      <c r="J189" s="360">
        <v>0</v>
      </c>
      <c r="K189" s="360">
        <v>0</v>
      </c>
      <c r="L189" s="360">
        <v>0</v>
      </c>
      <c r="M189" s="360">
        <v>0</v>
      </c>
      <c r="N189" s="360">
        <v>0</v>
      </c>
      <c r="O189" s="360">
        <v>0</v>
      </c>
      <c r="P189" s="360">
        <v>0</v>
      </c>
      <c r="Q189" s="360">
        <v>0</v>
      </c>
      <c r="R189" s="360">
        <v>0</v>
      </c>
      <c r="S189" s="360">
        <v>0</v>
      </c>
      <c r="T189" s="360">
        <v>0</v>
      </c>
      <c r="U189" s="360">
        <v>0</v>
      </c>
      <c r="V189" s="360">
        <v>0</v>
      </c>
      <c r="W189" s="360">
        <v>0</v>
      </c>
      <c r="X189" s="360">
        <v>0</v>
      </c>
      <c r="Y189" s="360">
        <v>0</v>
      </c>
      <c r="Z189" s="360">
        <v>0</v>
      </c>
      <c r="AA189" s="360">
        <v>0</v>
      </c>
      <c r="AB189" s="360">
        <v>0</v>
      </c>
      <c r="AC189" s="360">
        <v>129.30000000000001</v>
      </c>
      <c r="AD189" s="360">
        <v>40</v>
      </c>
      <c r="AE189" s="360">
        <v>0</v>
      </c>
      <c r="AF189" s="360">
        <v>0</v>
      </c>
      <c r="AG189" s="360">
        <v>129.30000000000001</v>
      </c>
      <c r="AH189" s="360">
        <v>40</v>
      </c>
      <c r="AI189" s="360">
        <v>0</v>
      </c>
      <c r="AJ189" s="360">
        <v>0</v>
      </c>
      <c r="AK189" s="360">
        <v>0</v>
      </c>
      <c r="AL189" s="360">
        <v>0</v>
      </c>
      <c r="AM189" s="360">
        <v>0</v>
      </c>
      <c r="AN189" s="360">
        <v>0</v>
      </c>
      <c r="AO189" s="360">
        <v>0</v>
      </c>
      <c r="AP189" s="360">
        <v>0</v>
      </c>
      <c r="AQ189" s="360">
        <v>0</v>
      </c>
      <c r="AR189" s="360">
        <v>0</v>
      </c>
      <c r="AS189" s="360">
        <v>0</v>
      </c>
      <c r="AT189" s="360">
        <v>0</v>
      </c>
      <c r="AU189" s="360">
        <v>0</v>
      </c>
      <c r="AV189" s="360">
        <v>0</v>
      </c>
      <c r="AW189" s="360">
        <v>0</v>
      </c>
      <c r="AX189" s="360">
        <v>0</v>
      </c>
      <c r="AY189" s="360">
        <v>0</v>
      </c>
      <c r="AZ189" s="360">
        <v>0</v>
      </c>
      <c r="BA189" s="360">
        <v>0</v>
      </c>
      <c r="BB189" s="360">
        <v>0</v>
      </c>
      <c r="BC189" s="360">
        <v>0</v>
      </c>
      <c r="BD189" s="360">
        <v>0</v>
      </c>
      <c r="BE189" s="360">
        <v>0</v>
      </c>
      <c r="BF189" s="360">
        <v>0</v>
      </c>
      <c r="BG189" s="360">
        <v>0</v>
      </c>
      <c r="BH189" s="360">
        <v>0</v>
      </c>
      <c r="BI189" s="360">
        <v>0</v>
      </c>
      <c r="BJ189" s="360">
        <v>0</v>
      </c>
      <c r="BK189" s="360">
        <v>0</v>
      </c>
      <c r="BL189" s="360">
        <v>0</v>
      </c>
      <c r="BM189" s="360">
        <v>0</v>
      </c>
      <c r="BN189" s="360">
        <v>0</v>
      </c>
      <c r="BO189" s="360">
        <v>0</v>
      </c>
      <c r="BP189" s="360">
        <v>0</v>
      </c>
      <c r="BQ189" s="360">
        <v>0</v>
      </c>
      <c r="BR189" s="360">
        <v>0</v>
      </c>
      <c r="BS189" s="360">
        <v>0</v>
      </c>
      <c r="BT189" s="360">
        <v>0</v>
      </c>
      <c r="BU189" s="360">
        <v>0</v>
      </c>
      <c r="BV189" s="360">
        <v>0</v>
      </c>
      <c r="BW189" s="360">
        <v>0</v>
      </c>
      <c r="BX189" s="360">
        <v>0</v>
      </c>
      <c r="BY189" s="360">
        <v>0</v>
      </c>
      <c r="BZ189" s="360">
        <v>0</v>
      </c>
      <c r="CA189" s="360">
        <v>0</v>
      </c>
      <c r="CB189" s="360">
        <v>0</v>
      </c>
      <c r="CC189" s="360">
        <v>0</v>
      </c>
      <c r="CD189" s="360" t="s">
        <v>532</v>
      </c>
    </row>
    <row r="190" spans="1:82" x14ac:dyDescent="0.35">
      <c r="A190" s="360" t="s">
        <v>533</v>
      </c>
      <c r="B190" s="360" t="s">
        <v>534</v>
      </c>
      <c r="C190" s="360" t="s">
        <v>70</v>
      </c>
      <c r="D190" s="360" t="s">
        <v>77</v>
      </c>
      <c r="E190" s="360">
        <v>12</v>
      </c>
      <c r="F190" s="360">
        <v>12</v>
      </c>
      <c r="G190" s="360">
        <v>0</v>
      </c>
      <c r="H190" s="360">
        <v>0</v>
      </c>
      <c r="I190" s="360">
        <v>0</v>
      </c>
      <c r="J190" s="360">
        <v>0</v>
      </c>
      <c r="K190" s="360">
        <v>0</v>
      </c>
      <c r="L190" s="360">
        <v>0</v>
      </c>
      <c r="M190" s="360">
        <v>0</v>
      </c>
      <c r="N190" s="360">
        <v>0</v>
      </c>
      <c r="O190" s="360">
        <v>0</v>
      </c>
      <c r="P190" s="360">
        <v>0</v>
      </c>
      <c r="Q190" s="360">
        <v>0</v>
      </c>
      <c r="R190" s="360">
        <v>0</v>
      </c>
      <c r="S190" s="360">
        <v>0</v>
      </c>
      <c r="T190" s="360">
        <v>0</v>
      </c>
      <c r="U190" s="360">
        <v>0</v>
      </c>
      <c r="V190" s="360">
        <v>0</v>
      </c>
      <c r="W190" s="360">
        <v>0</v>
      </c>
      <c r="X190" s="360">
        <v>0</v>
      </c>
      <c r="Y190" s="360">
        <v>0</v>
      </c>
      <c r="Z190" s="360">
        <v>0</v>
      </c>
      <c r="AA190" s="360">
        <v>0</v>
      </c>
      <c r="AB190" s="360">
        <v>0</v>
      </c>
      <c r="AC190" s="360">
        <v>0</v>
      </c>
      <c r="AD190" s="360">
        <v>0</v>
      </c>
      <c r="AE190" s="360">
        <v>0</v>
      </c>
      <c r="AF190" s="360">
        <v>0</v>
      </c>
      <c r="AG190" s="360">
        <v>0</v>
      </c>
      <c r="AH190" s="360">
        <v>0</v>
      </c>
      <c r="AI190" s="360">
        <v>0</v>
      </c>
      <c r="AJ190" s="360">
        <v>0</v>
      </c>
      <c r="AK190" s="360">
        <v>0</v>
      </c>
      <c r="AL190" s="360">
        <v>0</v>
      </c>
      <c r="AM190" s="360">
        <v>0</v>
      </c>
      <c r="AN190" s="360">
        <v>0</v>
      </c>
      <c r="AO190" s="360">
        <v>0</v>
      </c>
      <c r="AP190" s="360">
        <v>0</v>
      </c>
      <c r="AQ190" s="360">
        <v>0</v>
      </c>
      <c r="AR190" s="360">
        <v>0</v>
      </c>
      <c r="AS190" s="360">
        <v>103.74</v>
      </c>
      <c r="AT190" s="360">
        <v>12</v>
      </c>
      <c r="AU190" s="360">
        <v>103.74</v>
      </c>
      <c r="AV190" s="360">
        <v>12</v>
      </c>
      <c r="AW190" s="360">
        <v>0</v>
      </c>
      <c r="AX190" s="360">
        <v>0</v>
      </c>
      <c r="AY190" s="360">
        <v>0</v>
      </c>
      <c r="AZ190" s="360">
        <v>0</v>
      </c>
      <c r="BA190" s="360">
        <v>115.76</v>
      </c>
      <c r="BB190" s="360">
        <v>7</v>
      </c>
      <c r="BC190" s="360">
        <v>86.92</v>
      </c>
      <c r="BD190" s="360">
        <v>5</v>
      </c>
      <c r="BE190" s="360">
        <v>0</v>
      </c>
      <c r="BF190" s="360">
        <v>0</v>
      </c>
      <c r="BG190" s="360">
        <v>0</v>
      </c>
      <c r="BH190" s="360">
        <v>0</v>
      </c>
      <c r="BI190" s="360">
        <v>0</v>
      </c>
      <c r="BJ190" s="360">
        <v>0</v>
      </c>
      <c r="BK190" s="360">
        <v>0</v>
      </c>
      <c r="BL190" s="360">
        <v>0</v>
      </c>
      <c r="BM190" s="360">
        <v>0</v>
      </c>
      <c r="BN190" s="360">
        <v>0</v>
      </c>
      <c r="BO190" s="360">
        <v>0</v>
      </c>
      <c r="BP190" s="360">
        <v>0</v>
      </c>
      <c r="BQ190" s="360">
        <v>0</v>
      </c>
      <c r="BR190" s="360">
        <v>0</v>
      </c>
      <c r="BS190" s="360">
        <v>0</v>
      </c>
      <c r="BT190" s="360">
        <v>0</v>
      </c>
      <c r="BU190" s="360">
        <v>0</v>
      </c>
      <c r="BV190" s="360">
        <v>0</v>
      </c>
      <c r="BW190" s="360">
        <v>0</v>
      </c>
      <c r="BX190" s="360">
        <v>0</v>
      </c>
      <c r="BY190" s="360">
        <v>0</v>
      </c>
      <c r="BZ190" s="360">
        <v>0</v>
      </c>
      <c r="CA190" s="360">
        <v>0</v>
      </c>
      <c r="CB190" s="360">
        <v>0</v>
      </c>
      <c r="CC190" s="360">
        <v>0</v>
      </c>
      <c r="CD190" s="360" t="s">
        <v>535</v>
      </c>
    </row>
    <row r="191" spans="1:82" x14ac:dyDescent="0.35">
      <c r="A191" s="363" t="s">
        <v>879</v>
      </c>
      <c r="B191" s="363" t="s">
        <v>880</v>
      </c>
      <c r="C191" s="363" t="s">
        <v>72</v>
      </c>
      <c r="D191" s="363" t="s">
        <v>77</v>
      </c>
      <c r="E191" s="363">
        <v>0</v>
      </c>
      <c r="F191" s="360">
        <v>0</v>
      </c>
      <c r="G191" s="360">
        <v>0</v>
      </c>
      <c r="H191" s="360">
        <v>0</v>
      </c>
      <c r="I191" s="363">
        <v>0</v>
      </c>
      <c r="J191" s="363">
        <v>0</v>
      </c>
      <c r="K191" s="363">
        <v>0</v>
      </c>
      <c r="L191" s="363">
        <v>0</v>
      </c>
      <c r="M191" s="363">
        <v>0</v>
      </c>
      <c r="N191" s="363">
        <v>0</v>
      </c>
      <c r="O191" s="363">
        <v>0</v>
      </c>
      <c r="P191" s="363">
        <v>0</v>
      </c>
      <c r="Q191" s="363">
        <v>0</v>
      </c>
      <c r="R191" s="363">
        <v>0</v>
      </c>
      <c r="S191" s="363">
        <v>0</v>
      </c>
      <c r="T191" s="363">
        <v>0</v>
      </c>
      <c r="U191" s="363">
        <v>0</v>
      </c>
      <c r="V191" s="363">
        <v>0</v>
      </c>
      <c r="W191" s="363">
        <v>0</v>
      </c>
      <c r="X191" s="363">
        <v>0</v>
      </c>
      <c r="Y191" s="363">
        <v>0</v>
      </c>
      <c r="Z191" s="363">
        <v>0</v>
      </c>
      <c r="AA191" s="363">
        <v>0</v>
      </c>
      <c r="AB191" s="363">
        <v>0</v>
      </c>
      <c r="AC191" s="363">
        <v>0</v>
      </c>
      <c r="AD191" s="363">
        <v>0</v>
      </c>
      <c r="AE191" s="363">
        <v>0</v>
      </c>
      <c r="AF191" s="363">
        <v>0</v>
      </c>
      <c r="AG191" s="363">
        <v>0</v>
      </c>
      <c r="AH191" s="363">
        <v>0</v>
      </c>
      <c r="AI191" s="363">
        <v>0</v>
      </c>
      <c r="AJ191" s="363">
        <v>0</v>
      </c>
      <c r="AK191" s="363">
        <v>0</v>
      </c>
      <c r="AL191" s="363">
        <v>0</v>
      </c>
      <c r="AM191" s="363">
        <v>0</v>
      </c>
      <c r="AN191" s="363">
        <v>0</v>
      </c>
      <c r="AO191" s="363">
        <v>0</v>
      </c>
      <c r="AP191" s="363">
        <v>0</v>
      </c>
      <c r="AQ191" s="363">
        <v>0</v>
      </c>
      <c r="AR191" s="363">
        <v>0</v>
      </c>
      <c r="AS191" s="363">
        <v>0</v>
      </c>
      <c r="AT191" s="363">
        <v>0</v>
      </c>
      <c r="AU191" s="363">
        <v>0</v>
      </c>
      <c r="AV191" s="363">
        <v>0</v>
      </c>
      <c r="AW191" s="363">
        <v>0</v>
      </c>
      <c r="AX191" s="363">
        <v>0</v>
      </c>
      <c r="AY191" s="363">
        <v>0</v>
      </c>
      <c r="AZ191" s="363">
        <v>0</v>
      </c>
      <c r="BA191" s="363">
        <v>0</v>
      </c>
      <c r="BB191" s="363">
        <v>0</v>
      </c>
      <c r="BC191" s="363">
        <v>0</v>
      </c>
      <c r="BD191" s="363">
        <v>0</v>
      </c>
      <c r="BE191" s="363">
        <v>0</v>
      </c>
      <c r="BF191" s="363">
        <v>0</v>
      </c>
      <c r="BG191" s="363">
        <v>0</v>
      </c>
      <c r="BH191" s="363">
        <v>0</v>
      </c>
      <c r="BI191" s="363">
        <v>0</v>
      </c>
      <c r="BJ191" s="363">
        <v>0</v>
      </c>
      <c r="BK191" s="363">
        <v>0</v>
      </c>
      <c r="BL191" s="363">
        <v>0</v>
      </c>
      <c r="BM191" s="363">
        <v>0</v>
      </c>
      <c r="BN191" s="363">
        <v>0</v>
      </c>
      <c r="BO191" s="363">
        <v>0</v>
      </c>
      <c r="BP191" s="363">
        <v>0</v>
      </c>
      <c r="BQ191" s="363">
        <v>0</v>
      </c>
      <c r="BR191" s="363">
        <v>0</v>
      </c>
      <c r="BS191" s="363">
        <v>0</v>
      </c>
      <c r="BT191" s="363">
        <v>0</v>
      </c>
      <c r="BU191" s="363">
        <v>0</v>
      </c>
      <c r="BV191" s="363">
        <v>0</v>
      </c>
      <c r="BW191" s="363">
        <v>0</v>
      </c>
      <c r="BX191" s="363">
        <v>0</v>
      </c>
      <c r="BY191" s="363">
        <v>0</v>
      </c>
      <c r="BZ191" s="363">
        <v>0</v>
      </c>
      <c r="CA191" s="363">
        <v>0</v>
      </c>
      <c r="CB191" s="363">
        <v>0</v>
      </c>
      <c r="CC191" s="363">
        <v>0</v>
      </c>
      <c r="CD191" s="363" t="s">
        <v>881</v>
      </c>
    </row>
    <row r="192" spans="1:82" x14ac:dyDescent="0.35">
      <c r="A192" s="360" t="s">
        <v>536</v>
      </c>
      <c r="B192" s="360" t="s">
        <v>537</v>
      </c>
      <c r="C192" s="360" t="s">
        <v>69</v>
      </c>
      <c r="D192" s="360" t="s">
        <v>77</v>
      </c>
      <c r="E192" s="360">
        <v>16060</v>
      </c>
      <c r="F192" s="360">
        <v>14919</v>
      </c>
      <c r="G192" s="360">
        <v>0</v>
      </c>
      <c r="H192" s="360">
        <v>1137</v>
      </c>
      <c r="I192" s="360">
        <v>77.62</v>
      </c>
      <c r="J192" s="360">
        <v>14913</v>
      </c>
      <c r="K192" s="360">
        <v>77.62</v>
      </c>
      <c r="L192" s="360">
        <v>14913</v>
      </c>
      <c r="M192" s="360">
        <v>0</v>
      </c>
      <c r="N192" s="360">
        <v>0</v>
      </c>
      <c r="O192" s="360">
        <v>58.66</v>
      </c>
      <c r="P192" s="360">
        <v>84</v>
      </c>
      <c r="Q192" s="360">
        <v>67.98</v>
      </c>
      <c r="R192" s="360">
        <v>2961</v>
      </c>
      <c r="S192" s="360">
        <v>77.27</v>
      </c>
      <c r="T192" s="360">
        <v>5448</v>
      </c>
      <c r="U192" s="360">
        <v>82.47</v>
      </c>
      <c r="V192" s="360">
        <v>6142</v>
      </c>
      <c r="W192" s="360">
        <v>86.15</v>
      </c>
      <c r="X192" s="360">
        <v>274</v>
      </c>
      <c r="Y192" s="360">
        <v>88.05</v>
      </c>
      <c r="Z192" s="360">
        <v>4</v>
      </c>
      <c r="AA192" s="360">
        <v>0</v>
      </c>
      <c r="AB192" s="360">
        <v>0</v>
      </c>
      <c r="AC192" s="360">
        <v>69.510000000000005</v>
      </c>
      <c r="AD192" s="360">
        <v>1137</v>
      </c>
      <c r="AE192" s="360">
        <v>69.510000000000005</v>
      </c>
      <c r="AF192" s="360">
        <v>1137</v>
      </c>
      <c r="AG192" s="360">
        <v>0</v>
      </c>
      <c r="AH192" s="360">
        <v>0</v>
      </c>
      <c r="AI192" s="360">
        <v>54.42</v>
      </c>
      <c r="AJ192" s="360">
        <v>8</v>
      </c>
      <c r="AK192" s="360">
        <v>67.819999999999993</v>
      </c>
      <c r="AL192" s="360">
        <v>953</v>
      </c>
      <c r="AM192" s="360">
        <v>79.12</v>
      </c>
      <c r="AN192" s="360">
        <v>171</v>
      </c>
      <c r="AO192" s="360">
        <v>88.11</v>
      </c>
      <c r="AP192" s="360">
        <v>5</v>
      </c>
      <c r="AQ192" s="360">
        <v>0</v>
      </c>
      <c r="AR192" s="360">
        <v>0</v>
      </c>
      <c r="AS192" s="360">
        <v>120.28</v>
      </c>
      <c r="AT192" s="360">
        <v>6</v>
      </c>
      <c r="AU192" s="360">
        <v>120.28</v>
      </c>
      <c r="AV192" s="360">
        <v>6</v>
      </c>
      <c r="AW192" s="360">
        <v>0</v>
      </c>
      <c r="AX192" s="360">
        <v>0</v>
      </c>
      <c r="AY192" s="360">
        <v>0</v>
      </c>
      <c r="AZ192" s="360">
        <v>0</v>
      </c>
      <c r="BA192" s="360">
        <v>0</v>
      </c>
      <c r="BB192" s="360">
        <v>0</v>
      </c>
      <c r="BC192" s="360">
        <v>120.28</v>
      </c>
      <c r="BD192" s="360">
        <v>6</v>
      </c>
      <c r="BE192" s="360">
        <v>0</v>
      </c>
      <c r="BF192" s="360">
        <v>0</v>
      </c>
      <c r="BG192" s="360">
        <v>0</v>
      </c>
      <c r="BH192" s="360">
        <v>0</v>
      </c>
      <c r="BI192" s="360">
        <v>0</v>
      </c>
      <c r="BJ192" s="360">
        <v>0</v>
      </c>
      <c r="BK192" s="360">
        <v>0</v>
      </c>
      <c r="BL192" s="360">
        <v>0</v>
      </c>
      <c r="BM192" s="360">
        <v>0</v>
      </c>
      <c r="BN192" s="360">
        <v>0</v>
      </c>
      <c r="BO192" s="360">
        <v>0</v>
      </c>
      <c r="BP192" s="360">
        <v>0</v>
      </c>
      <c r="BQ192" s="360">
        <v>0</v>
      </c>
      <c r="BR192" s="360">
        <v>0</v>
      </c>
      <c r="BS192" s="360">
        <v>0</v>
      </c>
      <c r="BT192" s="360">
        <v>0</v>
      </c>
      <c r="BU192" s="360">
        <v>0</v>
      </c>
      <c r="BV192" s="360">
        <v>0</v>
      </c>
      <c r="BW192" s="360">
        <v>0</v>
      </c>
      <c r="BX192" s="360">
        <v>0</v>
      </c>
      <c r="BY192" s="360">
        <v>0</v>
      </c>
      <c r="BZ192" s="360">
        <v>0</v>
      </c>
      <c r="CA192" s="360">
        <v>0</v>
      </c>
      <c r="CB192" s="360">
        <v>0</v>
      </c>
      <c r="CC192" s="360">
        <v>4</v>
      </c>
      <c r="CD192" s="360" t="s">
        <v>538</v>
      </c>
    </row>
    <row r="193" spans="1:82" x14ac:dyDescent="0.35">
      <c r="A193" s="360" t="s">
        <v>539</v>
      </c>
      <c r="B193" s="360" t="s">
        <v>540</v>
      </c>
      <c r="C193" s="360" t="s">
        <v>71</v>
      </c>
      <c r="D193" s="360" t="s">
        <v>77</v>
      </c>
      <c r="E193" s="360">
        <v>15891</v>
      </c>
      <c r="F193" s="360">
        <v>12482</v>
      </c>
      <c r="G193" s="360">
        <v>0</v>
      </c>
      <c r="H193" s="360">
        <v>3311</v>
      </c>
      <c r="I193" s="360">
        <v>89.12</v>
      </c>
      <c r="J193" s="360">
        <v>12389</v>
      </c>
      <c r="K193" s="360">
        <v>89.12</v>
      </c>
      <c r="L193" s="360">
        <v>12389</v>
      </c>
      <c r="M193" s="360">
        <v>0</v>
      </c>
      <c r="N193" s="360">
        <v>0</v>
      </c>
      <c r="O193" s="360">
        <v>63.88</v>
      </c>
      <c r="P193" s="360">
        <v>482</v>
      </c>
      <c r="Q193" s="360">
        <v>74.19</v>
      </c>
      <c r="R193" s="360">
        <v>2222</v>
      </c>
      <c r="S193" s="360">
        <v>84.86</v>
      </c>
      <c r="T193" s="360">
        <v>5258</v>
      </c>
      <c r="U193" s="360">
        <v>103.88</v>
      </c>
      <c r="V193" s="360">
        <v>4108</v>
      </c>
      <c r="W193" s="360">
        <v>111.36</v>
      </c>
      <c r="X193" s="360">
        <v>312</v>
      </c>
      <c r="Y193" s="360">
        <v>123.52</v>
      </c>
      <c r="Z193" s="360">
        <v>6</v>
      </c>
      <c r="AA193" s="360">
        <v>165.54</v>
      </c>
      <c r="AB193" s="360">
        <v>1</v>
      </c>
      <c r="AC193" s="360">
        <v>76.849999999999994</v>
      </c>
      <c r="AD193" s="360">
        <v>3158</v>
      </c>
      <c r="AE193" s="360">
        <v>76.849999999999994</v>
      </c>
      <c r="AF193" s="360">
        <v>3158</v>
      </c>
      <c r="AG193" s="360">
        <v>0</v>
      </c>
      <c r="AH193" s="360">
        <v>0</v>
      </c>
      <c r="AI193" s="360">
        <v>65.349999999999994</v>
      </c>
      <c r="AJ193" s="360">
        <v>125</v>
      </c>
      <c r="AK193" s="360">
        <v>77.14</v>
      </c>
      <c r="AL193" s="360">
        <v>2989</v>
      </c>
      <c r="AM193" s="360">
        <v>89.98</v>
      </c>
      <c r="AN193" s="360">
        <v>44</v>
      </c>
      <c r="AO193" s="360">
        <v>0</v>
      </c>
      <c r="AP193" s="360">
        <v>0</v>
      </c>
      <c r="AQ193" s="360">
        <v>0</v>
      </c>
      <c r="AR193" s="360">
        <v>0</v>
      </c>
      <c r="AS193" s="360">
        <v>155.82</v>
      </c>
      <c r="AT193" s="360">
        <v>93</v>
      </c>
      <c r="AU193" s="360">
        <v>155.82</v>
      </c>
      <c r="AV193" s="360">
        <v>93</v>
      </c>
      <c r="AW193" s="360">
        <v>0</v>
      </c>
      <c r="AX193" s="360">
        <v>0</v>
      </c>
      <c r="AY193" s="360">
        <v>0</v>
      </c>
      <c r="AZ193" s="360">
        <v>0</v>
      </c>
      <c r="BA193" s="360">
        <v>130.51</v>
      </c>
      <c r="BB193" s="360">
        <v>17</v>
      </c>
      <c r="BC193" s="360">
        <v>151.79</v>
      </c>
      <c r="BD193" s="360">
        <v>44</v>
      </c>
      <c r="BE193" s="360">
        <v>174.81</v>
      </c>
      <c r="BF193" s="360">
        <v>32</v>
      </c>
      <c r="BG193" s="360">
        <v>0</v>
      </c>
      <c r="BH193" s="360">
        <v>0</v>
      </c>
      <c r="BI193" s="360">
        <v>0</v>
      </c>
      <c r="BJ193" s="360">
        <v>0</v>
      </c>
      <c r="BK193" s="360">
        <v>0</v>
      </c>
      <c r="BL193" s="360">
        <v>0</v>
      </c>
      <c r="BM193" s="360">
        <v>131.41</v>
      </c>
      <c r="BN193" s="360">
        <v>153</v>
      </c>
      <c r="BO193" s="360">
        <v>131.41</v>
      </c>
      <c r="BP193" s="360">
        <v>153</v>
      </c>
      <c r="BQ193" s="360">
        <v>0</v>
      </c>
      <c r="BR193" s="360">
        <v>0</v>
      </c>
      <c r="BS193" s="360">
        <v>0</v>
      </c>
      <c r="BT193" s="360">
        <v>0</v>
      </c>
      <c r="BU193" s="360">
        <v>120.55</v>
      </c>
      <c r="BV193" s="360">
        <v>88</v>
      </c>
      <c r="BW193" s="360">
        <v>146.13</v>
      </c>
      <c r="BX193" s="360">
        <v>65</v>
      </c>
      <c r="BY193" s="360">
        <v>0</v>
      </c>
      <c r="BZ193" s="360">
        <v>0</v>
      </c>
      <c r="CA193" s="360">
        <v>0</v>
      </c>
      <c r="CB193" s="360">
        <v>0</v>
      </c>
      <c r="CC193" s="360">
        <v>98</v>
      </c>
      <c r="CD193" s="360" t="s">
        <v>541</v>
      </c>
    </row>
    <row r="194" spans="1:82" x14ac:dyDescent="0.35">
      <c r="A194" s="360" t="s">
        <v>909</v>
      </c>
      <c r="B194" s="360" t="s">
        <v>542</v>
      </c>
      <c r="C194" s="360" t="s">
        <v>67</v>
      </c>
      <c r="D194" s="360" t="s">
        <v>77</v>
      </c>
      <c r="E194" s="360">
        <v>6028</v>
      </c>
      <c r="F194" s="360">
        <v>4909</v>
      </c>
      <c r="G194" s="360">
        <v>0</v>
      </c>
      <c r="H194" s="360">
        <v>1119</v>
      </c>
      <c r="I194" s="360">
        <v>93.37</v>
      </c>
      <c r="J194" s="360">
        <v>4777</v>
      </c>
      <c r="K194" s="360">
        <v>93.37</v>
      </c>
      <c r="L194" s="360">
        <v>4777</v>
      </c>
      <c r="M194" s="360">
        <v>0</v>
      </c>
      <c r="N194" s="360">
        <v>0</v>
      </c>
      <c r="O194" s="360">
        <v>71.55</v>
      </c>
      <c r="P194" s="360">
        <v>188</v>
      </c>
      <c r="Q194" s="360">
        <v>82</v>
      </c>
      <c r="R194" s="360">
        <v>1790</v>
      </c>
      <c r="S194" s="360">
        <v>91.95</v>
      </c>
      <c r="T194" s="360">
        <v>1212</v>
      </c>
      <c r="U194" s="360">
        <v>109.34</v>
      </c>
      <c r="V194" s="360">
        <v>1495</v>
      </c>
      <c r="W194" s="360">
        <v>118.74</v>
      </c>
      <c r="X194" s="360">
        <v>90</v>
      </c>
      <c r="Y194" s="360">
        <v>115.84</v>
      </c>
      <c r="Z194" s="360">
        <v>2</v>
      </c>
      <c r="AA194" s="360">
        <v>0</v>
      </c>
      <c r="AB194" s="360">
        <v>0</v>
      </c>
      <c r="AC194" s="360">
        <v>83.93</v>
      </c>
      <c r="AD194" s="360">
        <v>1119</v>
      </c>
      <c r="AE194" s="360">
        <v>81.75</v>
      </c>
      <c r="AF194" s="360">
        <v>1028</v>
      </c>
      <c r="AG194" s="360">
        <v>108.59</v>
      </c>
      <c r="AH194" s="360">
        <v>91</v>
      </c>
      <c r="AI194" s="360">
        <v>78.260000000000005</v>
      </c>
      <c r="AJ194" s="360">
        <v>353</v>
      </c>
      <c r="AK194" s="360">
        <v>83.53</v>
      </c>
      <c r="AL194" s="360">
        <v>673</v>
      </c>
      <c r="AM194" s="360">
        <v>106.93</v>
      </c>
      <c r="AN194" s="360">
        <v>1</v>
      </c>
      <c r="AO194" s="360">
        <v>98.48</v>
      </c>
      <c r="AP194" s="360">
        <v>1</v>
      </c>
      <c r="AQ194" s="360">
        <v>0</v>
      </c>
      <c r="AR194" s="360">
        <v>0</v>
      </c>
      <c r="AS194" s="360">
        <v>178.05</v>
      </c>
      <c r="AT194" s="360">
        <v>132</v>
      </c>
      <c r="AU194" s="360">
        <v>178.05</v>
      </c>
      <c r="AV194" s="360">
        <v>132</v>
      </c>
      <c r="AW194" s="360">
        <v>0</v>
      </c>
      <c r="AX194" s="360">
        <v>0</v>
      </c>
      <c r="AY194" s="360">
        <v>0</v>
      </c>
      <c r="AZ194" s="360">
        <v>0</v>
      </c>
      <c r="BA194" s="360">
        <v>122.25</v>
      </c>
      <c r="BB194" s="360">
        <v>18</v>
      </c>
      <c r="BC194" s="360">
        <v>164.14</v>
      </c>
      <c r="BD194" s="360">
        <v>57</v>
      </c>
      <c r="BE194" s="360">
        <v>206.49</v>
      </c>
      <c r="BF194" s="360">
        <v>54</v>
      </c>
      <c r="BG194" s="360">
        <v>265.63</v>
      </c>
      <c r="BH194" s="360">
        <v>3</v>
      </c>
      <c r="BI194" s="360">
        <v>0</v>
      </c>
      <c r="BJ194" s="360">
        <v>0</v>
      </c>
      <c r="BK194" s="360">
        <v>0</v>
      </c>
      <c r="BL194" s="360">
        <v>0</v>
      </c>
      <c r="BM194" s="360">
        <v>0</v>
      </c>
      <c r="BN194" s="360">
        <v>0</v>
      </c>
      <c r="BO194" s="360">
        <v>0</v>
      </c>
      <c r="BP194" s="360">
        <v>0</v>
      </c>
      <c r="BQ194" s="360">
        <v>0</v>
      </c>
      <c r="BR194" s="360">
        <v>0</v>
      </c>
      <c r="BS194" s="360">
        <v>0</v>
      </c>
      <c r="BT194" s="360">
        <v>0</v>
      </c>
      <c r="BU194" s="360">
        <v>0</v>
      </c>
      <c r="BV194" s="360">
        <v>0</v>
      </c>
      <c r="BW194" s="360">
        <v>0</v>
      </c>
      <c r="BX194" s="360">
        <v>0</v>
      </c>
      <c r="BY194" s="360">
        <v>0</v>
      </c>
      <c r="BZ194" s="360">
        <v>0</v>
      </c>
      <c r="CA194" s="360">
        <v>0</v>
      </c>
      <c r="CB194" s="360">
        <v>0</v>
      </c>
      <c r="CC194" s="360">
        <v>0</v>
      </c>
      <c r="CD194" s="360" t="s">
        <v>543</v>
      </c>
    </row>
    <row r="195" spans="1:82" x14ac:dyDescent="0.35">
      <c r="A195" s="360" t="s">
        <v>544</v>
      </c>
      <c r="B195" s="360" t="s">
        <v>545</v>
      </c>
      <c r="C195" s="360" t="s">
        <v>68</v>
      </c>
      <c r="D195" s="360" t="s">
        <v>77</v>
      </c>
      <c r="E195" s="360">
        <v>36819</v>
      </c>
      <c r="F195" s="360">
        <v>35986</v>
      </c>
      <c r="G195" s="360">
        <v>0</v>
      </c>
      <c r="H195" s="360">
        <v>728</v>
      </c>
      <c r="I195" s="360">
        <v>112.87</v>
      </c>
      <c r="J195" s="360">
        <v>35986</v>
      </c>
      <c r="K195" s="360">
        <v>112.87</v>
      </c>
      <c r="L195" s="360">
        <v>35986</v>
      </c>
      <c r="M195" s="360">
        <v>0</v>
      </c>
      <c r="N195" s="360">
        <v>0</v>
      </c>
      <c r="O195" s="360">
        <v>87.46</v>
      </c>
      <c r="P195" s="360">
        <v>1534</v>
      </c>
      <c r="Q195" s="360">
        <v>109.38</v>
      </c>
      <c r="R195" s="360">
        <v>10168</v>
      </c>
      <c r="S195" s="360">
        <v>109.58</v>
      </c>
      <c r="T195" s="360">
        <v>13151</v>
      </c>
      <c r="U195" s="360">
        <v>120.51</v>
      </c>
      <c r="V195" s="360">
        <v>8637</v>
      </c>
      <c r="W195" s="360">
        <v>130.88999999999999</v>
      </c>
      <c r="X195" s="360">
        <v>2100</v>
      </c>
      <c r="Y195" s="360">
        <v>144.72</v>
      </c>
      <c r="Z195" s="360">
        <v>283</v>
      </c>
      <c r="AA195" s="360">
        <v>155.25</v>
      </c>
      <c r="AB195" s="360">
        <v>113</v>
      </c>
      <c r="AC195" s="360">
        <v>100.02</v>
      </c>
      <c r="AD195" s="360">
        <v>728</v>
      </c>
      <c r="AE195" s="360">
        <v>100.02</v>
      </c>
      <c r="AF195" s="360">
        <v>728</v>
      </c>
      <c r="AG195" s="360">
        <v>0</v>
      </c>
      <c r="AH195" s="360">
        <v>0</v>
      </c>
      <c r="AI195" s="360">
        <v>88.71</v>
      </c>
      <c r="AJ195" s="360">
        <v>48</v>
      </c>
      <c r="AK195" s="360">
        <v>100.46</v>
      </c>
      <c r="AL195" s="360">
        <v>666</v>
      </c>
      <c r="AM195" s="360">
        <v>117.67</v>
      </c>
      <c r="AN195" s="360">
        <v>12</v>
      </c>
      <c r="AO195" s="360">
        <v>114.92</v>
      </c>
      <c r="AP195" s="360">
        <v>1</v>
      </c>
      <c r="AQ195" s="360">
        <v>123.26</v>
      </c>
      <c r="AR195" s="360">
        <v>1</v>
      </c>
      <c r="AS195" s="360">
        <v>0</v>
      </c>
      <c r="AT195" s="360">
        <v>0</v>
      </c>
      <c r="AU195" s="360">
        <v>0</v>
      </c>
      <c r="AV195" s="360">
        <v>0</v>
      </c>
      <c r="AW195" s="360">
        <v>0</v>
      </c>
      <c r="AX195" s="360">
        <v>0</v>
      </c>
      <c r="AY195" s="360">
        <v>0</v>
      </c>
      <c r="AZ195" s="360">
        <v>0</v>
      </c>
      <c r="BA195" s="360">
        <v>0</v>
      </c>
      <c r="BB195" s="360">
        <v>0</v>
      </c>
      <c r="BC195" s="360">
        <v>0</v>
      </c>
      <c r="BD195" s="360">
        <v>0</v>
      </c>
      <c r="BE195" s="360">
        <v>0</v>
      </c>
      <c r="BF195" s="360">
        <v>0</v>
      </c>
      <c r="BG195" s="360">
        <v>0</v>
      </c>
      <c r="BH195" s="360">
        <v>0</v>
      </c>
      <c r="BI195" s="360">
        <v>0</v>
      </c>
      <c r="BJ195" s="360">
        <v>0</v>
      </c>
      <c r="BK195" s="360">
        <v>0</v>
      </c>
      <c r="BL195" s="360">
        <v>0</v>
      </c>
      <c r="BM195" s="360">
        <v>0</v>
      </c>
      <c r="BN195" s="360">
        <v>0</v>
      </c>
      <c r="BO195" s="360">
        <v>0</v>
      </c>
      <c r="BP195" s="360">
        <v>0</v>
      </c>
      <c r="BQ195" s="360">
        <v>0</v>
      </c>
      <c r="BR195" s="360">
        <v>0</v>
      </c>
      <c r="BS195" s="360">
        <v>0</v>
      </c>
      <c r="BT195" s="360">
        <v>0</v>
      </c>
      <c r="BU195" s="360">
        <v>0</v>
      </c>
      <c r="BV195" s="360">
        <v>0</v>
      </c>
      <c r="BW195" s="360">
        <v>0</v>
      </c>
      <c r="BX195" s="360">
        <v>0</v>
      </c>
      <c r="BY195" s="360">
        <v>0</v>
      </c>
      <c r="BZ195" s="360">
        <v>0</v>
      </c>
      <c r="CA195" s="360">
        <v>0</v>
      </c>
      <c r="CB195" s="360">
        <v>0</v>
      </c>
      <c r="CC195" s="360">
        <v>105</v>
      </c>
      <c r="CD195" s="360" t="s">
        <v>546</v>
      </c>
    </row>
    <row r="196" spans="1:82" x14ac:dyDescent="0.35">
      <c r="A196" s="363" t="s">
        <v>547</v>
      </c>
      <c r="B196" s="363" t="s">
        <v>548</v>
      </c>
      <c r="C196" s="363" t="s">
        <v>71</v>
      </c>
      <c r="D196" s="363" t="s">
        <v>77</v>
      </c>
      <c r="E196" s="363">
        <v>31</v>
      </c>
      <c r="F196" s="360">
        <v>0</v>
      </c>
      <c r="G196" s="360">
        <v>0</v>
      </c>
      <c r="H196" s="360">
        <v>31</v>
      </c>
      <c r="I196" s="363">
        <v>0</v>
      </c>
      <c r="J196" s="363">
        <v>0</v>
      </c>
      <c r="K196" s="363">
        <v>0</v>
      </c>
      <c r="L196" s="363">
        <v>0</v>
      </c>
      <c r="M196" s="363">
        <v>0</v>
      </c>
      <c r="N196" s="363">
        <v>0</v>
      </c>
      <c r="O196" s="363">
        <v>0</v>
      </c>
      <c r="P196" s="363">
        <v>0</v>
      </c>
      <c r="Q196" s="363">
        <v>0</v>
      </c>
      <c r="R196" s="363">
        <v>0</v>
      </c>
      <c r="S196" s="363">
        <v>0</v>
      </c>
      <c r="T196" s="363">
        <v>0</v>
      </c>
      <c r="U196" s="363">
        <v>0</v>
      </c>
      <c r="V196" s="363">
        <v>0</v>
      </c>
      <c r="W196" s="363">
        <v>0</v>
      </c>
      <c r="X196" s="363">
        <v>0</v>
      </c>
      <c r="Y196" s="363">
        <v>0</v>
      </c>
      <c r="Z196" s="363">
        <v>0</v>
      </c>
      <c r="AA196" s="363">
        <v>0</v>
      </c>
      <c r="AB196" s="363">
        <v>0</v>
      </c>
      <c r="AC196" s="363">
        <v>76.400000000000006</v>
      </c>
      <c r="AD196" s="363">
        <v>31</v>
      </c>
      <c r="AE196" s="363">
        <v>76.400000000000006</v>
      </c>
      <c r="AF196" s="363">
        <v>31</v>
      </c>
      <c r="AG196" s="363">
        <v>0</v>
      </c>
      <c r="AH196" s="363">
        <v>0</v>
      </c>
      <c r="AI196" s="363">
        <v>74.349999999999994</v>
      </c>
      <c r="AJ196" s="363">
        <v>28</v>
      </c>
      <c r="AK196" s="363">
        <v>95.58</v>
      </c>
      <c r="AL196" s="363">
        <v>3</v>
      </c>
      <c r="AM196" s="363">
        <v>0</v>
      </c>
      <c r="AN196" s="363">
        <v>0</v>
      </c>
      <c r="AO196" s="363">
        <v>0</v>
      </c>
      <c r="AP196" s="363">
        <v>0</v>
      </c>
      <c r="AQ196" s="363">
        <v>0</v>
      </c>
      <c r="AR196" s="363">
        <v>0</v>
      </c>
      <c r="AS196" s="363">
        <v>0</v>
      </c>
      <c r="AT196" s="363">
        <v>0</v>
      </c>
      <c r="AU196" s="363">
        <v>0</v>
      </c>
      <c r="AV196" s="363">
        <v>0</v>
      </c>
      <c r="AW196" s="363">
        <v>0</v>
      </c>
      <c r="AX196" s="363">
        <v>0</v>
      </c>
      <c r="AY196" s="363">
        <v>0</v>
      </c>
      <c r="AZ196" s="363">
        <v>0</v>
      </c>
      <c r="BA196" s="363">
        <v>0</v>
      </c>
      <c r="BB196" s="363">
        <v>0</v>
      </c>
      <c r="BC196" s="363">
        <v>0</v>
      </c>
      <c r="BD196" s="363">
        <v>0</v>
      </c>
      <c r="BE196" s="363">
        <v>0</v>
      </c>
      <c r="BF196" s="363">
        <v>0</v>
      </c>
      <c r="BG196" s="363">
        <v>0</v>
      </c>
      <c r="BH196" s="363">
        <v>0</v>
      </c>
      <c r="BI196" s="363">
        <v>0</v>
      </c>
      <c r="BJ196" s="363">
        <v>0</v>
      </c>
      <c r="BK196" s="363">
        <v>0</v>
      </c>
      <c r="BL196" s="363">
        <v>0</v>
      </c>
      <c r="BM196" s="363">
        <v>0</v>
      </c>
      <c r="BN196" s="363">
        <v>0</v>
      </c>
      <c r="BO196" s="363">
        <v>0</v>
      </c>
      <c r="BP196" s="363">
        <v>0</v>
      </c>
      <c r="BQ196" s="363">
        <v>0</v>
      </c>
      <c r="BR196" s="363">
        <v>0</v>
      </c>
      <c r="BS196" s="363">
        <v>0</v>
      </c>
      <c r="BT196" s="363">
        <v>0</v>
      </c>
      <c r="BU196" s="363">
        <v>0</v>
      </c>
      <c r="BV196" s="363">
        <v>0</v>
      </c>
      <c r="BW196" s="363">
        <v>0</v>
      </c>
      <c r="BX196" s="363">
        <v>0</v>
      </c>
      <c r="BY196" s="363">
        <v>0</v>
      </c>
      <c r="BZ196" s="363">
        <v>0</v>
      </c>
      <c r="CA196" s="363">
        <v>0</v>
      </c>
      <c r="CB196" s="363">
        <v>0</v>
      </c>
      <c r="CC196" s="363">
        <v>0</v>
      </c>
      <c r="CD196" s="363" t="s">
        <v>549</v>
      </c>
    </row>
    <row r="197" spans="1:82" x14ac:dyDescent="0.35">
      <c r="A197" s="360" t="s">
        <v>550</v>
      </c>
      <c r="B197" s="360" t="s">
        <v>551</v>
      </c>
      <c r="C197" s="360" t="s">
        <v>67</v>
      </c>
      <c r="D197" s="360" t="s">
        <v>77</v>
      </c>
      <c r="E197" s="360">
        <v>4824</v>
      </c>
      <c r="F197" s="360">
        <v>4824</v>
      </c>
      <c r="G197" s="360">
        <v>0</v>
      </c>
      <c r="H197" s="360">
        <v>0</v>
      </c>
      <c r="I197" s="360">
        <v>110.97</v>
      </c>
      <c r="J197" s="360">
        <v>4824</v>
      </c>
      <c r="K197" s="360">
        <v>110.97</v>
      </c>
      <c r="L197" s="360">
        <v>4824</v>
      </c>
      <c r="M197" s="360">
        <v>0</v>
      </c>
      <c r="N197" s="360">
        <v>0</v>
      </c>
      <c r="O197" s="360">
        <v>76</v>
      </c>
      <c r="P197" s="360">
        <v>50</v>
      </c>
      <c r="Q197" s="360">
        <v>94.06</v>
      </c>
      <c r="R197" s="360">
        <v>1357</v>
      </c>
      <c r="S197" s="360">
        <v>107.93</v>
      </c>
      <c r="T197" s="360">
        <v>1423</v>
      </c>
      <c r="U197" s="360">
        <v>124.89</v>
      </c>
      <c r="V197" s="360">
        <v>1905</v>
      </c>
      <c r="W197" s="360">
        <v>138.24</v>
      </c>
      <c r="X197" s="360">
        <v>80</v>
      </c>
      <c r="Y197" s="360">
        <v>144.6</v>
      </c>
      <c r="Z197" s="360">
        <v>6</v>
      </c>
      <c r="AA197" s="360">
        <v>165</v>
      </c>
      <c r="AB197" s="360">
        <v>3</v>
      </c>
      <c r="AC197" s="360">
        <v>0</v>
      </c>
      <c r="AD197" s="360">
        <v>0</v>
      </c>
      <c r="AE197" s="360">
        <v>0</v>
      </c>
      <c r="AF197" s="360">
        <v>0</v>
      </c>
      <c r="AG197" s="360">
        <v>0</v>
      </c>
      <c r="AH197" s="360">
        <v>0</v>
      </c>
      <c r="AI197" s="360">
        <v>0</v>
      </c>
      <c r="AJ197" s="360">
        <v>0</v>
      </c>
      <c r="AK197" s="360">
        <v>0</v>
      </c>
      <c r="AL197" s="360">
        <v>0</v>
      </c>
      <c r="AM197" s="360">
        <v>0</v>
      </c>
      <c r="AN197" s="360">
        <v>0</v>
      </c>
      <c r="AO197" s="360">
        <v>0</v>
      </c>
      <c r="AP197" s="360">
        <v>0</v>
      </c>
      <c r="AQ197" s="360">
        <v>0</v>
      </c>
      <c r="AR197" s="360">
        <v>0</v>
      </c>
      <c r="AS197" s="360">
        <v>0</v>
      </c>
      <c r="AT197" s="360">
        <v>0</v>
      </c>
      <c r="AU197" s="360">
        <v>0</v>
      </c>
      <c r="AV197" s="360">
        <v>0</v>
      </c>
      <c r="AW197" s="360">
        <v>0</v>
      </c>
      <c r="AX197" s="360">
        <v>0</v>
      </c>
      <c r="AY197" s="360">
        <v>0</v>
      </c>
      <c r="AZ197" s="360">
        <v>0</v>
      </c>
      <c r="BA197" s="360">
        <v>0</v>
      </c>
      <c r="BB197" s="360">
        <v>0</v>
      </c>
      <c r="BC197" s="360">
        <v>0</v>
      </c>
      <c r="BD197" s="360">
        <v>0</v>
      </c>
      <c r="BE197" s="360">
        <v>0</v>
      </c>
      <c r="BF197" s="360">
        <v>0</v>
      </c>
      <c r="BG197" s="360">
        <v>0</v>
      </c>
      <c r="BH197" s="360">
        <v>0</v>
      </c>
      <c r="BI197" s="360">
        <v>0</v>
      </c>
      <c r="BJ197" s="360">
        <v>0</v>
      </c>
      <c r="BK197" s="360">
        <v>0</v>
      </c>
      <c r="BL197" s="360">
        <v>0</v>
      </c>
      <c r="BM197" s="360">
        <v>0</v>
      </c>
      <c r="BN197" s="360">
        <v>0</v>
      </c>
      <c r="BO197" s="360">
        <v>0</v>
      </c>
      <c r="BP197" s="360">
        <v>0</v>
      </c>
      <c r="BQ197" s="360">
        <v>0</v>
      </c>
      <c r="BR197" s="360">
        <v>0</v>
      </c>
      <c r="BS197" s="360">
        <v>0</v>
      </c>
      <c r="BT197" s="360">
        <v>0</v>
      </c>
      <c r="BU197" s="360">
        <v>0</v>
      </c>
      <c r="BV197" s="360">
        <v>0</v>
      </c>
      <c r="BW197" s="360">
        <v>0</v>
      </c>
      <c r="BX197" s="360">
        <v>0</v>
      </c>
      <c r="BY197" s="360">
        <v>0</v>
      </c>
      <c r="BZ197" s="360">
        <v>0</v>
      </c>
      <c r="CA197" s="360">
        <v>0</v>
      </c>
      <c r="CB197" s="360">
        <v>0</v>
      </c>
      <c r="CC197" s="360">
        <v>0</v>
      </c>
      <c r="CD197" s="360" t="s">
        <v>552</v>
      </c>
    </row>
    <row r="198" spans="1:82" x14ac:dyDescent="0.35">
      <c r="A198" s="360" t="s">
        <v>553</v>
      </c>
      <c r="B198" s="360" t="s">
        <v>554</v>
      </c>
      <c r="C198" s="360" t="s">
        <v>67</v>
      </c>
      <c r="D198" s="360" t="s">
        <v>77</v>
      </c>
      <c r="E198" s="360">
        <v>7945</v>
      </c>
      <c r="F198" s="360">
        <v>6803</v>
      </c>
      <c r="G198" s="360">
        <v>0</v>
      </c>
      <c r="H198" s="360">
        <v>1062</v>
      </c>
      <c r="I198" s="360">
        <v>105.1</v>
      </c>
      <c r="J198" s="360">
        <v>6763</v>
      </c>
      <c r="K198" s="360">
        <v>105.1</v>
      </c>
      <c r="L198" s="360">
        <v>6763</v>
      </c>
      <c r="M198" s="360">
        <v>0</v>
      </c>
      <c r="N198" s="360">
        <v>0</v>
      </c>
      <c r="O198" s="360">
        <v>73.180000000000007</v>
      </c>
      <c r="P198" s="360">
        <v>297</v>
      </c>
      <c r="Q198" s="360">
        <v>86.62</v>
      </c>
      <c r="R198" s="360">
        <v>1174</v>
      </c>
      <c r="S198" s="360">
        <v>102.44</v>
      </c>
      <c r="T198" s="360">
        <v>1888</v>
      </c>
      <c r="U198" s="360">
        <v>114.22</v>
      </c>
      <c r="V198" s="360">
        <v>3000</v>
      </c>
      <c r="W198" s="360">
        <v>126.09</v>
      </c>
      <c r="X198" s="360">
        <v>354</v>
      </c>
      <c r="Y198" s="360">
        <v>133.61000000000001</v>
      </c>
      <c r="Z198" s="360">
        <v>46</v>
      </c>
      <c r="AA198" s="360">
        <v>142.84</v>
      </c>
      <c r="AB198" s="360">
        <v>4</v>
      </c>
      <c r="AC198" s="360">
        <v>88.83</v>
      </c>
      <c r="AD198" s="360">
        <v>1062</v>
      </c>
      <c r="AE198" s="360">
        <v>90.45</v>
      </c>
      <c r="AF198" s="360">
        <v>984</v>
      </c>
      <c r="AG198" s="360">
        <v>68.45</v>
      </c>
      <c r="AH198" s="360">
        <v>78</v>
      </c>
      <c r="AI198" s="360">
        <v>74.56</v>
      </c>
      <c r="AJ198" s="360">
        <v>124</v>
      </c>
      <c r="AK198" s="360">
        <v>90.91</v>
      </c>
      <c r="AL198" s="360">
        <v>765</v>
      </c>
      <c r="AM198" s="360">
        <v>105.74</v>
      </c>
      <c r="AN198" s="360">
        <v>68</v>
      </c>
      <c r="AO198" s="360">
        <v>111.94</v>
      </c>
      <c r="AP198" s="360">
        <v>27</v>
      </c>
      <c r="AQ198" s="360">
        <v>0</v>
      </c>
      <c r="AR198" s="360">
        <v>0</v>
      </c>
      <c r="AS198" s="360">
        <v>169.39</v>
      </c>
      <c r="AT198" s="360">
        <v>40</v>
      </c>
      <c r="AU198" s="360">
        <v>169.39</v>
      </c>
      <c r="AV198" s="360">
        <v>40</v>
      </c>
      <c r="AW198" s="360">
        <v>0</v>
      </c>
      <c r="AX198" s="360">
        <v>0</v>
      </c>
      <c r="AY198" s="360">
        <v>0</v>
      </c>
      <c r="AZ198" s="360">
        <v>0</v>
      </c>
      <c r="BA198" s="360">
        <v>137.87</v>
      </c>
      <c r="BB198" s="360">
        <v>11</v>
      </c>
      <c r="BC198" s="360">
        <v>175.81</v>
      </c>
      <c r="BD198" s="360">
        <v>25</v>
      </c>
      <c r="BE198" s="360">
        <v>207.11</v>
      </c>
      <c r="BF198" s="360">
        <v>3</v>
      </c>
      <c r="BG198" s="360">
        <v>242.61</v>
      </c>
      <c r="BH198" s="360">
        <v>1</v>
      </c>
      <c r="BI198" s="360">
        <v>0</v>
      </c>
      <c r="BJ198" s="360">
        <v>0</v>
      </c>
      <c r="BK198" s="360">
        <v>0</v>
      </c>
      <c r="BL198" s="360">
        <v>0</v>
      </c>
      <c r="BM198" s="360">
        <v>0</v>
      </c>
      <c r="BN198" s="360">
        <v>0</v>
      </c>
      <c r="BO198" s="360">
        <v>0</v>
      </c>
      <c r="BP198" s="360">
        <v>0</v>
      </c>
      <c r="BQ198" s="360">
        <v>0</v>
      </c>
      <c r="BR198" s="360">
        <v>0</v>
      </c>
      <c r="BS198" s="360">
        <v>0</v>
      </c>
      <c r="BT198" s="360">
        <v>0</v>
      </c>
      <c r="BU198" s="360">
        <v>0</v>
      </c>
      <c r="BV198" s="360">
        <v>0</v>
      </c>
      <c r="BW198" s="360">
        <v>0</v>
      </c>
      <c r="BX198" s="360">
        <v>0</v>
      </c>
      <c r="BY198" s="360">
        <v>0</v>
      </c>
      <c r="BZ198" s="360">
        <v>0</v>
      </c>
      <c r="CA198" s="360">
        <v>0</v>
      </c>
      <c r="CB198" s="360">
        <v>0</v>
      </c>
      <c r="CC198" s="360">
        <v>80</v>
      </c>
      <c r="CD198" s="360" t="s">
        <v>555</v>
      </c>
    </row>
    <row r="199" spans="1:82" x14ac:dyDescent="0.35">
      <c r="A199" s="360" t="s">
        <v>556</v>
      </c>
      <c r="B199" s="360" t="s">
        <v>557</v>
      </c>
      <c r="C199" s="360" t="s">
        <v>70</v>
      </c>
      <c r="D199" s="360" t="s">
        <v>77</v>
      </c>
      <c r="E199" s="360">
        <v>11063</v>
      </c>
      <c r="F199" s="360">
        <v>9890</v>
      </c>
      <c r="G199" s="360">
        <v>0</v>
      </c>
      <c r="H199" s="360">
        <v>1113</v>
      </c>
      <c r="I199" s="360">
        <v>79.209999999999994</v>
      </c>
      <c r="J199" s="360">
        <v>9635</v>
      </c>
      <c r="K199" s="360">
        <v>79.209999999999994</v>
      </c>
      <c r="L199" s="360">
        <v>9635</v>
      </c>
      <c r="M199" s="360">
        <v>0</v>
      </c>
      <c r="N199" s="360">
        <v>0</v>
      </c>
      <c r="O199" s="360">
        <v>64.650000000000006</v>
      </c>
      <c r="P199" s="360">
        <v>362</v>
      </c>
      <c r="Q199" s="360">
        <v>69.64</v>
      </c>
      <c r="R199" s="360">
        <v>2844</v>
      </c>
      <c r="S199" s="360">
        <v>79.64</v>
      </c>
      <c r="T199" s="360">
        <v>3376</v>
      </c>
      <c r="U199" s="360">
        <v>89.08</v>
      </c>
      <c r="V199" s="360">
        <v>2937</v>
      </c>
      <c r="W199" s="360">
        <v>96.56</v>
      </c>
      <c r="X199" s="360">
        <v>114</v>
      </c>
      <c r="Y199" s="360">
        <v>130.9</v>
      </c>
      <c r="Z199" s="360">
        <v>1</v>
      </c>
      <c r="AA199" s="360">
        <v>149.87</v>
      </c>
      <c r="AB199" s="360">
        <v>1</v>
      </c>
      <c r="AC199" s="360">
        <v>75.599999999999994</v>
      </c>
      <c r="AD199" s="360">
        <v>1097</v>
      </c>
      <c r="AE199" s="360">
        <v>76.73</v>
      </c>
      <c r="AF199" s="360">
        <v>979</v>
      </c>
      <c r="AG199" s="360">
        <v>66.2</v>
      </c>
      <c r="AH199" s="360">
        <v>118</v>
      </c>
      <c r="AI199" s="360">
        <v>62.79</v>
      </c>
      <c r="AJ199" s="360">
        <v>27</v>
      </c>
      <c r="AK199" s="360">
        <v>76.510000000000005</v>
      </c>
      <c r="AL199" s="360">
        <v>859</v>
      </c>
      <c r="AM199" s="360">
        <v>82.56</v>
      </c>
      <c r="AN199" s="360">
        <v>85</v>
      </c>
      <c r="AO199" s="360">
        <v>86.9</v>
      </c>
      <c r="AP199" s="360">
        <v>7</v>
      </c>
      <c r="AQ199" s="360">
        <v>82.35</v>
      </c>
      <c r="AR199" s="360">
        <v>1</v>
      </c>
      <c r="AS199" s="360">
        <v>131.66999999999999</v>
      </c>
      <c r="AT199" s="360">
        <v>255</v>
      </c>
      <c r="AU199" s="360">
        <v>131.66999999999999</v>
      </c>
      <c r="AV199" s="360">
        <v>255</v>
      </c>
      <c r="AW199" s="360">
        <v>0</v>
      </c>
      <c r="AX199" s="360">
        <v>0</v>
      </c>
      <c r="AY199" s="360">
        <v>0</v>
      </c>
      <c r="AZ199" s="360">
        <v>0</v>
      </c>
      <c r="BA199" s="360">
        <v>114.42</v>
      </c>
      <c r="BB199" s="360">
        <v>33</v>
      </c>
      <c r="BC199" s="360">
        <v>125.07</v>
      </c>
      <c r="BD199" s="360">
        <v>118</v>
      </c>
      <c r="BE199" s="360">
        <v>144</v>
      </c>
      <c r="BF199" s="360">
        <v>101</v>
      </c>
      <c r="BG199" s="360">
        <v>166.67</v>
      </c>
      <c r="BH199" s="360">
        <v>3</v>
      </c>
      <c r="BI199" s="360">
        <v>0</v>
      </c>
      <c r="BJ199" s="360">
        <v>0</v>
      </c>
      <c r="BK199" s="360">
        <v>0</v>
      </c>
      <c r="BL199" s="360">
        <v>0</v>
      </c>
      <c r="BM199" s="360">
        <v>108.05</v>
      </c>
      <c r="BN199" s="360">
        <v>16</v>
      </c>
      <c r="BO199" s="360">
        <v>108.05</v>
      </c>
      <c r="BP199" s="360">
        <v>16</v>
      </c>
      <c r="BQ199" s="360">
        <v>0</v>
      </c>
      <c r="BR199" s="360">
        <v>0</v>
      </c>
      <c r="BS199" s="360">
        <v>0</v>
      </c>
      <c r="BT199" s="360">
        <v>0</v>
      </c>
      <c r="BU199" s="360">
        <v>104.79</v>
      </c>
      <c r="BV199" s="360">
        <v>14</v>
      </c>
      <c r="BW199" s="360">
        <v>130.93</v>
      </c>
      <c r="BX199" s="360">
        <v>2</v>
      </c>
      <c r="BY199" s="360">
        <v>0</v>
      </c>
      <c r="BZ199" s="360">
        <v>0</v>
      </c>
      <c r="CA199" s="360">
        <v>0</v>
      </c>
      <c r="CB199" s="360">
        <v>0</v>
      </c>
      <c r="CC199" s="360">
        <v>60</v>
      </c>
      <c r="CD199" s="360" t="s">
        <v>558</v>
      </c>
    </row>
    <row r="200" spans="1:82" x14ac:dyDescent="0.35">
      <c r="A200" s="360" t="s">
        <v>559</v>
      </c>
      <c r="B200" s="360" t="s">
        <v>560</v>
      </c>
      <c r="C200" s="360" t="s">
        <v>73</v>
      </c>
      <c r="D200" s="360" t="s">
        <v>77</v>
      </c>
      <c r="E200" s="360">
        <v>17358</v>
      </c>
      <c r="F200" s="360">
        <v>17206</v>
      </c>
      <c r="G200" s="360">
        <v>0</v>
      </c>
      <c r="H200" s="360">
        <v>152</v>
      </c>
      <c r="I200" s="360">
        <v>75.02</v>
      </c>
      <c r="J200" s="360">
        <v>17115</v>
      </c>
      <c r="K200" s="360">
        <v>75.02</v>
      </c>
      <c r="L200" s="360">
        <v>17115</v>
      </c>
      <c r="M200" s="360">
        <v>0</v>
      </c>
      <c r="N200" s="360">
        <v>0</v>
      </c>
      <c r="O200" s="360">
        <v>57.72</v>
      </c>
      <c r="P200" s="360">
        <v>52</v>
      </c>
      <c r="Q200" s="360">
        <v>65.709999999999994</v>
      </c>
      <c r="R200" s="360">
        <v>4000</v>
      </c>
      <c r="S200" s="360">
        <v>74.290000000000006</v>
      </c>
      <c r="T200" s="360">
        <v>6911</v>
      </c>
      <c r="U200" s="360">
        <v>81.84</v>
      </c>
      <c r="V200" s="360">
        <v>6004</v>
      </c>
      <c r="W200" s="360">
        <v>89.74</v>
      </c>
      <c r="X200" s="360">
        <v>137</v>
      </c>
      <c r="Y200" s="360">
        <v>94.09</v>
      </c>
      <c r="Z200" s="360">
        <v>2</v>
      </c>
      <c r="AA200" s="360">
        <v>104.53</v>
      </c>
      <c r="AB200" s="360">
        <v>9</v>
      </c>
      <c r="AC200" s="360">
        <v>101.5</v>
      </c>
      <c r="AD200" s="360">
        <v>152</v>
      </c>
      <c r="AE200" s="360">
        <v>101.5</v>
      </c>
      <c r="AF200" s="360">
        <v>152</v>
      </c>
      <c r="AG200" s="360">
        <v>0</v>
      </c>
      <c r="AH200" s="360">
        <v>0</v>
      </c>
      <c r="AI200" s="360">
        <v>0</v>
      </c>
      <c r="AJ200" s="360">
        <v>0</v>
      </c>
      <c r="AK200" s="360">
        <v>96.72</v>
      </c>
      <c r="AL200" s="360">
        <v>77</v>
      </c>
      <c r="AM200" s="360">
        <v>106.41</v>
      </c>
      <c r="AN200" s="360">
        <v>75</v>
      </c>
      <c r="AO200" s="360">
        <v>0</v>
      </c>
      <c r="AP200" s="360">
        <v>0</v>
      </c>
      <c r="AQ200" s="360">
        <v>0</v>
      </c>
      <c r="AR200" s="360">
        <v>0</v>
      </c>
      <c r="AS200" s="360">
        <v>114.55</v>
      </c>
      <c r="AT200" s="360">
        <v>91</v>
      </c>
      <c r="AU200" s="360">
        <v>114.55</v>
      </c>
      <c r="AV200" s="360">
        <v>91</v>
      </c>
      <c r="AW200" s="360">
        <v>0</v>
      </c>
      <c r="AX200" s="360">
        <v>0</v>
      </c>
      <c r="AY200" s="360">
        <v>0</v>
      </c>
      <c r="AZ200" s="360">
        <v>0</v>
      </c>
      <c r="BA200" s="360">
        <v>88.15</v>
      </c>
      <c r="BB200" s="360">
        <v>30</v>
      </c>
      <c r="BC200" s="360">
        <v>103.35</v>
      </c>
      <c r="BD200" s="360">
        <v>8</v>
      </c>
      <c r="BE200" s="360">
        <v>126.22</v>
      </c>
      <c r="BF200" s="360">
        <v>43</v>
      </c>
      <c r="BG200" s="360">
        <v>152.58000000000001</v>
      </c>
      <c r="BH200" s="360">
        <v>10</v>
      </c>
      <c r="BI200" s="360">
        <v>0</v>
      </c>
      <c r="BJ200" s="360">
        <v>0</v>
      </c>
      <c r="BK200" s="360">
        <v>0</v>
      </c>
      <c r="BL200" s="360">
        <v>0</v>
      </c>
      <c r="BM200" s="360">
        <v>0</v>
      </c>
      <c r="BN200" s="360">
        <v>0</v>
      </c>
      <c r="BO200" s="360">
        <v>0</v>
      </c>
      <c r="BP200" s="360">
        <v>0</v>
      </c>
      <c r="BQ200" s="360">
        <v>0</v>
      </c>
      <c r="BR200" s="360">
        <v>0</v>
      </c>
      <c r="BS200" s="360">
        <v>0</v>
      </c>
      <c r="BT200" s="360">
        <v>0</v>
      </c>
      <c r="BU200" s="360">
        <v>0</v>
      </c>
      <c r="BV200" s="360">
        <v>0</v>
      </c>
      <c r="BW200" s="360">
        <v>0</v>
      </c>
      <c r="BX200" s="360">
        <v>0</v>
      </c>
      <c r="BY200" s="360">
        <v>0</v>
      </c>
      <c r="BZ200" s="360">
        <v>0</v>
      </c>
      <c r="CA200" s="360">
        <v>0</v>
      </c>
      <c r="CB200" s="360">
        <v>0</v>
      </c>
      <c r="CC200" s="360">
        <v>0</v>
      </c>
      <c r="CD200" s="360" t="s">
        <v>561</v>
      </c>
    </row>
    <row r="201" spans="1:82" x14ac:dyDescent="0.35">
      <c r="A201" s="363" t="s">
        <v>817</v>
      </c>
      <c r="B201" s="363" t="s">
        <v>818</v>
      </c>
      <c r="C201" s="363" t="s">
        <v>73</v>
      </c>
      <c r="D201" s="363" t="s">
        <v>77</v>
      </c>
      <c r="E201" s="363">
        <v>0</v>
      </c>
      <c r="F201" s="360">
        <v>0</v>
      </c>
      <c r="G201" s="360">
        <v>0</v>
      </c>
      <c r="H201" s="360">
        <v>0</v>
      </c>
      <c r="I201" s="363">
        <v>0</v>
      </c>
      <c r="J201" s="363">
        <v>0</v>
      </c>
      <c r="K201" s="363">
        <v>0</v>
      </c>
      <c r="L201" s="363">
        <v>0</v>
      </c>
      <c r="M201" s="363">
        <v>0</v>
      </c>
      <c r="N201" s="363">
        <v>0</v>
      </c>
      <c r="O201" s="363">
        <v>0</v>
      </c>
      <c r="P201" s="363">
        <v>0</v>
      </c>
      <c r="Q201" s="363">
        <v>0</v>
      </c>
      <c r="R201" s="363">
        <v>0</v>
      </c>
      <c r="S201" s="363">
        <v>0</v>
      </c>
      <c r="T201" s="363">
        <v>0</v>
      </c>
      <c r="U201" s="363">
        <v>0</v>
      </c>
      <c r="V201" s="363">
        <v>0</v>
      </c>
      <c r="W201" s="363">
        <v>0</v>
      </c>
      <c r="X201" s="363">
        <v>0</v>
      </c>
      <c r="Y201" s="363">
        <v>0</v>
      </c>
      <c r="Z201" s="363">
        <v>0</v>
      </c>
      <c r="AA201" s="363">
        <v>0</v>
      </c>
      <c r="AB201" s="363">
        <v>0</v>
      </c>
      <c r="AC201" s="363">
        <v>0</v>
      </c>
      <c r="AD201" s="363">
        <v>0</v>
      </c>
      <c r="AE201" s="363">
        <v>0</v>
      </c>
      <c r="AF201" s="363">
        <v>0</v>
      </c>
      <c r="AG201" s="363">
        <v>0</v>
      </c>
      <c r="AH201" s="363">
        <v>0</v>
      </c>
      <c r="AI201" s="363">
        <v>0</v>
      </c>
      <c r="AJ201" s="363">
        <v>0</v>
      </c>
      <c r="AK201" s="363">
        <v>0</v>
      </c>
      <c r="AL201" s="363">
        <v>0</v>
      </c>
      <c r="AM201" s="363">
        <v>0</v>
      </c>
      <c r="AN201" s="363">
        <v>0</v>
      </c>
      <c r="AO201" s="363">
        <v>0</v>
      </c>
      <c r="AP201" s="363">
        <v>0</v>
      </c>
      <c r="AQ201" s="363">
        <v>0</v>
      </c>
      <c r="AR201" s="363">
        <v>0</v>
      </c>
      <c r="AS201" s="363">
        <v>0</v>
      </c>
      <c r="AT201" s="363">
        <v>0</v>
      </c>
      <c r="AU201" s="363">
        <v>0</v>
      </c>
      <c r="AV201" s="363">
        <v>0</v>
      </c>
      <c r="AW201" s="363">
        <v>0</v>
      </c>
      <c r="AX201" s="363">
        <v>0</v>
      </c>
      <c r="AY201" s="363">
        <v>0</v>
      </c>
      <c r="AZ201" s="363">
        <v>0</v>
      </c>
      <c r="BA201" s="363">
        <v>0</v>
      </c>
      <c r="BB201" s="363">
        <v>0</v>
      </c>
      <c r="BC201" s="363">
        <v>0</v>
      </c>
      <c r="BD201" s="363">
        <v>0</v>
      </c>
      <c r="BE201" s="363">
        <v>0</v>
      </c>
      <c r="BF201" s="363">
        <v>0</v>
      </c>
      <c r="BG201" s="363">
        <v>0</v>
      </c>
      <c r="BH201" s="363">
        <v>0</v>
      </c>
      <c r="BI201" s="363">
        <v>0</v>
      </c>
      <c r="BJ201" s="363">
        <v>0</v>
      </c>
      <c r="BK201" s="363">
        <v>0</v>
      </c>
      <c r="BL201" s="363">
        <v>0</v>
      </c>
      <c r="BM201" s="363">
        <v>0</v>
      </c>
      <c r="BN201" s="363">
        <v>0</v>
      </c>
      <c r="BO201" s="363">
        <v>0</v>
      </c>
      <c r="BP201" s="363">
        <v>0</v>
      </c>
      <c r="BQ201" s="363">
        <v>0</v>
      </c>
      <c r="BR201" s="363">
        <v>0</v>
      </c>
      <c r="BS201" s="363">
        <v>0</v>
      </c>
      <c r="BT201" s="363">
        <v>0</v>
      </c>
      <c r="BU201" s="363">
        <v>0</v>
      </c>
      <c r="BV201" s="363">
        <v>0</v>
      </c>
      <c r="BW201" s="363">
        <v>0</v>
      </c>
      <c r="BX201" s="363">
        <v>0</v>
      </c>
      <c r="BY201" s="363">
        <v>0</v>
      </c>
      <c r="BZ201" s="363">
        <v>0</v>
      </c>
      <c r="CA201" s="363">
        <v>0</v>
      </c>
      <c r="CB201" s="363">
        <v>0</v>
      </c>
      <c r="CC201" s="363">
        <v>0</v>
      </c>
      <c r="CD201" s="363" t="s">
        <v>819</v>
      </c>
    </row>
    <row r="202" spans="1:82" x14ac:dyDescent="0.35">
      <c r="A202" s="360" t="s">
        <v>562</v>
      </c>
      <c r="B202" s="360" t="s">
        <v>563</v>
      </c>
      <c r="C202" s="360" t="s">
        <v>72</v>
      </c>
      <c r="D202" s="360" t="s">
        <v>77</v>
      </c>
      <c r="E202" s="360">
        <v>5037</v>
      </c>
      <c r="F202" s="360">
        <v>4216</v>
      </c>
      <c r="G202" s="360">
        <v>0</v>
      </c>
      <c r="H202" s="360">
        <v>779</v>
      </c>
      <c r="I202" s="360">
        <v>89.36</v>
      </c>
      <c r="J202" s="360">
        <v>4063</v>
      </c>
      <c r="K202" s="360">
        <v>89.36</v>
      </c>
      <c r="L202" s="360">
        <v>4063</v>
      </c>
      <c r="M202" s="360">
        <v>0</v>
      </c>
      <c r="N202" s="360">
        <v>0</v>
      </c>
      <c r="O202" s="360">
        <v>68.64</v>
      </c>
      <c r="P202" s="360">
        <v>28</v>
      </c>
      <c r="Q202" s="360">
        <v>77.849999999999994</v>
      </c>
      <c r="R202" s="360">
        <v>943</v>
      </c>
      <c r="S202" s="360">
        <v>88.47</v>
      </c>
      <c r="T202" s="360">
        <v>1488</v>
      </c>
      <c r="U202" s="360">
        <v>96.85</v>
      </c>
      <c r="V202" s="360">
        <v>1536</v>
      </c>
      <c r="W202" s="360">
        <v>107.74</v>
      </c>
      <c r="X202" s="360">
        <v>66</v>
      </c>
      <c r="Y202" s="360">
        <v>107.93</v>
      </c>
      <c r="Z202" s="360">
        <v>1</v>
      </c>
      <c r="AA202" s="360">
        <v>133.41</v>
      </c>
      <c r="AB202" s="360">
        <v>1</v>
      </c>
      <c r="AC202" s="360">
        <v>76.61</v>
      </c>
      <c r="AD202" s="360">
        <v>753</v>
      </c>
      <c r="AE202" s="360">
        <v>76.61</v>
      </c>
      <c r="AF202" s="360">
        <v>753</v>
      </c>
      <c r="AG202" s="360">
        <v>0</v>
      </c>
      <c r="AH202" s="360">
        <v>0</v>
      </c>
      <c r="AI202" s="360">
        <v>68.73</v>
      </c>
      <c r="AJ202" s="360">
        <v>122</v>
      </c>
      <c r="AK202" s="360">
        <v>77.33</v>
      </c>
      <c r="AL202" s="360">
        <v>566</v>
      </c>
      <c r="AM202" s="360">
        <v>85.14</v>
      </c>
      <c r="AN202" s="360">
        <v>65</v>
      </c>
      <c r="AO202" s="360">
        <v>0</v>
      </c>
      <c r="AP202" s="360">
        <v>0</v>
      </c>
      <c r="AQ202" s="360">
        <v>0</v>
      </c>
      <c r="AR202" s="360">
        <v>0</v>
      </c>
      <c r="AS202" s="360">
        <v>131.44999999999999</v>
      </c>
      <c r="AT202" s="360">
        <v>153</v>
      </c>
      <c r="AU202" s="360">
        <v>131.44999999999999</v>
      </c>
      <c r="AV202" s="360">
        <v>153</v>
      </c>
      <c r="AW202" s="360">
        <v>0</v>
      </c>
      <c r="AX202" s="360">
        <v>0</v>
      </c>
      <c r="AY202" s="360">
        <v>0</v>
      </c>
      <c r="AZ202" s="360">
        <v>0</v>
      </c>
      <c r="BA202" s="360">
        <v>101.8</v>
      </c>
      <c r="BB202" s="360">
        <v>45</v>
      </c>
      <c r="BC202" s="360">
        <v>134.04</v>
      </c>
      <c r="BD202" s="360">
        <v>69</v>
      </c>
      <c r="BE202" s="360">
        <v>156.69999999999999</v>
      </c>
      <c r="BF202" s="360">
        <v>33</v>
      </c>
      <c r="BG202" s="360">
        <v>185.21</v>
      </c>
      <c r="BH202" s="360">
        <v>6</v>
      </c>
      <c r="BI202" s="360">
        <v>0</v>
      </c>
      <c r="BJ202" s="360">
        <v>0</v>
      </c>
      <c r="BK202" s="360">
        <v>0</v>
      </c>
      <c r="BL202" s="360">
        <v>0</v>
      </c>
      <c r="BM202" s="360">
        <v>108.53</v>
      </c>
      <c r="BN202" s="360">
        <v>26</v>
      </c>
      <c r="BO202" s="360">
        <v>108.53</v>
      </c>
      <c r="BP202" s="360">
        <v>26</v>
      </c>
      <c r="BQ202" s="360">
        <v>0</v>
      </c>
      <c r="BR202" s="360">
        <v>0</v>
      </c>
      <c r="BS202" s="360">
        <v>0</v>
      </c>
      <c r="BT202" s="360">
        <v>0</v>
      </c>
      <c r="BU202" s="360">
        <v>99.59</v>
      </c>
      <c r="BV202" s="360">
        <v>20</v>
      </c>
      <c r="BW202" s="360">
        <v>138.36000000000001</v>
      </c>
      <c r="BX202" s="360">
        <v>6</v>
      </c>
      <c r="BY202" s="360">
        <v>0</v>
      </c>
      <c r="BZ202" s="360">
        <v>0</v>
      </c>
      <c r="CA202" s="360">
        <v>0</v>
      </c>
      <c r="CB202" s="360">
        <v>0</v>
      </c>
      <c r="CC202" s="360">
        <v>42</v>
      </c>
      <c r="CD202" s="360" t="s">
        <v>564</v>
      </c>
    </row>
    <row r="203" spans="1:82" x14ac:dyDescent="0.35">
      <c r="A203" s="360" t="s">
        <v>565</v>
      </c>
      <c r="B203" s="360" t="s">
        <v>566</v>
      </c>
      <c r="C203" s="360" t="s">
        <v>69</v>
      </c>
      <c r="D203" s="360" t="s">
        <v>77</v>
      </c>
      <c r="E203" s="360">
        <v>119</v>
      </c>
      <c r="F203" s="360">
        <v>94</v>
      </c>
      <c r="G203" s="360">
        <v>0</v>
      </c>
      <c r="H203" s="360">
        <v>25</v>
      </c>
      <c r="I203" s="360">
        <v>75.650000000000006</v>
      </c>
      <c r="J203" s="360">
        <v>8</v>
      </c>
      <c r="K203" s="360">
        <v>75.650000000000006</v>
      </c>
      <c r="L203" s="360">
        <v>8</v>
      </c>
      <c r="M203" s="360">
        <v>0</v>
      </c>
      <c r="N203" s="360">
        <v>0</v>
      </c>
      <c r="O203" s="360">
        <v>0</v>
      </c>
      <c r="P203" s="360">
        <v>0</v>
      </c>
      <c r="Q203" s="360">
        <v>65.14</v>
      </c>
      <c r="R203" s="360">
        <v>4</v>
      </c>
      <c r="S203" s="360">
        <v>70.88</v>
      </c>
      <c r="T203" s="360">
        <v>1</v>
      </c>
      <c r="U203" s="360">
        <v>84.12</v>
      </c>
      <c r="V203" s="360">
        <v>2</v>
      </c>
      <c r="W203" s="360">
        <v>0</v>
      </c>
      <c r="X203" s="360">
        <v>0</v>
      </c>
      <c r="Y203" s="360">
        <v>0</v>
      </c>
      <c r="Z203" s="360">
        <v>0</v>
      </c>
      <c r="AA203" s="360">
        <v>105.52</v>
      </c>
      <c r="AB203" s="360">
        <v>1</v>
      </c>
      <c r="AC203" s="360">
        <v>0</v>
      </c>
      <c r="AD203" s="360">
        <v>0</v>
      </c>
      <c r="AE203" s="360">
        <v>0</v>
      </c>
      <c r="AF203" s="360">
        <v>0</v>
      </c>
      <c r="AG203" s="360">
        <v>0</v>
      </c>
      <c r="AH203" s="360">
        <v>0</v>
      </c>
      <c r="AI203" s="360">
        <v>0</v>
      </c>
      <c r="AJ203" s="360">
        <v>0</v>
      </c>
      <c r="AK203" s="360">
        <v>0</v>
      </c>
      <c r="AL203" s="360">
        <v>0</v>
      </c>
      <c r="AM203" s="360">
        <v>0</v>
      </c>
      <c r="AN203" s="360">
        <v>0</v>
      </c>
      <c r="AO203" s="360">
        <v>0</v>
      </c>
      <c r="AP203" s="360">
        <v>0</v>
      </c>
      <c r="AQ203" s="360">
        <v>0</v>
      </c>
      <c r="AR203" s="360">
        <v>0</v>
      </c>
      <c r="AS203" s="360">
        <v>103.69</v>
      </c>
      <c r="AT203" s="360">
        <v>86</v>
      </c>
      <c r="AU203" s="360">
        <v>103.69</v>
      </c>
      <c r="AV203" s="360">
        <v>86</v>
      </c>
      <c r="AW203" s="360">
        <v>0</v>
      </c>
      <c r="AX203" s="360">
        <v>0</v>
      </c>
      <c r="AY203" s="360">
        <v>0</v>
      </c>
      <c r="AZ203" s="360">
        <v>0</v>
      </c>
      <c r="BA203" s="360">
        <v>89.61</v>
      </c>
      <c r="BB203" s="360">
        <v>10</v>
      </c>
      <c r="BC203" s="360">
        <v>101.66</v>
      </c>
      <c r="BD203" s="360">
        <v>41</v>
      </c>
      <c r="BE203" s="360">
        <v>110.03</v>
      </c>
      <c r="BF203" s="360">
        <v>34</v>
      </c>
      <c r="BG203" s="360">
        <v>112.16</v>
      </c>
      <c r="BH203" s="360">
        <v>1</v>
      </c>
      <c r="BI203" s="360">
        <v>0</v>
      </c>
      <c r="BJ203" s="360">
        <v>0</v>
      </c>
      <c r="BK203" s="360">
        <v>0</v>
      </c>
      <c r="BL203" s="360">
        <v>0</v>
      </c>
      <c r="BM203" s="360">
        <v>137.38999999999999</v>
      </c>
      <c r="BN203" s="360">
        <v>25</v>
      </c>
      <c r="BO203" s="360">
        <v>138.13999999999999</v>
      </c>
      <c r="BP203" s="360">
        <v>23</v>
      </c>
      <c r="BQ203" s="360">
        <v>128.76</v>
      </c>
      <c r="BR203" s="360">
        <v>2</v>
      </c>
      <c r="BS203" s="360">
        <v>0</v>
      </c>
      <c r="BT203" s="360">
        <v>0</v>
      </c>
      <c r="BU203" s="360">
        <v>130.34</v>
      </c>
      <c r="BV203" s="360">
        <v>5</v>
      </c>
      <c r="BW203" s="360">
        <v>140.31</v>
      </c>
      <c r="BX203" s="360">
        <v>18</v>
      </c>
      <c r="BY203" s="360">
        <v>0</v>
      </c>
      <c r="BZ203" s="360">
        <v>0</v>
      </c>
      <c r="CA203" s="360">
        <v>0</v>
      </c>
      <c r="CB203" s="360">
        <v>0</v>
      </c>
      <c r="CC203" s="360">
        <v>0</v>
      </c>
      <c r="CD203" s="360" t="s">
        <v>567</v>
      </c>
    </row>
    <row r="204" spans="1:82" x14ac:dyDescent="0.35">
      <c r="A204" s="360" t="s">
        <v>568</v>
      </c>
      <c r="B204" s="360" t="s">
        <v>569</v>
      </c>
      <c r="C204" s="360" t="s">
        <v>72</v>
      </c>
      <c r="D204" s="360" t="s">
        <v>77</v>
      </c>
      <c r="E204" s="360">
        <v>10319</v>
      </c>
      <c r="F204" s="360">
        <v>10183</v>
      </c>
      <c r="G204" s="360">
        <v>0</v>
      </c>
      <c r="H204" s="360">
        <v>136</v>
      </c>
      <c r="I204" s="360">
        <v>86.36</v>
      </c>
      <c r="J204" s="360">
        <v>9729</v>
      </c>
      <c r="K204" s="360">
        <v>86.36</v>
      </c>
      <c r="L204" s="360">
        <v>9729</v>
      </c>
      <c r="M204" s="360">
        <v>0</v>
      </c>
      <c r="N204" s="360">
        <v>0</v>
      </c>
      <c r="O204" s="360">
        <v>70.930000000000007</v>
      </c>
      <c r="P204" s="360">
        <v>211</v>
      </c>
      <c r="Q204" s="360">
        <v>79.33</v>
      </c>
      <c r="R204" s="360">
        <v>3239</v>
      </c>
      <c r="S204" s="360">
        <v>86.46</v>
      </c>
      <c r="T204" s="360">
        <v>2653</v>
      </c>
      <c r="U204" s="360">
        <v>92.75</v>
      </c>
      <c r="V204" s="360">
        <v>3439</v>
      </c>
      <c r="W204" s="360">
        <v>106.59</v>
      </c>
      <c r="X204" s="360">
        <v>183</v>
      </c>
      <c r="Y204" s="360">
        <v>112.07</v>
      </c>
      <c r="Z204" s="360">
        <v>4</v>
      </c>
      <c r="AA204" s="360">
        <v>0</v>
      </c>
      <c r="AB204" s="360">
        <v>0</v>
      </c>
      <c r="AC204" s="360">
        <v>80.14</v>
      </c>
      <c r="AD204" s="360">
        <v>89</v>
      </c>
      <c r="AE204" s="360">
        <v>80.14</v>
      </c>
      <c r="AF204" s="360">
        <v>89</v>
      </c>
      <c r="AG204" s="360">
        <v>0</v>
      </c>
      <c r="AH204" s="360">
        <v>0</v>
      </c>
      <c r="AI204" s="360">
        <v>71.39</v>
      </c>
      <c r="AJ204" s="360">
        <v>50</v>
      </c>
      <c r="AK204" s="360">
        <v>81.489999999999995</v>
      </c>
      <c r="AL204" s="360">
        <v>12</v>
      </c>
      <c r="AM204" s="360">
        <v>91.18</v>
      </c>
      <c r="AN204" s="360">
        <v>19</v>
      </c>
      <c r="AO204" s="360">
        <v>102.5</v>
      </c>
      <c r="AP204" s="360">
        <v>6</v>
      </c>
      <c r="AQ204" s="360">
        <v>119.06</v>
      </c>
      <c r="AR204" s="360">
        <v>2</v>
      </c>
      <c r="AS204" s="360">
        <v>127.87</v>
      </c>
      <c r="AT204" s="360">
        <v>454</v>
      </c>
      <c r="AU204" s="360">
        <v>127.87</v>
      </c>
      <c r="AV204" s="360">
        <v>454</v>
      </c>
      <c r="AW204" s="360">
        <v>0</v>
      </c>
      <c r="AX204" s="360">
        <v>0</v>
      </c>
      <c r="AY204" s="360">
        <v>0</v>
      </c>
      <c r="AZ204" s="360">
        <v>0</v>
      </c>
      <c r="BA204" s="360">
        <v>103.1</v>
      </c>
      <c r="BB204" s="360">
        <v>76</v>
      </c>
      <c r="BC204" s="360">
        <v>116.34</v>
      </c>
      <c r="BD204" s="360">
        <v>181</v>
      </c>
      <c r="BE204" s="360">
        <v>140.69999999999999</v>
      </c>
      <c r="BF204" s="360">
        <v>172</v>
      </c>
      <c r="BG204" s="360">
        <v>187.74</v>
      </c>
      <c r="BH204" s="360">
        <v>22</v>
      </c>
      <c r="BI204" s="360">
        <v>0</v>
      </c>
      <c r="BJ204" s="360">
        <v>0</v>
      </c>
      <c r="BK204" s="360">
        <v>277.29000000000002</v>
      </c>
      <c r="BL204" s="360">
        <v>3</v>
      </c>
      <c r="BM204" s="360">
        <v>82.82</v>
      </c>
      <c r="BN204" s="360">
        <v>47</v>
      </c>
      <c r="BO204" s="360">
        <v>82.82</v>
      </c>
      <c r="BP204" s="360">
        <v>47</v>
      </c>
      <c r="BQ204" s="360">
        <v>0</v>
      </c>
      <c r="BR204" s="360">
        <v>0</v>
      </c>
      <c r="BS204" s="360">
        <v>68.069999999999993</v>
      </c>
      <c r="BT204" s="360">
        <v>25</v>
      </c>
      <c r="BU204" s="360">
        <v>99.59</v>
      </c>
      <c r="BV204" s="360">
        <v>22</v>
      </c>
      <c r="BW204" s="360">
        <v>0</v>
      </c>
      <c r="BX204" s="360">
        <v>0</v>
      </c>
      <c r="BY204" s="360">
        <v>0</v>
      </c>
      <c r="BZ204" s="360">
        <v>0</v>
      </c>
      <c r="CA204" s="360">
        <v>0</v>
      </c>
      <c r="CB204" s="360">
        <v>0</v>
      </c>
      <c r="CC204" s="360">
        <v>0</v>
      </c>
      <c r="CD204" s="360" t="s">
        <v>570</v>
      </c>
    </row>
    <row r="205" spans="1:82" x14ac:dyDescent="0.35">
      <c r="A205" s="360" t="s">
        <v>571</v>
      </c>
      <c r="B205" s="360" t="s">
        <v>572</v>
      </c>
      <c r="C205" s="360" t="s">
        <v>73</v>
      </c>
      <c r="D205" s="360" t="s">
        <v>77</v>
      </c>
      <c r="E205" s="360">
        <v>4294</v>
      </c>
      <c r="F205" s="360">
        <v>4274</v>
      </c>
      <c r="G205" s="360">
        <v>0</v>
      </c>
      <c r="H205" s="360">
        <v>20</v>
      </c>
      <c r="I205" s="360">
        <v>85.99</v>
      </c>
      <c r="J205" s="360">
        <v>4041</v>
      </c>
      <c r="K205" s="360">
        <v>85.99</v>
      </c>
      <c r="L205" s="360">
        <v>4041</v>
      </c>
      <c r="M205" s="360">
        <v>0</v>
      </c>
      <c r="N205" s="360">
        <v>0</v>
      </c>
      <c r="O205" s="360">
        <v>67.650000000000006</v>
      </c>
      <c r="P205" s="360">
        <v>25</v>
      </c>
      <c r="Q205" s="360">
        <v>75.53</v>
      </c>
      <c r="R205" s="360">
        <v>1164</v>
      </c>
      <c r="S205" s="360">
        <v>83.88</v>
      </c>
      <c r="T205" s="360">
        <v>1009</v>
      </c>
      <c r="U205" s="360">
        <v>93.14</v>
      </c>
      <c r="V205" s="360">
        <v>1695</v>
      </c>
      <c r="W205" s="360">
        <v>103.67</v>
      </c>
      <c r="X205" s="360">
        <v>139</v>
      </c>
      <c r="Y205" s="360">
        <v>109.78</v>
      </c>
      <c r="Z205" s="360">
        <v>8</v>
      </c>
      <c r="AA205" s="360">
        <v>115.57</v>
      </c>
      <c r="AB205" s="360">
        <v>1</v>
      </c>
      <c r="AC205" s="360">
        <v>82.45</v>
      </c>
      <c r="AD205" s="360">
        <v>20</v>
      </c>
      <c r="AE205" s="360">
        <v>82.45</v>
      </c>
      <c r="AF205" s="360">
        <v>20</v>
      </c>
      <c r="AG205" s="360">
        <v>0</v>
      </c>
      <c r="AH205" s="360">
        <v>0</v>
      </c>
      <c r="AI205" s="360">
        <v>0</v>
      </c>
      <c r="AJ205" s="360">
        <v>0</v>
      </c>
      <c r="AK205" s="360">
        <v>71.489999999999995</v>
      </c>
      <c r="AL205" s="360">
        <v>4</v>
      </c>
      <c r="AM205" s="360">
        <v>85.19</v>
      </c>
      <c r="AN205" s="360">
        <v>16</v>
      </c>
      <c r="AO205" s="360">
        <v>0</v>
      </c>
      <c r="AP205" s="360">
        <v>0</v>
      </c>
      <c r="AQ205" s="360">
        <v>0</v>
      </c>
      <c r="AR205" s="360">
        <v>0</v>
      </c>
      <c r="AS205" s="360">
        <v>127.68</v>
      </c>
      <c r="AT205" s="360">
        <v>233</v>
      </c>
      <c r="AU205" s="360">
        <v>127.68</v>
      </c>
      <c r="AV205" s="360">
        <v>233</v>
      </c>
      <c r="AW205" s="360">
        <v>0</v>
      </c>
      <c r="AX205" s="360">
        <v>0</v>
      </c>
      <c r="AY205" s="360">
        <v>0</v>
      </c>
      <c r="AZ205" s="360">
        <v>0</v>
      </c>
      <c r="BA205" s="360">
        <v>106.16</v>
      </c>
      <c r="BB205" s="360">
        <v>46</v>
      </c>
      <c r="BC205" s="360">
        <v>126.61</v>
      </c>
      <c r="BD205" s="360">
        <v>134</v>
      </c>
      <c r="BE205" s="360">
        <v>145.74</v>
      </c>
      <c r="BF205" s="360">
        <v>45</v>
      </c>
      <c r="BG205" s="360">
        <v>167.33</v>
      </c>
      <c r="BH205" s="360">
        <v>6</v>
      </c>
      <c r="BI205" s="360">
        <v>170.04</v>
      </c>
      <c r="BJ205" s="360">
        <v>2</v>
      </c>
      <c r="BK205" s="360">
        <v>0</v>
      </c>
      <c r="BL205" s="360">
        <v>0</v>
      </c>
      <c r="BM205" s="360">
        <v>0</v>
      </c>
      <c r="BN205" s="360">
        <v>0</v>
      </c>
      <c r="BO205" s="360">
        <v>0</v>
      </c>
      <c r="BP205" s="360">
        <v>0</v>
      </c>
      <c r="BQ205" s="360">
        <v>0</v>
      </c>
      <c r="BR205" s="360">
        <v>0</v>
      </c>
      <c r="BS205" s="360">
        <v>0</v>
      </c>
      <c r="BT205" s="360">
        <v>0</v>
      </c>
      <c r="BU205" s="360">
        <v>0</v>
      </c>
      <c r="BV205" s="360">
        <v>0</v>
      </c>
      <c r="BW205" s="360">
        <v>0</v>
      </c>
      <c r="BX205" s="360">
        <v>0</v>
      </c>
      <c r="BY205" s="360">
        <v>0</v>
      </c>
      <c r="BZ205" s="360">
        <v>0</v>
      </c>
      <c r="CA205" s="360">
        <v>0</v>
      </c>
      <c r="CB205" s="360">
        <v>0</v>
      </c>
      <c r="CC205" s="360">
        <v>0</v>
      </c>
      <c r="CD205" s="360" t="s">
        <v>573</v>
      </c>
    </row>
    <row r="206" spans="1:82" x14ac:dyDescent="0.35">
      <c r="A206" s="360" t="s">
        <v>574</v>
      </c>
      <c r="B206" s="360" t="s">
        <v>575</v>
      </c>
      <c r="C206" s="360" t="s">
        <v>71</v>
      </c>
      <c r="D206" s="360" t="s">
        <v>77</v>
      </c>
      <c r="E206" s="360">
        <v>2584</v>
      </c>
      <c r="F206" s="360">
        <v>2243</v>
      </c>
      <c r="G206" s="360">
        <v>0</v>
      </c>
      <c r="H206" s="360">
        <v>341</v>
      </c>
      <c r="I206" s="360">
        <v>106.54</v>
      </c>
      <c r="J206" s="360">
        <v>2178</v>
      </c>
      <c r="K206" s="360">
        <v>106.54</v>
      </c>
      <c r="L206" s="360">
        <v>2178</v>
      </c>
      <c r="M206" s="360">
        <v>0</v>
      </c>
      <c r="N206" s="360">
        <v>0</v>
      </c>
      <c r="O206" s="360">
        <v>79.12</v>
      </c>
      <c r="P206" s="360">
        <v>86</v>
      </c>
      <c r="Q206" s="360">
        <v>89.41</v>
      </c>
      <c r="R206" s="360">
        <v>639</v>
      </c>
      <c r="S206" s="360">
        <v>103.84</v>
      </c>
      <c r="T206" s="360">
        <v>656</v>
      </c>
      <c r="U206" s="360">
        <v>125.02</v>
      </c>
      <c r="V206" s="360">
        <v>753</v>
      </c>
      <c r="W206" s="360">
        <v>132.27000000000001</v>
      </c>
      <c r="X206" s="360">
        <v>41</v>
      </c>
      <c r="Y206" s="360">
        <v>142.81</v>
      </c>
      <c r="Z206" s="360">
        <v>3</v>
      </c>
      <c r="AA206" s="360">
        <v>0</v>
      </c>
      <c r="AB206" s="360">
        <v>0</v>
      </c>
      <c r="AC206" s="360">
        <v>90.19</v>
      </c>
      <c r="AD206" s="360">
        <v>321</v>
      </c>
      <c r="AE206" s="360">
        <v>90.16</v>
      </c>
      <c r="AF206" s="360">
        <v>316</v>
      </c>
      <c r="AG206" s="360">
        <v>91.66</v>
      </c>
      <c r="AH206" s="360">
        <v>5</v>
      </c>
      <c r="AI206" s="360">
        <v>78.64</v>
      </c>
      <c r="AJ206" s="360">
        <v>19</v>
      </c>
      <c r="AK206" s="360">
        <v>90.73</v>
      </c>
      <c r="AL206" s="360">
        <v>288</v>
      </c>
      <c r="AM206" s="360">
        <v>96.56</v>
      </c>
      <c r="AN206" s="360">
        <v>9</v>
      </c>
      <c r="AO206" s="360">
        <v>0</v>
      </c>
      <c r="AP206" s="360">
        <v>0</v>
      </c>
      <c r="AQ206" s="360">
        <v>0</v>
      </c>
      <c r="AR206" s="360">
        <v>0</v>
      </c>
      <c r="AS206" s="360">
        <v>202.6</v>
      </c>
      <c r="AT206" s="360">
        <v>65</v>
      </c>
      <c r="AU206" s="360">
        <v>202.6</v>
      </c>
      <c r="AV206" s="360">
        <v>65</v>
      </c>
      <c r="AW206" s="360">
        <v>0</v>
      </c>
      <c r="AX206" s="360">
        <v>0</v>
      </c>
      <c r="AY206" s="360">
        <v>0</v>
      </c>
      <c r="AZ206" s="360">
        <v>0</v>
      </c>
      <c r="BA206" s="360">
        <v>154.99</v>
      </c>
      <c r="BB206" s="360">
        <v>7</v>
      </c>
      <c r="BC206" s="360">
        <v>198</v>
      </c>
      <c r="BD206" s="360">
        <v>38</v>
      </c>
      <c r="BE206" s="360">
        <v>228.15</v>
      </c>
      <c r="BF206" s="360">
        <v>19</v>
      </c>
      <c r="BG206" s="360">
        <v>225.37</v>
      </c>
      <c r="BH206" s="360">
        <v>1</v>
      </c>
      <c r="BI206" s="360">
        <v>0</v>
      </c>
      <c r="BJ206" s="360">
        <v>0</v>
      </c>
      <c r="BK206" s="360">
        <v>0</v>
      </c>
      <c r="BL206" s="360">
        <v>0</v>
      </c>
      <c r="BM206" s="360">
        <v>163.08000000000001</v>
      </c>
      <c r="BN206" s="360">
        <v>20</v>
      </c>
      <c r="BO206" s="360">
        <v>163.08000000000001</v>
      </c>
      <c r="BP206" s="360">
        <v>20</v>
      </c>
      <c r="BQ206" s="360">
        <v>0</v>
      </c>
      <c r="BR206" s="360">
        <v>0</v>
      </c>
      <c r="BS206" s="360">
        <v>0</v>
      </c>
      <c r="BT206" s="360">
        <v>0</v>
      </c>
      <c r="BU206" s="360">
        <v>163.08000000000001</v>
      </c>
      <c r="BV206" s="360">
        <v>20</v>
      </c>
      <c r="BW206" s="360">
        <v>0</v>
      </c>
      <c r="BX206" s="360">
        <v>0</v>
      </c>
      <c r="BY206" s="360">
        <v>0</v>
      </c>
      <c r="BZ206" s="360">
        <v>0</v>
      </c>
      <c r="CA206" s="360">
        <v>0</v>
      </c>
      <c r="CB206" s="360">
        <v>0</v>
      </c>
      <c r="CC206" s="360">
        <v>0</v>
      </c>
      <c r="CD206" s="360" t="s">
        <v>576</v>
      </c>
    </row>
    <row r="207" spans="1:82" x14ac:dyDescent="0.35">
      <c r="A207" s="360" t="s">
        <v>577</v>
      </c>
      <c r="B207" s="360" t="s">
        <v>578</v>
      </c>
      <c r="C207" s="360" t="s">
        <v>72</v>
      </c>
      <c r="D207" s="360" t="s">
        <v>77</v>
      </c>
      <c r="E207" s="360">
        <v>29</v>
      </c>
      <c r="F207" s="360">
        <v>10</v>
      </c>
      <c r="G207" s="360">
        <v>0</v>
      </c>
      <c r="H207" s="360">
        <v>19</v>
      </c>
      <c r="I207" s="360">
        <v>98.3</v>
      </c>
      <c r="J207" s="360">
        <v>10</v>
      </c>
      <c r="K207" s="360">
        <v>98.3</v>
      </c>
      <c r="L207" s="360">
        <v>10</v>
      </c>
      <c r="M207" s="360">
        <v>0</v>
      </c>
      <c r="N207" s="360">
        <v>0</v>
      </c>
      <c r="O207" s="360">
        <v>0</v>
      </c>
      <c r="P207" s="360">
        <v>0</v>
      </c>
      <c r="Q207" s="360">
        <v>77.98</v>
      </c>
      <c r="R207" s="360">
        <v>3</v>
      </c>
      <c r="S207" s="360">
        <v>108.67</v>
      </c>
      <c r="T207" s="360">
        <v>5</v>
      </c>
      <c r="U207" s="360">
        <v>102.9</v>
      </c>
      <c r="V207" s="360">
        <v>2</v>
      </c>
      <c r="W207" s="360">
        <v>0</v>
      </c>
      <c r="X207" s="360">
        <v>0</v>
      </c>
      <c r="Y207" s="360">
        <v>0</v>
      </c>
      <c r="Z207" s="360">
        <v>0</v>
      </c>
      <c r="AA207" s="360">
        <v>0</v>
      </c>
      <c r="AB207" s="360">
        <v>0</v>
      </c>
      <c r="AC207" s="360">
        <v>0</v>
      </c>
      <c r="AD207" s="360">
        <v>0</v>
      </c>
      <c r="AE207" s="360">
        <v>0</v>
      </c>
      <c r="AF207" s="360">
        <v>0</v>
      </c>
      <c r="AG207" s="360">
        <v>0</v>
      </c>
      <c r="AH207" s="360">
        <v>0</v>
      </c>
      <c r="AI207" s="360">
        <v>0</v>
      </c>
      <c r="AJ207" s="360">
        <v>0</v>
      </c>
      <c r="AK207" s="360">
        <v>0</v>
      </c>
      <c r="AL207" s="360">
        <v>0</v>
      </c>
      <c r="AM207" s="360">
        <v>0</v>
      </c>
      <c r="AN207" s="360">
        <v>0</v>
      </c>
      <c r="AO207" s="360">
        <v>0</v>
      </c>
      <c r="AP207" s="360">
        <v>0</v>
      </c>
      <c r="AQ207" s="360">
        <v>0</v>
      </c>
      <c r="AR207" s="360">
        <v>0</v>
      </c>
      <c r="AS207" s="360">
        <v>0</v>
      </c>
      <c r="AT207" s="360">
        <v>0</v>
      </c>
      <c r="AU207" s="360">
        <v>0</v>
      </c>
      <c r="AV207" s="360">
        <v>0</v>
      </c>
      <c r="AW207" s="360">
        <v>0</v>
      </c>
      <c r="AX207" s="360">
        <v>0</v>
      </c>
      <c r="AY207" s="360">
        <v>0</v>
      </c>
      <c r="AZ207" s="360">
        <v>0</v>
      </c>
      <c r="BA207" s="360">
        <v>0</v>
      </c>
      <c r="BB207" s="360">
        <v>0</v>
      </c>
      <c r="BC207" s="360">
        <v>0</v>
      </c>
      <c r="BD207" s="360">
        <v>0</v>
      </c>
      <c r="BE207" s="360">
        <v>0</v>
      </c>
      <c r="BF207" s="360">
        <v>0</v>
      </c>
      <c r="BG207" s="360">
        <v>0</v>
      </c>
      <c r="BH207" s="360">
        <v>0</v>
      </c>
      <c r="BI207" s="360">
        <v>0</v>
      </c>
      <c r="BJ207" s="360">
        <v>0</v>
      </c>
      <c r="BK207" s="360">
        <v>0</v>
      </c>
      <c r="BL207" s="360">
        <v>0</v>
      </c>
      <c r="BM207" s="360">
        <v>129.99</v>
      </c>
      <c r="BN207" s="360">
        <v>19</v>
      </c>
      <c r="BO207" s="360">
        <v>98.23</v>
      </c>
      <c r="BP207" s="360">
        <v>4</v>
      </c>
      <c r="BQ207" s="360">
        <v>138.47</v>
      </c>
      <c r="BR207" s="360">
        <v>15</v>
      </c>
      <c r="BS207" s="360">
        <v>0</v>
      </c>
      <c r="BT207" s="360">
        <v>0</v>
      </c>
      <c r="BU207" s="360">
        <v>98.23</v>
      </c>
      <c r="BV207" s="360">
        <v>4</v>
      </c>
      <c r="BW207" s="360">
        <v>0</v>
      </c>
      <c r="BX207" s="360">
        <v>0</v>
      </c>
      <c r="BY207" s="360">
        <v>0</v>
      </c>
      <c r="BZ207" s="360">
        <v>0</v>
      </c>
      <c r="CA207" s="360">
        <v>0</v>
      </c>
      <c r="CB207" s="360">
        <v>0</v>
      </c>
      <c r="CC207" s="360">
        <v>0</v>
      </c>
      <c r="CD207" s="360" t="s">
        <v>579</v>
      </c>
    </row>
    <row r="208" spans="1:82" x14ac:dyDescent="0.35">
      <c r="A208" s="360" t="s">
        <v>820</v>
      </c>
      <c r="B208" s="360" t="s">
        <v>821</v>
      </c>
      <c r="C208" s="360" t="s">
        <v>73</v>
      </c>
      <c r="D208" s="360" t="s">
        <v>77</v>
      </c>
      <c r="E208" s="360">
        <v>23</v>
      </c>
      <c r="F208" s="360">
        <v>0</v>
      </c>
      <c r="G208" s="360">
        <v>0</v>
      </c>
      <c r="H208" s="360">
        <v>23</v>
      </c>
      <c r="I208" s="360">
        <v>0</v>
      </c>
      <c r="J208" s="360">
        <v>0</v>
      </c>
      <c r="K208" s="360">
        <v>0</v>
      </c>
      <c r="L208" s="360">
        <v>0</v>
      </c>
      <c r="M208" s="360">
        <v>0</v>
      </c>
      <c r="N208" s="360">
        <v>0</v>
      </c>
      <c r="O208" s="360">
        <v>0</v>
      </c>
      <c r="P208" s="360">
        <v>0</v>
      </c>
      <c r="Q208" s="360">
        <v>0</v>
      </c>
      <c r="R208" s="360">
        <v>0</v>
      </c>
      <c r="S208" s="360">
        <v>0</v>
      </c>
      <c r="T208" s="360">
        <v>0</v>
      </c>
      <c r="U208" s="360">
        <v>0</v>
      </c>
      <c r="V208" s="360">
        <v>0</v>
      </c>
      <c r="W208" s="360">
        <v>0</v>
      </c>
      <c r="X208" s="360">
        <v>0</v>
      </c>
      <c r="Y208" s="360">
        <v>0</v>
      </c>
      <c r="Z208" s="360">
        <v>0</v>
      </c>
      <c r="AA208" s="360">
        <v>0</v>
      </c>
      <c r="AB208" s="360">
        <v>0</v>
      </c>
      <c r="AC208" s="360">
        <v>87.15</v>
      </c>
      <c r="AD208" s="360">
        <v>23</v>
      </c>
      <c r="AE208" s="360">
        <v>87.15</v>
      </c>
      <c r="AF208" s="360">
        <v>23</v>
      </c>
      <c r="AG208" s="360">
        <v>0</v>
      </c>
      <c r="AH208" s="360">
        <v>0</v>
      </c>
      <c r="AI208" s="360">
        <v>0</v>
      </c>
      <c r="AJ208" s="360">
        <v>0</v>
      </c>
      <c r="AK208" s="360">
        <v>80.39</v>
      </c>
      <c r="AL208" s="360">
        <v>10</v>
      </c>
      <c r="AM208" s="360">
        <v>92.35</v>
      </c>
      <c r="AN208" s="360">
        <v>13</v>
      </c>
      <c r="AO208" s="360">
        <v>0</v>
      </c>
      <c r="AP208" s="360">
        <v>0</v>
      </c>
      <c r="AQ208" s="360">
        <v>0</v>
      </c>
      <c r="AR208" s="360">
        <v>0</v>
      </c>
      <c r="AS208" s="360">
        <v>0</v>
      </c>
      <c r="AT208" s="360">
        <v>0</v>
      </c>
      <c r="AU208" s="360">
        <v>0</v>
      </c>
      <c r="AV208" s="360">
        <v>0</v>
      </c>
      <c r="AW208" s="360">
        <v>0</v>
      </c>
      <c r="AX208" s="360">
        <v>0</v>
      </c>
      <c r="AY208" s="360">
        <v>0</v>
      </c>
      <c r="AZ208" s="360">
        <v>0</v>
      </c>
      <c r="BA208" s="360">
        <v>0</v>
      </c>
      <c r="BB208" s="360">
        <v>0</v>
      </c>
      <c r="BC208" s="360">
        <v>0</v>
      </c>
      <c r="BD208" s="360">
        <v>0</v>
      </c>
      <c r="BE208" s="360">
        <v>0</v>
      </c>
      <c r="BF208" s="360">
        <v>0</v>
      </c>
      <c r="BG208" s="360">
        <v>0</v>
      </c>
      <c r="BH208" s="360">
        <v>0</v>
      </c>
      <c r="BI208" s="360">
        <v>0</v>
      </c>
      <c r="BJ208" s="360">
        <v>0</v>
      </c>
      <c r="BK208" s="360">
        <v>0</v>
      </c>
      <c r="BL208" s="360">
        <v>0</v>
      </c>
      <c r="BM208" s="360">
        <v>0</v>
      </c>
      <c r="BN208" s="360">
        <v>0</v>
      </c>
      <c r="BO208" s="360">
        <v>0</v>
      </c>
      <c r="BP208" s="360">
        <v>0</v>
      </c>
      <c r="BQ208" s="360">
        <v>0</v>
      </c>
      <c r="BR208" s="360">
        <v>0</v>
      </c>
      <c r="BS208" s="360">
        <v>0</v>
      </c>
      <c r="BT208" s="360">
        <v>0</v>
      </c>
      <c r="BU208" s="360">
        <v>0</v>
      </c>
      <c r="BV208" s="360">
        <v>0</v>
      </c>
      <c r="BW208" s="360">
        <v>0</v>
      </c>
      <c r="BX208" s="360">
        <v>0</v>
      </c>
      <c r="BY208" s="360">
        <v>0</v>
      </c>
      <c r="BZ208" s="360">
        <v>0</v>
      </c>
      <c r="CA208" s="360">
        <v>0</v>
      </c>
      <c r="CB208" s="360">
        <v>0</v>
      </c>
      <c r="CC208" s="360">
        <v>0</v>
      </c>
      <c r="CD208" s="360" t="s">
        <v>822</v>
      </c>
    </row>
    <row r="209" spans="1:82" x14ac:dyDescent="0.35">
      <c r="A209" s="360" t="s">
        <v>580</v>
      </c>
      <c r="B209" s="360" t="s">
        <v>581</v>
      </c>
      <c r="C209" s="360" t="s">
        <v>67</v>
      </c>
      <c r="D209" s="360" t="s">
        <v>77</v>
      </c>
      <c r="E209" s="360">
        <v>3118</v>
      </c>
      <c r="F209" s="360">
        <v>3118</v>
      </c>
      <c r="G209" s="360">
        <v>0</v>
      </c>
      <c r="H209" s="360">
        <v>0</v>
      </c>
      <c r="I209" s="360">
        <v>85.56</v>
      </c>
      <c r="J209" s="360">
        <v>3118</v>
      </c>
      <c r="K209" s="360">
        <v>85.56</v>
      </c>
      <c r="L209" s="360">
        <v>3118</v>
      </c>
      <c r="M209" s="360">
        <v>0</v>
      </c>
      <c r="N209" s="360">
        <v>0</v>
      </c>
      <c r="O209" s="360">
        <v>64.48</v>
      </c>
      <c r="P209" s="360">
        <v>264</v>
      </c>
      <c r="Q209" s="360">
        <v>78.849999999999994</v>
      </c>
      <c r="R209" s="360">
        <v>923</v>
      </c>
      <c r="S209" s="360">
        <v>87.79</v>
      </c>
      <c r="T209" s="360">
        <v>1037</v>
      </c>
      <c r="U209" s="360">
        <v>95.78</v>
      </c>
      <c r="V209" s="360">
        <v>880</v>
      </c>
      <c r="W209" s="360">
        <v>111.28</v>
      </c>
      <c r="X209" s="360">
        <v>11</v>
      </c>
      <c r="Y209" s="360">
        <v>154.30000000000001</v>
      </c>
      <c r="Z209" s="360">
        <v>2</v>
      </c>
      <c r="AA209" s="360">
        <v>131.97999999999999</v>
      </c>
      <c r="AB209" s="360">
        <v>1</v>
      </c>
      <c r="AC209" s="360">
        <v>0</v>
      </c>
      <c r="AD209" s="360">
        <v>0</v>
      </c>
      <c r="AE209" s="360">
        <v>0</v>
      </c>
      <c r="AF209" s="360">
        <v>0</v>
      </c>
      <c r="AG209" s="360">
        <v>0</v>
      </c>
      <c r="AH209" s="360">
        <v>0</v>
      </c>
      <c r="AI209" s="360">
        <v>0</v>
      </c>
      <c r="AJ209" s="360">
        <v>0</v>
      </c>
      <c r="AK209" s="360">
        <v>0</v>
      </c>
      <c r="AL209" s="360">
        <v>0</v>
      </c>
      <c r="AM209" s="360">
        <v>0</v>
      </c>
      <c r="AN209" s="360">
        <v>0</v>
      </c>
      <c r="AO209" s="360">
        <v>0</v>
      </c>
      <c r="AP209" s="360">
        <v>0</v>
      </c>
      <c r="AQ209" s="360">
        <v>0</v>
      </c>
      <c r="AR209" s="360">
        <v>0</v>
      </c>
      <c r="AS209" s="360">
        <v>0</v>
      </c>
      <c r="AT209" s="360">
        <v>0</v>
      </c>
      <c r="AU209" s="360">
        <v>0</v>
      </c>
      <c r="AV209" s="360">
        <v>0</v>
      </c>
      <c r="AW209" s="360">
        <v>0</v>
      </c>
      <c r="AX209" s="360">
        <v>0</v>
      </c>
      <c r="AY209" s="360">
        <v>0</v>
      </c>
      <c r="AZ209" s="360">
        <v>0</v>
      </c>
      <c r="BA209" s="360">
        <v>0</v>
      </c>
      <c r="BB209" s="360">
        <v>0</v>
      </c>
      <c r="BC209" s="360">
        <v>0</v>
      </c>
      <c r="BD209" s="360">
        <v>0</v>
      </c>
      <c r="BE209" s="360">
        <v>0</v>
      </c>
      <c r="BF209" s="360">
        <v>0</v>
      </c>
      <c r="BG209" s="360">
        <v>0</v>
      </c>
      <c r="BH209" s="360">
        <v>0</v>
      </c>
      <c r="BI209" s="360">
        <v>0</v>
      </c>
      <c r="BJ209" s="360">
        <v>0</v>
      </c>
      <c r="BK209" s="360">
        <v>0</v>
      </c>
      <c r="BL209" s="360">
        <v>0</v>
      </c>
      <c r="BM209" s="360">
        <v>0</v>
      </c>
      <c r="BN209" s="360">
        <v>0</v>
      </c>
      <c r="BO209" s="360">
        <v>0</v>
      </c>
      <c r="BP209" s="360">
        <v>0</v>
      </c>
      <c r="BQ209" s="360">
        <v>0</v>
      </c>
      <c r="BR209" s="360">
        <v>0</v>
      </c>
      <c r="BS209" s="360">
        <v>0</v>
      </c>
      <c r="BT209" s="360">
        <v>0</v>
      </c>
      <c r="BU209" s="360">
        <v>0</v>
      </c>
      <c r="BV209" s="360">
        <v>0</v>
      </c>
      <c r="BW209" s="360">
        <v>0</v>
      </c>
      <c r="BX209" s="360">
        <v>0</v>
      </c>
      <c r="BY209" s="360">
        <v>0</v>
      </c>
      <c r="BZ209" s="360">
        <v>0</v>
      </c>
      <c r="CA209" s="360">
        <v>0</v>
      </c>
      <c r="CB209" s="360">
        <v>0</v>
      </c>
      <c r="CC209" s="360">
        <v>0</v>
      </c>
      <c r="CD209" s="360" t="s">
        <v>582</v>
      </c>
    </row>
    <row r="210" spans="1:82" x14ac:dyDescent="0.35">
      <c r="A210" s="360" t="s">
        <v>583</v>
      </c>
      <c r="B210" s="360" t="s">
        <v>584</v>
      </c>
      <c r="C210" s="360" t="s">
        <v>71</v>
      </c>
      <c r="D210" s="360" t="s">
        <v>77</v>
      </c>
      <c r="E210" s="360">
        <v>3053</v>
      </c>
      <c r="F210" s="360">
        <v>3045</v>
      </c>
      <c r="G210" s="360">
        <v>0</v>
      </c>
      <c r="H210" s="360">
        <v>0</v>
      </c>
      <c r="I210" s="360">
        <v>86.11</v>
      </c>
      <c r="J210" s="360">
        <v>2880</v>
      </c>
      <c r="K210" s="360">
        <v>86.11</v>
      </c>
      <c r="L210" s="360">
        <v>2880</v>
      </c>
      <c r="M210" s="360">
        <v>0</v>
      </c>
      <c r="N210" s="360">
        <v>0</v>
      </c>
      <c r="O210" s="360">
        <v>60.41</v>
      </c>
      <c r="P210" s="360">
        <v>79</v>
      </c>
      <c r="Q210" s="360">
        <v>71.39</v>
      </c>
      <c r="R210" s="360">
        <v>544</v>
      </c>
      <c r="S210" s="360">
        <v>84.61</v>
      </c>
      <c r="T210" s="360">
        <v>1311</v>
      </c>
      <c r="U210" s="360">
        <v>97.92</v>
      </c>
      <c r="V210" s="360">
        <v>862</v>
      </c>
      <c r="W210" s="360">
        <v>107.82</v>
      </c>
      <c r="X210" s="360">
        <v>83</v>
      </c>
      <c r="Y210" s="360">
        <v>117.79</v>
      </c>
      <c r="Z210" s="360">
        <v>1</v>
      </c>
      <c r="AA210" s="360">
        <v>0</v>
      </c>
      <c r="AB210" s="360">
        <v>0</v>
      </c>
      <c r="AC210" s="360">
        <v>0</v>
      </c>
      <c r="AD210" s="360">
        <v>0</v>
      </c>
      <c r="AE210" s="360">
        <v>0</v>
      </c>
      <c r="AF210" s="360">
        <v>0</v>
      </c>
      <c r="AG210" s="360">
        <v>0</v>
      </c>
      <c r="AH210" s="360">
        <v>0</v>
      </c>
      <c r="AI210" s="360">
        <v>0</v>
      </c>
      <c r="AJ210" s="360">
        <v>0</v>
      </c>
      <c r="AK210" s="360">
        <v>0</v>
      </c>
      <c r="AL210" s="360">
        <v>0</v>
      </c>
      <c r="AM210" s="360">
        <v>0</v>
      </c>
      <c r="AN210" s="360">
        <v>0</v>
      </c>
      <c r="AO210" s="360">
        <v>0</v>
      </c>
      <c r="AP210" s="360">
        <v>0</v>
      </c>
      <c r="AQ210" s="360">
        <v>0</v>
      </c>
      <c r="AR210" s="360">
        <v>0</v>
      </c>
      <c r="AS210" s="360">
        <v>133.79</v>
      </c>
      <c r="AT210" s="360">
        <v>165</v>
      </c>
      <c r="AU210" s="360">
        <v>133.79</v>
      </c>
      <c r="AV210" s="360">
        <v>165</v>
      </c>
      <c r="AW210" s="360">
        <v>0</v>
      </c>
      <c r="AX210" s="360">
        <v>0</v>
      </c>
      <c r="AY210" s="360">
        <v>91.29</v>
      </c>
      <c r="AZ210" s="360">
        <v>1</v>
      </c>
      <c r="BA210" s="360">
        <v>88.06</v>
      </c>
      <c r="BB210" s="360">
        <v>18</v>
      </c>
      <c r="BC210" s="360">
        <v>123.71</v>
      </c>
      <c r="BD210" s="360">
        <v>80</v>
      </c>
      <c r="BE210" s="360">
        <v>154.74</v>
      </c>
      <c r="BF210" s="360">
        <v>50</v>
      </c>
      <c r="BG210" s="360">
        <v>172.85</v>
      </c>
      <c r="BH210" s="360">
        <v>16</v>
      </c>
      <c r="BI210" s="360">
        <v>0</v>
      </c>
      <c r="BJ210" s="360">
        <v>0</v>
      </c>
      <c r="BK210" s="360">
        <v>0</v>
      </c>
      <c r="BL210" s="360">
        <v>0</v>
      </c>
      <c r="BM210" s="360">
        <v>0</v>
      </c>
      <c r="BN210" s="360">
        <v>0</v>
      </c>
      <c r="BO210" s="360">
        <v>0</v>
      </c>
      <c r="BP210" s="360">
        <v>0</v>
      </c>
      <c r="BQ210" s="360">
        <v>0</v>
      </c>
      <c r="BR210" s="360">
        <v>0</v>
      </c>
      <c r="BS210" s="360">
        <v>0</v>
      </c>
      <c r="BT210" s="360">
        <v>0</v>
      </c>
      <c r="BU210" s="360">
        <v>0</v>
      </c>
      <c r="BV210" s="360">
        <v>0</v>
      </c>
      <c r="BW210" s="360">
        <v>0</v>
      </c>
      <c r="BX210" s="360">
        <v>0</v>
      </c>
      <c r="BY210" s="360">
        <v>0</v>
      </c>
      <c r="BZ210" s="360">
        <v>0</v>
      </c>
      <c r="CA210" s="360">
        <v>0</v>
      </c>
      <c r="CB210" s="360">
        <v>0</v>
      </c>
      <c r="CC210" s="360">
        <v>8</v>
      </c>
      <c r="CD210" s="360" t="s">
        <v>585</v>
      </c>
    </row>
    <row r="211" spans="1:82" x14ac:dyDescent="0.35">
      <c r="A211" s="360" t="s">
        <v>586</v>
      </c>
      <c r="B211" s="360" t="s">
        <v>587</v>
      </c>
      <c r="C211" s="360" t="s">
        <v>67</v>
      </c>
      <c r="D211" s="360" t="s">
        <v>77</v>
      </c>
      <c r="E211" s="360">
        <v>9837</v>
      </c>
      <c r="F211" s="360">
        <v>8615</v>
      </c>
      <c r="G211" s="360">
        <v>0</v>
      </c>
      <c r="H211" s="360">
        <v>1222</v>
      </c>
      <c r="I211" s="360">
        <v>93.44</v>
      </c>
      <c r="J211" s="360">
        <v>8339</v>
      </c>
      <c r="K211" s="360">
        <v>93.44</v>
      </c>
      <c r="L211" s="360">
        <v>8339</v>
      </c>
      <c r="M211" s="360">
        <v>0</v>
      </c>
      <c r="N211" s="360">
        <v>0</v>
      </c>
      <c r="O211" s="360">
        <v>64.34</v>
      </c>
      <c r="P211" s="360">
        <v>242</v>
      </c>
      <c r="Q211" s="360">
        <v>77.91</v>
      </c>
      <c r="R211" s="360">
        <v>1607</v>
      </c>
      <c r="S211" s="360">
        <v>84.23</v>
      </c>
      <c r="T211" s="360">
        <v>2174</v>
      </c>
      <c r="U211" s="360">
        <v>104.72</v>
      </c>
      <c r="V211" s="360">
        <v>4055</v>
      </c>
      <c r="W211" s="360">
        <v>117.45</v>
      </c>
      <c r="X211" s="360">
        <v>247</v>
      </c>
      <c r="Y211" s="360">
        <v>122.52</v>
      </c>
      <c r="Z211" s="360">
        <v>11</v>
      </c>
      <c r="AA211" s="360">
        <v>129.13</v>
      </c>
      <c r="AB211" s="360">
        <v>3</v>
      </c>
      <c r="AC211" s="360">
        <v>75.599999999999994</v>
      </c>
      <c r="AD211" s="360">
        <v>1186</v>
      </c>
      <c r="AE211" s="360">
        <v>75.650000000000006</v>
      </c>
      <c r="AF211" s="360">
        <v>1180</v>
      </c>
      <c r="AG211" s="360">
        <v>66.22</v>
      </c>
      <c r="AH211" s="360">
        <v>6</v>
      </c>
      <c r="AI211" s="360">
        <v>0</v>
      </c>
      <c r="AJ211" s="360">
        <v>0</v>
      </c>
      <c r="AK211" s="360">
        <v>75.319999999999993</v>
      </c>
      <c r="AL211" s="360">
        <v>1164</v>
      </c>
      <c r="AM211" s="360">
        <v>95.14</v>
      </c>
      <c r="AN211" s="360">
        <v>11</v>
      </c>
      <c r="AO211" s="360">
        <v>98.89</v>
      </c>
      <c r="AP211" s="360">
        <v>4</v>
      </c>
      <c r="AQ211" s="360">
        <v>153.38</v>
      </c>
      <c r="AR211" s="360">
        <v>1</v>
      </c>
      <c r="AS211" s="360">
        <v>158.51</v>
      </c>
      <c r="AT211" s="360">
        <v>276</v>
      </c>
      <c r="AU211" s="360">
        <v>158.51</v>
      </c>
      <c r="AV211" s="360">
        <v>276</v>
      </c>
      <c r="AW211" s="360">
        <v>0</v>
      </c>
      <c r="AX211" s="360">
        <v>0</v>
      </c>
      <c r="AY211" s="360">
        <v>137.41</v>
      </c>
      <c r="AZ211" s="360">
        <v>1</v>
      </c>
      <c r="BA211" s="360">
        <v>130.88</v>
      </c>
      <c r="BB211" s="360">
        <v>87</v>
      </c>
      <c r="BC211" s="360">
        <v>155.05000000000001</v>
      </c>
      <c r="BD211" s="360">
        <v>116</v>
      </c>
      <c r="BE211" s="360">
        <v>195.39</v>
      </c>
      <c r="BF211" s="360">
        <v>68</v>
      </c>
      <c r="BG211" s="360">
        <v>237.09</v>
      </c>
      <c r="BH211" s="360">
        <v>3</v>
      </c>
      <c r="BI211" s="360">
        <v>243.48</v>
      </c>
      <c r="BJ211" s="360">
        <v>1</v>
      </c>
      <c r="BK211" s="360">
        <v>0</v>
      </c>
      <c r="BL211" s="360">
        <v>0</v>
      </c>
      <c r="BM211" s="360">
        <v>139.91999999999999</v>
      </c>
      <c r="BN211" s="360">
        <v>36</v>
      </c>
      <c r="BO211" s="360">
        <v>139.91999999999999</v>
      </c>
      <c r="BP211" s="360">
        <v>36</v>
      </c>
      <c r="BQ211" s="360">
        <v>0</v>
      </c>
      <c r="BR211" s="360">
        <v>0</v>
      </c>
      <c r="BS211" s="360">
        <v>0</v>
      </c>
      <c r="BT211" s="360">
        <v>0</v>
      </c>
      <c r="BU211" s="360">
        <v>136.57</v>
      </c>
      <c r="BV211" s="360">
        <v>32</v>
      </c>
      <c r="BW211" s="360">
        <v>166.76</v>
      </c>
      <c r="BX211" s="360">
        <v>4</v>
      </c>
      <c r="BY211" s="360">
        <v>0</v>
      </c>
      <c r="BZ211" s="360">
        <v>0</v>
      </c>
      <c r="CA211" s="360">
        <v>0</v>
      </c>
      <c r="CB211" s="360">
        <v>0</v>
      </c>
      <c r="CC211" s="360">
        <v>0</v>
      </c>
      <c r="CD211" s="360" t="s">
        <v>588</v>
      </c>
    </row>
    <row r="212" spans="1:82" x14ac:dyDescent="0.35">
      <c r="A212" s="360" t="s">
        <v>589</v>
      </c>
      <c r="B212" s="360" t="s">
        <v>590</v>
      </c>
      <c r="C212" s="360" t="s">
        <v>71</v>
      </c>
      <c r="D212" s="360" t="s">
        <v>77</v>
      </c>
      <c r="E212" s="360">
        <v>0</v>
      </c>
      <c r="F212" s="360">
        <v>0</v>
      </c>
      <c r="G212" s="360">
        <v>0</v>
      </c>
      <c r="H212" s="360">
        <v>0</v>
      </c>
      <c r="I212" s="360">
        <v>0</v>
      </c>
      <c r="J212" s="360">
        <v>0</v>
      </c>
      <c r="K212" s="360">
        <v>0</v>
      </c>
      <c r="L212" s="360">
        <v>0</v>
      </c>
      <c r="M212" s="360">
        <v>0</v>
      </c>
      <c r="N212" s="360">
        <v>0</v>
      </c>
      <c r="O212" s="360">
        <v>0</v>
      </c>
      <c r="P212" s="360">
        <v>0</v>
      </c>
      <c r="Q212" s="360">
        <v>0</v>
      </c>
      <c r="R212" s="360">
        <v>0</v>
      </c>
      <c r="S212" s="360">
        <v>0</v>
      </c>
      <c r="T212" s="360">
        <v>0</v>
      </c>
      <c r="U212" s="360">
        <v>0</v>
      </c>
      <c r="V212" s="360">
        <v>0</v>
      </c>
      <c r="W212" s="360">
        <v>0</v>
      </c>
      <c r="X212" s="360">
        <v>0</v>
      </c>
      <c r="Y212" s="360">
        <v>0</v>
      </c>
      <c r="Z212" s="360">
        <v>0</v>
      </c>
      <c r="AA212" s="360">
        <v>0</v>
      </c>
      <c r="AB212" s="360">
        <v>0</v>
      </c>
      <c r="AC212" s="360">
        <v>0</v>
      </c>
      <c r="AD212" s="360">
        <v>0</v>
      </c>
      <c r="AE212" s="360">
        <v>0</v>
      </c>
      <c r="AF212" s="360">
        <v>0</v>
      </c>
      <c r="AG212" s="360">
        <v>0</v>
      </c>
      <c r="AH212" s="360">
        <v>0</v>
      </c>
      <c r="AI212" s="360">
        <v>0</v>
      </c>
      <c r="AJ212" s="360">
        <v>0</v>
      </c>
      <c r="AK212" s="360">
        <v>0</v>
      </c>
      <c r="AL212" s="360">
        <v>0</v>
      </c>
      <c r="AM212" s="360">
        <v>0</v>
      </c>
      <c r="AN212" s="360">
        <v>0</v>
      </c>
      <c r="AO212" s="360">
        <v>0</v>
      </c>
      <c r="AP212" s="360">
        <v>0</v>
      </c>
      <c r="AQ212" s="360">
        <v>0</v>
      </c>
      <c r="AR212" s="360">
        <v>0</v>
      </c>
      <c r="AS212" s="360">
        <v>0</v>
      </c>
      <c r="AT212" s="360">
        <v>0</v>
      </c>
      <c r="AU212" s="360">
        <v>0</v>
      </c>
      <c r="AV212" s="360">
        <v>0</v>
      </c>
      <c r="AW212" s="360">
        <v>0</v>
      </c>
      <c r="AX212" s="360">
        <v>0</v>
      </c>
      <c r="AY212" s="360">
        <v>0</v>
      </c>
      <c r="AZ212" s="360">
        <v>0</v>
      </c>
      <c r="BA212" s="360">
        <v>0</v>
      </c>
      <c r="BB212" s="360">
        <v>0</v>
      </c>
      <c r="BC212" s="360">
        <v>0</v>
      </c>
      <c r="BD212" s="360">
        <v>0</v>
      </c>
      <c r="BE212" s="360">
        <v>0</v>
      </c>
      <c r="BF212" s="360">
        <v>0</v>
      </c>
      <c r="BG212" s="360">
        <v>0</v>
      </c>
      <c r="BH212" s="360">
        <v>0</v>
      </c>
      <c r="BI212" s="360">
        <v>0</v>
      </c>
      <c r="BJ212" s="360">
        <v>0</v>
      </c>
      <c r="BK212" s="360">
        <v>0</v>
      </c>
      <c r="BL212" s="360">
        <v>0</v>
      </c>
      <c r="BM212" s="360">
        <v>0</v>
      </c>
      <c r="BN212" s="360">
        <v>0</v>
      </c>
      <c r="BO212" s="360">
        <v>0</v>
      </c>
      <c r="BP212" s="360">
        <v>0</v>
      </c>
      <c r="BQ212" s="360">
        <v>0</v>
      </c>
      <c r="BR212" s="360">
        <v>0</v>
      </c>
      <c r="BS212" s="360">
        <v>0</v>
      </c>
      <c r="BT212" s="360">
        <v>0</v>
      </c>
      <c r="BU212" s="360">
        <v>0</v>
      </c>
      <c r="BV212" s="360">
        <v>0</v>
      </c>
      <c r="BW212" s="360">
        <v>0</v>
      </c>
      <c r="BX212" s="360">
        <v>0</v>
      </c>
      <c r="BY212" s="360">
        <v>0</v>
      </c>
      <c r="BZ212" s="360">
        <v>0</v>
      </c>
      <c r="CA212" s="360">
        <v>0</v>
      </c>
      <c r="CB212" s="360">
        <v>0</v>
      </c>
      <c r="CC212" s="360">
        <v>0</v>
      </c>
      <c r="CD212" s="360" t="s">
        <v>591</v>
      </c>
    </row>
    <row r="213" spans="1:82" x14ac:dyDescent="0.35">
      <c r="A213" s="360" t="s">
        <v>910</v>
      </c>
      <c r="B213" s="360" t="s">
        <v>911</v>
      </c>
      <c r="C213" s="360" t="s">
        <v>72</v>
      </c>
      <c r="D213" s="360" t="s">
        <v>77</v>
      </c>
      <c r="E213" s="360">
        <v>0</v>
      </c>
      <c r="F213" s="360">
        <v>0</v>
      </c>
      <c r="G213" s="360">
        <v>0</v>
      </c>
      <c r="H213" s="360">
        <v>0</v>
      </c>
      <c r="I213" s="360">
        <v>0</v>
      </c>
      <c r="J213" s="360">
        <v>0</v>
      </c>
      <c r="K213" s="360">
        <v>0</v>
      </c>
      <c r="L213" s="360">
        <v>0</v>
      </c>
      <c r="M213" s="360">
        <v>0</v>
      </c>
      <c r="N213" s="360">
        <v>0</v>
      </c>
      <c r="O213" s="360">
        <v>0</v>
      </c>
      <c r="P213" s="360">
        <v>0</v>
      </c>
      <c r="Q213" s="360">
        <v>0</v>
      </c>
      <c r="R213" s="360">
        <v>0</v>
      </c>
      <c r="S213" s="360">
        <v>0</v>
      </c>
      <c r="T213" s="360">
        <v>0</v>
      </c>
      <c r="U213" s="360">
        <v>0</v>
      </c>
      <c r="V213" s="360">
        <v>0</v>
      </c>
      <c r="W213" s="360">
        <v>0</v>
      </c>
      <c r="X213" s="360">
        <v>0</v>
      </c>
      <c r="Y213" s="360">
        <v>0</v>
      </c>
      <c r="Z213" s="360">
        <v>0</v>
      </c>
      <c r="AA213" s="360">
        <v>0</v>
      </c>
      <c r="AB213" s="360">
        <v>0</v>
      </c>
      <c r="AC213" s="360">
        <v>0</v>
      </c>
      <c r="AD213" s="360">
        <v>0</v>
      </c>
      <c r="AE213" s="360">
        <v>0</v>
      </c>
      <c r="AF213" s="360">
        <v>0</v>
      </c>
      <c r="AG213" s="360">
        <v>0</v>
      </c>
      <c r="AH213" s="360">
        <v>0</v>
      </c>
      <c r="AI213" s="360">
        <v>0</v>
      </c>
      <c r="AJ213" s="360">
        <v>0</v>
      </c>
      <c r="AK213" s="360">
        <v>0</v>
      </c>
      <c r="AL213" s="360">
        <v>0</v>
      </c>
      <c r="AM213" s="360">
        <v>0</v>
      </c>
      <c r="AN213" s="360">
        <v>0</v>
      </c>
      <c r="AO213" s="360">
        <v>0</v>
      </c>
      <c r="AP213" s="360">
        <v>0</v>
      </c>
      <c r="AQ213" s="360">
        <v>0</v>
      </c>
      <c r="AR213" s="360">
        <v>0</v>
      </c>
      <c r="AS213" s="360">
        <v>0</v>
      </c>
      <c r="AT213" s="360">
        <v>0</v>
      </c>
      <c r="AU213" s="360">
        <v>0</v>
      </c>
      <c r="AV213" s="360">
        <v>0</v>
      </c>
      <c r="AW213" s="360">
        <v>0</v>
      </c>
      <c r="AX213" s="360">
        <v>0</v>
      </c>
      <c r="AY213" s="360">
        <v>0</v>
      </c>
      <c r="AZ213" s="360">
        <v>0</v>
      </c>
      <c r="BA213" s="360">
        <v>0</v>
      </c>
      <c r="BB213" s="360">
        <v>0</v>
      </c>
      <c r="BC213" s="360">
        <v>0</v>
      </c>
      <c r="BD213" s="360">
        <v>0</v>
      </c>
      <c r="BE213" s="360">
        <v>0</v>
      </c>
      <c r="BF213" s="360">
        <v>0</v>
      </c>
      <c r="BG213" s="360">
        <v>0</v>
      </c>
      <c r="BH213" s="360">
        <v>0</v>
      </c>
      <c r="BI213" s="360">
        <v>0</v>
      </c>
      <c r="BJ213" s="360">
        <v>0</v>
      </c>
      <c r="BK213" s="360">
        <v>0</v>
      </c>
      <c r="BL213" s="360">
        <v>0</v>
      </c>
      <c r="BM213" s="360">
        <v>0</v>
      </c>
      <c r="BN213" s="360">
        <v>0</v>
      </c>
      <c r="BO213" s="360">
        <v>0</v>
      </c>
      <c r="BP213" s="360">
        <v>0</v>
      </c>
      <c r="BQ213" s="360">
        <v>0</v>
      </c>
      <c r="BR213" s="360">
        <v>0</v>
      </c>
      <c r="BS213" s="360">
        <v>0</v>
      </c>
      <c r="BT213" s="360">
        <v>0</v>
      </c>
      <c r="BU213" s="360">
        <v>0</v>
      </c>
      <c r="BV213" s="360">
        <v>0</v>
      </c>
      <c r="BW213" s="360">
        <v>0</v>
      </c>
      <c r="BX213" s="360">
        <v>0</v>
      </c>
      <c r="BY213" s="360">
        <v>0</v>
      </c>
      <c r="BZ213" s="360">
        <v>0</v>
      </c>
      <c r="CA213" s="360">
        <v>0</v>
      </c>
      <c r="CB213" s="360">
        <v>0</v>
      </c>
      <c r="CC213" s="360">
        <v>0</v>
      </c>
      <c r="CD213" s="360" t="s">
        <v>912</v>
      </c>
    </row>
    <row r="214" spans="1:82" x14ac:dyDescent="0.35">
      <c r="A214" s="360" t="s">
        <v>823</v>
      </c>
      <c r="B214" s="360" t="s">
        <v>824</v>
      </c>
      <c r="C214" s="360" t="s">
        <v>71</v>
      </c>
      <c r="D214" s="360" t="s">
        <v>77</v>
      </c>
      <c r="E214" s="360">
        <v>41</v>
      </c>
      <c r="F214" s="360">
        <v>41</v>
      </c>
      <c r="G214" s="360">
        <v>0</v>
      </c>
      <c r="H214" s="360">
        <v>0</v>
      </c>
      <c r="I214" s="360">
        <v>137.22999999999999</v>
      </c>
      <c r="J214" s="360">
        <v>41</v>
      </c>
      <c r="K214" s="360">
        <v>137.22999999999999</v>
      </c>
      <c r="L214" s="360">
        <v>41</v>
      </c>
      <c r="M214" s="360">
        <v>0</v>
      </c>
      <c r="N214" s="360">
        <v>0</v>
      </c>
      <c r="O214" s="360">
        <v>123.58</v>
      </c>
      <c r="P214" s="360">
        <v>7</v>
      </c>
      <c r="Q214" s="360">
        <v>114.57</v>
      </c>
      <c r="R214" s="360">
        <v>23</v>
      </c>
      <c r="S214" s="360">
        <v>160.97</v>
      </c>
      <c r="T214" s="360">
        <v>6</v>
      </c>
      <c r="U214" s="360">
        <v>207.69</v>
      </c>
      <c r="V214" s="360">
        <v>4</v>
      </c>
      <c r="W214" s="360">
        <v>330.06</v>
      </c>
      <c r="X214" s="360">
        <v>1</v>
      </c>
      <c r="Y214" s="360">
        <v>0</v>
      </c>
      <c r="Z214" s="360">
        <v>0</v>
      </c>
      <c r="AA214" s="360">
        <v>0</v>
      </c>
      <c r="AB214" s="360">
        <v>0</v>
      </c>
      <c r="AC214" s="360">
        <v>0</v>
      </c>
      <c r="AD214" s="360">
        <v>0</v>
      </c>
      <c r="AE214" s="360">
        <v>0</v>
      </c>
      <c r="AF214" s="360">
        <v>0</v>
      </c>
      <c r="AG214" s="360">
        <v>0</v>
      </c>
      <c r="AH214" s="360">
        <v>0</v>
      </c>
      <c r="AI214" s="360">
        <v>0</v>
      </c>
      <c r="AJ214" s="360">
        <v>0</v>
      </c>
      <c r="AK214" s="360">
        <v>0</v>
      </c>
      <c r="AL214" s="360">
        <v>0</v>
      </c>
      <c r="AM214" s="360">
        <v>0</v>
      </c>
      <c r="AN214" s="360">
        <v>0</v>
      </c>
      <c r="AO214" s="360">
        <v>0</v>
      </c>
      <c r="AP214" s="360">
        <v>0</v>
      </c>
      <c r="AQ214" s="360">
        <v>0</v>
      </c>
      <c r="AR214" s="360">
        <v>0</v>
      </c>
      <c r="AS214" s="360">
        <v>0</v>
      </c>
      <c r="AT214" s="360">
        <v>0</v>
      </c>
      <c r="AU214" s="360">
        <v>0</v>
      </c>
      <c r="AV214" s="360">
        <v>0</v>
      </c>
      <c r="AW214" s="360">
        <v>0</v>
      </c>
      <c r="AX214" s="360">
        <v>0</v>
      </c>
      <c r="AY214" s="360">
        <v>0</v>
      </c>
      <c r="AZ214" s="360">
        <v>0</v>
      </c>
      <c r="BA214" s="360">
        <v>0</v>
      </c>
      <c r="BB214" s="360">
        <v>0</v>
      </c>
      <c r="BC214" s="360">
        <v>0</v>
      </c>
      <c r="BD214" s="360">
        <v>0</v>
      </c>
      <c r="BE214" s="360">
        <v>0</v>
      </c>
      <c r="BF214" s="360">
        <v>0</v>
      </c>
      <c r="BG214" s="360">
        <v>0</v>
      </c>
      <c r="BH214" s="360">
        <v>0</v>
      </c>
      <c r="BI214" s="360">
        <v>0</v>
      </c>
      <c r="BJ214" s="360">
        <v>0</v>
      </c>
      <c r="BK214" s="360">
        <v>0</v>
      </c>
      <c r="BL214" s="360">
        <v>0</v>
      </c>
      <c r="BM214" s="360">
        <v>0</v>
      </c>
      <c r="BN214" s="360">
        <v>0</v>
      </c>
      <c r="BO214" s="360">
        <v>0</v>
      </c>
      <c r="BP214" s="360">
        <v>0</v>
      </c>
      <c r="BQ214" s="360">
        <v>0</v>
      </c>
      <c r="BR214" s="360">
        <v>0</v>
      </c>
      <c r="BS214" s="360">
        <v>0</v>
      </c>
      <c r="BT214" s="360">
        <v>0</v>
      </c>
      <c r="BU214" s="360">
        <v>0</v>
      </c>
      <c r="BV214" s="360">
        <v>0</v>
      </c>
      <c r="BW214" s="360">
        <v>0</v>
      </c>
      <c r="BX214" s="360">
        <v>0</v>
      </c>
      <c r="BY214" s="360">
        <v>0</v>
      </c>
      <c r="BZ214" s="360">
        <v>0</v>
      </c>
      <c r="CA214" s="360">
        <v>0</v>
      </c>
      <c r="CB214" s="360">
        <v>0</v>
      </c>
      <c r="CC214" s="360">
        <v>0</v>
      </c>
      <c r="CD214" s="360" t="s">
        <v>825</v>
      </c>
    </row>
    <row r="215" spans="1:82" x14ac:dyDescent="0.35">
      <c r="A215" s="360" t="s">
        <v>592</v>
      </c>
      <c r="B215" s="360" t="s">
        <v>593</v>
      </c>
      <c r="C215" s="360" t="s">
        <v>67</v>
      </c>
      <c r="D215" s="360" t="s">
        <v>77</v>
      </c>
      <c r="E215" s="360">
        <v>2806</v>
      </c>
      <c r="F215" s="360">
        <v>2405</v>
      </c>
      <c r="G215" s="360">
        <v>0</v>
      </c>
      <c r="H215" s="360">
        <v>401</v>
      </c>
      <c r="I215" s="360">
        <v>108.63</v>
      </c>
      <c r="J215" s="360">
        <v>2301</v>
      </c>
      <c r="K215" s="360">
        <v>108.63</v>
      </c>
      <c r="L215" s="360">
        <v>2301</v>
      </c>
      <c r="M215" s="360">
        <v>0</v>
      </c>
      <c r="N215" s="360">
        <v>0</v>
      </c>
      <c r="O215" s="360">
        <v>77.17</v>
      </c>
      <c r="P215" s="360">
        <v>3</v>
      </c>
      <c r="Q215" s="360">
        <v>89.99</v>
      </c>
      <c r="R215" s="360">
        <v>247</v>
      </c>
      <c r="S215" s="360">
        <v>103.98</v>
      </c>
      <c r="T215" s="360">
        <v>948</v>
      </c>
      <c r="U215" s="360">
        <v>116.39</v>
      </c>
      <c r="V215" s="360">
        <v>1052</v>
      </c>
      <c r="W215" s="360">
        <v>127.54</v>
      </c>
      <c r="X215" s="360">
        <v>50</v>
      </c>
      <c r="Y215" s="360">
        <v>120.53</v>
      </c>
      <c r="Z215" s="360">
        <v>1</v>
      </c>
      <c r="AA215" s="360">
        <v>0</v>
      </c>
      <c r="AB215" s="360">
        <v>0</v>
      </c>
      <c r="AC215" s="360">
        <v>87.28</v>
      </c>
      <c r="AD215" s="360">
        <v>333</v>
      </c>
      <c r="AE215" s="360">
        <v>87.28</v>
      </c>
      <c r="AF215" s="360">
        <v>333</v>
      </c>
      <c r="AG215" s="360">
        <v>0</v>
      </c>
      <c r="AH215" s="360">
        <v>0</v>
      </c>
      <c r="AI215" s="360">
        <v>72.040000000000006</v>
      </c>
      <c r="AJ215" s="360">
        <v>12</v>
      </c>
      <c r="AK215" s="360">
        <v>84.76</v>
      </c>
      <c r="AL215" s="360">
        <v>246</v>
      </c>
      <c r="AM215" s="360">
        <v>97.72</v>
      </c>
      <c r="AN215" s="360">
        <v>73</v>
      </c>
      <c r="AO215" s="360">
        <v>108.58</v>
      </c>
      <c r="AP215" s="360">
        <v>2</v>
      </c>
      <c r="AQ215" s="360">
        <v>0</v>
      </c>
      <c r="AR215" s="360">
        <v>0</v>
      </c>
      <c r="AS215" s="360">
        <v>175.09</v>
      </c>
      <c r="AT215" s="360">
        <v>104</v>
      </c>
      <c r="AU215" s="360">
        <v>175.09</v>
      </c>
      <c r="AV215" s="360">
        <v>104</v>
      </c>
      <c r="AW215" s="360">
        <v>0</v>
      </c>
      <c r="AX215" s="360">
        <v>0</v>
      </c>
      <c r="AY215" s="360">
        <v>153.79</v>
      </c>
      <c r="AZ215" s="360">
        <v>5</v>
      </c>
      <c r="BA215" s="360">
        <v>142.34</v>
      </c>
      <c r="BB215" s="360">
        <v>20</v>
      </c>
      <c r="BC215" s="360">
        <v>177.5</v>
      </c>
      <c r="BD215" s="360">
        <v>61</v>
      </c>
      <c r="BE215" s="360">
        <v>208.78</v>
      </c>
      <c r="BF215" s="360">
        <v>15</v>
      </c>
      <c r="BG215" s="360">
        <v>211.57</v>
      </c>
      <c r="BH215" s="360">
        <v>3</v>
      </c>
      <c r="BI215" s="360">
        <v>0</v>
      </c>
      <c r="BJ215" s="360">
        <v>0</v>
      </c>
      <c r="BK215" s="360">
        <v>0</v>
      </c>
      <c r="BL215" s="360">
        <v>0</v>
      </c>
      <c r="BM215" s="360">
        <v>118.57</v>
      </c>
      <c r="BN215" s="360">
        <v>68</v>
      </c>
      <c r="BO215" s="360">
        <v>118.57</v>
      </c>
      <c r="BP215" s="360">
        <v>68</v>
      </c>
      <c r="BQ215" s="360">
        <v>0</v>
      </c>
      <c r="BR215" s="360">
        <v>0</v>
      </c>
      <c r="BS215" s="360">
        <v>0</v>
      </c>
      <c r="BT215" s="360">
        <v>0</v>
      </c>
      <c r="BU215" s="360">
        <v>115.18</v>
      </c>
      <c r="BV215" s="360">
        <v>61</v>
      </c>
      <c r="BW215" s="360">
        <v>148.19999999999999</v>
      </c>
      <c r="BX215" s="360">
        <v>7</v>
      </c>
      <c r="BY215" s="360">
        <v>0</v>
      </c>
      <c r="BZ215" s="360">
        <v>0</v>
      </c>
      <c r="CA215" s="360">
        <v>0</v>
      </c>
      <c r="CB215" s="360">
        <v>0</v>
      </c>
      <c r="CC215" s="360">
        <v>0</v>
      </c>
      <c r="CD215" s="360" t="s">
        <v>594</v>
      </c>
    </row>
    <row r="216" spans="1:82" x14ac:dyDescent="0.35">
      <c r="A216" s="360" t="s">
        <v>595</v>
      </c>
      <c r="B216" s="360" t="s">
        <v>596</v>
      </c>
      <c r="C216" s="360" t="s">
        <v>70</v>
      </c>
      <c r="D216" s="360" t="s">
        <v>77</v>
      </c>
      <c r="E216" s="360">
        <v>54</v>
      </c>
      <c r="F216" s="360">
        <v>0</v>
      </c>
      <c r="G216" s="360">
        <v>0</v>
      </c>
      <c r="H216" s="360">
        <v>54</v>
      </c>
      <c r="I216" s="360">
        <v>0</v>
      </c>
      <c r="J216" s="360">
        <v>0</v>
      </c>
      <c r="K216" s="360">
        <v>0</v>
      </c>
      <c r="L216" s="360">
        <v>0</v>
      </c>
      <c r="M216" s="360">
        <v>0</v>
      </c>
      <c r="N216" s="360">
        <v>0</v>
      </c>
      <c r="O216" s="360">
        <v>0</v>
      </c>
      <c r="P216" s="360">
        <v>0</v>
      </c>
      <c r="Q216" s="360">
        <v>0</v>
      </c>
      <c r="R216" s="360">
        <v>0</v>
      </c>
      <c r="S216" s="360">
        <v>0</v>
      </c>
      <c r="T216" s="360">
        <v>0</v>
      </c>
      <c r="U216" s="360">
        <v>0</v>
      </c>
      <c r="V216" s="360">
        <v>0</v>
      </c>
      <c r="W216" s="360">
        <v>0</v>
      </c>
      <c r="X216" s="360">
        <v>0</v>
      </c>
      <c r="Y216" s="360">
        <v>0</v>
      </c>
      <c r="Z216" s="360">
        <v>0</v>
      </c>
      <c r="AA216" s="360">
        <v>0</v>
      </c>
      <c r="AB216" s="360">
        <v>0</v>
      </c>
      <c r="AC216" s="360">
        <v>0</v>
      </c>
      <c r="AD216" s="360">
        <v>0</v>
      </c>
      <c r="AE216" s="360">
        <v>0</v>
      </c>
      <c r="AF216" s="360">
        <v>0</v>
      </c>
      <c r="AG216" s="360">
        <v>0</v>
      </c>
      <c r="AH216" s="360">
        <v>0</v>
      </c>
      <c r="AI216" s="360">
        <v>0</v>
      </c>
      <c r="AJ216" s="360">
        <v>0</v>
      </c>
      <c r="AK216" s="360">
        <v>0</v>
      </c>
      <c r="AL216" s="360">
        <v>0</v>
      </c>
      <c r="AM216" s="360">
        <v>0</v>
      </c>
      <c r="AN216" s="360">
        <v>0</v>
      </c>
      <c r="AO216" s="360">
        <v>0</v>
      </c>
      <c r="AP216" s="360">
        <v>0</v>
      </c>
      <c r="AQ216" s="360">
        <v>0</v>
      </c>
      <c r="AR216" s="360">
        <v>0</v>
      </c>
      <c r="AS216" s="360">
        <v>0</v>
      </c>
      <c r="AT216" s="360">
        <v>0</v>
      </c>
      <c r="AU216" s="360">
        <v>0</v>
      </c>
      <c r="AV216" s="360">
        <v>0</v>
      </c>
      <c r="AW216" s="360">
        <v>0</v>
      </c>
      <c r="AX216" s="360">
        <v>0</v>
      </c>
      <c r="AY216" s="360">
        <v>0</v>
      </c>
      <c r="AZ216" s="360">
        <v>0</v>
      </c>
      <c r="BA216" s="360">
        <v>0</v>
      </c>
      <c r="BB216" s="360">
        <v>0</v>
      </c>
      <c r="BC216" s="360">
        <v>0</v>
      </c>
      <c r="BD216" s="360">
        <v>0</v>
      </c>
      <c r="BE216" s="360">
        <v>0</v>
      </c>
      <c r="BF216" s="360">
        <v>0</v>
      </c>
      <c r="BG216" s="360">
        <v>0</v>
      </c>
      <c r="BH216" s="360">
        <v>0</v>
      </c>
      <c r="BI216" s="360">
        <v>0</v>
      </c>
      <c r="BJ216" s="360">
        <v>0</v>
      </c>
      <c r="BK216" s="360">
        <v>0</v>
      </c>
      <c r="BL216" s="360">
        <v>0</v>
      </c>
      <c r="BM216" s="360">
        <v>111.95</v>
      </c>
      <c r="BN216" s="360">
        <v>54</v>
      </c>
      <c r="BO216" s="360">
        <v>111.95</v>
      </c>
      <c r="BP216" s="360">
        <v>54</v>
      </c>
      <c r="BQ216" s="360">
        <v>0</v>
      </c>
      <c r="BR216" s="360">
        <v>0</v>
      </c>
      <c r="BS216" s="360">
        <v>0</v>
      </c>
      <c r="BT216" s="360">
        <v>0</v>
      </c>
      <c r="BU216" s="360">
        <v>108.65</v>
      </c>
      <c r="BV216" s="360">
        <v>25</v>
      </c>
      <c r="BW216" s="360">
        <v>114.8</v>
      </c>
      <c r="BX216" s="360">
        <v>29</v>
      </c>
      <c r="BY216" s="360">
        <v>0</v>
      </c>
      <c r="BZ216" s="360">
        <v>0</v>
      </c>
      <c r="CA216" s="360">
        <v>0</v>
      </c>
      <c r="CB216" s="360">
        <v>0</v>
      </c>
      <c r="CC216" s="360">
        <v>0</v>
      </c>
      <c r="CD216" s="360" t="s">
        <v>597</v>
      </c>
    </row>
    <row r="217" spans="1:82" x14ac:dyDescent="0.35">
      <c r="A217" s="360" t="s">
        <v>598</v>
      </c>
      <c r="B217" s="360" t="s">
        <v>599</v>
      </c>
      <c r="C217" s="360" t="s">
        <v>73</v>
      </c>
      <c r="D217" s="360" t="s">
        <v>77</v>
      </c>
      <c r="E217" s="360">
        <v>5539</v>
      </c>
      <c r="F217" s="360">
        <v>5487</v>
      </c>
      <c r="G217" s="360">
        <v>0</v>
      </c>
      <c r="H217" s="360">
        <v>13</v>
      </c>
      <c r="I217" s="360">
        <v>97.39</v>
      </c>
      <c r="J217" s="360">
        <v>5370</v>
      </c>
      <c r="K217" s="360">
        <v>97.39</v>
      </c>
      <c r="L217" s="360">
        <v>5370</v>
      </c>
      <c r="M217" s="360">
        <v>0</v>
      </c>
      <c r="N217" s="360">
        <v>0</v>
      </c>
      <c r="O217" s="360">
        <v>67.849999999999994</v>
      </c>
      <c r="P217" s="360">
        <v>63</v>
      </c>
      <c r="Q217" s="360">
        <v>88.24</v>
      </c>
      <c r="R217" s="360">
        <v>1469</v>
      </c>
      <c r="S217" s="360">
        <v>95.66</v>
      </c>
      <c r="T217" s="360">
        <v>1911</v>
      </c>
      <c r="U217" s="360">
        <v>106.63</v>
      </c>
      <c r="V217" s="360">
        <v>1860</v>
      </c>
      <c r="W217" s="360">
        <v>117.92</v>
      </c>
      <c r="X217" s="360">
        <v>63</v>
      </c>
      <c r="Y217" s="360">
        <v>138.06</v>
      </c>
      <c r="Z217" s="360">
        <v>4</v>
      </c>
      <c r="AA217" s="360">
        <v>0</v>
      </c>
      <c r="AB217" s="360">
        <v>0</v>
      </c>
      <c r="AC217" s="360">
        <v>85.52</v>
      </c>
      <c r="AD217" s="360">
        <v>13</v>
      </c>
      <c r="AE217" s="360">
        <v>85.52</v>
      </c>
      <c r="AF217" s="360">
        <v>13</v>
      </c>
      <c r="AG217" s="360">
        <v>0</v>
      </c>
      <c r="AH217" s="360">
        <v>0</v>
      </c>
      <c r="AI217" s="360">
        <v>80.75</v>
      </c>
      <c r="AJ217" s="360">
        <v>6</v>
      </c>
      <c r="AK217" s="360">
        <v>89.61</v>
      </c>
      <c r="AL217" s="360">
        <v>7</v>
      </c>
      <c r="AM217" s="360">
        <v>0</v>
      </c>
      <c r="AN217" s="360">
        <v>0</v>
      </c>
      <c r="AO217" s="360">
        <v>0</v>
      </c>
      <c r="AP217" s="360">
        <v>0</v>
      </c>
      <c r="AQ217" s="360">
        <v>0</v>
      </c>
      <c r="AR217" s="360">
        <v>0</v>
      </c>
      <c r="AS217" s="360">
        <v>157.31</v>
      </c>
      <c r="AT217" s="360">
        <v>117</v>
      </c>
      <c r="AU217" s="360">
        <v>157.31</v>
      </c>
      <c r="AV217" s="360">
        <v>117</v>
      </c>
      <c r="AW217" s="360">
        <v>0</v>
      </c>
      <c r="AX217" s="360">
        <v>0</v>
      </c>
      <c r="AY217" s="360">
        <v>0</v>
      </c>
      <c r="AZ217" s="360">
        <v>0</v>
      </c>
      <c r="BA217" s="360">
        <v>127.33</v>
      </c>
      <c r="BB217" s="360">
        <v>36</v>
      </c>
      <c r="BC217" s="360">
        <v>158</v>
      </c>
      <c r="BD217" s="360">
        <v>62</v>
      </c>
      <c r="BE217" s="360">
        <v>211.9</v>
      </c>
      <c r="BF217" s="360">
        <v>19</v>
      </c>
      <c r="BG217" s="360">
        <v>0</v>
      </c>
      <c r="BH217" s="360">
        <v>0</v>
      </c>
      <c r="BI217" s="360">
        <v>0</v>
      </c>
      <c r="BJ217" s="360">
        <v>0</v>
      </c>
      <c r="BK217" s="360">
        <v>0</v>
      </c>
      <c r="BL217" s="360">
        <v>0</v>
      </c>
      <c r="BM217" s="360">
        <v>0</v>
      </c>
      <c r="BN217" s="360">
        <v>0</v>
      </c>
      <c r="BO217" s="360">
        <v>0</v>
      </c>
      <c r="BP217" s="360">
        <v>0</v>
      </c>
      <c r="BQ217" s="360">
        <v>0</v>
      </c>
      <c r="BR217" s="360">
        <v>0</v>
      </c>
      <c r="BS217" s="360">
        <v>0</v>
      </c>
      <c r="BT217" s="360">
        <v>0</v>
      </c>
      <c r="BU217" s="360">
        <v>0</v>
      </c>
      <c r="BV217" s="360">
        <v>0</v>
      </c>
      <c r="BW217" s="360">
        <v>0</v>
      </c>
      <c r="BX217" s="360">
        <v>0</v>
      </c>
      <c r="BY217" s="360">
        <v>0</v>
      </c>
      <c r="BZ217" s="360">
        <v>0</v>
      </c>
      <c r="CA217" s="360">
        <v>0</v>
      </c>
      <c r="CB217" s="360">
        <v>0</v>
      </c>
      <c r="CC217" s="360">
        <v>39</v>
      </c>
      <c r="CD217" s="360" t="s">
        <v>600</v>
      </c>
    </row>
    <row r="218" spans="1:82" x14ac:dyDescent="0.35">
      <c r="A218" s="360" t="s">
        <v>601</v>
      </c>
      <c r="B218" s="360" t="s">
        <v>602</v>
      </c>
      <c r="C218" s="360" t="s">
        <v>71</v>
      </c>
      <c r="D218" s="360" t="s">
        <v>77</v>
      </c>
      <c r="E218" s="360">
        <v>4773</v>
      </c>
      <c r="F218" s="360">
        <v>4720</v>
      </c>
      <c r="G218" s="360">
        <v>0</v>
      </c>
      <c r="H218" s="360">
        <v>0</v>
      </c>
      <c r="I218" s="360">
        <v>121.46</v>
      </c>
      <c r="J218" s="360">
        <v>4636</v>
      </c>
      <c r="K218" s="360">
        <v>121.46</v>
      </c>
      <c r="L218" s="360">
        <v>4636</v>
      </c>
      <c r="M218" s="360">
        <v>0</v>
      </c>
      <c r="N218" s="360">
        <v>0</v>
      </c>
      <c r="O218" s="360">
        <v>87.95</v>
      </c>
      <c r="P218" s="360">
        <v>56</v>
      </c>
      <c r="Q218" s="360">
        <v>104.62</v>
      </c>
      <c r="R218" s="360">
        <v>1740</v>
      </c>
      <c r="S218" s="360">
        <v>122.68</v>
      </c>
      <c r="T218" s="360">
        <v>1333</v>
      </c>
      <c r="U218" s="360">
        <v>140.81</v>
      </c>
      <c r="V218" s="360">
        <v>1471</v>
      </c>
      <c r="W218" s="360">
        <v>150.46</v>
      </c>
      <c r="X218" s="360">
        <v>34</v>
      </c>
      <c r="Y218" s="360">
        <v>168.09</v>
      </c>
      <c r="Z218" s="360">
        <v>1</v>
      </c>
      <c r="AA218" s="360">
        <v>179.43</v>
      </c>
      <c r="AB218" s="360">
        <v>1</v>
      </c>
      <c r="AC218" s="360">
        <v>0</v>
      </c>
      <c r="AD218" s="360">
        <v>0</v>
      </c>
      <c r="AE218" s="360">
        <v>0</v>
      </c>
      <c r="AF218" s="360">
        <v>0</v>
      </c>
      <c r="AG218" s="360">
        <v>0</v>
      </c>
      <c r="AH218" s="360">
        <v>0</v>
      </c>
      <c r="AI218" s="360">
        <v>0</v>
      </c>
      <c r="AJ218" s="360">
        <v>0</v>
      </c>
      <c r="AK218" s="360">
        <v>0</v>
      </c>
      <c r="AL218" s="360">
        <v>0</v>
      </c>
      <c r="AM218" s="360">
        <v>0</v>
      </c>
      <c r="AN218" s="360">
        <v>0</v>
      </c>
      <c r="AO218" s="360">
        <v>0</v>
      </c>
      <c r="AP218" s="360">
        <v>0</v>
      </c>
      <c r="AQ218" s="360">
        <v>0</v>
      </c>
      <c r="AR218" s="360">
        <v>0</v>
      </c>
      <c r="AS218" s="360">
        <v>197.45</v>
      </c>
      <c r="AT218" s="360">
        <v>84</v>
      </c>
      <c r="AU218" s="360">
        <v>197.45</v>
      </c>
      <c r="AV218" s="360">
        <v>84</v>
      </c>
      <c r="AW218" s="360">
        <v>0</v>
      </c>
      <c r="AX218" s="360">
        <v>0</v>
      </c>
      <c r="AY218" s="360">
        <v>0</v>
      </c>
      <c r="AZ218" s="360">
        <v>0</v>
      </c>
      <c r="BA218" s="360">
        <v>154.63</v>
      </c>
      <c r="BB218" s="360">
        <v>24</v>
      </c>
      <c r="BC218" s="360">
        <v>205.58</v>
      </c>
      <c r="BD218" s="360">
        <v>43</v>
      </c>
      <c r="BE218" s="360">
        <v>237.34</v>
      </c>
      <c r="BF218" s="360">
        <v>17</v>
      </c>
      <c r="BG218" s="360">
        <v>0</v>
      </c>
      <c r="BH218" s="360">
        <v>0</v>
      </c>
      <c r="BI218" s="360">
        <v>0</v>
      </c>
      <c r="BJ218" s="360">
        <v>0</v>
      </c>
      <c r="BK218" s="360">
        <v>0</v>
      </c>
      <c r="BL218" s="360">
        <v>0</v>
      </c>
      <c r="BM218" s="360">
        <v>0</v>
      </c>
      <c r="BN218" s="360">
        <v>0</v>
      </c>
      <c r="BO218" s="360">
        <v>0</v>
      </c>
      <c r="BP218" s="360">
        <v>0</v>
      </c>
      <c r="BQ218" s="360">
        <v>0</v>
      </c>
      <c r="BR218" s="360">
        <v>0</v>
      </c>
      <c r="BS218" s="360">
        <v>0</v>
      </c>
      <c r="BT218" s="360">
        <v>0</v>
      </c>
      <c r="BU218" s="360">
        <v>0</v>
      </c>
      <c r="BV218" s="360">
        <v>0</v>
      </c>
      <c r="BW218" s="360">
        <v>0</v>
      </c>
      <c r="BX218" s="360">
        <v>0</v>
      </c>
      <c r="BY218" s="360">
        <v>0</v>
      </c>
      <c r="BZ218" s="360">
        <v>0</v>
      </c>
      <c r="CA218" s="360">
        <v>0</v>
      </c>
      <c r="CB218" s="360">
        <v>0</v>
      </c>
      <c r="CC218" s="360">
        <v>53</v>
      </c>
      <c r="CD218" s="360" t="s">
        <v>603</v>
      </c>
    </row>
    <row r="219" spans="1:82" x14ac:dyDescent="0.35">
      <c r="A219" s="360" t="s">
        <v>604</v>
      </c>
      <c r="B219" s="360" t="s">
        <v>605</v>
      </c>
      <c r="C219" s="360" t="s">
        <v>71</v>
      </c>
      <c r="D219" s="360" t="s">
        <v>77</v>
      </c>
      <c r="E219" s="360">
        <v>3042</v>
      </c>
      <c r="F219" s="360">
        <v>2540</v>
      </c>
      <c r="G219" s="360">
        <v>0</v>
      </c>
      <c r="H219" s="360">
        <v>427</v>
      </c>
      <c r="I219" s="360">
        <v>92.73</v>
      </c>
      <c r="J219" s="360">
        <v>2351</v>
      </c>
      <c r="K219" s="360">
        <v>92.73</v>
      </c>
      <c r="L219" s="360">
        <v>2351</v>
      </c>
      <c r="M219" s="360">
        <v>0</v>
      </c>
      <c r="N219" s="360">
        <v>0</v>
      </c>
      <c r="O219" s="360">
        <v>78.03</v>
      </c>
      <c r="P219" s="360">
        <v>6</v>
      </c>
      <c r="Q219" s="360">
        <v>79.86</v>
      </c>
      <c r="R219" s="360">
        <v>719</v>
      </c>
      <c r="S219" s="360">
        <v>91.88</v>
      </c>
      <c r="T219" s="360">
        <v>826</v>
      </c>
      <c r="U219" s="360">
        <v>104.87</v>
      </c>
      <c r="V219" s="360">
        <v>767</v>
      </c>
      <c r="W219" s="360">
        <v>113.04</v>
      </c>
      <c r="X219" s="360">
        <v>31</v>
      </c>
      <c r="Y219" s="360">
        <v>132.80000000000001</v>
      </c>
      <c r="Z219" s="360">
        <v>1</v>
      </c>
      <c r="AA219" s="360">
        <v>151.31</v>
      </c>
      <c r="AB219" s="360">
        <v>1</v>
      </c>
      <c r="AC219" s="360">
        <v>79.53</v>
      </c>
      <c r="AD219" s="360">
        <v>360</v>
      </c>
      <c r="AE219" s="360">
        <v>79.53</v>
      </c>
      <c r="AF219" s="360">
        <v>360</v>
      </c>
      <c r="AG219" s="360">
        <v>0</v>
      </c>
      <c r="AH219" s="360">
        <v>0</v>
      </c>
      <c r="AI219" s="360">
        <v>72.13</v>
      </c>
      <c r="AJ219" s="360">
        <v>2</v>
      </c>
      <c r="AK219" s="360">
        <v>78.930000000000007</v>
      </c>
      <c r="AL219" s="360">
        <v>341</v>
      </c>
      <c r="AM219" s="360">
        <v>91.22</v>
      </c>
      <c r="AN219" s="360">
        <v>15</v>
      </c>
      <c r="AO219" s="360">
        <v>102.51</v>
      </c>
      <c r="AP219" s="360">
        <v>2</v>
      </c>
      <c r="AQ219" s="360">
        <v>0</v>
      </c>
      <c r="AR219" s="360">
        <v>0</v>
      </c>
      <c r="AS219" s="360">
        <v>157.85</v>
      </c>
      <c r="AT219" s="360">
        <v>189</v>
      </c>
      <c r="AU219" s="360">
        <v>157.85</v>
      </c>
      <c r="AV219" s="360">
        <v>189</v>
      </c>
      <c r="AW219" s="360">
        <v>0</v>
      </c>
      <c r="AX219" s="360">
        <v>0</v>
      </c>
      <c r="AY219" s="360">
        <v>0</v>
      </c>
      <c r="AZ219" s="360">
        <v>0</v>
      </c>
      <c r="BA219" s="360">
        <v>134.30000000000001</v>
      </c>
      <c r="BB219" s="360">
        <v>71</v>
      </c>
      <c r="BC219" s="360">
        <v>164.21</v>
      </c>
      <c r="BD219" s="360">
        <v>84</v>
      </c>
      <c r="BE219" s="360">
        <v>188.23</v>
      </c>
      <c r="BF219" s="360">
        <v>32</v>
      </c>
      <c r="BG219" s="360">
        <v>241.5</v>
      </c>
      <c r="BH219" s="360">
        <v>2</v>
      </c>
      <c r="BI219" s="360">
        <v>0</v>
      </c>
      <c r="BJ219" s="360">
        <v>0</v>
      </c>
      <c r="BK219" s="360">
        <v>0</v>
      </c>
      <c r="BL219" s="360">
        <v>0</v>
      </c>
      <c r="BM219" s="360">
        <v>141.41999999999999</v>
      </c>
      <c r="BN219" s="360">
        <v>67</v>
      </c>
      <c r="BO219" s="360">
        <v>141.41999999999999</v>
      </c>
      <c r="BP219" s="360">
        <v>67</v>
      </c>
      <c r="BQ219" s="360">
        <v>0</v>
      </c>
      <c r="BR219" s="360">
        <v>0</v>
      </c>
      <c r="BS219" s="360">
        <v>0</v>
      </c>
      <c r="BT219" s="360">
        <v>0</v>
      </c>
      <c r="BU219" s="360">
        <v>141.41999999999999</v>
      </c>
      <c r="BV219" s="360">
        <v>67</v>
      </c>
      <c r="BW219" s="360">
        <v>0</v>
      </c>
      <c r="BX219" s="360">
        <v>0</v>
      </c>
      <c r="BY219" s="360">
        <v>0</v>
      </c>
      <c r="BZ219" s="360">
        <v>0</v>
      </c>
      <c r="CA219" s="360">
        <v>0</v>
      </c>
      <c r="CB219" s="360">
        <v>0</v>
      </c>
      <c r="CC219" s="360">
        <v>75</v>
      </c>
      <c r="CD219" s="360" t="s">
        <v>606</v>
      </c>
    </row>
    <row r="220" spans="1:82" x14ac:dyDescent="0.35">
      <c r="A220" s="360" t="s">
        <v>607</v>
      </c>
      <c r="B220" s="360" t="s">
        <v>608</v>
      </c>
      <c r="C220" s="360" t="s">
        <v>67</v>
      </c>
      <c r="D220" s="360" t="s">
        <v>77</v>
      </c>
      <c r="E220" s="360">
        <v>8806</v>
      </c>
      <c r="F220" s="360">
        <v>7188</v>
      </c>
      <c r="G220" s="360">
        <v>0</v>
      </c>
      <c r="H220" s="360">
        <v>1610</v>
      </c>
      <c r="I220" s="360">
        <v>115.32</v>
      </c>
      <c r="J220" s="360">
        <v>7176</v>
      </c>
      <c r="K220" s="360">
        <v>115.32</v>
      </c>
      <c r="L220" s="360">
        <v>7176</v>
      </c>
      <c r="M220" s="360">
        <v>0</v>
      </c>
      <c r="N220" s="360">
        <v>0</v>
      </c>
      <c r="O220" s="360">
        <v>78.42</v>
      </c>
      <c r="P220" s="360">
        <v>157</v>
      </c>
      <c r="Q220" s="360">
        <v>91.75</v>
      </c>
      <c r="R220" s="360">
        <v>1047</v>
      </c>
      <c r="S220" s="360">
        <v>110.03</v>
      </c>
      <c r="T220" s="360">
        <v>1840</v>
      </c>
      <c r="U220" s="360">
        <v>124.04</v>
      </c>
      <c r="V220" s="360">
        <v>3814</v>
      </c>
      <c r="W220" s="360">
        <v>136.22999999999999</v>
      </c>
      <c r="X220" s="360">
        <v>301</v>
      </c>
      <c r="Y220" s="360">
        <v>151.99</v>
      </c>
      <c r="Z220" s="360">
        <v>13</v>
      </c>
      <c r="AA220" s="360">
        <v>160.46</v>
      </c>
      <c r="AB220" s="360">
        <v>4</v>
      </c>
      <c r="AC220" s="360">
        <v>106.73</v>
      </c>
      <c r="AD220" s="360">
        <v>1610</v>
      </c>
      <c r="AE220" s="360">
        <v>106.73</v>
      </c>
      <c r="AF220" s="360">
        <v>1610</v>
      </c>
      <c r="AG220" s="360">
        <v>0</v>
      </c>
      <c r="AH220" s="360">
        <v>0</v>
      </c>
      <c r="AI220" s="360">
        <v>90.9</v>
      </c>
      <c r="AJ220" s="360">
        <v>4</v>
      </c>
      <c r="AK220" s="360">
        <v>97.7</v>
      </c>
      <c r="AL220" s="360">
        <v>787</v>
      </c>
      <c r="AM220" s="360">
        <v>115.46</v>
      </c>
      <c r="AN220" s="360">
        <v>815</v>
      </c>
      <c r="AO220" s="360">
        <v>122.48</v>
      </c>
      <c r="AP220" s="360">
        <v>4</v>
      </c>
      <c r="AQ220" s="360">
        <v>0</v>
      </c>
      <c r="AR220" s="360">
        <v>0</v>
      </c>
      <c r="AS220" s="360">
        <v>172.6</v>
      </c>
      <c r="AT220" s="360">
        <v>12</v>
      </c>
      <c r="AU220" s="360">
        <v>172.6</v>
      </c>
      <c r="AV220" s="360">
        <v>12</v>
      </c>
      <c r="AW220" s="360">
        <v>0</v>
      </c>
      <c r="AX220" s="360">
        <v>0</v>
      </c>
      <c r="AY220" s="360">
        <v>0</v>
      </c>
      <c r="AZ220" s="360">
        <v>0</v>
      </c>
      <c r="BA220" s="360">
        <v>172.6</v>
      </c>
      <c r="BB220" s="360">
        <v>12</v>
      </c>
      <c r="BC220" s="360">
        <v>0</v>
      </c>
      <c r="BD220" s="360">
        <v>0</v>
      </c>
      <c r="BE220" s="360">
        <v>0</v>
      </c>
      <c r="BF220" s="360">
        <v>0</v>
      </c>
      <c r="BG220" s="360">
        <v>0</v>
      </c>
      <c r="BH220" s="360">
        <v>0</v>
      </c>
      <c r="BI220" s="360">
        <v>0</v>
      </c>
      <c r="BJ220" s="360">
        <v>0</v>
      </c>
      <c r="BK220" s="360">
        <v>0</v>
      </c>
      <c r="BL220" s="360">
        <v>0</v>
      </c>
      <c r="BM220" s="360">
        <v>0</v>
      </c>
      <c r="BN220" s="360">
        <v>0</v>
      </c>
      <c r="BO220" s="360">
        <v>0</v>
      </c>
      <c r="BP220" s="360">
        <v>0</v>
      </c>
      <c r="BQ220" s="360">
        <v>0</v>
      </c>
      <c r="BR220" s="360">
        <v>0</v>
      </c>
      <c r="BS220" s="360">
        <v>0</v>
      </c>
      <c r="BT220" s="360">
        <v>0</v>
      </c>
      <c r="BU220" s="360">
        <v>0</v>
      </c>
      <c r="BV220" s="360">
        <v>0</v>
      </c>
      <c r="BW220" s="360">
        <v>0</v>
      </c>
      <c r="BX220" s="360">
        <v>0</v>
      </c>
      <c r="BY220" s="360">
        <v>0</v>
      </c>
      <c r="BZ220" s="360">
        <v>0</v>
      </c>
      <c r="CA220" s="360">
        <v>0</v>
      </c>
      <c r="CB220" s="360">
        <v>0</v>
      </c>
      <c r="CC220" s="360">
        <v>8</v>
      </c>
      <c r="CD220" s="360" t="s">
        <v>609</v>
      </c>
    </row>
    <row r="221" spans="1:82" x14ac:dyDescent="0.35">
      <c r="A221" s="360" t="s">
        <v>610</v>
      </c>
      <c r="B221" s="360" t="s">
        <v>611</v>
      </c>
      <c r="C221" s="360" t="s">
        <v>71</v>
      </c>
      <c r="D221" s="360" t="s">
        <v>77</v>
      </c>
      <c r="E221" s="360">
        <v>0</v>
      </c>
      <c r="F221" s="360">
        <v>0</v>
      </c>
      <c r="G221" s="360">
        <v>0</v>
      </c>
      <c r="H221" s="360">
        <v>0</v>
      </c>
      <c r="I221" s="360">
        <v>0</v>
      </c>
      <c r="J221" s="360">
        <v>0</v>
      </c>
      <c r="K221" s="360">
        <v>0</v>
      </c>
      <c r="L221" s="360">
        <v>0</v>
      </c>
      <c r="M221" s="360">
        <v>0</v>
      </c>
      <c r="N221" s="360">
        <v>0</v>
      </c>
      <c r="O221" s="360">
        <v>0</v>
      </c>
      <c r="P221" s="360">
        <v>0</v>
      </c>
      <c r="Q221" s="360">
        <v>0</v>
      </c>
      <c r="R221" s="360">
        <v>0</v>
      </c>
      <c r="S221" s="360">
        <v>0</v>
      </c>
      <c r="T221" s="360">
        <v>0</v>
      </c>
      <c r="U221" s="360">
        <v>0</v>
      </c>
      <c r="V221" s="360">
        <v>0</v>
      </c>
      <c r="W221" s="360">
        <v>0</v>
      </c>
      <c r="X221" s="360">
        <v>0</v>
      </c>
      <c r="Y221" s="360">
        <v>0</v>
      </c>
      <c r="Z221" s="360">
        <v>0</v>
      </c>
      <c r="AA221" s="360">
        <v>0</v>
      </c>
      <c r="AB221" s="360">
        <v>0</v>
      </c>
      <c r="AC221" s="360">
        <v>0</v>
      </c>
      <c r="AD221" s="360">
        <v>0</v>
      </c>
      <c r="AE221" s="360">
        <v>0</v>
      </c>
      <c r="AF221" s="360">
        <v>0</v>
      </c>
      <c r="AG221" s="360">
        <v>0</v>
      </c>
      <c r="AH221" s="360">
        <v>0</v>
      </c>
      <c r="AI221" s="360">
        <v>0</v>
      </c>
      <c r="AJ221" s="360">
        <v>0</v>
      </c>
      <c r="AK221" s="360">
        <v>0</v>
      </c>
      <c r="AL221" s="360">
        <v>0</v>
      </c>
      <c r="AM221" s="360">
        <v>0</v>
      </c>
      <c r="AN221" s="360">
        <v>0</v>
      </c>
      <c r="AO221" s="360">
        <v>0</v>
      </c>
      <c r="AP221" s="360">
        <v>0</v>
      </c>
      <c r="AQ221" s="360">
        <v>0</v>
      </c>
      <c r="AR221" s="360">
        <v>0</v>
      </c>
      <c r="AS221" s="360">
        <v>0</v>
      </c>
      <c r="AT221" s="360">
        <v>0</v>
      </c>
      <c r="AU221" s="360">
        <v>0</v>
      </c>
      <c r="AV221" s="360">
        <v>0</v>
      </c>
      <c r="AW221" s="360">
        <v>0</v>
      </c>
      <c r="AX221" s="360">
        <v>0</v>
      </c>
      <c r="AY221" s="360">
        <v>0</v>
      </c>
      <c r="AZ221" s="360">
        <v>0</v>
      </c>
      <c r="BA221" s="360">
        <v>0</v>
      </c>
      <c r="BB221" s="360">
        <v>0</v>
      </c>
      <c r="BC221" s="360">
        <v>0</v>
      </c>
      <c r="BD221" s="360">
        <v>0</v>
      </c>
      <c r="BE221" s="360">
        <v>0</v>
      </c>
      <c r="BF221" s="360">
        <v>0</v>
      </c>
      <c r="BG221" s="360">
        <v>0</v>
      </c>
      <c r="BH221" s="360">
        <v>0</v>
      </c>
      <c r="BI221" s="360">
        <v>0</v>
      </c>
      <c r="BJ221" s="360">
        <v>0</v>
      </c>
      <c r="BK221" s="360">
        <v>0</v>
      </c>
      <c r="BL221" s="360">
        <v>0</v>
      </c>
      <c r="BM221" s="360">
        <v>0</v>
      </c>
      <c r="BN221" s="360">
        <v>0</v>
      </c>
      <c r="BO221" s="360">
        <v>0</v>
      </c>
      <c r="BP221" s="360">
        <v>0</v>
      </c>
      <c r="BQ221" s="360">
        <v>0</v>
      </c>
      <c r="BR221" s="360">
        <v>0</v>
      </c>
      <c r="BS221" s="360">
        <v>0</v>
      </c>
      <c r="BT221" s="360">
        <v>0</v>
      </c>
      <c r="BU221" s="360">
        <v>0</v>
      </c>
      <c r="BV221" s="360">
        <v>0</v>
      </c>
      <c r="BW221" s="360">
        <v>0</v>
      </c>
      <c r="BX221" s="360">
        <v>0</v>
      </c>
      <c r="BY221" s="360">
        <v>0</v>
      </c>
      <c r="BZ221" s="360">
        <v>0</v>
      </c>
      <c r="CA221" s="360">
        <v>0</v>
      </c>
      <c r="CB221" s="360">
        <v>0</v>
      </c>
      <c r="CC221" s="360">
        <v>0</v>
      </c>
      <c r="CD221" s="360" t="s">
        <v>612</v>
      </c>
    </row>
    <row r="222" spans="1:82" x14ac:dyDescent="0.35">
      <c r="A222" s="360" t="s">
        <v>613</v>
      </c>
      <c r="B222" s="360" t="s">
        <v>614</v>
      </c>
      <c r="C222" s="360" t="s">
        <v>72</v>
      </c>
      <c r="D222" s="360" t="s">
        <v>77</v>
      </c>
      <c r="E222" s="360">
        <v>1</v>
      </c>
      <c r="F222" s="360">
        <v>1</v>
      </c>
      <c r="G222" s="360">
        <v>0</v>
      </c>
      <c r="H222" s="360">
        <v>0</v>
      </c>
      <c r="I222" s="360">
        <v>0</v>
      </c>
      <c r="J222" s="360">
        <v>0</v>
      </c>
      <c r="K222" s="360">
        <v>0</v>
      </c>
      <c r="L222" s="360">
        <v>0</v>
      </c>
      <c r="M222" s="360">
        <v>0</v>
      </c>
      <c r="N222" s="360">
        <v>0</v>
      </c>
      <c r="O222" s="360">
        <v>0</v>
      </c>
      <c r="P222" s="360">
        <v>0</v>
      </c>
      <c r="Q222" s="360">
        <v>0</v>
      </c>
      <c r="R222" s="360">
        <v>0</v>
      </c>
      <c r="S222" s="360">
        <v>0</v>
      </c>
      <c r="T222" s="360">
        <v>0</v>
      </c>
      <c r="U222" s="360">
        <v>0</v>
      </c>
      <c r="V222" s="360">
        <v>0</v>
      </c>
      <c r="W222" s="360">
        <v>0</v>
      </c>
      <c r="X222" s="360">
        <v>0</v>
      </c>
      <c r="Y222" s="360">
        <v>0</v>
      </c>
      <c r="Z222" s="360">
        <v>0</v>
      </c>
      <c r="AA222" s="360">
        <v>0</v>
      </c>
      <c r="AB222" s="360">
        <v>0</v>
      </c>
      <c r="AC222" s="360">
        <v>0</v>
      </c>
      <c r="AD222" s="360">
        <v>0</v>
      </c>
      <c r="AE222" s="360">
        <v>0</v>
      </c>
      <c r="AF222" s="360">
        <v>0</v>
      </c>
      <c r="AG222" s="360">
        <v>0</v>
      </c>
      <c r="AH222" s="360">
        <v>0</v>
      </c>
      <c r="AI222" s="360">
        <v>0</v>
      </c>
      <c r="AJ222" s="360">
        <v>0</v>
      </c>
      <c r="AK222" s="360">
        <v>0</v>
      </c>
      <c r="AL222" s="360">
        <v>0</v>
      </c>
      <c r="AM222" s="360">
        <v>0</v>
      </c>
      <c r="AN222" s="360">
        <v>0</v>
      </c>
      <c r="AO222" s="360">
        <v>0</v>
      </c>
      <c r="AP222" s="360">
        <v>0</v>
      </c>
      <c r="AQ222" s="360">
        <v>0</v>
      </c>
      <c r="AR222" s="360">
        <v>0</v>
      </c>
      <c r="AS222" s="360">
        <v>189.86</v>
      </c>
      <c r="AT222" s="360">
        <v>1</v>
      </c>
      <c r="AU222" s="360">
        <v>189.86</v>
      </c>
      <c r="AV222" s="360">
        <v>1</v>
      </c>
      <c r="AW222" s="360">
        <v>0</v>
      </c>
      <c r="AX222" s="360">
        <v>0</v>
      </c>
      <c r="AY222" s="360">
        <v>0</v>
      </c>
      <c r="AZ222" s="360">
        <v>0</v>
      </c>
      <c r="BA222" s="360">
        <v>0</v>
      </c>
      <c r="BB222" s="360">
        <v>0</v>
      </c>
      <c r="BC222" s="360">
        <v>0</v>
      </c>
      <c r="BD222" s="360">
        <v>0</v>
      </c>
      <c r="BE222" s="360">
        <v>189.86</v>
      </c>
      <c r="BF222" s="360">
        <v>1</v>
      </c>
      <c r="BG222" s="360">
        <v>0</v>
      </c>
      <c r="BH222" s="360">
        <v>0</v>
      </c>
      <c r="BI222" s="360">
        <v>0</v>
      </c>
      <c r="BJ222" s="360">
        <v>0</v>
      </c>
      <c r="BK222" s="360">
        <v>0</v>
      </c>
      <c r="BL222" s="360">
        <v>0</v>
      </c>
      <c r="BM222" s="360">
        <v>0</v>
      </c>
      <c r="BN222" s="360">
        <v>0</v>
      </c>
      <c r="BO222" s="360">
        <v>0</v>
      </c>
      <c r="BP222" s="360">
        <v>0</v>
      </c>
      <c r="BQ222" s="360">
        <v>0</v>
      </c>
      <c r="BR222" s="360">
        <v>0</v>
      </c>
      <c r="BS222" s="360">
        <v>0</v>
      </c>
      <c r="BT222" s="360">
        <v>0</v>
      </c>
      <c r="BU222" s="360">
        <v>0</v>
      </c>
      <c r="BV222" s="360">
        <v>0</v>
      </c>
      <c r="BW222" s="360">
        <v>0</v>
      </c>
      <c r="BX222" s="360">
        <v>0</v>
      </c>
      <c r="BY222" s="360">
        <v>0</v>
      </c>
      <c r="BZ222" s="360">
        <v>0</v>
      </c>
      <c r="CA222" s="360">
        <v>0</v>
      </c>
      <c r="CB222" s="360">
        <v>0</v>
      </c>
      <c r="CC222" s="360">
        <v>0</v>
      </c>
      <c r="CD222" s="360" t="s">
        <v>615</v>
      </c>
    </row>
    <row r="223" spans="1:82" x14ac:dyDescent="0.35">
      <c r="A223" s="360" t="s">
        <v>616</v>
      </c>
      <c r="B223" s="360" t="s">
        <v>617</v>
      </c>
      <c r="C223" s="360" t="s">
        <v>70</v>
      </c>
      <c r="D223" s="360" t="s">
        <v>77</v>
      </c>
      <c r="E223" s="360">
        <v>5815</v>
      </c>
      <c r="F223" s="360">
        <v>4729</v>
      </c>
      <c r="G223" s="360">
        <v>0</v>
      </c>
      <c r="H223" s="360">
        <v>1085</v>
      </c>
      <c r="I223" s="360">
        <v>81.39</v>
      </c>
      <c r="J223" s="360">
        <v>4519</v>
      </c>
      <c r="K223" s="360">
        <v>81.39</v>
      </c>
      <c r="L223" s="360">
        <v>4519</v>
      </c>
      <c r="M223" s="360">
        <v>0</v>
      </c>
      <c r="N223" s="360">
        <v>0</v>
      </c>
      <c r="O223" s="360">
        <v>58.58</v>
      </c>
      <c r="P223" s="360">
        <v>45</v>
      </c>
      <c r="Q223" s="360">
        <v>68.290000000000006</v>
      </c>
      <c r="R223" s="360">
        <v>811</v>
      </c>
      <c r="S223" s="360">
        <v>77.959999999999994</v>
      </c>
      <c r="T223" s="360">
        <v>1142</v>
      </c>
      <c r="U223" s="360">
        <v>86.69</v>
      </c>
      <c r="V223" s="360">
        <v>2198</v>
      </c>
      <c r="W223" s="360">
        <v>92.01</v>
      </c>
      <c r="X223" s="360">
        <v>245</v>
      </c>
      <c r="Y223" s="360">
        <v>98.52</v>
      </c>
      <c r="Z223" s="360">
        <v>78</v>
      </c>
      <c r="AA223" s="360">
        <v>0</v>
      </c>
      <c r="AB223" s="360">
        <v>0</v>
      </c>
      <c r="AC223" s="360">
        <v>76.17</v>
      </c>
      <c r="AD223" s="360">
        <v>1085</v>
      </c>
      <c r="AE223" s="360">
        <v>76.17</v>
      </c>
      <c r="AF223" s="360">
        <v>1085</v>
      </c>
      <c r="AG223" s="360">
        <v>0</v>
      </c>
      <c r="AH223" s="360">
        <v>0</v>
      </c>
      <c r="AI223" s="360">
        <v>0</v>
      </c>
      <c r="AJ223" s="360">
        <v>0</v>
      </c>
      <c r="AK223" s="360">
        <v>75.88</v>
      </c>
      <c r="AL223" s="360">
        <v>1050</v>
      </c>
      <c r="AM223" s="360">
        <v>83.23</v>
      </c>
      <c r="AN223" s="360">
        <v>23</v>
      </c>
      <c r="AO223" s="360">
        <v>88.73</v>
      </c>
      <c r="AP223" s="360">
        <v>12</v>
      </c>
      <c r="AQ223" s="360">
        <v>0</v>
      </c>
      <c r="AR223" s="360">
        <v>0</v>
      </c>
      <c r="AS223" s="360">
        <v>109.99</v>
      </c>
      <c r="AT223" s="360">
        <v>210</v>
      </c>
      <c r="AU223" s="360">
        <v>109.99</v>
      </c>
      <c r="AV223" s="360">
        <v>210</v>
      </c>
      <c r="AW223" s="360">
        <v>0</v>
      </c>
      <c r="AX223" s="360">
        <v>0</v>
      </c>
      <c r="AY223" s="360">
        <v>0</v>
      </c>
      <c r="AZ223" s="360">
        <v>0</v>
      </c>
      <c r="BA223" s="360">
        <v>91.18</v>
      </c>
      <c r="BB223" s="360">
        <v>29</v>
      </c>
      <c r="BC223" s="360">
        <v>107.75</v>
      </c>
      <c r="BD223" s="360">
        <v>112</v>
      </c>
      <c r="BE223" s="360">
        <v>120.58</v>
      </c>
      <c r="BF223" s="360">
        <v>65</v>
      </c>
      <c r="BG223" s="360">
        <v>143.31</v>
      </c>
      <c r="BH223" s="360">
        <v>3</v>
      </c>
      <c r="BI223" s="360">
        <v>118.2</v>
      </c>
      <c r="BJ223" s="360">
        <v>1</v>
      </c>
      <c r="BK223" s="360">
        <v>0</v>
      </c>
      <c r="BL223" s="360">
        <v>0</v>
      </c>
      <c r="BM223" s="360">
        <v>0</v>
      </c>
      <c r="BN223" s="360">
        <v>0</v>
      </c>
      <c r="BO223" s="360">
        <v>0</v>
      </c>
      <c r="BP223" s="360">
        <v>0</v>
      </c>
      <c r="BQ223" s="360">
        <v>0</v>
      </c>
      <c r="BR223" s="360">
        <v>0</v>
      </c>
      <c r="BS223" s="360">
        <v>0</v>
      </c>
      <c r="BT223" s="360">
        <v>0</v>
      </c>
      <c r="BU223" s="360">
        <v>0</v>
      </c>
      <c r="BV223" s="360">
        <v>0</v>
      </c>
      <c r="BW223" s="360">
        <v>0</v>
      </c>
      <c r="BX223" s="360">
        <v>0</v>
      </c>
      <c r="BY223" s="360">
        <v>0</v>
      </c>
      <c r="BZ223" s="360">
        <v>0</v>
      </c>
      <c r="CA223" s="360">
        <v>0</v>
      </c>
      <c r="CB223" s="360">
        <v>0</v>
      </c>
      <c r="CC223" s="360">
        <v>1</v>
      </c>
      <c r="CD223" s="360" t="s">
        <v>618</v>
      </c>
    </row>
    <row r="224" spans="1:82" x14ac:dyDescent="0.35">
      <c r="A224" s="360" t="s">
        <v>882</v>
      </c>
      <c r="B224" s="360" t="s">
        <v>883</v>
      </c>
      <c r="C224" s="360" t="s">
        <v>66</v>
      </c>
      <c r="D224" s="360" t="s">
        <v>77</v>
      </c>
      <c r="E224" s="360">
        <v>11483</v>
      </c>
      <c r="F224" s="360">
        <v>11319</v>
      </c>
      <c r="G224" s="360">
        <v>0</v>
      </c>
      <c r="H224" s="360">
        <v>80</v>
      </c>
      <c r="I224" s="360">
        <v>88.83</v>
      </c>
      <c r="J224" s="360">
        <v>10930</v>
      </c>
      <c r="K224" s="360">
        <v>88.83</v>
      </c>
      <c r="L224" s="360">
        <v>10930</v>
      </c>
      <c r="M224" s="360">
        <v>0</v>
      </c>
      <c r="N224" s="360">
        <v>0</v>
      </c>
      <c r="O224" s="360">
        <v>66.319999999999993</v>
      </c>
      <c r="P224" s="360">
        <v>222</v>
      </c>
      <c r="Q224" s="360">
        <v>78.81</v>
      </c>
      <c r="R224" s="360">
        <v>3992</v>
      </c>
      <c r="S224" s="360">
        <v>90.35</v>
      </c>
      <c r="T224" s="360">
        <v>3523</v>
      </c>
      <c r="U224" s="360">
        <v>100.35</v>
      </c>
      <c r="V224" s="360">
        <v>2883</v>
      </c>
      <c r="W224" s="360">
        <v>107.64</v>
      </c>
      <c r="X224" s="360">
        <v>198</v>
      </c>
      <c r="Y224" s="360">
        <v>113.45</v>
      </c>
      <c r="Z224" s="360">
        <v>112</v>
      </c>
      <c r="AA224" s="360">
        <v>0</v>
      </c>
      <c r="AB224" s="360">
        <v>0</v>
      </c>
      <c r="AC224" s="360">
        <v>122.94</v>
      </c>
      <c r="AD224" s="360">
        <v>66</v>
      </c>
      <c r="AE224" s="360">
        <v>122.94</v>
      </c>
      <c r="AF224" s="360">
        <v>66</v>
      </c>
      <c r="AG224" s="360">
        <v>0</v>
      </c>
      <c r="AH224" s="360">
        <v>0</v>
      </c>
      <c r="AI224" s="360">
        <v>81.28</v>
      </c>
      <c r="AJ224" s="360">
        <v>18</v>
      </c>
      <c r="AK224" s="360">
        <v>139.55000000000001</v>
      </c>
      <c r="AL224" s="360">
        <v>47</v>
      </c>
      <c r="AM224" s="360">
        <v>92.28</v>
      </c>
      <c r="AN224" s="360">
        <v>1</v>
      </c>
      <c r="AO224" s="360">
        <v>0</v>
      </c>
      <c r="AP224" s="360">
        <v>0</v>
      </c>
      <c r="AQ224" s="360">
        <v>0</v>
      </c>
      <c r="AR224" s="360">
        <v>0</v>
      </c>
      <c r="AS224" s="360">
        <v>138.93</v>
      </c>
      <c r="AT224" s="360">
        <v>389</v>
      </c>
      <c r="AU224" s="360">
        <v>138.93</v>
      </c>
      <c r="AV224" s="360">
        <v>389</v>
      </c>
      <c r="AW224" s="360">
        <v>0</v>
      </c>
      <c r="AX224" s="360">
        <v>0</v>
      </c>
      <c r="AY224" s="360">
        <v>0</v>
      </c>
      <c r="AZ224" s="360">
        <v>0</v>
      </c>
      <c r="BA224" s="360">
        <v>116.28</v>
      </c>
      <c r="BB224" s="360">
        <v>145</v>
      </c>
      <c r="BC224" s="360">
        <v>149.83000000000001</v>
      </c>
      <c r="BD224" s="360">
        <v>147</v>
      </c>
      <c r="BE224" s="360">
        <v>152.76</v>
      </c>
      <c r="BF224" s="360">
        <v>84</v>
      </c>
      <c r="BG224" s="360">
        <v>179.35</v>
      </c>
      <c r="BH224" s="360">
        <v>11</v>
      </c>
      <c r="BI224" s="360">
        <v>177.73</v>
      </c>
      <c r="BJ224" s="360">
        <v>2</v>
      </c>
      <c r="BK224" s="360">
        <v>0</v>
      </c>
      <c r="BL224" s="360">
        <v>0</v>
      </c>
      <c r="BM224" s="360">
        <v>112.86</v>
      </c>
      <c r="BN224" s="360">
        <v>14</v>
      </c>
      <c r="BO224" s="360">
        <v>112.86</v>
      </c>
      <c r="BP224" s="360">
        <v>14</v>
      </c>
      <c r="BQ224" s="360">
        <v>0</v>
      </c>
      <c r="BR224" s="360">
        <v>0</v>
      </c>
      <c r="BS224" s="360">
        <v>0</v>
      </c>
      <c r="BT224" s="360">
        <v>0</v>
      </c>
      <c r="BU224" s="360">
        <v>112.86</v>
      </c>
      <c r="BV224" s="360">
        <v>14</v>
      </c>
      <c r="BW224" s="360">
        <v>0</v>
      </c>
      <c r="BX224" s="360">
        <v>0</v>
      </c>
      <c r="BY224" s="360">
        <v>0</v>
      </c>
      <c r="BZ224" s="360">
        <v>0</v>
      </c>
      <c r="CA224" s="360">
        <v>0</v>
      </c>
      <c r="CB224" s="360">
        <v>0</v>
      </c>
      <c r="CC224" s="360">
        <v>84</v>
      </c>
      <c r="CD224" s="360" t="s">
        <v>884</v>
      </c>
    </row>
    <row r="225" spans="1:82" x14ac:dyDescent="0.35">
      <c r="A225" s="360" t="s">
        <v>619</v>
      </c>
      <c r="B225" s="360" t="s">
        <v>620</v>
      </c>
      <c r="C225" s="360" t="s">
        <v>67</v>
      </c>
      <c r="D225" s="360" t="s">
        <v>77</v>
      </c>
      <c r="E225" s="360">
        <v>7</v>
      </c>
      <c r="F225" s="360">
        <v>7</v>
      </c>
      <c r="G225" s="360">
        <v>0</v>
      </c>
      <c r="H225" s="360">
        <v>0</v>
      </c>
      <c r="I225" s="360">
        <v>79.73</v>
      </c>
      <c r="J225" s="360">
        <v>7</v>
      </c>
      <c r="K225" s="360">
        <v>79.73</v>
      </c>
      <c r="L225" s="360">
        <v>7</v>
      </c>
      <c r="M225" s="362">
        <v>0</v>
      </c>
      <c r="N225" s="360">
        <v>0</v>
      </c>
      <c r="O225" s="360">
        <v>0</v>
      </c>
      <c r="P225" s="360">
        <v>0</v>
      </c>
      <c r="Q225" s="360">
        <v>0</v>
      </c>
      <c r="R225" s="360">
        <v>0</v>
      </c>
      <c r="S225" s="360">
        <v>64.430000000000007</v>
      </c>
      <c r="T225" s="360">
        <v>4</v>
      </c>
      <c r="U225" s="360">
        <v>100.13</v>
      </c>
      <c r="V225" s="360">
        <v>3</v>
      </c>
      <c r="W225" s="360">
        <v>0</v>
      </c>
      <c r="X225" s="360">
        <v>0</v>
      </c>
      <c r="Y225" s="360">
        <v>0</v>
      </c>
      <c r="Z225" s="360">
        <v>0</v>
      </c>
      <c r="AA225" s="360">
        <v>0</v>
      </c>
      <c r="AB225" s="360">
        <v>0</v>
      </c>
      <c r="AC225" s="360">
        <v>0</v>
      </c>
      <c r="AD225" s="360">
        <v>0</v>
      </c>
      <c r="AE225" s="360">
        <v>0</v>
      </c>
      <c r="AF225" s="360">
        <v>0</v>
      </c>
      <c r="AG225" s="360">
        <v>0</v>
      </c>
      <c r="AH225" s="360">
        <v>0</v>
      </c>
      <c r="AI225" s="360">
        <v>0</v>
      </c>
      <c r="AJ225" s="360">
        <v>0</v>
      </c>
      <c r="AK225" s="360">
        <v>0</v>
      </c>
      <c r="AL225" s="360">
        <v>0</v>
      </c>
      <c r="AM225" s="360">
        <v>0</v>
      </c>
      <c r="AN225" s="360">
        <v>0</v>
      </c>
      <c r="AO225" s="360">
        <v>0</v>
      </c>
      <c r="AP225" s="360">
        <v>0</v>
      </c>
      <c r="AQ225" s="360">
        <v>0</v>
      </c>
      <c r="AR225" s="360">
        <v>0</v>
      </c>
      <c r="AS225" s="360">
        <v>0</v>
      </c>
      <c r="AT225" s="360">
        <v>0</v>
      </c>
      <c r="AU225" s="360">
        <v>0</v>
      </c>
      <c r="AV225" s="360">
        <v>0</v>
      </c>
      <c r="AW225" s="360">
        <v>0</v>
      </c>
      <c r="AX225" s="360">
        <v>0</v>
      </c>
      <c r="AY225" s="360">
        <v>0</v>
      </c>
      <c r="AZ225" s="360">
        <v>0</v>
      </c>
      <c r="BA225" s="360">
        <v>0</v>
      </c>
      <c r="BB225" s="360">
        <v>0</v>
      </c>
      <c r="BC225" s="360">
        <v>0</v>
      </c>
      <c r="BD225" s="360">
        <v>0</v>
      </c>
      <c r="BE225" s="360">
        <v>0</v>
      </c>
      <c r="BF225" s="360">
        <v>0</v>
      </c>
      <c r="BG225" s="360">
        <v>0</v>
      </c>
      <c r="BH225" s="360">
        <v>0</v>
      </c>
      <c r="BI225" s="360">
        <v>0</v>
      </c>
      <c r="BJ225" s="360">
        <v>0</v>
      </c>
      <c r="BK225" s="360">
        <v>0</v>
      </c>
      <c r="BL225" s="360">
        <v>0</v>
      </c>
      <c r="BM225" s="360">
        <v>0</v>
      </c>
      <c r="BN225" s="360">
        <v>0</v>
      </c>
      <c r="BO225" s="360">
        <v>0</v>
      </c>
      <c r="BP225" s="360">
        <v>0</v>
      </c>
      <c r="BQ225" s="360">
        <v>0</v>
      </c>
      <c r="BR225" s="360">
        <v>0</v>
      </c>
      <c r="BS225" s="360">
        <v>0</v>
      </c>
      <c r="BT225" s="360">
        <v>0</v>
      </c>
      <c r="BU225" s="360">
        <v>0</v>
      </c>
      <c r="BV225" s="360">
        <v>0</v>
      </c>
      <c r="BW225" s="360">
        <v>0</v>
      </c>
      <c r="BX225" s="360">
        <v>0</v>
      </c>
      <c r="BY225" s="360">
        <v>0</v>
      </c>
      <c r="BZ225" s="360">
        <v>0</v>
      </c>
      <c r="CA225" s="360">
        <v>0</v>
      </c>
      <c r="CB225" s="360">
        <v>0</v>
      </c>
      <c r="CC225" s="360">
        <v>0</v>
      </c>
      <c r="CD225" s="360" t="s">
        <v>621</v>
      </c>
    </row>
    <row r="226" spans="1:82" x14ac:dyDescent="0.35">
      <c r="A226" s="360" t="s">
        <v>622</v>
      </c>
      <c r="B226" s="360" t="s">
        <v>623</v>
      </c>
      <c r="C226" s="360" t="s">
        <v>70</v>
      </c>
      <c r="D226" s="360" t="s">
        <v>77</v>
      </c>
      <c r="E226" s="360">
        <v>21319</v>
      </c>
      <c r="F226" s="360">
        <v>21129</v>
      </c>
      <c r="G226" s="360">
        <v>3</v>
      </c>
      <c r="H226" s="360">
        <v>187</v>
      </c>
      <c r="I226" s="360">
        <v>79.3</v>
      </c>
      <c r="J226" s="360">
        <v>20246</v>
      </c>
      <c r="K226" s="360">
        <v>79.31</v>
      </c>
      <c r="L226" s="360">
        <v>20243</v>
      </c>
      <c r="M226" s="360">
        <v>48.06</v>
      </c>
      <c r="N226" s="360">
        <v>3</v>
      </c>
      <c r="O226" s="360">
        <v>57.29</v>
      </c>
      <c r="P226" s="360">
        <v>130</v>
      </c>
      <c r="Q226" s="360">
        <v>69.569999999999993</v>
      </c>
      <c r="R226" s="360">
        <v>5173</v>
      </c>
      <c r="S226" s="360">
        <v>78.400000000000006</v>
      </c>
      <c r="T226" s="360">
        <v>6289</v>
      </c>
      <c r="U226" s="360">
        <v>85.9</v>
      </c>
      <c r="V226" s="360">
        <v>8388</v>
      </c>
      <c r="W226" s="360">
        <v>92.95</v>
      </c>
      <c r="X226" s="360">
        <v>250</v>
      </c>
      <c r="Y226" s="360">
        <v>103.67</v>
      </c>
      <c r="Z226" s="360">
        <v>7</v>
      </c>
      <c r="AA226" s="360">
        <v>111.77</v>
      </c>
      <c r="AB226" s="360">
        <v>6</v>
      </c>
      <c r="AC226" s="360">
        <v>69.61</v>
      </c>
      <c r="AD226" s="360">
        <v>31</v>
      </c>
      <c r="AE226" s="360">
        <v>73.819999999999993</v>
      </c>
      <c r="AF226" s="360">
        <v>27</v>
      </c>
      <c r="AG226" s="360">
        <v>41.15</v>
      </c>
      <c r="AH226" s="360">
        <v>4</v>
      </c>
      <c r="AI226" s="360">
        <v>56.08</v>
      </c>
      <c r="AJ226" s="360">
        <v>3</v>
      </c>
      <c r="AK226" s="360">
        <v>69.819999999999993</v>
      </c>
      <c r="AL226" s="360">
        <v>9</v>
      </c>
      <c r="AM226" s="360">
        <v>78.31</v>
      </c>
      <c r="AN226" s="360">
        <v>12</v>
      </c>
      <c r="AO226" s="360">
        <v>85.66</v>
      </c>
      <c r="AP226" s="360">
        <v>3</v>
      </c>
      <c r="AQ226" s="360">
        <v>0</v>
      </c>
      <c r="AR226" s="360">
        <v>0</v>
      </c>
      <c r="AS226" s="360">
        <v>111.16</v>
      </c>
      <c r="AT226" s="360">
        <v>886</v>
      </c>
      <c r="AU226" s="360">
        <v>111.16</v>
      </c>
      <c r="AV226" s="360">
        <v>886</v>
      </c>
      <c r="AW226" s="360">
        <v>0</v>
      </c>
      <c r="AX226" s="360">
        <v>0</v>
      </c>
      <c r="AY226" s="360">
        <v>0</v>
      </c>
      <c r="AZ226" s="360">
        <v>0</v>
      </c>
      <c r="BA226" s="360">
        <v>127</v>
      </c>
      <c r="BB226" s="360">
        <v>115</v>
      </c>
      <c r="BC226" s="360">
        <v>106.87</v>
      </c>
      <c r="BD226" s="360">
        <v>408</v>
      </c>
      <c r="BE226" s="360">
        <v>109.08</v>
      </c>
      <c r="BF226" s="360">
        <v>347</v>
      </c>
      <c r="BG226" s="360">
        <v>150.26</v>
      </c>
      <c r="BH226" s="360">
        <v>15</v>
      </c>
      <c r="BI226" s="360">
        <v>175.94</v>
      </c>
      <c r="BJ226" s="360">
        <v>1</v>
      </c>
      <c r="BK226" s="360">
        <v>0</v>
      </c>
      <c r="BL226" s="360">
        <v>0</v>
      </c>
      <c r="BM226" s="360">
        <v>231.14</v>
      </c>
      <c r="BN226" s="360">
        <v>156</v>
      </c>
      <c r="BO226" s="360">
        <v>231.14</v>
      </c>
      <c r="BP226" s="360">
        <v>156</v>
      </c>
      <c r="BQ226" s="360">
        <v>0</v>
      </c>
      <c r="BR226" s="360">
        <v>0</v>
      </c>
      <c r="BS226" s="360">
        <v>316.82</v>
      </c>
      <c r="BT226" s="360">
        <v>9</v>
      </c>
      <c r="BU226" s="360">
        <v>228.04</v>
      </c>
      <c r="BV226" s="360">
        <v>130</v>
      </c>
      <c r="BW226" s="360">
        <v>209.53</v>
      </c>
      <c r="BX226" s="360">
        <v>17</v>
      </c>
      <c r="BY226" s="360">
        <v>0</v>
      </c>
      <c r="BZ226" s="360">
        <v>0</v>
      </c>
      <c r="CA226" s="360">
        <v>0</v>
      </c>
      <c r="CB226" s="360">
        <v>0</v>
      </c>
      <c r="CC226" s="360">
        <v>0</v>
      </c>
      <c r="CD226" s="360" t="s">
        <v>624</v>
      </c>
    </row>
    <row r="227" spans="1:82" x14ac:dyDescent="0.35">
      <c r="A227" s="360" t="s">
        <v>625</v>
      </c>
      <c r="B227" s="360" t="s">
        <v>626</v>
      </c>
      <c r="C227" s="360" t="s">
        <v>72</v>
      </c>
      <c r="D227" s="360" t="s">
        <v>77</v>
      </c>
      <c r="E227" s="360">
        <v>5307</v>
      </c>
      <c r="F227" s="360">
        <v>4682</v>
      </c>
      <c r="G227" s="360">
        <v>1</v>
      </c>
      <c r="H227" s="360">
        <v>599</v>
      </c>
      <c r="I227" s="360">
        <v>95.75</v>
      </c>
      <c r="J227" s="360">
        <v>4522</v>
      </c>
      <c r="K227" s="360">
        <v>95.75</v>
      </c>
      <c r="L227" s="360">
        <v>4521</v>
      </c>
      <c r="M227" s="360">
        <v>83.04</v>
      </c>
      <c r="N227" s="360">
        <v>1</v>
      </c>
      <c r="O227" s="360">
        <v>73.58</v>
      </c>
      <c r="P227" s="360">
        <v>71</v>
      </c>
      <c r="Q227" s="360">
        <v>82.98</v>
      </c>
      <c r="R227" s="360">
        <v>658</v>
      </c>
      <c r="S227" s="360">
        <v>94.17</v>
      </c>
      <c r="T227" s="360">
        <v>1962</v>
      </c>
      <c r="U227" s="360">
        <v>102.48</v>
      </c>
      <c r="V227" s="360">
        <v>1697</v>
      </c>
      <c r="W227" s="360">
        <v>107.98</v>
      </c>
      <c r="X227" s="360">
        <v>130</v>
      </c>
      <c r="Y227" s="360">
        <v>108.14</v>
      </c>
      <c r="Z227" s="360">
        <v>1</v>
      </c>
      <c r="AA227" s="360">
        <v>129.82</v>
      </c>
      <c r="AB227" s="360">
        <v>2</v>
      </c>
      <c r="AC227" s="360">
        <v>79.180000000000007</v>
      </c>
      <c r="AD227" s="360">
        <v>513</v>
      </c>
      <c r="AE227" s="360">
        <v>79.180000000000007</v>
      </c>
      <c r="AF227" s="360">
        <v>513</v>
      </c>
      <c r="AG227" s="360">
        <v>0</v>
      </c>
      <c r="AH227" s="360">
        <v>0</v>
      </c>
      <c r="AI227" s="360">
        <v>67.92</v>
      </c>
      <c r="AJ227" s="360">
        <v>23</v>
      </c>
      <c r="AK227" s="360">
        <v>78.81</v>
      </c>
      <c r="AL227" s="360">
        <v>432</v>
      </c>
      <c r="AM227" s="360">
        <v>86.43</v>
      </c>
      <c r="AN227" s="360">
        <v>58</v>
      </c>
      <c r="AO227" s="360">
        <v>0</v>
      </c>
      <c r="AP227" s="360">
        <v>0</v>
      </c>
      <c r="AQ227" s="360">
        <v>0</v>
      </c>
      <c r="AR227" s="360">
        <v>0</v>
      </c>
      <c r="AS227" s="360">
        <v>130.99</v>
      </c>
      <c r="AT227" s="360">
        <v>161</v>
      </c>
      <c r="AU227" s="360">
        <v>130.99</v>
      </c>
      <c r="AV227" s="360">
        <v>161</v>
      </c>
      <c r="AW227" s="360">
        <v>0</v>
      </c>
      <c r="AX227" s="360">
        <v>0</v>
      </c>
      <c r="AY227" s="360">
        <v>0</v>
      </c>
      <c r="AZ227" s="360">
        <v>0</v>
      </c>
      <c r="BA227" s="360">
        <v>107.3</v>
      </c>
      <c r="BB227" s="360">
        <v>37</v>
      </c>
      <c r="BC227" s="360">
        <v>128.34</v>
      </c>
      <c r="BD227" s="360">
        <v>84</v>
      </c>
      <c r="BE227" s="360">
        <v>153.06</v>
      </c>
      <c r="BF227" s="360">
        <v>35</v>
      </c>
      <c r="BG227" s="360">
        <v>196.48</v>
      </c>
      <c r="BH227" s="360">
        <v>5</v>
      </c>
      <c r="BI227" s="360">
        <v>0</v>
      </c>
      <c r="BJ227" s="360">
        <v>0</v>
      </c>
      <c r="BK227" s="360">
        <v>0</v>
      </c>
      <c r="BL227" s="360">
        <v>0</v>
      </c>
      <c r="BM227" s="360">
        <v>135.19999999999999</v>
      </c>
      <c r="BN227" s="360">
        <v>86</v>
      </c>
      <c r="BO227" s="360">
        <v>135.19999999999999</v>
      </c>
      <c r="BP227" s="360">
        <v>86</v>
      </c>
      <c r="BQ227" s="360">
        <v>0</v>
      </c>
      <c r="BR227" s="360">
        <v>0</v>
      </c>
      <c r="BS227" s="360">
        <v>0</v>
      </c>
      <c r="BT227" s="360">
        <v>0</v>
      </c>
      <c r="BU227" s="360">
        <v>125.05</v>
      </c>
      <c r="BV227" s="360">
        <v>26</v>
      </c>
      <c r="BW227" s="360">
        <v>139.61000000000001</v>
      </c>
      <c r="BX227" s="360">
        <v>60</v>
      </c>
      <c r="BY227" s="360">
        <v>0</v>
      </c>
      <c r="BZ227" s="360">
        <v>0</v>
      </c>
      <c r="CA227" s="360">
        <v>0</v>
      </c>
      <c r="CB227" s="360">
        <v>0</v>
      </c>
      <c r="CC227" s="360">
        <v>25</v>
      </c>
      <c r="CD227" s="360" t="s">
        <v>627</v>
      </c>
    </row>
    <row r="228" spans="1:82" x14ac:dyDescent="0.35">
      <c r="A228" s="360" t="s">
        <v>628</v>
      </c>
      <c r="B228" s="360" t="s">
        <v>629</v>
      </c>
      <c r="C228" s="360" t="s">
        <v>71</v>
      </c>
      <c r="D228" s="360" t="s">
        <v>77</v>
      </c>
      <c r="E228" s="360">
        <v>5145</v>
      </c>
      <c r="F228" s="360">
        <v>4580</v>
      </c>
      <c r="G228" s="360">
        <v>0</v>
      </c>
      <c r="H228" s="360">
        <v>516</v>
      </c>
      <c r="I228" s="360">
        <v>108.15</v>
      </c>
      <c r="J228" s="360">
        <v>4426</v>
      </c>
      <c r="K228" s="360">
        <v>108.15</v>
      </c>
      <c r="L228" s="360">
        <v>4426</v>
      </c>
      <c r="M228" s="360">
        <v>0</v>
      </c>
      <c r="N228" s="360">
        <v>0</v>
      </c>
      <c r="O228" s="360">
        <v>84.04</v>
      </c>
      <c r="P228" s="360">
        <v>79</v>
      </c>
      <c r="Q228" s="360">
        <v>93.23</v>
      </c>
      <c r="R228" s="360">
        <v>1212</v>
      </c>
      <c r="S228" s="360">
        <v>107.26</v>
      </c>
      <c r="T228" s="360">
        <v>1586</v>
      </c>
      <c r="U228" s="360">
        <v>121.53</v>
      </c>
      <c r="V228" s="360">
        <v>1480</v>
      </c>
      <c r="W228" s="360">
        <v>130.77000000000001</v>
      </c>
      <c r="X228" s="360">
        <v>67</v>
      </c>
      <c r="Y228" s="360">
        <v>151.38</v>
      </c>
      <c r="Z228" s="360">
        <v>1</v>
      </c>
      <c r="AA228" s="360">
        <v>148.79</v>
      </c>
      <c r="AB228" s="360">
        <v>1</v>
      </c>
      <c r="AC228" s="360">
        <v>93.15</v>
      </c>
      <c r="AD228" s="360">
        <v>472</v>
      </c>
      <c r="AE228" s="360">
        <v>93.15</v>
      </c>
      <c r="AF228" s="360">
        <v>472</v>
      </c>
      <c r="AG228" s="360">
        <v>0</v>
      </c>
      <c r="AH228" s="360">
        <v>0</v>
      </c>
      <c r="AI228" s="360">
        <v>78.099999999999994</v>
      </c>
      <c r="AJ228" s="360">
        <v>26</v>
      </c>
      <c r="AK228" s="360">
        <v>92.43</v>
      </c>
      <c r="AL228" s="360">
        <v>390</v>
      </c>
      <c r="AM228" s="360">
        <v>104.16</v>
      </c>
      <c r="AN228" s="360">
        <v>54</v>
      </c>
      <c r="AO228" s="360">
        <v>133.28</v>
      </c>
      <c r="AP228" s="360">
        <v>2</v>
      </c>
      <c r="AQ228" s="360">
        <v>0</v>
      </c>
      <c r="AR228" s="360">
        <v>0</v>
      </c>
      <c r="AS228" s="360">
        <v>169.86</v>
      </c>
      <c r="AT228" s="360">
        <v>154</v>
      </c>
      <c r="AU228" s="360">
        <v>169.86</v>
      </c>
      <c r="AV228" s="360">
        <v>154</v>
      </c>
      <c r="AW228" s="360">
        <v>0</v>
      </c>
      <c r="AX228" s="360">
        <v>0</v>
      </c>
      <c r="AY228" s="360">
        <v>0</v>
      </c>
      <c r="AZ228" s="360">
        <v>0</v>
      </c>
      <c r="BA228" s="360">
        <v>137.21</v>
      </c>
      <c r="BB228" s="360">
        <v>49</v>
      </c>
      <c r="BC228" s="360">
        <v>171.94</v>
      </c>
      <c r="BD228" s="360">
        <v>59</v>
      </c>
      <c r="BE228" s="360">
        <v>201.27</v>
      </c>
      <c r="BF228" s="360">
        <v>45</v>
      </c>
      <c r="BG228" s="360">
        <v>234.39</v>
      </c>
      <c r="BH228" s="360">
        <v>1</v>
      </c>
      <c r="BI228" s="360">
        <v>0</v>
      </c>
      <c r="BJ228" s="360">
        <v>0</v>
      </c>
      <c r="BK228" s="360">
        <v>0</v>
      </c>
      <c r="BL228" s="360">
        <v>0</v>
      </c>
      <c r="BM228" s="360">
        <v>173.09</v>
      </c>
      <c r="BN228" s="360">
        <v>44</v>
      </c>
      <c r="BO228" s="360">
        <v>173.09</v>
      </c>
      <c r="BP228" s="360">
        <v>44</v>
      </c>
      <c r="BQ228" s="360">
        <v>0</v>
      </c>
      <c r="BR228" s="360">
        <v>0</v>
      </c>
      <c r="BS228" s="360">
        <v>0</v>
      </c>
      <c r="BT228" s="360">
        <v>0</v>
      </c>
      <c r="BU228" s="360">
        <v>161.53</v>
      </c>
      <c r="BV228" s="360">
        <v>30</v>
      </c>
      <c r="BW228" s="360">
        <v>197.87</v>
      </c>
      <c r="BX228" s="360">
        <v>14</v>
      </c>
      <c r="BY228" s="360">
        <v>0</v>
      </c>
      <c r="BZ228" s="360">
        <v>0</v>
      </c>
      <c r="CA228" s="360">
        <v>0</v>
      </c>
      <c r="CB228" s="360">
        <v>0</v>
      </c>
      <c r="CC228" s="360">
        <v>49</v>
      </c>
      <c r="CD228" s="360" t="s">
        <v>630</v>
      </c>
    </row>
    <row r="229" spans="1:82" x14ac:dyDescent="0.35">
      <c r="A229" s="360" t="s">
        <v>631</v>
      </c>
      <c r="B229" s="360" t="s">
        <v>632</v>
      </c>
      <c r="C229" s="360" t="s">
        <v>70</v>
      </c>
      <c r="D229" s="360" t="s">
        <v>77</v>
      </c>
      <c r="E229" s="360">
        <v>23</v>
      </c>
      <c r="F229" s="360">
        <v>23</v>
      </c>
      <c r="G229" s="360">
        <v>0</v>
      </c>
      <c r="H229" s="360">
        <v>0</v>
      </c>
      <c r="I229" s="360">
        <v>81.010000000000005</v>
      </c>
      <c r="J229" s="360">
        <v>23</v>
      </c>
      <c r="K229" s="360">
        <v>81.010000000000005</v>
      </c>
      <c r="L229" s="360">
        <v>23</v>
      </c>
      <c r="M229" s="360">
        <v>0</v>
      </c>
      <c r="N229" s="360">
        <v>0</v>
      </c>
      <c r="O229" s="360">
        <v>0</v>
      </c>
      <c r="P229" s="360">
        <v>0</v>
      </c>
      <c r="Q229" s="360">
        <v>0</v>
      </c>
      <c r="R229" s="360">
        <v>0</v>
      </c>
      <c r="S229" s="360">
        <v>80.150000000000006</v>
      </c>
      <c r="T229" s="360">
        <v>21</v>
      </c>
      <c r="U229" s="360">
        <v>90.15</v>
      </c>
      <c r="V229" s="360">
        <v>2</v>
      </c>
      <c r="W229" s="360">
        <v>0</v>
      </c>
      <c r="X229" s="360">
        <v>0</v>
      </c>
      <c r="Y229" s="360">
        <v>0</v>
      </c>
      <c r="Z229" s="360">
        <v>0</v>
      </c>
      <c r="AA229" s="360">
        <v>0</v>
      </c>
      <c r="AB229" s="360">
        <v>0</v>
      </c>
      <c r="AC229" s="360">
        <v>0</v>
      </c>
      <c r="AD229" s="360">
        <v>0</v>
      </c>
      <c r="AE229" s="360">
        <v>0</v>
      </c>
      <c r="AF229" s="360">
        <v>0</v>
      </c>
      <c r="AG229" s="360">
        <v>0</v>
      </c>
      <c r="AH229" s="360">
        <v>0</v>
      </c>
      <c r="AI229" s="360">
        <v>0</v>
      </c>
      <c r="AJ229" s="360">
        <v>0</v>
      </c>
      <c r="AK229" s="360">
        <v>0</v>
      </c>
      <c r="AL229" s="360">
        <v>0</v>
      </c>
      <c r="AM229" s="360">
        <v>0</v>
      </c>
      <c r="AN229" s="360">
        <v>0</v>
      </c>
      <c r="AO229" s="360">
        <v>0</v>
      </c>
      <c r="AP229" s="360">
        <v>0</v>
      </c>
      <c r="AQ229" s="360">
        <v>0</v>
      </c>
      <c r="AR229" s="360">
        <v>0</v>
      </c>
      <c r="AS229" s="360">
        <v>0</v>
      </c>
      <c r="AT229" s="360">
        <v>0</v>
      </c>
      <c r="AU229" s="360">
        <v>0</v>
      </c>
      <c r="AV229" s="360">
        <v>0</v>
      </c>
      <c r="AW229" s="360">
        <v>0</v>
      </c>
      <c r="AX229" s="360">
        <v>0</v>
      </c>
      <c r="AY229" s="360">
        <v>0</v>
      </c>
      <c r="AZ229" s="360">
        <v>0</v>
      </c>
      <c r="BA229" s="360">
        <v>0</v>
      </c>
      <c r="BB229" s="360">
        <v>0</v>
      </c>
      <c r="BC229" s="360">
        <v>0</v>
      </c>
      <c r="BD229" s="360">
        <v>0</v>
      </c>
      <c r="BE229" s="360">
        <v>0</v>
      </c>
      <c r="BF229" s="360">
        <v>0</v>
      </c>
      <c r="BG229" s="360">
        <v>0</v>
      </c>
      <c r="BH229" s="360">
        <v>0</v>
      </c>
      <c r="BI229" s="360">
        <v>0</v>
      </c>
      <c r="BJ229" s="360">
        <v>0</v>
      </c>
      <c r="BK229" s="360">
        <v>0</v>
      </c>
      <c r="BL229" s="360">
        <v>0</v>
      </c>
      <c r="BM229" s="360">
        <v>0</v>
      </c>
      <c r="BN229" s="360">
        <v>0</v>
      </c>
      <c r="BO229" s="360">
        <v>0</v>
      </c>
      <c r="BP229" s="360">
        <v>0</v>
      </c>
      <c r="BQ229" s="360">
        <v>0</v>
      </c>
      <c r="BR229" s="360">
        <v>0</v>
      </c>
      <c r="BS229" s="360">
        <v>0</v>
      </c>
      <c r="BT229" s="360">
        <v>0</v>
      </c>
      <c r="BU229" s="360">
        <v>0</v>
      </c>
      <c r="BV229" s="360">
        <v>0</v>
      </c>
      <c r="BW229" s="360">
        <v>0</v>
      </c>
      <c r="BX229" s="360">
        <v>0</v>
      </c>
      <c r="BY229" s="360">
        <v>0</v>
      </c>
      <c r="BZ229" s="360">
        <v>0</v>
      </c>
      <c r="CA229" s="360">
        <v>0</v>
      </c>
      <c r="CB229" s="360">
        <v>0</v>
      </c>
      <c r="CC229" s="360">
        <v>0</v>
      </c>
      <c r="CD229" s="360" t="s">
        <v>633</v>
      </c>
    </row>
    <row r="230" spans="1:82" x14ac:dyDescent="0.35">
      <c r="A230" s="360" t="s">
        <v>634</v>
      </c>
      <c r="B230" s="360" t="s">
        <v>635</v>
      </c>
      <c r="C230" s="360" t="s">
        <v>71</v>
      </c>
      <c r="D230" s="360" t="s">
        <v>77</v>
      </c>
      <c r="E230" s="360">
        <v>3373</v>
      </c>
      <c r="F230" s="360">
        <v>2939</v>
      </c>
      <c r="G230" s="360">
        <v>0</v>
      </c>
      <c r="H230" s="360">
        <v>361</v>
      </c>
      <c r="I230" s="360">
        <v>114.01</v>
      </c>
      <c r="J230" s="360">
        <v>2928</v>
      </c>
      <c r="K230" s="360">
        <v>114.01</v>
      </c>
      <c r="L230" s="360">
        <v>2928</v>
      </c>
      <c r="M230" s="360">
        <v>0</v>
      </c>
      <c r="N230" s="360">
        <v>0</v>
      </c>
      <c r="O230" s="360">
        <v>99.84</v>
      </c>
      <c r="P230" s="360">
        <v>175</v>
      </c>
      <c r="Q230" s="360">
        <v>99.07</v>
      </c>
      <c r="R230" s="360">
        <v>825</v>
      </c>
      <c r="S230" s="360">
        <v>111.53</v>
      </c>
      <c r="T230" s="360">
        <v>791</v>
      </c>
      <c r="U230" s="360">
        <v>127.78</v>
      </c>
      <c r="V230" s="360">
        <v>1061</v>
      </c>
      <c r="W230" s="360">
        <v>141.91999999999999</v>
      </c>
      <c r="X230" s="360">
        <v>70</v>
      </c>
      <c r="Y230" s="360">
        <v>150.66</v>
      </c>
      <c r="Z230" s="360">
        <v>6</v>
      </c>
      <c r="AA230" s="360">
        <v>0</v>
      </c>
      <c r="AB230" s="360">
        <v>0</v>
      </c>
      <c r="AC230" s="360">
        <v>97.44</v>
      </c>
      <c r="AD230" s="360">
        <v>361</v>
      </c>
      <c r="AE230" s="360">
        <v>97.44</v>
      </c>
      <c r="AF230" s="360">
        <v>361</v>
      </c>
      <c r="AG230" s="360">
        <v>0</v>
      </c>
      <c r="AH230" s="360">
        <v>0</v>
      </c>
      <c r="AI230" s="360">
        <v>82.07</v>
      </c>
      <c r="AJ230" s="360">
        <v>53</v>
      </c>
      <c r="AK230" s="360">
        <v>99.62</v>
      </c>
      <c r="AL230" s="360">
        <v>298</v>
      </c>
      <c r="AM230" s="360">
        <v>114.25</v>
      </c>
      <c r="AN230" s="360">
        <v>10</v>
      </c>
      <c r="AO230" s="360">
        <v>0</v>
      </c>
      <c r="AP230" s="360">
        <v>0</v>
      </c>
      <c r="AQ230" s="360">
        <v>0</v>
      </c>
      <c r="AR230" s="360">
        <v>0</v>
      </c>
      <c r="AS230" s="360">
        <v>253.03</v>
      </c>
      <c r="AT230" s="360">
        <v>11</v>
      </c>
      <c r="AU230" s="360">
        <v>253.03</v>
      </c>
      <c r="AV230" s="360">
        <v>11</v>
      </c>
      <c r="AW230" s="360">
        <v>0</v>
      </c>
      <c r="AX230" s="360">
        <v>0</v>
      </c>
      <c r="AY230" s="360">
        <v>153.75</v>
      </c>
      <c r="AZ230" s="360">
        <v>2</v>
      </c>
      <c r="BA230" s="360">
        <v>238.78</v>
      </c>
      <c r="BB230" s="360">
        <v>2</v>
      </c>
      <c r="BC230" s="360">
        <v>253.15</v>
      </c>
      <c r="BD230" s="360">
        <v>1</v>
      </c>
      <c r="BE230" s="360">
        <v>0</v>
      </c>
      <c r="BF230" s="360">
        <v>0</v>
      </c>
      <c r="BG230" s="360">
        <v>314.07</v>
      </c>
      <c r="BH230" s="360">
        <v>4</v>
      </c>
      <c r="BI230" s="360">
        <v>244.44</v>
      </c>
      <c r="BJ230" s="360">
        <v>2</v>
      </c>
      <c r="BK230" s="360">
        <v>0</v>
      </c>
      <c r="BL230" s="360">
        <v>0</v>
      </c>
      <c r="BM230" s="360">
        <v>0</v>
      </c>
      <c r="BN230" s="360">
        <v>0</v>
      </c>
      <c r="BO230" s="360">
        <v>0</v>
      </c>
      <c r="BP230" s="360">
        <v>0</v>
      </c>
      <c r="BQ230" s="360">
        <v>0</v>
      </c>
      <c r="BR230" s="360">
        <v>0</v>
      </c>
      <c r="BS230" s="360">
        <v>0</v>
      </c>
      <c r="BT230" s="360">
        <v>0</v>
      </c>
      <c r="BU230" s="360">
        <v>0</v>
      </c>
      <c r="BV230" s="360">
        <v>0</v>
      </c>
      <c r="BW230" s="360">
        <v>0</v>
      </c>
      <c r="BX230" s="360">
        <v>0</v>
      </c>
      <c r="BY230" s="360">
        <v>0</v>
      </c>
      <c r="BZ230" s="360">
        <v>0</v>
      </c>
      <c r="CA230" s="360">
        <v>0</v>
      </c>
      <c r="CB230" s="360">
        <v>0</v>
      </c>
      <c r="CC230" s="360">
        <v>73</v>
      </c>
      <c r="CD230" s="360" t="s">
        <v>636</v>
      </c>
    </row>
    <row r="231" spans="1:82" x14ac:dyDescent="0.35">
      <c r="A231" s="360" t="s">
        <v>637</v>
      </c>
      <c r="B231" s="360" t="s">
        <v>638</v>
      </c>
      <c r="C231" s="360" t="s">
        <v>71</v>
      </c>
      <c r="D231" s="360" t="s">
        <v>77</v>
      </c>
      <c r="E231" s="360">
        <v>2641</v>
      </c>
      <c r="F231" s="360">
        <v>2305</v>
      </c>
      <c r="G231" s="360">
        <v>12</v>
      </c>
      <c r="H231" s="360">
        <v>245</v>
      </c>
      <c r="I231" s="360">
        <v>118.16</v>
      </c>
      <c r="J231" s="360">
        <v>2317</v>
      </c>
      <c r="K231" s="360">
        <v>118.35</v>
      </c>
      <c r="L231" s="360">
        <v>2305</v>
      </c>
      <c r="M231" s="360">
        <v>81.510000000000005</v>
      </c>
      <c r="N231" s="360">
        <v>12</v>
      </c>
      <c r="O231" s="360">
        <v>90.81</v>
      </c>
      <c r="P231" s="360">
        <v>74</v>
      </c>
      <c r="Q231" s="360">
        <v>101.87</v>
      </c>
      <c r="R231" s="360">
        <v>384</v>
      </c>
      <c r="S231" s="360">
        <v>115.72</v>
      </c>
      <c r="T231" s="360">
        <v>969</v>
      </c>
      <c r="U231" s="360">
        <v>129.62</v>
      </c>
      <c r="V231" s="360">
        <v>811</v>
      </c>
      <c r="W231" s="360">
        <v>143.68</v>
      </c>
      <c r="X231" s="360">
        <v>60</v>
      </c>
      <c r="Y231" s="360">
        <v>151.80000000000001</v>
      </c>
      <c r="Z231" s="360">
        <v>6</v>
      </c>
      <c r="AA231" s="360">
        <v>188.25</v>
      </c>
      <c r="AB231" s="360">
        <v>1</v>
      </c>
      <c r="AC231" s="360">
        <v>104.68</v>
      </c>
      <c r="AD231" s="360">
        <v>245</v>
      </c>
      <c r="AE231" s="360">
        <v>105.55</v>
      </c>
      <c r="AF231" s="360">
        <v>241</v>
      </c>
      <c r="AG231" s="360">
        <v>52.75</v>
      </c>
      <c r="AH231" s="360">
        <v>4</v>
      </c>
      <c r="AI231" s="360">
        <v>94.23</v>
      </c>
      <c r="AJ231" s="360">
        <v>20</v>
      </c>
      <c r="AK231" s="360">
        <v>105.52</v>
      </c>
      <c r="AL231" s="360">
        <v>208</v>
      </c>
      <c r="AM231" s="360">
        <v>122.36</v>
      </c>
      <c r="AN231" s="360">
        <v>12</v>
      </c>
      <c r="AO231" s="360">
        <v>136.91999999999999</v>
      </c>
      <c r="AP231" s="360">
        <v>1</v>
      </c>
      <c r="AQ231" s="360">
        <v>0</v>
      </c>
      <c r="AR231" s="360">
        <v>0</v>
      </c>
      <c r="AS231" s="360">
        <v>0</v>
      </c>
      <c r="AT231" s="360">
        <v>0</v>
      </c>
      <c r="AU231" s="360">
        <v>0</v>
      </c>
      <c r="AV231" s="360">
        <v>0</v>
      </c>
      <c r="AW231" s="360">
        <v>0</v>
      </c>
      <c r="AX231" s="360">
        <v>0</v>
      </c>
      <c r="AY231" s="360">
        <v>0</v>
      </c>
      <c r="AZ231" s="360">
        <v>0</v>
      </c>
      <c r="BA231" s="360">
        <v>0</v>
      </c>
      <c r="BB231" s="360">
        <v>0</v>
      </c>
      <c r="BC231" s="360">
        <v>0</v>
      </c>
      <c r="BD231" s="360">
        <v>0</v>
      </c>
      <c r="BE231" s="360">
        <v>0</v>
      </c>
      <c r="BF231" s="360">
        <v>0</v>
      </c>
      <c r="BG231" s="360">
        <v>0</v>
      </c>
      <c r="BH231" s="360">
        <v>0</v>
      </c>
      <c r="BI231" s="360">
        <v>0</v>
      </c>
      <c r="BJ231" s="360">
        <v>0</v>
      </c>
      <c r="BK231" s="360">
        <v>0</v>
      </c>
      <c r="BL231" s="360">
        <v>0</v>
      </c>
      <c r="BM231" s="360">
        <v>0</v>
      </c>
      <c r="BN231" s="360">
        <v>0</v>
      </c>
      <c r="BO231" s="360">
        <v>0</v>
      </c>
      <c r="BP231" s="360">
        <v>0</v>
      </c>
      <c r="BQ231" s="360">
        <v>0</v>
      </c>
      <c r="BR231" s="360">
        <v>0</v>
      </c>
      <c r="BS231" s="360">
        <v>0</v>
      </c>
      <c r="BT231" s="360">
        <v>0</v>
      </c>
      <c r="BU231" s="360">
        <v>0</v>
      </c>
      <c r="BV231" s="360">
        <v>0</v>
      </c>
      <c r="BW231" s="360">
        <v>0</v>
      </c>
      <c r="BX231" s="360">
        <v>0</v>
      </c>
      <c r="BY231" s="360">
        <v>0</v>
      </c>
      <c r="BZ231" s="360">
        <v>0</v>
      </c>
      <c r="CA231" s="360">
        <v>0</v>
      </c>
      <c r="CB231" s="360">
        <v>0</v>
      </c>
      <c r="CC231" s="360">
        <v>79</v>
      </c>
      <c r="CD231" s="360" t="s">
        <v>639</v>
      </c>
    </row>
    <row r="232" spans="1:82" x14ac:dyDescent="0.35">
      <c r="A232" s="360" t="s">
        <v>640</v>
      </c>
      <c r="B232" s="360" t="s">
        <v>641</v>
      </c>
      <c r="C232" s="360" t="s">
        <v>73</v>
      </c>
      <c r="D232" s="360" t="s">
        <v>77</v>
      </c>
      <c r="E232" s="360">
        <v>21498</v>
      </c>
      <c r="F232" s="360">
        <v>21438</v>
      </c>
      <c r="G232" s="360">
        <v>0</v>
      </c>
      <c r="H232" s="360">
        <v>21</v>
      </c>
      <c r="I232" s="360">
        <v>83.48</v>
      </c>
      <c r="J232" s="360">
        <v>21033</v>
      </c>
      <c r="K232" s="360">
        <v>83.48</v>
      </c>
      <c r="L232" s="360">
        <v>21033</v>
      </c>
      <c r="M232" s="360">
        <v>0</v>
      </c>
      <c r="N232" s="360">
        <v>0</v>
      </c>
      <c r="O232" s="360">
        <v>65.41</v>
      </c>
      <c r="P232" s="360">
        <v>130</v>
      </c>
      <c r="Q232" s="360">
        <v>72.41</v>
      </c>
      <c r="R232" s="360">
        <v>5440</v>
      </c>
      <c r="S232" s="360">
        <v>80.97</v>
      </c>
      <c r="T232" s="360">
        <v>6865</v>
      </c>
      <c r="U232" s="360">
        <v>92.1</v>
      </c>
      <c r="V232" s="360">
        <v>7998</v>
      </c>
      <c r="W232" s="360">
        <v>101.27</v>
      </c>
      <c r="X232" s="360">
        <v>557</v>
      </c>
      <c r="Y232" s="360">
        <v>107.92</v>
      </c>
      <c r="Z232" s="360">
        <v>28</v>
      </c>
      <c r="AA232" s="360">
        <v>112.6</v>
      </c>
      <c r="AB232" s="360">
        <v>15</v>
      </c>
      <c r="AC232" s="360">
        <v>0</v>
      </c>
      <c r="AD232" s="360">
        <v>0</v>
      </c>
      <c r="AE232" s="360">
        <v>0</v>
      </c>
      <c r="AF232" s="360">
        <v>0</v>
      </c>
      <c r="AG232" s="360">
        <v>0</v>
      </c>
      <c r="AH232" s="360">
        <v>0</v>
      </c>
      <c r="AI232" s="360">
        <v>0</v>
      </c>
      <c r="AJ232" s="360">
        <v>0</v>
      </c>
      <c r="AK232" s="360">
        <v>0</v>
      </c>
      <c r="AL232" s="360">
        <v>0</v>
      </c>
      <c r="AM232" s="360">
        <v>0</v>
      </c>
      <c r="AN232" s="360">
        <v>0</v>
      </c>
      <c r="AO232" s="360">
        <v>0</v>
      </c>
      <c r="AP232" s="360">
        <v>0</v>
      </c>
      <c r="AQ232" s="360">
        <v>0</v>
      </c>
      <c r="AR232" s="360">
        <v>0</v>
      </c>
      <c r="AS232" s="360">
        <v>112.07</v>
      </c>
      <c r="AT232" s="360">
        <v>405</v>
      </c>
      <c r="AU232" s="360">
        <v>112.07</v>
      </c>
      <c r="AV232" s="360">
        <v>405</v>
      </c>
      <c r="AW232" s="360">
        <v>0</v>
      </c>
      <c r="AX232" s="360">
        <v>0</v>
      </c>
      <c r="AY232" s="360">
        <v>0</v>
      </c>
      <c r="AZ232" s="360">
        <v>0</v>
      </c>
      <c r="BA232" s="360">
        <v>92.53</v>
      </c>
      <c r="BB232" s="360">
        <v>80</v>
      </c>
      <c r="BC232" s="360">
        <v>111.96</v>
      </c>
      <c r="BD232" s="360">
        <v>254</v>
      </c>
      <c r="BE232" s="360">
        <v>127.8</v>
      </c>
      <c r="BF232" s="360">
        <v>50</v>
      </c>
      <c r="BG232" s="360">
        <v>149.24</v>
      </c>
      <c r="BH232" s="360">
        <v>19</v>
      </c>
      <c r="BI232" s="360">
        <v>162.69999999999999</v>
      </c>
      <c r="BJ232" s="360">
        <v>2</v>
      </c>
      <c r="BK232" s="360">
        <v>0</v>
      </c>
      <c r="BL232" s="360">
        <v>0</v>
      </c>
      <c r="BM232" s="360">
        <v>164.08</v>
      </c>
      <c r="BN232" s="360">
        <v>21</v>
      </c>
      <c r="BO232" s="360">
        <v>164.08</v>
      </c>
      <c r="BP232" s="360">
        <v>21</v>
      </c>
      <c r="BQ232" s="360">
        <v>0</v>
      </c>
      <c r="BR232" s="360">
        <v>0</v>
      </c>
      <c r="BS232" s="360">
        <v>0</v>
      </c>
      <c r="BT232" s="360">
        <v>0</v>
      </c>
      <c r="BU232" s="360">
        <v>164.08</v>
      </c>
      <c r="BV232" s="360">
        <v>21</v>
      </c>
      <c r="BW232" s="360">
        <v>0</v>
      </c>
      <c r="BX232" s="360">
        <v>0</v>
      </c>
      <c r="BY232" s="360">
        <v>0</v>
      </c>
      <c r="BZ232" s="360">
        <v>0</v>
      </c>
      <c r="CA232" s="360">
        <v>0</v>
      </c>
      <c r="CB232" s="360">
        <v>0</v>
      </c>
      <c r="CC232" s="360">
        <v>39</v>
      </c>
      <c r="CD232" s="360" t="s">
        <v>642</v>
      </c>
    </row>
    <row r="233" spans="1:82" x14ac:dyDescent="0.35">
      <c r="A233" s="348" t="s">
        <v>885</v>
      </c>
      <c r="B233" s="348" t="s">
        <v>886</v>
      </c>
      <c r="C233" s="348" t="s">
        <v>71</v>
      </c>
      <c r="D233" s="348" t="s">
        <v>77</v>
      </c>
      <c r="E233" s="348">
        <v>36</v>
      </c>
      <c r="F233" s="360">
        <v>36</v>
      </c>
      <c r="G233" s="360">
        <v>0</v>
      </c>
      <c r="H233" s="360">
        <v>0</v>
      </c>
      <c r="I233" s="348">
        <v>116.43</v>
      </c>
      <c r="J233" s="348">
        <v>36</v>
      </c>
      <c r="K233" s="348">
        <v>116.43</v>
      </c>
      <c r="L233" s="348">
        <v>36</v>
      </c>
      <c r="M233" s="348">
        <v>0</v>
      </c>
      <c r="N233" s="348">
        <v>0</v>
      </c>
      <c r="O233" s="348">
        <v>95</v>
      </c>
      <c r="P233" s="348">
        <v>1</v>
      </c>
      <c r="Q233" s="348">
        <v>109.04</v>
      </c>
      <c r="R233" s="348">
        <v>26</v>
      </c>
      <c r="S233" s="348">
        <v>140.19</v>
      </c>
      <c r="T233" s="348">
        <v>9</v>
      </c>
      <c r="U233" s="348">
        <v>0</v>
      </c>
      <c r="V233" s="348">
        <v>0</v>
      </c>
      <c r="W233" s="348">
        <v>0</v>
      </c>
      <c r="X233" s="348">
        <v>0</v>
      </c>
      <c r="Y233" s="348">
        <v>0</v>
      </c>
      <c r="Z233" s="348">
        <v>0</v>
      </c>
      <c r="AA233" s="348">
        <v>0</v>
      </c>
      <c r="AB233" s="348">
        <v>0</v>
      </c>
      <c r="AC233" s="348">
        <v>0</v>
      </c>
      <c r="AD233" s="348">
        <v>0</v>
      </c>
      <c r="AE233" s="348">
        <v>0</v>
      </c>
      <c r="AF233" s="348">
        <v>0</v>
      </c>
      <c r="AG233" s="348">
        <v>0</v>
      </c>
      <c r="AH233" s="348">
        <v>0</v>
      </c>
      <c r="AI233" s="348">
        <v>0</v>
      </c>
      <c r="AJ233" s="348">
        <v>0</v>
      </c>
      <c r="AK233" s="348">
        <v>0</v>
      </c>
      <c r="AL233" s="348">
        <v>0</v>
      </c>
      <c r="AM233" s="348">
        <v>0</v>
      </c>
      <c r="AN233" s="348">
        <v>0</v>
      </c>
      <c r="AO233" s="348">
        <v>0</v>
      </c>
      <c r="AP233" s="348">
        <v>0</v>
      </c>
      <c r="AQ233" s="348">
        <v>0</v>
      </c>
      <c r="AR233" s="348">
        <v>0</v>
      </c>
      <c r="AS233" s="348">
        <v>0</v>
      </c>
      <c r="AT233" s="348">
        <v>0</v>
      </c>
      <c r="AU233" s="348">
        <v>0</v>
      </c>
      <c r="AV233" s="348">
        <v>0</v>
      </c>
      <c r="AW233" s="348">
        <v>0</v>
      </c>
      <c r="AX233" s="348">
        <v>0</v>
      </c>
      <c r="AY233" s="348">
        <v>0</v>
      </c>
      <c r="AZ233" s="348">
        <v>0</v>
      </c>
      <c r="BA233" s="348">
        <v>0</v>
      </c>
      <c r="BB233" s="348">
        <v>0</v>
      </c>
      <c r="BC233" s="348">
        <v>0</v>
      </c>
      <c r="BD233" s="348">
        <v>0</v>
      </c>
      <c r="BE233" s="348">
        <v>0</v>
      </c>
      <c r="BF233" s="348">
        <v>0</v>
      </c>
      <c r="BG233" s="348">
        <v>0</v>
      </c>
      <c r="BH233" s="348">
        <v>0</v>
      </c>
      <c r="BI233" s="348">
        <v>0</v>
      </c>
      <c r="BJ233" s="348">
        <v>0</v>
      </c>
      <c r="BK233" s="348">
        <v>0</v>
      </c>
      <c r="BL233" s="348">
        <v>0</v>
      </c>
      <c r="BM233" s="348">
        <v>0</v>
      </c>
      <c r="BN233" s="348">
        <v>0</v>
      </c>
      <c r="BO233" s="348">
        <v>0</v>
      </c>
      <c r="BP233" s="348">
        <v>0</v>
      </c>
      <c r="BQ233" s="348">
        <v>0</v>
      </c>
      <c r="BR233" s="348">
        <v>0</v>
      </c>
      <c r="BS233" s="348">
        <v>0</v>
      </c>
      <c r="BT233" s="348">
        <v>0</v>
      </c>
      <c r="BU233" s="348">
        <v>0</v>
      </c>
      <c r="BV233" s="348">
        <v>0</v>
      </c>
      <c r="BW233" s="348">
        <v>0</v>
      </c>
      <c r="BX233" s="348">
        <v>0</v>
      </c>
      <c r="BY233" s="348">
        <v>0</v>
      </c>
      <c r="BZ233" s="348">
        <v>0</v>
      </c>
      <c r="CA233" s="363">
        <v>0</v>
      </c>
      <c r="CB233" s="363">
        <v>0</v>
      </c>
      <c r="CC233" s="348">
        <v>0</v>
      </c>
      <c r="CD233" s="348" t="s">
        <v>887</v>
      </c>
    </row>
  </sheetData>
  <sortState xmlns:xlrd2="http://schemas.microsoft.com/office/spreadsheetml/2017/richdata2" ref="A13:CD233">
    <sortCondition ref="A13:A233"/>
  </sortState>
  <pageMargins left="0.7" right="0.7" top="0.75" bottom="0.75" header="0.3" footer="0.3"/>
  <pageSetup paperSize="9" orientation="portrait" r:id="rId1"/>
  <headerFooter>
    <oddFooter>&amp;C&amp;1#&amp;"Calibri"&amp;12&amp;K0078D7OFFICIAL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760CA-4A07-4528-BEFA-F99B4D0A1CC5}">
  <sheetPr codeName="Sheet6">
    <tabColor rgb="FFFFFF00"/>
  </sheetPr>
  <dimension ref="A1:F1290"/>
  <sheetViews>
    <sheetView topLeftCell="A2" workbookViewId="0"/>
  </sheetViews>
  <sheetFormatPr defaultColWidth="8.7265625" defaultRowHeight="14.5" x14ac:dyDescent="0.35"/>
  <cols>
    <col min="1" max="1" width="16.81640625" customWidth="1"/>
    <col min="2" max="2" width="67.81640625" customWidth="1"/>
    <col min="4" max="4" width="14.81640625" style="213" customWidth="1"/>
    <col min="5" max="5" width="78.7265625" customWidth="1"/>
  </cols>
  <sheetData>
    <row r="1" spans="1:6" x14ac:dyDescent="0.35">
      <c r="A1" s="205" t="s">
        <v>643</v>
      </c>
      <c r="B1" s="206" t="s">
        <v>644</v>
      </c>
      <c r="D1" s="207" t="s">
        <v>645</v>
      </c>
      <c r="E1" s="208" t="s">
        <v>646</v>
      </c>
      <c r="F1" s="209"/>
    </row>
    <row r="2" spans="1:6" x14ac:dyDescent="0.35">
      <c r="A2" s="210">
        <f>IF(ISNUMBER(SEARCH('LARP Summary'!$E$3,B2)),MAX(A$1:$B1)+1,0)</f>
        <v>1</v>
      </c>
      <c r="B2" s="346" t="s">
        <v>75</v>
      </c>
      <c r="D2" s="211" t="str" cm="1">
        <f t="array" aca="1" ref="D2:D222" ca="1">OFFSET($E$2,,,COUNTIF($E$2:$E$225,"?*"))</f>
        <v>Adur District Council</v>
      </c>
      <c r="E2" s="212" t="str">
        <f>IFERROR(VLOOKUP(ROWS($E$2:E2),$A$2:$B$225,2,0),"")</f>
        <v>Adur District Council</v>
      </c>
    </row>
    <row r="3" spans="1:6" x14ac:dyDescent="0.35">
      <c r="A3" s="210">
        <f>IF(ISNUMBER(SEARCH('LARP Summary'!$E$3,B3)),MAX(A$1:$B2)+1,0)</f>
        <v>2</v>
      </c>
      <c r="B3" s="346" t="s">
        <v>897</v>
      </c>
      <c r="D3" s="213" t="str">
        <f ca="1"/>
        <v>Amber Valley Borough Council</v>
      </c>
      <c r="E3" s="212" t="str">
        <f>IFERROR(VLOOKUP(ROWS($E$2:E3),$A$2:$B$225,2,0),"")</f>
        <v>Amber Valley Borough Council</v>
      </c>
    </row>
    <row r="4" spans="1:6" x14ac:dyDescent="0.35">
      <c r="A4" s="210">
        <f>IF(ISNUMBER(SEARCH('LARP Summary'!$E$3,B4)),MAX(A$1:$B3)+1,0)</f>
        <v>3</v>
      </c>
      <c r="B4" s="346" t="s">
        <v>0</v>
      </c>
      <c r="D4" s="213" t="str">
        <f ca="1"/>
        <v>Arun District Council</v>
      </c>
      <c r="E4" s="212" t="str">
        <f>IFERROR(VLOOKUP(ROWS($E$2:E4),$A$2:$B$225,2,0),"")</f>
        <v>Arun District Council</v>
      </c>
    </row>
    <row r="5" spans="1:6" x14ac:dyDescent="0.35">
      <c r="A5" s="210">
        <f>IF(ISNUMBER(SEARCH('LARP Summary'!$E$3,B5)),MAX(A$1:$B4)+1,0)</f>
        <v>4</v>
      </c>
      <c r="B5" s="346" t="s">
        <v>81</v>
      </c>
      <c r="D5" s="213" t="str">
        <f ca="1"/>
        <v>Ashfield District Council</v>
      </c>
      <c r="E5" s="212" t="str">
        <f>IFERROR(VLOOKUP(ROWS($E$2:E5),$A$2:$B$225,2,0),"")</f>
        <v>Ashfield District Council</v>
      </c>
    </row>
    <row r="6" spans="1:6" x14ac:dyDescent="0.35">
      <c r="A6" s="210">
        <f>IF(ISNUMBER(SEARCH('LARP Summary'!$E$3,B6)),MAX(A$1:$B5)+1,0)</f>
        <v>5</v>
      </c>
      <c r="B6" s="346" t="s">
        <v>84</v>
      </c>
      <c r="D6" s="213" t="str">
        <f ca="1"/>
        <v>Ashford Borough Council</v>
      </c>
      <c r="E6" s="212" t="str">
        <f>IFERROR(VLOOKUP(ROWS($E$2:E6),$A$2:$B$225,2,0),"")</f>
        <v>Ashford Borough Council</v>
      </c>
    </row>
    <row r="7" spans="1:6" x14ac:dyDescent="0.35">
      <c r="A7" s="210">
        <f>IF(ISNUMBER(SEARCH('LARP Summary'!$E$3,B7)),MAX(A$1:$B6)+1,0)</f>
        <v>6</v>
      </c>
      <c r="B7" s="346" t="s">
        <v>87</v>
      </c>
      <c r="D7" s="213" t="str">
        <f ca="1"/>
        <v>Babergh District Council</v>
      </c>
      <c r="E7" s="212" t="str">
        <f>IFERROR(VLOOKUP(ROWS($E$2:E7),$A$2:$B$225,2,0),"")</f>
        <v>Babergh District Council</v>
      </c>
    </row>
    <row r="8" spans="1:6" x14ac:dyDescent="0.35">
      <c r="A8" s="210">
        <f>IF(ISNUMBER(SEARCH('LARP Summary'!$E$3,B8)),MAX(A$1:$B7)+1,0)</f>
        <v>7</v>
      </c>
      <c r="B8" s="346" t="s">
        <v>90</v>
      </c>
      <c r="D8" s="213" t="str">
        <f ca="1"/>
        <v>Barnsley Metropolitan Borough Council</v>
      </c>
      <c r="E8" s="212" t="str">
        <f>IFERROR(VLOOKUP(ROWS($E$2:E8),$A$2:$B$225,2,0),"")</f>
        <v>Barnsley Metropolitan Borough Council</v>
      </c>
    </row>
    <row r="9" spans="1:6" x14ac:dyDescent="0.35">
      <c r="A9" s="210">
        <f>IF(ISNUMBER(SEARCH('LARP Summary'!$E$3,B9)),MAX(A$1:$B8)+1,0)</f>
        <v>8</v>
      </c>
      <c r="B9" s="346" t="s">
        <v>93</v>
      </c>
      <c r="D9" s="213" t="str">
        <f ca="1"/>
        <v>Barrow-in-Furness Borough Council</v>
      </c>
      <c r="E9" s="212" t="str">
        <f>IFERROR(VLOOKUP(ROWS($E$2:E9),$A$2:$B$225,2,0),"")</f>
        <v>Barrow-in-Furness Borough Council</v>
      </c>
    </row>
    <row r="10" spans="1:6" x14ac:dyDescent="0.35">
      <c r="A10" s="210">
        <f>IF(ISNUMBER(SEARCH('LARP Summary'!$E$3,B10)),MAX(A$1:$B9)+1,0)</f>
        <v>9</v>
      </c>
      <c r="B10" s="346" t="s">
        <v>96</v>
      </c>
      <c r="D10" s="213" t="str">
        <f ca="1"/>
        <v>Basildon District Council</v>
      </c>
      <c r="E10" s="212" t="str">
        <f>IFERROR(VLOOKUP(ROWS($E$2:E10),$A$2:$B$225,2,0),"")</f>
        <v>Basildon District Council</v>
      </c>
    </row>
    <row r="11" spans="1:6" x14ac:dyDescent="0.35">
      <c r="A11" s="210">
        <f>IF(ISNUMBER(SEARCH('LARP Summary'!$E$3,B11)),MAX(A$1:$B10)+1,0)</f>
        <v>10</v>
      </c>
      <c r="B11" s="346" t="s">
        <v>99</v>
      </c>
      <c r="D11" s="213" t="str">
        <f ca="1"/>
        <v>Bassetlaw District Council</v>
      </c>
      <c r="E11" s="212" t="str">
        <f>IFERROR(VLOOKUP(ROWS($E$2:E11),$A$2:$B$225,2,0),"")</f>
        <v>Bassetlaw District Council</v>
      </c>
    </row>
    <row r="12" spans="1:6" x14ac:dyDescent="0.35">
      <c r="A12" s="210">
        <f>IF(ISNUMBER(SEARCH('LARP Summary'!$E$3,B12)),MAX(A$1:$B11)+1,0)</f>
        <v>11</v>
      </c>
      <c r="B12" s="346" t="s">
        <v>776</v>
      </c>
      <c r="D12" s="213" t="str">
        <f ca="1"/>
        <v>Bath &amp; North East Somerset Council</v>
      </c>
      <c r="E12" s="212" t="str">
        <f>IFERROR(VLOOKUP(ROWS($E$2:E12),$A$2:$B$225,2,0),"")</f>
        <v>Bath &amp; North East Somerset Council</v>
      </c>
    </row>
    <row r="13" spans="1:6" x14ac:dyDescent="0.35">
      <c r="A13" s="210">
        <f>IF(ISNUMBER(SEARCH('LARP Summary'!$E$3,B13)),MAX(A$1:$B12)+1,0)</f>
        <v>12</v>
      </c>
      <c r="B13" s="346" t="s">
        <v>779</v>
      </c>
      <c r="D13" s="213" t="str">
        <f ca="1"/>
        <v>Bedford Borough Council</v>
      </c>
      <c r="E13" s="212" t="str">
        <f>IFERROR(VLOOKUP(ROWS($E$2:E13),$A$2:$B$225,2,0),"")</f>
        <v>Bedford Borough Council</v>
      </c>
    </row>
    <row r="14" spans="1:6" x14ac:dyDescent="0.35">
      <c r="A14" s="210">
        <f>IF(ISNUMBER(SEARCH('LARP Summary'!$E$3,B14)),MAX(A$1:$B13)+1,0)</f>
        <v>13</v>
      </c>
      <c r="B14" s="346" t="s">
        <v>104</v>
      </c>
      <c r="D14" s="213" t="str">
        <f ca="1"/>
        <v>Birmingham City Council</v>
      </c>
      <c r="E14" s="212" t="str">
        <f>IFERROR(VLOOKUP(ROWS($E$2:E14),$A$2:$B$225,2,0),"")</f>
        <v>Birmingham City Council</v>
      </c>
    </row>
    <row r="15" spans="1:6" x14ac:dyDescent="0.35">
      <c r="A15" s="210">
        <f>IF(ISNUMBER(SEARCH('LARP Summary'!$E$3,B15)),MAX(A$1:$B14)+1,0)</f>
        <v>14</v>
      </c>
      <c r="B15" s="346" t="s">
        <v>782</v>
      </c>
      <c r="D15" s="213" t="str">
        <f ca="1"/>
        <v>Blackpool Borough Council</v>
      </c>
      <c r="E15" s="212" t="str">
        <f>IFERROR(VLOOKUP(ROWS($E$2:E15),$A$2:$B$225,2,0),"")</f>
        <v>Blackpool Borough Council</v>
      </c>
    </row>
    <row r="16" spans="1:6" x14ac:dyDescent="0.35">
      <c r="A16" s="210">
        <f>IF(ISNUMBER(SEARCH('LARP Summary'!$E$3,B16)),MAX(A$1:$B15)+1,0)</f>
        <v>15</v>
      </c>
      <c r="B16" s="346" t="s">
        <v>109</v>
      </c>
      <c r="D16" s="213" t="str">
        <f ca="1"/>
        <v>Bolsover District Council</v>
      </c>
      <c r="E16" s="212" t="str">
        <f>IFERROR(VLOOKUP(ROWS($E$2:E16),$A$2:$B$225,2,0),"")</f>
        <v>Bolsover District Council</v>
      </c>
    </row>
    <row r="17" spans="1:5" x14ac:dyDescent="0.35">
      <c r="A17" s="210">
        <f>IF(ISNUMBER(SEARCH('LARP Summary'!$E$3,B17)),MAX(A$1:$B16)+1,0)</f>
        <v>16</v>
      </c>
      <c r="B17" s="346" t="s">
        <v>783</v>
      </c>
      <c r="D17" s="213" t="str">
        <f ca="1"/>
        <v>Bournemouth, Christchurch and Poole Council</v>
      </c>
      <c r="E17" s="212" t="str">
        <f>IFERROR(VLOOKUP(ROWS($E$2:E17),$A$2:$B$225,2,0),"")</f>
        <v>Bournemouth, Christchurch and Poole Council</v>
      </c>
    </row>
    <row r="18" spans="1:5" x14ac:dyDescent="0.35">
      <c r="A18" s="210">
        <f>IF(ISNUMBER(SEARCH('LARP Summary'!$E$3,B18)),MAX(A$1:$B17)+1,0)</f>
        <v>17</v>
      </c>
      <c r="B18" s="346" t="s">
        <v>112</v>
      </c>
      <c r="D18" s="213" t="str">
        <f ca="1"/>
        <v>Brentwood Borough Council</v>
      </c>
      <c r="E18" s="212" t="str">
        <f>IFERROR(VLOOKUP(ROWS($E$2:E18),$A$2:$B$225,2,0),"")</f>
        <v>Brentwood Borough Council</v>
      </c>
    </row>
    <row r="19" spans="1:5" x14ac:dyDescent="0.35">
      <c r="A19" s="210">
        <f>IF(ISNUMBER(SEARCH('LARP Summary'!$E$3,B19)),MAX(A$1:$B18)+1,0)</f>
        <v>18</v>
      </c>
      <c r="B19" s="346" t="s">
        <v>115</v>
      </c>
      <c r="D19" s="213" t="str">
        <f ca="1"/>
        <v>Brighton and Hove City Council</v>
      </c>
      <c r="E19" s="212" t="str">
        <f>IFERROR(VLOOKUP(ROWS($E$2:E19),$A$2:$B$225,2,0),"")</f>
        <v>Brighton and Hove City Council</v>
      </c>
    </row>
    <row r="20" spans="1:5" x14ac:dyDescent="0.35">
      <c r="A20" s="210">
        <f>IF(ISNUMBER(SEARCH('LARP Summary'!$E$3,B20)),MAX(A$1:$B19)+1,0)</f>
        <v>19</v>
      </c>
      <c r="B20" s="346" t="s">
        <v>118</v>
      </c>
      <c r="D20" s="213" t="str">
        <f ca="1"/>
        <v>Bristol City Council</v>
      </c>
      <c r="E20" s="212" t="str">
        <f>IFERROR(VLOOKUP(ROWS($E$2:E20),$A$2:$B$225,2,0),"")</f>
        <v>Bristol City Council</v>
      </c>
    </row>
    <row r="21" spans="1:5" x14ac:dyDescent="0.35">
      <c r="A21" s="210">
        <f>IF(ISNUMBER(SEARCH('LARP Summary'!$E$3,B21)),MAX(A$1:$B20)+1,0)</f>
        <v>20</v>
      </c>
      <c r="B21" s="346" t="s">
        <v>121</v>
      </c>
      <c r="D21" s="213" t="str">
        <f ca="1"/>
        <v>Broxtowe Borough Council</v>
      </c>
      <c r="E21" s="212" t="str">
        <f>IFERROR(VLOOKUP(ROWS($E$2:E21),$A$2:$B$225,2,0),"")</f>
        <v>Broxtowe Borough Council</v>
      </c>
    </row>
    <row r="22" spans="1:5" x14ac:dyDescent="0.35">
      <c r="A22" s="210">
        <f>IF(ISNUMBER(SEARCH('LARP Summary'!$E$3,B22)),MAX(A$1:$B21)+1,0)</f>
        <v>21</v>
      </c>
      <c r="B22" s="346" t="s">
        <v>858</v>
      </c>
      <c r="D22" s="213" t="str">
        <f ca="1"/>
        <v>Burnley Borough Council</v>
      </c>
      <c r="E22" s="212" t="str">
        <f>IFERROR(VLOOKUP(ROWS($E$2:E22),$A$2:$B$225,2,0),"")</f>
        <v>Burnley Borough Council</v>
      </c>
    </row>
    <row r="23" spans="1:5" x14ac:dyDescent="0.35">
      <c r="A23" s="210">
        <f>IF(ISNUMBER(SEARCH('LARP Summary'!$E$3,B23)),MAX(A$1:$B22)+1,0)</f>
        <v>22</v>
      </c>
      <c r="B23" s="346" t="s">
        <v>124</v>
      </c>
      <c r="D23" s="213" t="str">
        <f ca="1"/>
        <v>Bury Metropolitan Borough Council</v>
      </c>
      <c r="E23" s="212" t="str">
        <f>IFERROR(VLOOKUP(ROWS($E$2:E23),$A$2:$B$225,2,0),"")</f>
        <v>Bury Metropolitan Borough Council</v>
      </c>
    </row>
    <row r="24" spans="1:5" x14ac:dyDescent="0.35">
      <c r="A24" s="210">
        <f>IF(ISNUMBER(SEARCH('LARP Summary'!$E$3,B24)),MAX(A$1:$B23)+1,0)</f>
        <v>23</v>
      </c>
      <c r="B24" s="346" t="s">
        <v>127</v>
      </c>
      <c r="D24" s="213" t="str">
        <f ca="1"/>
        <v>Cambridge City Council</v>
      </c>
      <c r="E24" s="212" t="str">
        <f>IFERROR(VLOOKUP(ROWS($E$2:E24),$A$2:$B$225,2,0),"")</f>
        <v>Cambridge City Council</v>
      </c>
    </row>
    <row r="25" spans="1:5" x14ac:dyDescent="0.35">
      <c r="A25" s="210">
        <f>IF(ISNUMBER(SEARCH('LARP Summary'!$E$3,B25)),MAX(A$1:$B24)+1,0)</f>
        <v>24</v>
      </c>
      <c r="B25" s="346" t="s">
        <v>130</v>
      </c>
      <c r="D25" s="213" t="str">
        <f ca="1"/>
        <v>Cannock Chase District Council</v>
      </c>
      <c r="E25" s="212" t="str">
        <f>IFERROR(VLOOKUP(ROWS($E$2:E25),$A$2:$B$225,2,0),"")</f>
        <v>Cannock Chase District Council</v>
      </c>
    </row>
    <row r="26" spans="1:5" x14ac:dyDescent="0.35">
      <c r="A26" s="210">
        <f>IF(ISNUMBER(SEARCH('LARP Summary'!$E$3,B26)),MAX(A$1:$B25)+1,0)</f>
        <v>25</v>
      </c>
      <c r="B26" s="346" t="s">
        <v>133</v>
      </c>
      <c r="D26" s="213" t="str">
        <f ca="1"/>
        <v>Canterbury City Council</v>
      </c>
      <c r="E26" s="212" t="str">
        <f>IFERROR(VLOOKUP(ROWS($E$2:E26),$A$2:$B$225,2,0),"")</f>
        <v>Canterbury City Council</v>
      </c>
    </row>
    <row r="27" spans="1:5" x14ac:dyDescent="0.35">
      <c r="A27" s="210">
        <f>IF(ISNUMBER(SEARCH('LARP Summary'!$E$3,B27)),MAX(A$1:$B26)+1,0)</f>
        <v>26</v>
      </c>
      <c r="B27" s="346" t="s">
        <v>136</v>
      </c>
      <c r="D27" s="213" t="str">
        <f ca="1"/>
        <v>Castle Point Borough Council</v>
      </c>
      <c r="E27" s="212" t="str">
        <f>IFERROR(VLOOKUP(ROWS($E$2:E27),$A$2:$B$225,2,0),"")</f>
        <v>Castle Point Borough Council</v>
      </c>
    </row>
    <row r="28" spans="1:5" x14ac:dyDescent="0.35">
      <c r="A28" s="210">
        <f>IF(ISNUMBER(SEARCH('LARP Summary'!$E$3,B28)),MAX(A$1:$B27)+1,0)</f>
        <v>27</v>
      </c>
      <c r="B28" s="346" t="s">
        <v>139</v>
      </c>
      <c r="D28" s="213" t="str">
        <f ca="1"/>
        <v>Central Bedfordshire Council</v>
      </c>
      <c r="E28" s="212" t="str">
        <f>IFERROR(VLOOKUP(ROWS($E$2:E28),$A$2:$B$225,2,0),"")</f>
        <v>Central Bedfordshire Council</v>
      </c>
    </row>
    <row r="29" spans="1:5" x14ac:dyDescent="0.35">
      <c r="A29" s="210">
        <f>IF(ISNUMBER(SEARCH('LARP Summary'!$E$3,B29)),MAX(A$1:$B28)+1,0)</f>
        <v>28</v>
      </c>
      <c r="B29" s="346" t="s">
        <v>142</v>
      </c>
      <c r="D29" s="213" t="str">
        <f ca="1"/>
        <v>Charnwood Borough Council</v>
      </c>
      <c r="E29" s="212" t="str">
        <f>IFERROR(VLOOKUP(ROWS($E$2:E29),$A$2:$B$225,2,0),"")</f>
        <v>Charnwood Borough Council</v>
      </c>
    </row>
    <row r="30" spans="1:5" x14ac:dyDescent="0.35">
      <c r="A30" s="210">
        <f>IF(ISNUMBER(SEARCH('LARP Summary'!$E$3,B30)),MAX(A$1:$B29)+1,0)</f>
        <v>29</v>
      </c>
      <c r="B30" s="346" t="s">
        <v>784</v>
      </c>
      <c r="D30" s="213" t="str">
        <f ca="1"/>
        <v>Chelmsford City Council</v>
      </c>
      <c r="E30" s="212" t="str">
        <f>IFERROR(VLOOKUP(ROWS($E$2:E30),$A$2:$B$225,2,0),"")</f>
        <v>Chelmsford City Council</v>
      </c>
    </row>
    <row r="31" spans="1:5" x14ac:dyDescent="0.35">
      <c r="A31" s="210">
        <f>IF(ISNUMBER(SEARCH('LARP Summary'!$E$3,B31)),MAX(A$1:$B30)+1,0)</f>
        <v>30</v>
      </c>
      <c r="B31" s="346" t="s">
        <v>145</v>
      </c>
      <c r="D31" s="213" t="str">
        <f ca="1"/>
        <v>Cheltenham Borough Council</v>
      </c>
      <c r="E31" s="212" t="str">
        <f>IFERROR(VLOOKUP(ROWS($E$2:E31),$A$2:$B$225,2,0),"")</f>
        <v>Cheltenham Borough Council</v>
      </c>
    </row>
    <row r="32" spans="1:5" x14ac:dyDescent="0.35">
      <c r="A32" s="210">
        <f>IF(ISNUMBER(SEARCH('LARP Summary'!$E$3,B32)),MAX(A$1:$B31)+1,0)</f>
        <v>31</v>
      </c>
      <c r="B32" s="346" t="s">
        <v>148</v>
      </c>
      <c r="D32" s="213" t="str">
        <f ca="1"/>
        <v>Cherwell District Council</v>
      </c>
      <c r="E32" s="212" t="str">
        <f>IFERROR(VLOOKUP(ROWS($E$2:E32),$A$2:$B$225,2,0),"")</f>
        <v>Cherwell District Council</v>
      </c>
    </row>
    <row r="33" spans="1:5" x14ac:dyDescent="0.35">
      <c r="A33" s="210">
        <f>IF(ISNUMBER(SEARCH('LARP Summary'!$E$3,B33)),MAX(A$1:$B32)+1,0)</f>
        <v>32</v>
      </c>
      <c r="B33" s="346" t="s">
        <v>151</v>
      </c>
      <c r="D33" s="213" t="str">
        <f ca="1"/>
        <v>Cheshire West and Chester Council</v>
      </c>
      <c r="E33" s="212" t="str">
        <f>IFERROR(VLOOKUP(ROWS($E$2:E33),$A$2:$B$225,2,0),"")</f>
        <v>Cheshire West and Chester Council</v>
      </c>
    </row>
    <row r="34" spans="1:5" x14ac:dyDescent="0.35">
      <c r="A34" s="210">
        <f>IF(ISNUMBER(SEARCH('LARP Summary'!$E$3,B34)),MAX(A$1:$B33)+1,0)</f>
        <v>33</v>
      </c>
      <c r="B34" s="346" t="s">
        <v>154</v>
      </c>
      <c r="D34" s="213" t="str">
        <f ca="1"/>
        <v>Chesterfield Borough Council</v>
      </c>
      <c r="E34" s="212" t="str">
        <f>IFERROR(VLOOKUP(ROWS($E$2:E34),$A$2:$B$225,2,0),"")</f>
        <v>Chesterfield Borough Council</v>
      </c>
    </row>
    <row r="35" spans="1:5" x14ac:dyDescent="0.35">
      <c r="A35" s="210">
        <f>IF(ISNUMBER(SEARCH('LARP Summary'!$E$3,B35)),MAX(A$1:$B34)+1,0)</f>
        <v>34</v>
      </c>
      <c r="B35" s="346" t="s">
        <v>157</v>
      </c>
      <c r="D35" s="213" t="str">
        <f ca="1"/>
        <v>Chorley Council</v>
      </c>
      <c r="E35" s="212" t="str">
        <f>IFERROR(VLOOKUP(ROWS($E$2:E35),$A$2:$B$225,2,0),"")</f>
        <v>Chorley Council</v>
      </c>
    </row>
    <row r="36" spans="1:5" x14ac:dyDescent="0.35">
      <c r="A36" s="210">
        <f>IF(ISNUMBER(SEARCH('LARP Summary'!$E$3,B36)),MAX(A$1:$B35)+1,0)</f>
        <v>35</v>
      </c>
      <c r="B36" s="346" t="s">
        <v>160</v>
      </c>
      <c r="D36" s="213" t="str">
        <f ca="1"/>
        <v>City of Bradford Metropolitan District Council</v>
      </c>
      <c r="E36" s="212" t="str">
        <f>IFERROR(VLOOKUP(ROWS($E$2:E36),$A$2:$B$225,2,0),"")</f>
        <v>City of Bradford Metropolitan District Council</v>
      </c>
    </row>
    <row r="37" spans="1:5" x14ac:dyDescent="0.35">
      <c r="A37" s="210">
        <f>IF(ISNUMBER(SEARCH('LARP Summary'!$E$3,B37)),MAX(A$1:$B36)+1,0)</f>
        <v>36</v>
      </c>
      <c r="B37" s="346" t="s">
        <v>902</v>
      </c>
      <c r="D37" s="213" t="str">
        <f ca="1"/>
        <v>City of Doncaster Council</v>
      </c>
      <c r="E37" s="212" t="str">
        <f>IFERROR(VLOOKUP(ROWS($E$2:E37),$A$2:$B$225,2,0),"")</f>
        <v>City of Doncaster Council</v>
      </c>
    </row>
    <row r="38" spans="1:5" x14ac:dyDescent="0.35">
      <c r="A38" s="210">
        <f>IF(ISNUMBER(SEARCH('LARP Summary'!$E$3,B38)),MAX(A$1:$B37)+1,0)</f>
        <v>37</v>
      </c>
      <c r="B38" s="346" t="s">
        <v>163</v>
      </c>
      <c r="D38" s="213" t="str">
        <f ca="1"/>
        <v>City of Lincoln Council</v>
      </c>
      <c r="E38" s="212" t="str">
        <f>IFERROR(VLOOKUP(ROWS($E$2:E38),$A$2:$B$225,2,0),"")</f>
        <v>City of Lincoln Council</v>
      </c>
    </row>
    <row r="39" spans="1:5" x14ac:dyDescent="0.35">
      <c r="A39" s="210">
        <f>IF(ISNUMBER(SEARCH('LARP Summary'!$E$3,B39)),MAX(A$1:$B38)+1,0)</f>
        <v>38</v>
      </c>
      <c r="B39" s="346" t="s">
        <v>166</v>
      </c>
      <c r="D39" s="213" t="str">
        <f ca="1"/>
        <v>City of London Corporation</v>
      </c>
      <c r="E39" s="212" t="str">
        <f>IFERROR(VLOOKUP(ROWS($E$2:E39),$A$2:$B$225,2,0),"")</f>
        <v>City of London Corporation</v>
      </c>
    </row>
    <row r="40" spans="1:5" x14ac:dyDescent="0.35">
      <c r="A40" s="210">
        <f>IF(ISNUMBER(SEARCH('LARP Summary'!$E$3,B40)),MAX(A$1:$B39)+1,0)</f>
        <v>39</v>
      </c>
      <c r="B40" s="346" t="s">
        <v>169</v>
      </c>
      <c r="D40" s="213" t="str">
        <f ca="1"/>
        <v>City of Westminster Council</v>
      </c>
      <c r="E40" s="212" t="str">
        <f>IFERROR(VLOOKUP(ROWS($E$2:E40),$A$2:$B$225,2,0),"")</f>
        <v>City of Westminster Council</v>
      </c>
    </row>
    <row r="41" spans="1:5" x14ac:dyDescent="0.35">
      <c r="A41" s="210">
        <f>IF(ISNUMBER(SEARCH('LARP Summary'!$E$3,B41)),MAX(A$1:$B40)+1,0)</f>
        <v>40</v>
      </c>
      <c r="B41" s="346" t="s">
        <v>172</v>
      </c>
      <c r="D41" s="213" t="str">
        <f ca="1"/>
        <v>City of York Council</v>
      </c>
      <c r="E41" s="212" t="str">
        <f>IFERROR(VLOOKUP(ROWS($E$2:E41),$A$2:$B$225,2,0),"")</f>
        <v>City of York Council</v>
      </c>
    </row>
    <row r="42" spans="1:5" x14ac:dyDescent="0.35">
      <c r="A42" s="210">
        <f>IF(ISNUMBER(SEARCH('LARP Summary'!$E$3,B42)),MAX(A$1:$B41)+1,0)</f>
        <v>41</v>
      </c>
      <c r="B42" s="346" t="s">
        <v>901</v>
      </c>
      <c r="D42" s="213" t="str">
        <f ca="1"/>
        <v>Colchester City Council</v>
      </c>
      <c r="E42" s="212" t="str">
        <f>IFERROR(VLOOKUP(ROWS($E$2:E42),$A$2:$B$225,2,0),"")</f>
        <v>Colchester City Council</v>
      </c>
    </row>
    <row r="43" spans="1:5" x14ac:dyDescent="0.35">
      <c r="A43" s="210">
        <f>IF(ISNUMBER(SEARCH('LARP Summary'!$E$3,B43)),MAX(A$1:$B42)+1,0)</f>
        <v>42</v>
      </c>
      <c r="B43" s="346" t="s">
        <v>177</v>
      </c>
      <c r="D43" s="213" t="str">
        <f ca="1"/>
        <v>Cornwall Council</v>
      </c>
      <c r="E43" s="212" t="str">
        <f>IFERROR(VLOOKUP(ROWS($E$2:E43),$A$2:$B$225,2,0),"")</f>
        <v>Cornwall Council</v>
      </c>
    </row>
    <row r="44" spans="1:5" x14ac:dyDescent="0.35">
      <c r="A44" s="210">
        <f>IF(ISNUMBER(SEARCH('LARP Summary'!$E$3,B44)),MAX(A$1:$B43)+1,0)</f>
        <v>43</v>
      </c>
      <c r="B44" s="346" t="s">
        <v>180</v>
      </c>
      <c r="D44" s="213" t="str">
        <f ca="1"/>
        <v>Council of the Isles of Scilly</v>
      </c>
      <c r="E44" s="212" t="str">
        <f>IFERROR(VLOOKUP(ROWS($E$2:E44),$A$2:$B$225,2,0),"")</f>
        <v>Council of the Isles of Scilly</v>
      </c>
    </row>
    <row r="45" spans="1:5" x14ac:dyDescent="0.35">
      <c r="A45" s="210">
        <f>IF(ISNUMBER(SEARCH('LARP Summary'!$E$3,B45)),MAX(A$1:$B44)+1,0)</f>
        <v>44</v>
      </c>
      <c r="B45" s="346" t="s">
        <v>183</v>
      </c>
      <c r="D45" s="213" t="str">
        <f ca="1"/>
        <v>Craven District Council</v>
      </c>
      <c r="E45" s="212" t="str">
        <f>IFERROR(VLOOKUP(ROWS($E$2:E45),$A$2:$B$225,2,0),"")</f>
        <v>Craven District Council</v>
      </c>
    </row>
    <row r="46" spans="1:5" x14ac:dyDescent="0.35">
      <c r="A46" s="210">
        <f>IF(ISNUMBER(SEARCH('LARP Summary'!$E$3,B46)),MAX(A$1:$B45)+1,0)</f>
        <v>45</v>
      </c>
      <c r="B46" s="346" t="s">
        <v>186</v>
      </c>
      <c r="D46" s="213" t="str">
        <f ca="1"/>
        <v>Crawley Borough Council</v>
      </c>
      <c r="E46" s="212" t="str">
        <f>IFERROR(VLOOKUP(ROWS($E$2:E46),$A$2:$B$225,2,0),"")</f>
        <v>Crawley Borough Council</v>
      </c>
    </row>
    <row r="47" spans="1:5" x14ac:dyDescent="0.35">
      <c r="A47" s="210">
        <f>IF(ISNUMBER(SEARCH('LARP Summary'!$E$3,B47)),MAX(A$1:$B46)+1,0)</f>
        <v>46</v>
      </c>
      <c r="B47" s="346" t="s">
        <v>189</v>
      </c>
      <c r="D47" s="213" t="str">
        <f ca="1"/>
        <v>Dacorum Borough Council</v>
      </c>
      <c r="E47" s="212" t="str">
        <f>IFERROR(VLOOKUP(ROWS($E$2:E47),$A$2:$B$225,2,0),"")</f>
        <v>Dacorum Borough Council</v>
      </c>
    </row>
    <row r="48" spans="1:5" x14ac:dyDescent="0.35">
      <c r="A48" s="210">
        <f>IF(ISNUMBER(SEARCH('LARP Summary'!$E$3,B48)),MAX(A$1:$B47)+1,0)</f>
        <v>47</v>
      </c>
      <c r="B48" s="346" t="s">
        <v>192</v>
      </c>
      <c r="D48" s="213" t="str">
        <f ca="1"/>
        <v>Darlington Borough Council</v>
      </c>
      <c r="E48" s="212" t="str">
        <f>IFERROR(VLOOKUP(ROWS($E$2:E48),$A$2:$B$225,2,0),"")</f>
        <v>Darlington Borough Council</v>
      </c>
    </row>
    <row r="49" spans="1:5" x14ac:dyDescent="0.35">
      <c r="A49" s="210">
        <f>IF(ISNUMBER(SEARCH('LARP Summary'!$E$3,B49)),MAX(A$1:$B48)+1,0)</f>
        <v>48</v>
      </c>
      <c r="B49" s="346" t="s">
        <v>195</v>
      </c>
      <c r="D49" s="213" t="str">
        <f ca="1"/>
        <v>Dartford Borough Council</v>
      </c>
      <c r="E49" s="212" t="str">
        <f>IFERROR(VLOOKUP(ROWS($E$2:E49),$A$2:$B$225,2,0),"")</f>
        <v>Dartford Borough Council</v>
      </c>
    </row>
    <row r="50" spans="1:5" x14ac:dyDescent="0.35">
      <c r="A50" s="210">
        <f>IF(ISNUMBER(SEARCH('LARP Summary'!$E$3,B50)),MAX(A$1:$B49)+1,0)</f>
        <v>49</v>
      </c>
      <c r="B50" s="346" t="s">
        <v>198</v>
      </c>
      <c r="D50" s="213" t="str">
        <f ca="1"/>
        <v>Derby City Council</v>
      </c>
      <c r="E50" s="212" t="str">
        <f>IFERROR(VLOOKUP(ROWS($E$2:E50),$A$2:$B$225,2,0),"")</f>
        <v>Derby City Council</v>
      </c>
    </row>
    <row r="51" spans="1:5" x14ac:dyDescent="0.35">
      <c r="A51" s="210">
        <f>IF(ISNUMBER(SEARCH('LARP Summary'!$E$3,B51)),MAX(A$1:$B50)+1,0)</f>
        <v>50</v>
      </c>
      <c r="B51" s="346" t="s">
        <v>787</v>
      </c>
      <c r="D51" s="213" t="str">
        <f ca="1"/>
        <v>Derbyshire Dales District Council</v>
      </c>
      <c r="E51" s="212" t="str">
        <f>IFERROR(VLOOKUP(ROWS($E$2:E51),$A$2:$B$225,2,0),"")</f>
        <v>Derbyshire Dales District Council</v>
      </c>
    </row>
    <row r="52" spans="1:5" x14ac:dyDescent="0.35">
      <c r="A52" s="210">
        <f>IF(ISNUMBER(SEARCH('LARP Summary'!$E$3,B52)),MAX(A$1:$B51)+1,0)</f>
        <v>51</v>
      </c>
      <c r="B52" s="346" t="s">
        <v>790</v>
      </c>
      <c r="D52" s="213" t="str">
        <f ca="1"/>
        <v>Dorset Council</v>
      </c>
      <c r="E52" s="212" t="str">
        <f>IFERROR(VLOOKUP(ROWS($E$2:E52),$A$2:$B$225,2,0),"")</f>
        <v>Dorset Council</v>
      </c>
    </row>
    <row r="53" spans="1:5" x14ac:dyDescent="0.35">
      <c r="A53" s="210">
        <f>IF(ISNUMBER(SEARCH('LARP Summary'!$E$3,B53)),MAX(A$1:$B52)+1,0)</f>
        <v>52</v>
      </c>
      <c r="B53" s="346" t="s">
        <v>203</v>
      </c>
      <c r="D53" s="213" t="str">
        <f ca="1"/>
        <v>Dover District Council</v>
      </c>
      <c r="E53" s="212" t="str">
        <f>IFERROR(VLOOKUP(ROWS($E$2:E53),$A$2:$B$225,2,0),"")</f>
        <v>Dover District Council</v>
      </c>
    </row>
    <row r="54" spans="1:5" x14ac:dyDescent="0.35">
      <c r="A54" s="210">
        <f>IF(ISNUMBER(SEARCH('LARP Summary'!$E$3,B54)),MAX(A$1:$B53)+1,0)</f>
        <v>53</v>
      </c>
      <c r="B54" s="346" t="s">
        <v>206</v>
      </c>
      <c r="D54" s="213" t="str">
        <f ca="1"/>
        <v>Dudley Metropolitan Borough Council</v>
      </c>
      <c r="E54" s="212" t="str">
        <f>IFERROR(VLOOKUP(ROWS($E$2:E54),$A$2:$B$225,2,0),"")</f>
        <v>Dudley Metropolitan Borough Council</v>
      </c>
    </row>
    <row r="55" spans="1:5" x14ac:dyDescent="0.35">
      <c r="A55" s="210">
        <f>IF(ISNUMBER(SEARCH('LARP Summary'!$E$3,B55)),MAX(A$1:$B54)+1,0)</f>
        <v>54</v>
      </c>
      <c r="B55" s="346" t="s">
        <v>209</v>
      </c>
      <c r="D55" s="213" t="str">
        <f ca="1"/>
        <v>Durham County Council</v>
      </c>
      <c r="E55" s="212" t="str">
        <f>IFERROR(VLOOKUP(ROWS($E$2:E55),$A$2:$B$225,2,0),"")</f>
        <v>Durham County Council</v>
      </c>
    </row>
    <row r="56" spans="1:5" x14ac:dyDescent="0.35">
      <c r="A56" s="210">
        <f>IF(ISNUMBER(SEARCH('LARP Summary'!$E$3,B56)),MAX(A$1:$B55)+1,0)</f>
        <v>55</v>
      </c>
      <c r="B56" s="346" t="s">
        <v>212</v>
      </c>
      <c r="D56" s="213" t="str">
        <f ca="1"/>
        <v>East Devon District Council</v>
      </c>
      <c r="E56" s="212" t="str">
        <f>IFERROR(VLOOKUP(ROWS($E$2:E56),$A$2:$B$225,2,0),"")</f>
        <v>East Devon District Council</v>
      </c>
    </row>
    <row r="57" spans="1:5" x14ac:dyDescent="0.35">
      <c r="A57" s="210">
        <f>IF(ISNUMBER(SEARCH('LARP Summary'!$E$3,B57)),MAX(A$1:$B56)+1,0)</f>
        <v>56</v>
      </c>
      <c r="B57" s="346" t="s">
        <v>215</v>
      </c>
      <c r="D57" s="213" t="str">
        <f ca="1"/>
        <v>East Hertfordshire District Council</v>
      </c>
      <c r="E57" s="212" t="str">
        <f>IFERROR(VLOOKUP(ROWS($E$2:E57),$A$2:$B$225,2,0),"")</f>
        <v>East Hertfordshire District Council</v>
      </c>
    </row>
    <row r="58" spans="1:5" x14ac:dyDescent="0.35">
      <c r="A58" s="210">
        <f>IF(ISNUMBER(SEARCH('LARP Summary'!$E$3,B58)),MAX(A$1:$B57)+1,0)</f>
        <v>57</v>
      </c>
      <c r="B58" s="346" t="s">
        <v>218</v>
      </c>
      <c r="D58" s="213" t="str">
        <f ca="1"/>
        <v>East Riding Of Yorkshire Council</v>
      </c>
      <c r="E58" s="212" t="str">
        <f>IFERROR(VLOOKUP(ROWS($E$2:E58),$A$2:$B$225,2,0),"")</f>
        <v>East Riding Of Yorkshire Council</v>
      </c>
    </row>
    <row r="59" spans="1:5" x14ac:dyDescent="0.35">
      <c r="A59" s="210">
        <f>IF(ISNUMBER(SEARCH('LARP Summary'!$E$3,B59)),MAX(A$1:$B58)+1,0)</f>
        <v>58</v>
      </c>
      <c r="B59" s="346" t="s">
        <v>221</v>
      </c>
      <c r="D59" s="213" t="str">
        <f ca="1"/>
        <v>East Suffolk Council</v>
      </c>
      <c r="E59" s="212" t="str">
        <f>IFERROR(VLOOKUP(ROWS($E$2:E59),$A$2:$B$225,2,0),"")</f>
        <v>East Suffolk Council</v>
      </c>
    </row>
    <row r="60" spans="1:5" x14ac:dyDescent="0.35">
      <c r="A60" s="210">
        <f>IF(ISNUMBER(SEARCH('LARP Summary'!$E$3,B60)),MAX(A$1:$B59)+1,0)</f>
        <v>59</v>
      </c>
      <c r="B60" s="346" t="s">
        <v>224</v>
      </c>
      <c r="D60" s="213" t="str">
        <f ca="1"/>
        <v>Eastbourne Borough Council</v>
      </c>
      <c r="E60" s="212" t="str">
        <f>IFERROR(VLOOKUP(ROWS($E$2:E60),$A$2:$B$225,2,0),"")</f>
        <v>Eastbourne Borough Council</v>
      </c>
    </row>
    <row r="61" spans="1:5" x14ac:dyDescent="0.35">
      <c r="A61" s="210">
        <f>IF(ISNUMBER(SEARCH('LARP Summary'!$E$3,B61)),MAX(A$1:$B60)+1,0)</f>
        <v>60</v>
      </c>
      <c r="B61" s="346" t="s">
        <v>861</v>
      </c>
      <c r="D61" s="213" t="str">
        <f ca="1"/>
        <v>Eastleigh Borough Council</v>
      </c>
      <c r="E61" s="212" t="str">
        <f>IFERROR(VLOOKUP(ROWS($E$2:E61),$A$2:$B$225,2,0),"")</f>
        <v>Eastleigh Borough Council</v>
      </c>
    </row>
    <row r="62" spans="1:5" x14ac:dyDescent="0.35">
      <c r="A62" s="210">
        <f>IF(ISNUMBER(SEARCH('LARP Summary'!$E$3,B62)),MAX(A$1:$B61)+1,0)</f>
        <v>61</v>
      </c>
      <c r="B62" s="346" t="s">
        <v>903</v>
      </c>
      <c r="D62" s="213" t="str">
        <f ca="1"/>
        <v>Eden District Council</v>
      </c>
      <c r="E62" s="212" t="str">
        <f>IFERROR(VLOOKUP(ROWS($E$2:E62),$A$2:$B$225,2,0),"")</f>
        <v>Eden District Council</v>
      </c>
    </row>
    <row r="63" spans="1:5" x14ac:dyDescent="0.35">
      <c r="A63" s="210">
        <f>IF(ISNUMBER(SEARCH('LARP Summary'!$E$3,B63)),MAX(A$1:$B62)+1,0)</f>
        <v>62</v>
      </c>
      <c r="B63" s="346" t="s">
        <v>227</v>
      </c>
      <c r="D63" s="213" t="str">
        <f ca="1"/>
        <v>Epping Forest District Council</v>
      </c>
      <c r="E63" s="212" t="str">
        <f>IFERROR(VLOOKUP(ROWS($E$2:E63),$A$2:$B$225,2,0),"")</f>
        <v>Epping Forest District Council</v>
      </c>
    </row>
    <row r="64" spans="1:5" x14ac:dyDescent="0.35">
      <c r="A64" s="210">
        <f>IF(ISNUMBER(SEARCH('LARP Summary'!$E$3,B64)),MAX(A$1:$B63)+1,0)</f>
        <v>63</v>
      </c>
      <c r="B64" s="346" t="s">
        <v>230</v>
      </c>
      <c r="D64" s="213" t="str">
        <f ca="1"/>
        <v>Exeter City Council</v>
      </c>
      <c r="E64" s="212" t="str">
        <f>IFERROR(VLOOKUP(ROWS($E$2:E64),$A$2:$B$225,2,0),"")</f>
        <v>Exeter City Council</v>
      </c>
    </row>
    <row r="65" spans="1:5" x14ac:dyDescent="0.35">
      <c r="A65" s="210">
        <f>IF(ISNUMBER(SEARCH('LARP Summary'!$E$3,B65)),MAX(A$1:$B64)+1,0)</f>
        <v>64</v>
      </c>
      <c r="B65" s="346" t="s">
        <v>233</v>
      </c>
      <c r="D65" s="213" t="str">
        <f ca="1"/>
        <v>Fareham Borough Council</v>
      </c>
      <c r="E65" s="212" t="str">
        <f>IFERROR(VLOOKUP(ROWS($E$2:E65),$A$2:$B$225,2,0),"")</f>
        <v>Fareham Borough Council</v>
      </c>
    </row>
    <row r="66" spans="1:5" x14ac:dyDescent="0.35">
      <c r="A66" s="210">
        <f>IF(ISNUMBER(SEARCH('LARP Summary'!$E$3,B66)),MAX(A$1:$B65)+1,0)</f>
        <v>65</v>
      </c>
      <c r="B66" s="346" t="s">
        <v>236</v>
      </c>
      <c r="D66" s="213" t="str">
        <f ca="1"/>
        <v>Folkestone and Hythe District Council</v>
      </c>
      <c r="E66" s="212" t="str">
        <f>IFERROR(VLOOKUP(ROWS($E$2:E66),$A$2:$B$225,2,0),"")</f>
        <v>Folkestone and Hythe District Council</v>
      </c>
    </row>
    <row r="67" spans="1:5" x14ac:dyDescent="0.35">
      <c r="A67" s="210">
        <f>IF(ISNUMBER(SEARCH('LARP Summary'!$E$3,B67)),MAX(A$1:$B66)+1,0)</f>
        <v>66</v>
      </c>
      <c r="B67" s="346" t="s">
        <v>239</v>
      </c>
      <c r="D67" s="213" t="str">
        <f ca="1"/>
        <v>Gateshead Metropolitan Borough Council</v>
      </c>
      <c r="E67" s="212" t="str">
        <f>IFERROR(VLOOKUP(ROWS($E$2:E67),$A$2:$B$225,2,0),"")</f>
        <v>Gateshead Metropolitan Borough Council</v>
      </c>
    </row>
    <row r="68" spans="1:5" x14ac:dyDescent="0.35">
      <c r="A68" s="210">
        <f>IF(ISNUMBER(SEARCH('LARP Summary'!$E$3,B68)),MAX(A$1:$B67)+1,0)</f>
        <v>67</v>
      </c>
      <c r="B68" s="346" t="s">
        <v>793</v>
      </c>
      <c r="D68" s="213" t="str">
        <f ca="1"/>
        <v>Gedling Borough Council</v>
      </c>
      <c r="E68" s="212" t="str">
        <f>IFERROR(VLOOKUP(ROWS($E$2:E68),$A$2:$B$225,2,0),"")</f>
        <v>Gedling Borough Council</v>
      </c>
    </row>
    <row r="69" spans="1:5" x14ac:dyDescent="0.35">
      <c r="A69" s="210">
        <f>IF(ISNUMBER(SEARCH('LARP Summary'!$E$3,B69)),MAX(A$1:$B68)+1,0)</f>
        <v>68</v>
      </c>
      <c r="B69" s="346" t="s">
        <v>242</v>
      </c>
      <c r="D69" s="213" t="str">
        <f ca="1"/>
        <v>Gloucester City Council</v>
      </c>
      <c r="E69" s="212" t="str">
        <f>IFERROR(VLOOKUP(ROWS($E$2:E69),$A$2:$B$225,2,0),"")</f>
        <v>Gloucester City Council</v>
      </c>
    </row>
    <row r="70" spans="1:5" x14ac:dyDescent="0.35">
      <c r="A70" s="210">
        <f>IF(ISNUMBER(SEARCH('LARP Summary'!$E$3,B70)),MAX(A$1:$B69)+1,0)</f>
        <v>69</v>
      </c>
      <c r="B70" s="346" t="s">
        <v>245</v>
      </c>
      <c r="D70" s="213" t="str">
        <f ca="1"/>
        <v>Gosport Borough Council</v>
      </c>
      <c r="E70" s="212" t="str">
        <f>IFERROR(VLOOKUP(ROWS($E$2:E70),$A$2:$B$225,2,0),"")</f>
        <v>Gosport Borough Council</v>
      </c>
    </row>
    <row r="71" spans="1:5" x14ac:dyDescent="0.35">
      <c r="A71" s="210">
        <f>IF(ISNUMBER(SEARCH('LARP Summary'!$E$3,B71)),MAX(A$1:$B70)+1,0)</f>
        <v>70</v>
      </c>
      <c r="B71" s="346" t="s">
        <v>248</v>
      </c>
      <c r="D71" s="213" t="str">
        <f ca="1"/>
        <v>Gravesham Borough Council</v>
      </c>
      <c r="E71" s="212" t="str">
        <f>IFERROR(VLOOKUP(ROWS($E$2:E71),$A$2:$B$225,2,0),"")</f>
        <v>Gravesham Borough Council</v>
      </c>
    </row>
    <row r="72" spans="1:5" x14ac:dyDescent="0.35">
      <c r="A72" s="210">
        <f>IF(ISNUMBER(SEARCH('LARP Summary'!$E$3,B72)),MAX(A$1:$B71)+1,0)</f>
        <v>71</v>
      </c>
      <c r="B72" s="346" t="s">
        <v>251</v>
      </c>
      <c r="D72" s="213" t="str">
        <f ca="1"/>
        <v>Great Yarmouth Borough Council</v>
      </c>
      <c r="E72" s="212" t="str">
        <f>IFERROR(VLOOKUP(ROWS($E$2:E72),$A$2:$B$225,2,0),"")</f>
        <v>Great Yarmouth Borough Council</v>
      </c>
    </row>
    <row r="73" spans="1:5" x14ac:dyDescent="0.35">
      <c r="A73" s="210">
        <f>IF(ISNUMBER(SEARCH('LARP Summary'!$E$3,B73)),MAX(A$1:$B72)+1,0)</f>
        <v>72</v>
      </c>
      <c r="B73" s="346" t="s">
        <v>254</v>
      </c>
      <c r="D73" s="213" t="str">
        <f ca="1"/>
        <v>Guildford Borough Council</v>
      </c>
      <c r="E73" s="212" t="str">
        <f>IFERROR(VLOOKUP(ROWS($E$2:E73),$A$2:$B$225,2,0),"")</f>
        <v>Guildford Borough Council</v>
      </c>
    </row>
    <row r="74" spans="1:5" x14ac:dyDescent="0.35">
      <c r="A74" s="210">
        <f>IF(ISNUMBER(SEARCH('LARP Summary'!$E$3,B74)),MAX(A$1:$B73)+1,0)</f>
        <v>73</v>
      </c>
      <c r="B74" s="346" t="s">
        <v>257</v>
      </c>
      <c r="D74" s="213" t="str">
        <f ca="1"/>
        <v>Haringey London Borough Council</v>
      </c>
      <c r="E74" s="212" t="str">
        <f>IFERROR(VLOOKUP(ROWS($E$2:E74),$A$2:$B$225,2,0),"")</f>
        <v>Haringey London Borough Council</v>
      </c>
    </row>
    <row r="75" spans="1:5" x14ac:dyDescent="0.35">
      <c r="A75" s="210">
        <f>IF(ISNUMBER(SEARCH('LARP Summary'!$E$3,B75)),MAX(A$1:$B74)+1,0)</f>
        <v>74</v>
      </c>
      <c r="B75" s="346" t="s">
        <v>260</v>
      </c>
      <c r="D75" s="213" t="str">
        <f ca="1"/>
        <v>Harlow District Council</v>
      </c>
      <c r="E75" s="212" t="str">
        <f>IFERROR(VLOOKUP(ROWS($E$2:E75),$A$2:$B$225,2,0),"")</f>
        <v>Harlow District Council</v>
      </c>
    </row>
    <row r="76" spans="1:5" x14ac:dyDescent="0.35">
      <c r="A76" s="210">
        <f>IF(ISNUMBER(SEARCH('LARP Summary'!$E$3,B76)),MAX(A$1:$B75)+1,0)</f>
        <v>75</v>
      </c>
      <c r="B76" s="346" t="s">
        <v>263</v>
      </c>
      <c r="D76" s="213" t="str">
        <f ca="1"/>
        <v>Harrogate Borough Council</v>
      </c>
      <c r="E76" s="212" t="str">
        <f>IFERROR(VLOOKUP(ROWS($E$2:E76),$A$2:$B$225,2,0),"")</f>
        <v>Harrogate Borough Council</v>
      </c>
    </row>
    <row r="77" spans="1:5" x14ac:dyDescent="0.35">
      <c r="A77" s="210">
        <f>IF(ISNUMBER(SEARCH('LARP Summary'!$E$3,B77)),MAX(A$1:$B76)+1,0)</f>
        <v>76</v>
      </c>
      <c r="B77" s="346" t="s">
        <v>266</v>
      </c>
      <c r="D77" s="213" t="str">
        <f ca="1"/>
        <v>Hartlepool Borough Council</v>
      </c>
      <c r="E77" s="212" t="str">
        <f>IFERROR(VLOOKUP(ROWS($E$2:E77),$A$2:$B$225,2,0),"")</f>
        <v>Hartlepool Borough Council</v>
      </c>
    </row>
    <row r="78" spans="1:5" x14ac:dyDescent="0.35">
      <c r="A78" s="210">
        <f>IF(ISNUMBER(SEARCH('LARP Summary'!$E$3,B78)),MAX(A$1:$B77)+1,0)</f>
        <v>77</v>
      </c>
      <c r="B78" s="346" t="s">
        <v>796</v>
      </c>
      <c r="D78" s="213" t="str">
        <f ca="1"/>
        <v>Hastings Borough Council</v>
      </c>
      <c r="E78" s="212" t="str">
        <f>IFERROR(VLOOKUP(ROWS($E$2:E78),$A$2:$B$225,2,0),"")</f>
        <v>Hastings Borough Council</v>
      </c>
    </row>
    <row r="79" spans="1:5" x14ac:dyDescent="0.35">
      <c r="A79" s="210">
        <f>IF(ISNUMBER(SEARCH('LARP Summary'!$E$3,B79)),MAX(A$1:$B78)+1,0)</f>
        <v>78</v>
      </c>
      <c r="B79" s="346" t="s">
        <v>799</v>
      </c>
      <c r="D79" s="213" t="str">
        <f ca="1"/>
        <v>Herefordshire Council</v>
      </c>
      <c r="E79" s="212" t="str">
        <f>IFERROR(VLOOKUP(ROWS($E$2:E79),$A$2:$B$225,2,0),"")</f>
        <v>Herefordshire Council</v>
      </c>
    </row>
    <row r="80" spans="1:5" x14ac:dyDescent="0.35">
      <c r="A80" s="210">
        <f>IF(ISNUMBER(SEARCH('LARP Summary'!$E$3,B80)),MAX(A$1:$B79)+1,0)</f>
        <v>79</v>
      </c>
      <c r="B80" s="346" t="s">
        <v>269</v>
      </c>
      <c r="D80" s="213" t="str">
        <f ca="1"/>
        <v>High Peak Borough Council</v>
      </c>
      <c r="E80" s="212" t="str">
        <f>IFERROR(VLOOKUP(ROWS($E$2:E80),$A$2:$B$225,2,0),"")</f>
        <v>High Peak Borough Council</v>
      </c>
    </row>
    <row r="81" spans="1:5" x14ac:dyDescent="0.35">
      <c r="A81" s="210">
        <f>IF(ISNUMBER(SEARCH('LARP Summary'!$E$3,B81)),MAX(A$1:$B80)+1,0)</f>
        <v>80</v>
      </c>
      <c r="B81" s="346" t="s">
        <v>272</v>
      </c>
      <c r="D81" s="213" t="str">
        <f ca="1"/>
        <v>Hinckley and Bosworth Borough Council</v>
      </c>
      <c r="E81" s="212" t="str">
        <f>IFERROR(VLOOKUP(ROWS($E$2:E81),$A$2:$B$225,2,0),"")</f>
        <v>Hinckley and Bosworth Borough Council</v>
      </c>
    </row>
    <row r="82" spans="1:5" x14ac:dyDescent="0.35">
      <c r="A82" s="210">
        <f>IF(ISNUMBER(SEARCH('LARP Summary'!$E$3,B82)),MAX(A$1:$B81)+1,0)</f>
        <v>81</v>
      </c>
      <c r="B82" s="346" t="s">
        <v>275</v>
      </c>
      <c r="D82" s="213" t="str">
        <f ca="1"/>
        <v>Ipswich Borough Council</v>
      </c>
      <c r="E82" s="212" t="str">
        <f>IFERROR(VLOOKUP(ROWS($E$2:E82),$A$2:$B$225,2,0),"")</f>
        <v>Ipswich Borough Council</v>
      </c>
    </row>
    <row r="83" spans="1:5" x14ac:dyDescent="0.35">
      <c r="A83" s="210">
        <f>IF(ISNUMBER(SEARCH('LARP Summary'!$E$3,B83)),MAX(A$1:$B82)+1,0)</f>
        <v>82</v>
      </c>
      <c r="B83" s="346" t="s">
        <v>864</v>
      </c>
      <c r="D83" s="213" t="str">
        <f ca="1"/>
        <v>Isle of Wight Council</v>
      </c>
      <c r="E83" s="212" t="str">
        <f>IFERROR(VLOOKUP(ROWS($E$2:E83),$A$2:$B$225,2,0),"")</f>
        <v>Isle of Wight Council</v>
      </c>
    </row>
    <row r="84" spans="1:5" x14ac:dyDescent="0.35">
      <c r="A84" s="210">
        <f>IF(ISNUMBER(SEARCH('LARP Summary'!$E$3,B84)),MAX(A$1:$B83)+1,0)</f>
        <v>83</v>
      </c>
      <c r="B84" s="346" t="s">
        <v>278</v>
      </c>
      <c r="D84" s="213" t="str">
        <f ca="1"/>
        <v>Kingston upon Hull City Council</v>
      </c>
      <c r="E84" s="212" t="str">
        <f>IFERROR(VLOOKUP(ROWS($E$2:E84),$A$2:$B$225,2,0),"")</f>
        <v>Kingston upon Hull City Council</v>
      </c>
    </row>
    <row r="85" spans="1:5" x14ac:dyDescent="0.35">
      <c r="A85" s="210">
        <f>IF(ISNUMBER(SEARCH('LARP Summary'!$E$3,B85)),MAX(A$1:$B84)+1,0)</f>
        <v>84</v>
      </c>
      <c r="B85" s="346" t="s">
        <v>281</v>
      </c>
      <c r="D85" s="213" t="str">
        <f ca="1"/>
        <v>Kirklees Metropolitan Borough Council</v>
      </c>
      <c r="E85" s="212" t="str">
        <f>IFERROR(VLOOKUP(ROWS($E$2:E85),$A$2:$B$225,2,0),"")</f>
        <v>Kirklees Metropolitan Borough Council</v>
      </c>
    </row>
    <row r="86" spans="1:5" x14ac:dyDescent="0.35">
      <c r="A86" s="210">
        <f>IF(ISNUMBER(SEARCH('LARP Summary'!$E$3,B86)),MAX(A$1:$B85)+1,0)</f>
        <v>85</v>
      </c>
      <c r="B86" s="346" t="s">
        <v>284</v>
      </c>
      <c r="D86" s="213" t="str">
        <f ca="1"/>
        <v>Lancaster City Council</v>
      </c>
      <c r="E86" s="212" t="str">
        <f>IFERROR(VLOOKUP(ROWS($E$2:E86),$A$2:$B$225,2,0),"")</f>
        <v>Lancaster City Council</v>
      </c>
    </row>
    <row r="87" spans="1:5" x14ac:dyDescent="0.35">
      <c r="A87" s="210">
        <f>IF(ISNUMBER(SEARCH('LARP Summary'!$E$3,B87)),MAX(A$1:$B86)+1,0)</f>
        <v>86</v>
      </c>
      <c r="B87" s="346" t="s">
        <v>287</v>
      </c>
      <c r="D87" s="213" t="str">
        <f ca="1"/>
        <v>Leeds City Council</v>
      </c>
      <c r="E87" s="212" t="str">
        <f>IFERROR(VLOOKUP(ROWS($E$2:E87),$A$2:$B$225,2,0),"")</f>
        <v>Leeds City Council</v>
      </c>
    </row>
    <row r="88" spans="1:5" x14ac:dyDescent="0.35">
      <c r="A88" s="210">
        <f>IF(ISNUMBER(SEARCH('LARP Summary'!$E$3,B88)),MAX(A$1:$B87)+1,0)</f>
        <v>87</v>
      </c>
      <c r="B88" s="346" t="s">
        <v>290</v>
      </c>
      <c r="D88" s="213" t="str">
        <f ca="1"/>
        <v>Leicester City Council</v>
      </c>
      <c r="E88" s="212" t="str">
        <f>IFERROR(VLOOKUP(ROWS($E$2:E88),$A$2:$B$225,2,0),"")</f>
        <v>Leicester City Council</v>
      </c>
    </row>
    <row r="89" spans="1:5" x14ac:dyDescent="0.35">
      <c r="A89" s="210">
        <f>IF(ISNUMBER(SEARCH('LARP Summary'!$E$3,B89)),MAX(A$1:$B88)+1,0)</f>
        <v>88</v>
      </c>
      <c r="B89" s="346" t="s">
        <v>293</v>
      </c>
      <c r="D89" s="213" t="str">
        <f ca="1"/>
        <v>Lewes District Council</v>
      </c>
      <c r="E89" s="212" t="str">
        <f>IFERROR(VLOOKUP(ROWS($E$2:E89),$A$2:$B$225,2,0),"")</f>
        <v>Lewes District Council</v>
      </c>
    </row>
    <row r="90" spans="1:5" x14ac:dyDescent="0.35">
      <c r="A90" s="210">
        <f>IF(ISNUMBER(SEARCH('LARP Summary'!$E$3,B90)),MAX(A$1:$B89)+1,0)</f>
        <v>89</v>
      </c>
      <c r="B90" s="346" t="s">
        <v>867</v>
      </c>
      <c r="D90" s="213" t="str">
        <f ca="1"/>
        <v>Lichfield District Council</v>
      </c>
      <c r="E90" s="212" t="str">
        <f>IFERROR(VLOOKUP(ROWS($E$2:E90),$A$2:$B$225,2,0),"")</f>
        <v>Lichfield District Council</v>
      </c>
    </row>
    <row r="91" spans="1:5" x14ac:dyDescent="0.35">
      <c r="A91" s="210">
        <f>IF(ISNUMBER(SEARCH('LARP Summary'!$E$3,B91)),MAX(A$1:$B90)+1,0)</f>
        <v>90</v>
      </c>
      <c r="B91" s="346" t="s">
        <v>907</v>
      </c>
      <c r="D91" s="213" t="str">
        <f ca="1"/>
        <v>Liverpool City Council</v>
      </c>
      <c r="E91" s="212" t="str">
        <f>IFERROR(VLOOKUP(ROWS($E$2:E91),$A$2:$B$225,2,0),"")</f>
        <v>Liverpool City Council</v>
      </c>
    </row>
    <row r="92" spans="1:5" x14ac:dyDescent="0.35">
      <c r="A92" s="210">
        <f>IF(ISNUMBER(SEARCH('LARP Summary'!$E$3,B92)),MAX(A$1:$B91)+1,0)</f>
        <v>91</v>
      </c>
      <c r="B92" s="346" t="s">
        <v>298</v>
      </c>
      <c r="D92" s="213" t="str">
        <f ca="1"/>
        <v>London Borough of Barking and Dagenham</v>
      </c>
      <c r="E92" s="212" t="str">
        <f>IFERROR(VLOOKUP(ROWS($E$2:E92),$A$2:$B$225,2,0),"")</f>
        <v>London Borough of Barking and Dagenham</v>
      </c>
    </row>
    <row r="93" spans="1:5" x14ac:dyDescent="0.35">
      <c r="A93" s="210">
        <f>IF(ISNUMBER(SEARCH('LARP Summary'!$E$3,B93)),MAX(A$1:$B92)+1,0)</f>
        <v>92</v>
      </c>
      <c r="B93" s="346" t="s">
        <v>301</v>
      </c>
      <c r="D93" s="213" t="str">
        <f ca="1"/>
        <v>London Borough of Barnet</v>
      </c>
      <c r="E93" s="212" t="str">
        <f>IFERROR(VLOOKUP(ROWS($E$2:E93),$A$2:$B$225,2,0),"")</f>
        <v>London Borough of Barnet</v>
      </c>
    </row>
    <row r="94" spans="1:5" x14ac:dyDescent="0.35">
      <c r="A94" s="210">
        <f>IF(ISNUMBER(SEARCH('LARP Summary'!$E$3,B94)),MAX(A$1:$B93)+1,0)</f>
        <v>93</v>
      </c>
      <c r="B94" s="346" t="s">
        <v>304</v>
      </c>
      <c r="D94" s="213" t="str">
        <f ca="1"/>
        <v>London Borough of Bexley</v>
      </c>
      <c r="E94" s="212" t="str">
        <f>IFERROR(VLOOKUP(ROWS($E$2:E94),$A$2:$B$225,2,0),"")</f>
        <v>London Borough of Bexley</v>
      </c>
    </row>
    <row r="95" spans="1:5" x14ac:dyDescent="0.35">
      <c r="A95" s="210">
        <f>IF(ISNUMBER(SEARCH('LARP Summary'!$E$3,B95)),MAX(A$1:$B94)+1,0)</f>
        <v>94</v>
      </c>
      <c r="B95" s="346" t="s">
        <v>307</v>
      </c>
      <c r="D95" s="213" t="str">
        <f ca="1"/>
        <v>London Borough of Brent</v>
      </c>
      <c r="E95" s="212" t="str">
        <f>IFERROR(VLOOKUP(ROWS($E$2:E95),$A$2:$B$225,2,0),"")</f>
        <v>London Borough of Brent</v>
      </c>
    </row>
    <row r="96" spans="1:5" x14ac:dyDescent="0.35">
      <c r="A96" s="210">
        <f>IF(ISNUMBER(SEARCH('LARP Summary'!$E$3,B96)),MAX(A$1:$B95)+1,0)</f>
        <v>95</v>
      </c>
      <c r="B96" s="346" t="s">
        <v>802</v>
      </c>
      <c r="D96" s="213" t="str">
        <f ca="1"/>
        <v>London Borough of Bromley</v>
      </c>
      <c r="E96" s="212" t="str">
        <f>IFERROR(VLOOKUP(ROWS($E$2:E96),$A$2:$B$225,2,0),"")</f>
        <v>London Borough of Bromley</v>
      </c>
    </row>
    <row r="97" spans="1:5" x14ac:dyDescent="0.35">
      <c r="A97" s="210">
        <f>IF(ISNUMBER(SEARCH('LARP Summary'!$E$3,B97)),MAX(A$1:$B96)+1,0)</f>
        <v>96</v>
      </c>
      <c r="B97" s="346" t="s">
        <v>310</v>
      </c>
      <c r="D97" s="213" t="str">
        <f ca="1"/>
        <v>London Borough of Camden Council</v>
      </c>
      <c r="E97" s="212" t="str">
        <f>IFERROR(VLOOKUP(ROWS($E$2:E97),$A$2:$B$225,2,0),"")</f>
        <v>London Borough of Camden Council</v>
      </c>
    </row>
    <row r="98" spans="1:5" x14ac:dyDescent="0.35">
      <c r="A98" s="210">
        <f>IF(ISNUMBER(SEARCH('LARP Summary'!$E$3,B98)),MAX(A$1:$B97)+1,0)</f>
        <v>97</v>
      </c>
      <c r="B98" s="346" t="s">
        <v>313</v>
      </c>
      <c r="D98" s="213" t="str">
        <f ca="1"/>
        <v>London Borough of Croydon</v>
      </c>
      <c r="E98" s="212" t="str">
        <f>IFERROR(VLOOKUP(ROWS($E$2:E98),$A$2:$B$225,2,0),"")</f>
        <v>London Borough of Croydon</v>
      </c>
    </row>
    <row r="99" spans="1:5" x14ac:dyDescent="0.35">
      <c r="A99" s="210">
        <f>IF(ISNUMBER(SEARCH('LARP Summary'!$E$3,B99)),MAX(A$1:$B98)+1,0)</f>
        <v>98</v>
      </c>
      <c r="B99" s="346" t="s">
        <v>316</v>
      </c>
      <c r="D99" s="213" t="str">
        <f ca="1"/>
        <v>London Borough of Ealing</v>
      </c>
      <c r="E99" s="212" t="str">
        <f>IFERROR(VLOOKUP(ROWS($E$2:E99),$A$2:$B$225,2,0),"")</f>
        <v>London Borough of Ealing</v>
      </c>
    </row>
    <row r="100" spans="1:5" x14ac:dyDescent="0.35">
      <c r="A100" s="210">
        <f>IF(ISNUMBER(SEARCH('LARP Summary'!$E$3,B100)),MAX(A$1:$B99)+1,0)</f>
        <v>99</v>
      </c>
      <c r="B100" s="346" t="s">
        <v>319</v>
      </c>
      <c r="D100" s="213" t="str">
        <f ca="1"/>
        <v>London Borough of Enfield</v>
      </c>
      <c r="E100" s="212" t="str">
        <f>IFERROR(VLOOKUP(ROWS($E$2:E100),$A$2:$B$225,2,0),"")</f>
        <v>London Borough of Enfield</v>
      </c>
    </row>
    <row r="101" spans="1:5" x14ac:dyDescent="0.35">
      <c r="A101" s="210">
        <f>IF(ISNUMBER(SEARCH('LARP Summary'!$E$3,B101)),MAX(A$1:$B100)+1,0)</f>
        <v>100</v>
      </c>
      <c r="B101" s="346" t="s">
        <v>324</v>
      </c>
      <c r="D101" s="213" t="str">
        <f ca="1"/>
        <v>London Borough of Hackney</v>
      </c>
      <c r="E101" s="212" t="str">
        <f>IFERROR(VLOOKUP(ROWS($E$2:E101),$A$2:$B$225,2,0),"")</f>
        <v>London Borough of Hackney</v>
      </c>
    </row>
    <row r="102" spans="1:5" x14ac:dyDescent="0.35">
      <c r="A102" s="210">
        <f>IF(ISNUMBER(SEARCH('LARP Summary'!$E$3,B102)),MAX(A$1:$B101)+1,0)</f>
        <v>101</v>
      </c>
      <c r="B102" s="346" t="s">
        <v>327</v>
      </c>
      <c r="D102" s="213" t="str">
        <f ca="1"/>
        <v>London Borough of Hammersmith and Fulham</v>
      </c>
      <c r="E102" s="212" t="str">
        <f>IFERROR(VLOOKUP(ROWS($E$2:E102),$A$2:$B$225,2,0),"")</f>
        <v>London Borough of Hammersmith and Fulham</v>
      </c>
    </row>
    <row r="103" spans="1:5" x14ac:dyDescent="0.35">
      <c r="A103" s="210">
        <f>IF(ISNUMBER(SEARCH('LARP Summary'!$E$3,B103)),MAX(A$1:$B102)+1,0)</f>
        <v>102</v>
      </c>
      <c r="B103" s="346" t="s">
        <v>330</v>
      </c>
      <c r="D103" s="213" t="str">
        <f ca="1"/>
        <v>London Borough of Harrow</v>
      </c>
      <c r="E103" s="212" t="str">
        <f>IFERROR(VLOOKUP(ROWS($E$2:E103),$A$2:$B$225,2,0),"")</f>
        <v>London Borough of Harrow</v>
      </c>
    </row>
    <row r="104" spans="1:5" x14ac:dyDescent="0.35">
      <c r="A104" s="210">
        <f>IF(ISNUMBER(SEARCH('LARP Summary'!$E$3,B104)),MAX(A$1:$B103)+1,0)</f>
        <v>103</v>
      </c>
      <c r="B104" s="346" t="s">
        <v>333</v>
      </c>
      <c r="D104" s="213" t="str">
        <f ca="1"/>
        <v>London Borough of Havering Council</v>
      </c>
      <c r="E104" s="212" t="str">
        <f>IFERROR(VLOOKUP(ROWS($E$2:E104),$A$2:$B$225,2,0),"")</f>
        <v>London Borough of Havering Council</v>
      </c>
    </row>
    <row r="105" spans="1:5" x14ac:dyDescent="0.35">
      <c r="A105" s="210">
        <f>IF(ISNUMBER(SEARCH('LARP Summary'!$E$3,B105)),MAX(A$1:$B104)+1,0)</f>
        <v>104</v>
      </c>
      <c r="B105" s="346" t="s">
        <v>336</v>
      </c>
      <c r="D105" s="213" t="str">
        <f ca="1"/>
        <v>London Borough of Hillingdon</v>
      </c>
      <c r="E105" s="212" t="str">
        <f>IFERROR(VLOOKUP(ROWS($E$2:E105),$A$2:$B$225,2,0),"")</f>
        <v>London Borough of Hillingdon</v>
      </c>
    </row>
    <row r="106" spans="1:5" x14ac:dyDescent="0.35">
      <c r="A106" s="210">
        <f>IF(ISNUMBER(SEARCH('LARP Summary'!$E$3,B106)),MAX(A$1:$B105)+1,0)</f>
        <v>105</v>
      </c>
      <c r="B106" s="346" t="s">
        <v>339</v>
      </c>
      <c r="D106" s="213" t="str">
        <f ca="1"/>
        <v>London Borough of Hounslow</v>
      </c>
      <c r="E106" s="212" t="str">
        <f>IFERROR(VLOOKUP(ROWS($E$2:E106),$A$2:$B$225,2,0),"")</f>
        <v>London Borough of Hounslow</v>
      </c>
    </row>
    <row r="107" spans="1:5" x14ac:dyDescent="0.35">
      <c r="A107" s="210">
        <f>IF(ISNUMBER(SEARCH('LARP Summary'!$E$3,B107)),MAX(A$1:$B106)+1,0)</f>
        <v>106</v>
      </c>
      <c r="B107" s="346" t="s">
        <v>342</v>
      </c>
      <c r="D107" s="213" t="str">
        <f ca="1"/>
        <v>London Borough of Islington</v>
      </c>
      <c r="E107" s="212" t="str">
        <f>IFERROR(VLOOKUP(ROWS($E$2:E107),$A$2:$B$225,2,0),"")</f>
        <v>London Borough of Islington</v>
      </c>
    </row>
    <row r="108" spans="1:5" x14ac:dyDescent="0.35">
      <c r="A108" s="210">
        <f>IF(ISNUMBER(SEARCH('LARP Summary'!$E$3,B108)),MAX(A$1:$B107)+1,0)</f>
        <v>107</v>
      </c>
      <c r="B108" s="346" t="s">
        <v>345</v>
      </c>
      <c r="D108" s="213" t="str">
        <f ca="1"/>
        <v>London Borough of Lambeth</v>
      </c>
      <c r="E108" s="212" t="str">
        <f>IFERROR(VLOOKUP(ROWS($E$2:E108),$A$2:$B$225,2,0),"")</f>
        <v>London Borough of Lambeth</v>
      </c>
    </row>
    <row r="109" spans="1:5" x14ac:dyDescent="0.35">
      <c r="A109" s="210">
        <f>IF(ISNUMBER(SEARCH('LARP Summary'!$E$3,B109)),MAX(A$1:$B108)+1,0)</f>
        <v>108</v>
      </c>
      <c r="B109" s="346" t="s">
        <v>348</v>
      </c>
      <c r="D109" s="213" t="str">
        <f ca="1"/>
        <v>London Borough of Lewisham</v>
      </c>
      <c r="E109" s="212" t="str">
        <f>IFERROR(VLOOKUP(ROWS($E$2:E109),$A$2:$B$225,2,0),"")</f>
        <v>London Borough of Lewisham</v>
      </c>
    </row>
    <row r="110" spans="1:5" x14ac:dyDescent="0.35">
      <c r="A110" s="210">
        <f>IF(ISNUMBER(SEARCH('LARP Summary'!$E$3,B110)),MAX(A$1:$B109)+1,0)</f>
        <v>109</v>
      </c>
      <c r="B110" s="346" t="s">
        <v>351</v>
      </c>
      <c r="D110" s="213" t="str">
        <f ca="1"/>
        <v>London Borough of Merton</v>
      </c>
      <c r="E110" s="212" t="str">
        <f>IFERROR(VLOOKUP(ROWS($E$2:E110),$A$2:$B$225,2,0),"")</f>
        <v>London Borough of Merton</v>
      </c>
    </row>
    <row r="111" spans="1:5" x14ac:dyDescent="0.35">
      <c r="A111" s="210">
        <f>IF(ISNUMBER(SEARCH('LARP Summary'!$E$3,B111)),MAX(A$1:$B110)+1,0)</f>
        <v>110</v>
      </c>
      <c r="B111" s="346" t="s">
        <v>354</v>
      </c>
      <c r="D111" s="213" t="str">
        <f ca="1"/>
        <v>London Borough of Newham</v>
      </c>
      <c r="E111" s="212" t="str">
        <f>IFERROR(VLOOKUP(ROWS($E$2:E111),$A$2:$B$225,2,0),"")</f>
        <v>London Borough of Newham</v>
      </c>
    </row>
    <row r="112" spans="1:5" x14ac:dyDescent="0.35">
      <c r="A112" s="210">
        <f>IF(ISNUMBER(SEARCH('LARP Summary'!$E$3,B112)),MAX(A$1:$B111)+1,0)</f>
        <v>111</v>
      </c>
      <c r="B112" s="346" t="s">
        <v>357</v>
      </c>
      <c r="D112" s="213" t="str">
        <f ca="1"/>
        <v>London Borough of Redbridge</v>
      </c>
      <c r="E112" s="212" t="str">
        <f>IFERROR(VLOOKUP(ROWS($E$2:E112),$A$2:$B$225,2,0),"")</f>
        <v>London Borough of Redbridge</v>
      </c>
    </row>
    <row r="113" spans="1:5" x14ac:dyDescent="0.35">
      <c r="A113" s="210">
        <f>IF(ISNUMBER(SEARCH('LARP Summary'!$E$3,B113)),MAX(A$1:$B112)+1,0)</f>
        <v>112</v>
      </c>
      <c r="B113" s="346" t="s">
        <v>360</v>
      </c>
      <c r="D113" s="213" t="str">
        <f ca="1"/>
        <v>London Borough of Sutton</v>
      </c>
      <c r="E113" s="212" t="str">
        <f>IFERROR(VLOOKUP(ROWS($E$2:E113),$A$2:$B$225,2,0),"")</f>
        <v>London Borough of Sutton</v>
      </c>
    </row>
    <row r="114" spans="1:5" x14ac:dyDescent="0.35">
      <c r="A114" s="210">
        <f>IF(ISNUMBER(SEARCH('LARP Summary'!$E$3,B114)),MAX(A$1:$B113)+1,0)</f>
        <v>113</v>
      </c>
      <c r="B114" s="346" t="s">
        <v>363</v>
      </c>
      <c r="D114" s="213" t="str">
        <f ca="1"/>
        <v>London Borough of Tower Hamlets</v>
      </c>
      <c r="E114" s="212" t="str">
        <f>IFERROR(VLOOKUP(ROWS($E$2:E114),$A$2:$B$225,2,0),"")</f>
        <v>London Borough of Tower Hamlets</v>
      </c>
    </row>
    <row r="115" spans="1:5" x14ac:dyDescent="0.35">
      <c r="A115" s="210">
        <f>IF(ISNUMBER(SEARCH('LARP Summary'!$E$3,B115)),MAX(A$1:$B114)+1,0)</f>
        <v>114</v>
      </c>
      <c r="B115" s="346" t="s">
        <v>366</v>
      </c>
      <c r="D115" s="213" t="str">
        <f ca="1"/>
        <v>London Borough of Waltham Forest</v>
      </c>
      <c r="E115" s="212" t="str">
        <f>IFERROR(VLOOKUP(ROWS($E$2:E115),$A$2:$B$225,2,0),"")</f>
        <v>London Borough of Waltham Forest</v>
      </c>
    </row>
    <row r="116" spans="1:5" x14ac:dyDescent="0.35">
      <c r="A116" s="210">
        <f>IF(ISNUMBER(SEARCH('LARP Summary'!$E$3,B116)),MAX(A$1:$B115)+1,0)</f>
        <v>115</v>
      </c>
      <c r="B116" s="346" t="s">
        <v>369</v>
      </c>
      <c r="D116" s="213" t="str">
        <f ca="1"/>
        <v>London Borough of Wandsworth</v>
      </c>
      <c r="E116" s="212" t="str">
        <f>IFERROR(VLOOKUP(ROWS($E$2:E116),$A$2:$B$225,2,0),"")</f>
        <v>London Borough of Wandsworth</v>
      </c>
    </row>
    <row r="117" spans="1:5" x14ac:dyDescent="0.35">
      <c r="A117" s="210">
        <f>IF(ISNUMBER(SEARCH('LARP Summary'!$E$3,B117)),MAX(A$1:$B116)+1,0)</f>
        <v>116</v>
      </c>
      <c r="B117" s="346" t="s">
        <v>372</v>
      </c>
      <c r="D117" s="213" t="str">
        <f ca="1"/>
        <v>Luton Borough Council</v>
      </c>
      <c r="E117" s="212" t="str">
        <f>IFERROR(VLOOKUP(ROWS($E$2:E117),$A$2:$B$225,2,0),"")</f>
        <v>Luton Borough Council</v>
      </c>
    </row>
    <row r="118" spans="1:5" x14ac:dyDescent="0.35">
      <c r="A118" s="210">
        <f>IF(ISNUMBER(SEARCH('LARP Summary'!$E$3,B118)),MAX(A$1:$B117)+1,0)</f>
        <v>117</v>
      </c>
      <c r="B118" s="346" t="s">
        <v>375</v>
      </c>
      <c r="D118" s="213" t="str">
        <f ca="1"/>
        <v>Maidstone Borough Council</v>
      </c>
      <c r="E118" s="212" t="str">
        <f>IFERROR(VLOOKUP(ROWS($E$2:E118),$A$2:$B$225,2,0),"")</f>
        <v>Maidstone Borough Council</v>
      </c>
    </row>
    <row r="119" spans="1:5" x14ac:dyDescent="0.35">
      <c r="A119" s="210">
        <f>IF(ISNUMBER(SEARCH('LARP Summary'!$E$3,B119)),MAX(A$1:$B118)+1,0)</f>
        <v>118</v>
      </c>
      <c r="B119" s="346" t="s">
        <v>378</v>
      </c>
      <c r="D119" s="213" t="str">
        <f ca="1"/>
        <v>Manchester City Council</v>
      </c>
      <c r="E119" s="212" t="str">
        <f>IFERROR(VLOOKUP(ROWS($E$2:E119),$A$2:$B$225,2,0),"")</f>
        <v>Manchester City Council</v>
      </c>
    </row>
    <row r="120" spans="1:5" x14ac:dyDescent="0.35">
      <c r="A120" s="210">
        <f>IF(ISNUMBER(SEARCH('LARP Summary'!$E$3,B120)),MAX(A$1:$B119)+1,0)</f>
        <v>119</v>
      </c>
      <c r="B120" s="346" t="s">
        <v>381</v>
      </c>
      <c r="D120" s="213" t="str">
        <f ca="1"/>
        <v>Mansfield District Council</v>
      </c>
      <c r="E120" s="212" t="str">
        <f>IFERROR(VLOOKUP(ROWS($E$2:E120),$A$2:$B$225,2,0),"")</f>
        <v>Mansfield District Council</v>
      </c>
    </row>
    <row r="121" spans="1:5" x14ac:dyDescent="0.35">
      <c r="A121" s="210">
        <f>IF(ISNUMBER(SEARCH('LARP Summary'!$E$3,B121)),MAX(A$1:$B120)+1,0)</f>
        <v>120</v>
      </c>
      <c r="B121" s="346" t="s">
        <v>384</v>
      </c>
      <c r="D121" s="213" t="str">
        <f ca="1"/>
        <v>Medway Council</v>
      </c>
      <c r="E121" s="212" t="str">
        <f>IFERROR(VLOOKUP(ROWS($E$2:E121),$A$2:$B$225,2,0),"")</f>
        <v>Medway Council</v>
      </c>
    </row>
    <row r="122" spans="1:5" x14ac:dyDescent="0.35">
      <c r="A122" s="210">
        <f>IF(ISNUMBER(SEARCH('LARP Summary'!$E$3,B122)),MAX(A$1:$B121)+1,0)</f>
        <v>121</v>
      </c>
      <c r="B122" s="346" t="s">
        <v>387</v>
      </c>
      <c r="D122" s="213" t="str">
        <f ca="1"/>
        <v>Melton Borough Council</v>
      </c>
      <c r="E122" s="212" t="str">
        <f>IFERROR(VLOOKUP(ROWS($E$2:E122),$A$2:$B$225,2,0),"")</f>
        <v>Melton Borough Council</v>
      </c>
    </row>
    <row r="123" spans="1:5" x14ac:dyDescent="0.35">
      <c r="A123" s="210">
        <f>IF(ISNUMBER(SEARCH('LARP Summary'!$E$3,B123)),MAX(A$1:$B122)+1,0)</f>
        <v>122</v>
      </c>
      <c r="B123" s="346" t="s">
        <v>390</v>
      </c>
      <c r="D123" s="213" t="str">
        <f ca="1"/>
        <v>Mid Devon District Council</v>
      </c>
      <c r="E123" s="212" t="str">
        <f>IFERROR(VLOOKUP(ROWS($E$2:E123),$A$2:$B$225,2,0),"")</f>
        <v>Mid Devon District Council</v>
      </c>
    </row>
    <row r="124" spans="1:5" x14ac:dyDescent="0.35">
      <c r="A124" s="210">
        <f>IF(ISNUMBER(SEARCH('LARP Summary'!$E$3,B124)),MAX(A$1:$B123)+1,0)</f>
        <v>123</v>
      </c>
      <c r="B124" s="346" t="s">
        <v>393</v>
      </c>
      <c r="D124" s="213" t="str">
        <f ca="1"/>
        <v>Mid Suffolk District Council</v>
      </c>
      <c r="E124" s="212" t="str">
        <f>IFERROR(VLOOKUP(ROWS($E$2:E124),$A$2:$B$225,2,0),"")</f>
        <v>Mid Suffolk District Council</v>
      </c>
    </row>
    <row r="125" spans="1:5" x14ac:dyDescent="0.35">
      <c r="A125" s="210">
        <f>IF(ISNUMBER(SEARCH('LARP Summary'!$E$3,B125)),MAX(A$1:$B124)+1,0)</f>
        <v>124</v>
      </c>
      <c r="B125" s="346" t="s">
        <v>396</v>
      </c>
      <c r="D125" s="213" t="str">
        <f ca="1"/>
        <v>Middlesbrough Council</v>
      </c>
      <c r="E125" s="212" t="str">
        <f>IFERROR(VLOOKUP(ROWS($E$2:E125),$A$2:$B$225,2,0),"")</f>
        <v>Middlesbrough Council</v>
      </c>
    </row>
    <row r="126" spans="1:5" x14ac:dyDescent="0.35">
      <c r="A126" s="210">
        <f>IF(ISNUMBER(SEARCH('LARP Summary'!$E$3,B126)),MAX(A$1:$B125)+1,0)</f>
        <v>125</v>
      </c>
      <c r="B126" s="346" t="s">
        <v>399</v>
      </c>
      <c r="D126" s="213" t="str">
        <f ca="1"/>
        <v>Milton Keynes Council</v>
      </c>
      <c r="E126" s="212" t="str">
        <f>IFERROR(VLOOKUP(ROWS($E$2:E126),$A$2:$B$225,2,0),"")</f>
        <v>Milton Keynes Council</v>
      </c>
    </row>
    <row r="127" spans="1:5" x14ac:dyDescent="0.35">
      <c r="A127" s="210">
        <f>IF(ISNUMBER(SEARCH('LARP Summary'!$E$3,B127)),MAX(A$1:$B126)+1,0)</f>
        <v>126</v>
      </c>
      <c r="B127" s="346" t="s">
        <v>402</v>
      </c>
      <c r="D127" s="213" t="str">
        <f ca="1"/>
        <v>Mole Valley District Council</v>
      </c>
      <c r="E127" s="212" t="str">
        <f>IFERROR(VLOOKUP(ROWS($E$2:E127),$A$2:$B$225,2,0),"")</f>
        <v>Mole Valley District Council</v>
      </c>
    </row>
    <row r="128" spans="1:5" x14ac:dyDescent="0.35">
      <c r="A128" s="210">
        <f>IF(ISNUMBER(SEARCH('LARP Summary'!$E$3,B128)),MAX(A$1:$B127)+1,0)</f>
        <v>127</v>
      </c>
      <c r="B128" s="346" t="s">
        <v>405</v>
      </c>
      <c r="D128" s="213" t="str">
        <f ca="1"/>
        <v>New Forest District Council</v>
      </c>
      <c r="E128" s="212" t="str">
        <f>IFERROR(VLOOKUP(ROWS($E$2:E128),$A$2:$B$225,2,0),"")</f>
        <v>New Forest District Council</v>
      </c>
    </row>
    <row r="129" spans="1:5" x14ac:dyDescent="0.35">
      <c r="A129" s="210">
        <f>IF(ISNUMBER(SEARCH('LARP Summary'!$E$3,B129)),MAX(A$1:$B128)+1,0)</f>
        <v>128</v>
      </c>
      <c r="B129" s="346" t="s">
        <v>408</v>
      </c>
      <c r="D129" s="213" t="str">
        <f ca="1"/>
        <v>Newark and Sherwood District Council</v>
      </c>
      <c r="E129" s="212" t="str">
        <f>IFERROR(VLOOKUP(ROWS($E$2:E129),$A$2:$B$225,2,0),"")</f>
        <v>Newark and Sherwood District Council</v>
      </c>
    </row>
    <row r="130" spans="1:5" x14ac:dyDescent="0.35">
      <c r="A130" s="210">
        <f>IF(ISNUMBER(SEARCH('LARP Summary'!$E$3,B130)),MAX(A$1:$B129)+1,0)</f>
        <v>129</v>
      </c>
      <c r="B130" s="346" t="s">
        <v>411</v>
      </c>
      <c r="D130" s="213" t="str">
        <f ca="1"/>
        <v>Newcastle City Council</v>
      </c>
      <c r="E130" s="212" t="str">
        <f>IFERROR(VLOOKUP(ROWS($E$2:E130),$A$2:$B$225,2,0),"")</f>
        <v>Newcastle City Council</v>
      </c>
    </row>
    <row r="131" spans="1:5" x14ac:dyDescent="0.35">
      <c r="A131" s="210">
        <f>IF(ISNUMBER(SEARCH('LARP Summary'!$E$3,B131)),MAX(A$1:$B130)+1,0)</f>
        <v>130</v>
      </c>
      <c r="B131" s="346" t="s">
        <v>414</v>
      </c>
      <c r="D131" s="213" t="str">
        <f ca="1"/>
        <v>North East Derbyshire District Council</v>
      </c>
      <c r="E131" s="212" t="str">
        <f>IFERROR(VLOOKUP(ROWS($E$2:E131),$A$2:$B$225,2,0),"")</f>
        <v>North East Derbyshire District Council</v>
      </c>
    </row>
    <row r="132" spans="1:5" x14ac:dyDescent="0.35">
      <c r="A132" s="210">
        <f>IF(ISNUMBER(SEARCH('LARP Summary'!$E$3,B132)),MAX(A$1:$B131)+1,0)</f>
        <v>131</v>
      </c>
      <c r="B132" s="346" t="s">
        <v>417</v>
      </c>
      <c r="D132" s="213" t="str">
        <f ca="1"/>
        <v>North Kesteven District Council</v>
      </c>
      <c r="E132" s="212" t="str">
        <f>IFERROR(VLOOKUP(ROWS($E$2:E132),$A$2:$B$225,2,0),"")</f>
        <v>North Kesteven District Council</v>
      </c>
    </row>
    <row r="133" spans="1:5" x14ac:dyDescent="0.35">
      <c r="A133" s="210">
        <f>IF(ISNUMBER(SEARCH('LARP Summary'!$E$3,B133)),MAX(A$1:$B132)+1,0)</f>
        <v>132</v>
      </c>
      <c r="B133" s="346" t="s">
        <v>805</v>
      </c>
      <c r="D133" s="213" t="str">
        <f ca="1"/>
        <v>North Norfolk District Council</v>
      </c>
      <c r="E133" s="212" t="str">
        <f>IFERROR(VLOOKUP(ROWS($E$2:E133),$A$2:$B$225,2,0),"")</f>
        <v>North Norfolk District Council</v>
      </c>
    </row>
    <row r="134" spans="1:5" x14ac:dyDescent="0.35">
      <c r="A134" s="210">
        <f>IF(ISNUMBER(SEARCH('LARP Summary'!$E$3,B134)),MAX(A$1:$B133)+1,0)</f>
        <v>133</v>
      </c>
      <c r="B134" s="346" t="s">
        <v>870</v>
      </c>
      <c r="D134" s="213" t="str">
        <f ca="1"/>
        <v>North Northamptonshire Council</v>
      </c>
      <c r="E134" s="212" t="str">
        <f>IFERROR(VLOOKUP(ROWS($E$2:E134),$A$2:$B$225,2,0),"")</f>
        <v>North Northamptonshire Council</v>
      </c>
    </row>
    <row r="135" spans="1:5" x14ac:dyDescent="0.35">
      <c r="A135" s="210">
        <f>IF(ISNUMBER(SEARCH('LARP Summary'!$E$3,B135)),MAX(A$1:$B134)+1,0)</f>
        <v>134</v>
      </c>
      <c r="B135" s="346" t="s">
        <v>420</v>
      </c>
      <c r="D135" s="213" t="str">
        <f ca="1"/>
        <v>North Somerset Council</v>
      </c>
      <c r="E135" s="212" t="str">
        <f>IFERROR(VLOOKUP(ROWS($E$2:E135),$A$2:$B$225,2,0),"")</f>
        <v>North Somerset Council</v>
      </c>
    </row>
    <row r="136" spans="1:5" x14ac:dyDescent="0.35">
      <c r="A136" s="210">
        <f>IF(ISNUMBER(SEARCH('LARP Summary'!$E$3,B136)),MAX(A$1:$B135)+1,0)</f>
        <v>135</v>
      </c>
      <c r="B136" s="346" t="s">
        <v>423</v>
      </c>
      <c r="D136" s="213" t="str">
        <f ca="1"/>
        <v>North Tyneside Council</v>
      </c>
      <c r="E136" s="212" t="str">
        <f>IFERROR(VLOOKUP(ROWS($E$2:E136),$A$2:$B$225,2,0),"")</f>
        <v>North Tyneside Council</v>
      </c>
    </row>
    <row r="137" spans="1:5" x14ac:dyDescent="0.35">
      <c r="A137" s="210">
        <f>IF(ISNUMBER(SEARCH('LARP Summary'!$E$3,B137)),MAX(A$1:$B136)+1,0)</f>
        <v>136</v>
      </c>
      <c r="B137" s="346" t="s">
        <v>426</v>
      </c>
      <c r="D137" s="213" t="str">
        <f ca="1"/>
        <v>North Warwickshire Borough Council</v>
      </c>
      <c r="E137" s="212" t="str">
        <f>IFERROR(VLOOKUP(ROWS($E$2:E137),$A$2:$B$225,2,0),"")</f>
        <v>North Warwickshire Borough Council</v>
      </c>
    </row>
    <row r="138" spans="1:5" x14ac:dyDescent="0.35">
      <c r="A138" s="210">
        <f>IF(ISNUMBER(SEARCH('LARP Summary'!$E$3,B138)),MAX(A$1:$B137)+1,0)</f>
        <v>137</v>
      </c>
      <c r="B138" s="346" t="s">
        <v>429</v>
      </c>
      <c r="D138" s="213" t="str">
        <f ca="1"/>
        <v>North West Leicestershire District Council</v>
      </c>
      <c r="E138" s="212" t="str">
        <f>IFERROR(VLOOKUP(ROWS($E$2:E138),$A$2:$B$225,2,0),"")</f>
        <v>North West Leicestershire District Council</v>
      </c>
    </row>
    <row r="139" spans="1:5" x14ac:dyDescent="0.35">
      <c r="A139" s="210">
        <f>IF(ISNUMBER(SEARCH('LARP Summary'!$E$3,B139)),MAX(A$1:$B138)+1,0)</f>
        <v>138</v>
      </c>
      <c r="B139" s="346" t="s">
        <v>432</v>
      </c>
      <c r="D139" s="213" t="str">
        <f ca="1"/>
        <v>Northumberland County Council</v>
      </c>
      <c r="E139" s="212" t="str">
        <f>IFERROR(VLOOKUP(ROWS($E$2:E139),$A$2:$B$225,2,0),"")</f>
        <v>Northumberland County Council</v>
      </c>
    </row>
    <row r="140" spans="1:5" x14ac:dyDescent="0.35">
      <c r="A140" s="210">
        <f>IF(ISNUMBER(SEARCH('LARP Summary'!$E$3,B140)),MAX(A$1:$B139)+1,0)</f>
        <v>139</v>
      </c>
      <c r="B140" s="346" t="s">
        <v>435</v>
      </c>
      <c r="D140" s="213" t="str">
        <f ca="1"/>
        <v>Norwich City Council</v>
      </c>
      <c r="E140" s="212" t="str">
        <f>IFERROR(VLOOKUP(ROWS($E$2:E140),$A$2:$B$225,2,0),"")</f>
        <v>Norwich City Council</v>
      </c>
    </row>
    <row r="141" spans="1:5" x14ac:dyDescent="0.35">
      <c r="A141" s="210">
        <f>IF(ISNUMBER(SEARCH('LARP Summary'!$E$3,B141)),MAX(A$1:$B140)+1,0)</f>
        <v>140</v>
      </c>
      <c r="B141" s="346" t="s">
        <v>438</v>
      </c>
      <c r="D141" s="213" t="str">
        <f ca="1"/>
        <v>Nottingham City Council</v>
      </c>
      <c r="E141" s="212" t="str">
        <f>IFERROR(VLOOKUP(ROWS($E$2:E141),$A$2:$B$225,2,0),"")</f>
        <v>Nottingham City Council</v>
      </c>
    </row>
    <row r="142" spans="1:5" x14ac:dyDescent="0.35">
      <c r="A142" s="210">
        <f>IF(ISNUMBER(SEARCH('LARP Summary'!$E$3,B142)),MAX(A$1:$B141)+1,0)</f>
        <v>141</v>
      </c>
      <c r="B142" s="346" t="s">
        <v>441</v>
      </c>
      <c r="D142" s="213" t="str">
        <f ca="1"/>
        <v>Nuneaton And Bedworth Borough Council</v>
      </c>
      <c r="E142" s="212" t="str">
        <f>IFERROR(VLOOKUP(ROWS($E$2:E142),$A$2:$B$225,2,0),"")</f>
        <v>Nuneaton And Bedworth Borough Council</v>
      </c>
    </row>
    <row r="143" spans="1:5" x14ac:dyDescent="0.35">
      <c r="A143" s="210">
        <f>IF(ISNUMBER(SEARCH('LARP Summary'!$E$3,B143)),MAX(A$1:$B142)+1,0)</f>
        <v>142</v>
      </c>
      <c r="B143" s="346" t="s">
        <v>444</v>
      </c>
      <c r="D143" s="213" t="str">
        <f ca="1"/>
        <v>Oadby and Wigston Borough Council</v>
      </c>
      <c r="E143" s="212" t="str">
        <f>IFERROR(VLOOKUP(ROWS($E$2:E143),$A$2:$B$225,2,0),"")</f>
        <v>Oadby and Wigston Borough Council</v>
      </c>
    </row>
    <row r="144" spans="1:5" x14ac:dyDescent="0.35">
      <c r="A144" s="210">
        <f>IF(ISNUMBER(SEARCH('LARP Summary'!$E$3,B144)),MAX(A$1:$B143)+1,0)</f>
        <v>143</v>
      </c>
      <c r="B144" s="346" t="s">
        <v>447</v>
      </c>
      <c r="D144" s="213" t="str">
        <f ca="1"/>
        <v>Oldham Metropolitan Borough Council</v>
      </c>
      <c r="E144" s="212" t="str">
        <f>IFERROR(VLOOKUP(ROWS($E$2:E144),$A$2:$B$225,2,0),"")</f>
        <v>Oldham Metropolitan Borough Council</v>
      </c>
    </row>
    <row r="145" spans="1:5" x14ac:dyDescent="0.35">
      <c r="A145" s="210">
        <f>IF(ISNUMBER(SEARCH('LARP Summary'!$E$3,B145)),MAX(A$1:$B144)+1,0)</f>
        <v>144</v>
      </c>
      <c r="B145" s="346" t="s">
        <v>450</v>
      </c>
      <c r="D145" s="213" t="str">
        <f ca="1"/>
        <v>Oxford City Council</v>
      </c>
      <c r="E145" s="212" t="str">
        <f>IFERROR(VLOOKUP(ROWS($E$2:E145),$A$2:$B$225,2,0),"")</f>
        <v>Oxford City Council</v>
      </c>
    </row>
    <row r="146" spans="1:5" x14ac:dyDescent="0.35">
      <c r="A146" s="210">
        <f>IF(ISNUMBER(SEARCH('LARP Summary'!$E$3,B146)),MAX(A$1:$B145)+1,0)</f>
        <v>145</v>
      </c>
      <c r="B146" s="346" t="s">
        <v>808</v>
      </c>
      <c r="D146" s="213" t="str">
        <f ca="1"/>
        <v>Peterborough City Council</v>
      </c>
      <c r="E146" s="212" t="str">
        <f>IFERROR(VLOOKUP(ROWS($E$2:E146),$A$2:$B$225,2,0),"")</f>
        <v>Peterborough City Council</v>
      </c>
    </row>
    <row r="147" spans="1:5" x14ac:dyDescent="0.35">
      <c r="A147" s="210">
        <f>IF(ISNUMBER(SEARCH('LARP Summary'!$E$3,B147)),MAX(A$1:$B146)+1,0)</f>
        <v>146</v>
      </c>
      <c r="B147" s="346" t="s">
        <v>453</v>
      </c>
      <c r="D147" s="213" t="str">
        <f ca="1"/>
        <v>Portsmouth City Council</v>
      </c>
      <c r="E147" s="212" t="str">
        <f>IFERROR(VLOOKUP(ROWS($E$2:E147),$A$2:$B$225,2,0),"")</f>
        <v>Portsmouth City Council</v>
      </c>
    </row>
    <row r="148" spans="1:5" x14ac:dyDescent="0.35">
      <c r="A148" s="210">
        <f>IF(ISNUMBER(SEARCH('LARP Summary'!$E$3,B148)),MAX(A$1:$B147)+1,0)</f>
        <v>147</v>
      </c>
      <c r="B148" s="346" t="s">
        <v>456</v>
      </c>
      <c r="D148" s="213" t="str">
        <f ca="1"/>
        <v>Reading Borough Council</v>
      </c>
      <c r="E148" s="212" t="str">
        <f>IFERROR(VLOOKUP(ROWS($E$2:E148),$A$2:$B$225,2,0),"")</f>
        <v>Reading Borough Council</v>
      </c>
    </row>
    <row r="149" spans="1:5" x14ac:dyDescent="0.35">
      <c r="A149" s="210">
        <f>IF(ISNUMBER(SEARCH('LARP Summary'!$E$3,B149)),MAX(A$1:$B148)+1,0)</f>
        <v>148</v>
      </c>
      <c r="B149" s="346" t="s">
        <v>459</v>
      </c>
      <c r="D149" s="213" t="str">
        <f ca="1"/>
        <v>Redditch Borough Council</v>
      </c>
      <c r="E149" s="212" t="str">
        <f>IFERROR(VLOOKUP(ROWS($E$2:E149),$A$2:$B$225,2,0),"")</f>
        <v>Redditch Borough Council</v>
      </c>
    </row>
    <row r="150" spans="1:5" x14ac:dyDescent="0.35">
      <c r="A150" s="210">
        <f>IF(ISNUMBER(SEARCH('LARP Summary'!$E$3,B150)),MAX(A$1:$B149)+1,0)</f>
        <v>149</v>
      </c>
      <c r="B150" s="346" t="s">
        <v>811</v>
      </c>
      <c r="D150" s="213" t="str">
        <f ca="1"/>
        <v>Reigate and Banstead Borough Council</v>
      </c>
      <c r="E150" s="212" t="str">
        <f>IFERROR(VLOOKUP(ROWS($E$2:E150),$A$2:$B$225,2,0),"")</f>
        <v>Reigate and Banstead Borough Council</v>
      </c>
    </row>
    <row r="151" spans="1:5" x14ac:dyDescent="0.35">
      <c r="A151" s="210">
        <f>IF(ISNUMBER(SEARCH('LARP Summary'!$E$3,B151)),MAX(A$1:$B150)+1,0)</f>
        <v>150</v>
      </c>
      <c r="B151" s="346" t="s">
        <v>462</v>
      </c>
      <c r="D151" s="213" t="str">
        <f ca="1"/>
        <v>Ribble Valley Borough Council</v>
      </c>
      <c r="E151" s="212" t="str">
        <f>IFERROR(VLOOKUP(ROWS($E$2:E151),$A$2:$B$225,2,0),"")</f>
        <v>Ribble Valley Borough Council</v>
      </c>
    </row>
    <row r="152" spans="1:5" x14ac:dyDescent="0.35">
      <c r="A152" s="210">
        <f>IF(ISNUMBER(SEARCH('LARP Summary'!$E$3,B152)),MAX(A$1:$B151)+1,0)</f>
        <v>151</v>
      </c>
      <c r="B152" s="346" t="s">
        <v>465</v>
      </c>
      <c r="D152" s="213" t="str">
        <f ca="1"/>
        <v>Richmondshire District Council</v>
      </c>
      <c r="E152" s="212" t="str">
        <f>IFERROR(VLOOKUP(ROWS($E$2:E152),$A$2:$B$225,2,0),"")</f>
        <v>Richmondshire District Council</v>
      </c>
    </row>
    <row r="153" spans="1:5" x14ac:dyDescent="0.35">
      <c r="A153" s="210">
        <f>IF(ISNUMBER(SEARCH('LARP Summary'!$E$3,B153)),MAX(A$1:$B152)+1,0)</f>
        <v>152</v>
      </c>
      <c r="B153" s="346" t="s">
        <v>468</v>
      </c>
      <c r="D153" s="213" t="str">
        <f ca="1"/>
        <v>Rossendale Borough Council</v>
      </c>
      <c r="E153" s="212" t="str">
        <f>IFERROR(VLOOKUP(ROWS($E$2:E153),$A$2:$B$225,2,0),"")</f>
        <v>Rossendale Borough Council</v>
      </c>
    </row>
    <row r="154" spans="1:5" x14ac:dyDescent="0.35">
      <c r="A154" s="210">
        <f>IF(ISNUMBER(SEARCH('LARP Summary'!$E$3,B154)),MAX(A$1:$B153)+1,0)</f>
        <v>153</v>
      </c>
      <c r="B154" s="346" t="s">
        <v>814</v>
      </c>
      <c r="D154" s="213" t="str">
        <f ca="1"/>
        <v>Rother District Council</v>
      </c>
      <c r="E154" s="212" t="str">
        <f>IFERROR(VLOOKUP(ROWS($E$2:E154),$A$2:$B$225,2,0),"")</f>
        <v>Rother District Council</v>
      </c>
    </row>
    <row r="155" spans="1:5" x14ac:dyDescent="0.35">
      <c r="A155" s="210">
        <f>IF(ISNUMBER(SEARCH('LARP Summary'!$E$3,B155)),MAX(A$1:$B154)+1,0)</f>
        <v>154</v>
      </c>
      <c r="B155" s="346" t="s">
        <v>471</v>
      </c>
      <c r="D155" s="213" t="str">
        <f ca="1"/>
        <v>Rotherham Metropolitan Borough Council</v>
      </c>
      <c r="E155" s="212" t="str">
        <f>IFERROR(VLOOKUP(ROWS($E$2:E155),$A$2:$B$225,2,0),"")</f>
        <v>Rotherham Metropolitan Borough Council</v>
      </c>
    </row>
    <row r="156" spans="1:5" x14ac:dyDescent="0.35">
      <c r="A156" s="210">
        <f>IF(ISNUMBER(SEARCH('LARP Summary'!$E$3,B156)),MAX(A$1:$B155)+1,0)</f>
        <v>155</v>
      </c>
      <c r="B156" s="346" t="s">
        <v>906</v>
      </c>
      <c r="D156" s="213" t="str">
        <f ca="1"/>
        <v>Royal Borough of Greenwich</v>
      </c>
      <c r="E156" s="212" t="str">
        <f>IFERROR(VLOOKUP(ROWS($E$2:E156),$A$2:$B$225,2,0),"")</f>
        <v>Royal Borough of Greenwich</v>
      </c>
    </row>
    <row r="157" spans="1:5" x14ac:dyDescent="0.35">
      <c r="A157" s="210">
        <f>IF(ISNUMBER(SEARCH('LARP Summary'!$E$3,B157)),MAX(A$1:$B156)+1,0)</f>
        <v>156</v>
      </c>
      <c r="B157" s="346" t="s">
        <v>474</v>
      </c>
      <c r="D157" s="213" t="str">
        <f ca="1"/>
        <v>Royal Borough of Kensington and Chelsea</v>
      </c>
      <c r="E157" s="212" t="str">
        <f>IFERROR(VLOOKUP(ROWS($E$2:E157),$A$2:$B$225,2,0),"")</f>
        <v>Royal Borough of Kensington and Chelsea</v>
      </c>
    </row>
    <row r="158" spans="1:5" x14ac:dyDescent="0.35">
      <c r="A158" s="210">
        <f>IF(ISNUMBER(SEARCH('LARP Summary'!$E$3,B158)),MAX(A$1:$B157)+1,0)</f>
        <v>157</v>
      </c>
      <c r="B158" s="346" t="s">
        <v>477</v>
      </c>
      <c r="D158" s="213" t="str">
        <f ca="1"/>
        <v>Royal Borough of Kingston Upon Thames</v>
      </c>
      <c r="E158" s="212" t="str">
        <f>IFERROR(VLOOKUP(ROWS($E$2:E158),$A$2:$B$225,2,0),"")</f>
        <v>Royal Borough of Kingston Upon Thames</v>
      </c>
    </row>
    <row r="159" spans="1:5" x14ac:dyDescent="0.35">
      <c r="A159" s="210">
        <f>IF(ISNUMBER(SEARCH('LARP Summary'!$E$3,B159)),MAX(A$1:$B158)+1,0)</f>
        <v>158</v>
      </c>
      <c r="B159" s="346" t="s">
        <v>480</v>
      </c>
      <c r="D159" s="213" t="str">
        <f ca="1"/>
        <v>Rugby Borough Council</v>
      </c>
      <c r="E159" s="212" t="str">
        <f>IFERROR(VLOOKUP(ROWS($E$2:E159),$A$2:$B$225,2,0),"")</f>
        <v>Rugby Borough Council</v>
      </c>
    </row>
    <row r="160" spans="1:5" x14ac:dyDescent="0.35">
      <c r="A160" s="210">
        <f>IF(ISNUMBER(SEARCH('LARP Summary'!$E$3,B160)),MAX(A$1:$B159)+1,0)</f>
        <v>159</v>
      </c>
      <c r="B160" s="346" t="s">
        <v>483</v>
      </c>
      <c r="D160" s="213" t="str">
        <f ca="1"/>
        <v>Runnymede Borough Council</v>
      </c>
      <c r="E160" s="212" t="str">
        <f>IFERROR(VLOOKUP(ROWS($E$2:E160),$A$2:$B$225,2,0),"")</f>
        <v>Runnymede Borough Council</v>
      </c>
    </row>
    <row r="161" spans="1:5" x14ac:dyDescent="0.35">
      <c r="A161" s="210">
        <f>IF(ISNUMBER(SEARCH('LARP Summary'!$E$3,B161)),MAX(A$1:$B160)+1,0)</f>
        <v>160</v>
      </c>
      <c r="B161" s="346" t="s">
        <v>873</v>
      </c>
      <c r="D161" s="213" t="str">
        <f ca="1"/>
        <v>Rushmoor Borough Council</v>
      </c>
      <c r="E161" s="212" t="str">
        <f>IFERROR(VLOOKUP(ROWS($E$2:E161),$A$2:$B$225,2,0),"")</f>
        <v>Rushmoor Borough Council</v>
      </c>
    </row>
    <row r="162" spans="1:5" x14ac:dyDescent="0.35">
      <c r="A162" s="210">
        <f>IF(ISNUMBER(SEARCH('LARP Summary'!$E$3,B162)),MAX(A$1:$B161)+1,0)</f>
        <v>161</v>
      </c>
      <c r="B162" s="346" t="s">
        <v>486</v>
      </c>
      <c r="D162" s="213" t="str">
        <f ca="1"/>
        <v>Ryedale District Council</v>
      </c>
      <c r="E162" s="212" t="str">
        <f>IFERROR(VLOOKUP(ROWS($E$2:E162),$A$2:$B$225,2,0),"")</f>
        <v>Ryedale District Council</v>
      </c>
    </row>
    <row r="163" spans="1:5" x14ac:dyDescent="0.35">
      <c r="A163" s="210">
        <f>IF(ISNUMBER(SEARCH('LARP Summary'!$E$3,B163)),MAX(A$1:$B162)+1,0)</f>
        <v>162</v>
      </c>
      <c r="B163" s="346" t="s">
        <v>489</v>
      </c>
      <c r="D163" s="213" t="str">
        <f ca="1"/>
        <v>Salford City Council</v>
      </c>
      <c r="E163" s="212" t="str">
        <f>IFERROR(VLOOKUP(ROWS($E$2:E163),$A$2:$B$225,2,0),"")</f>
        <v>Salford City Council</v>
      </c>
    </row>
    <row r="164" spans="1:5" x14ac:dyDescent="0.35">
      <c r="A164" s="210">
        <f>IF(ISNUMBER(SEARCH('LARP Summary'!$E$3,B164)),MAX(A$1:$B163)+1,0)</f>
        <v>163</v>
      </c>
      <c r="B164" s="346" t="s">
        <v>492</v>
      </c>
      <c r="D164" s="213" t="str">
        <f ca="1"/>
        <v>Sandwell Metropolitan Borough Council</v>
      </c>
      <c r="E164" s="212" t="str">
        <f>IFERROR(VLOOKUP(ROWS($E$2:E164),$A$2:$B$225,2,0),"")</f>
        <v>Sandwell Metropolitan Borough Council</v>
      </c>
    </row>
    <row r="165" spans="1:5" x14ac:dyDescent="0.35">
      <c r="A165" s="210">
        <f>IF(ISNUMBER(SEARCH('LARP Summary'!$E$3,B165)),MAX(A$1:$B164)+1,0)</f>
        <v>164</v>
      </c>
      <c r="B165" s="346" t="s">
        <v>495</v>
      </c>
      <c r="D165" s="213" t="str">
        <f ca="1"/>
        <v>Sedgemoor District Council</v>
      </c>
      <c r="E165" s="212" t="str">
        <f>IFERROR(VLOOKUP(ROWS($E$2:E165),$A$2:$B$225,2,0),"")</f>
        <v>Sedgemoor District Council</v>
      </c>
    </row>
    <row r="166" spans="1:5" x14ac:dyDescent="0.35">
      <c r="A166" s="210">
        <f>IF(ISNUMBER(SEARCH('LARP Summary'!$E$3,B166)),MAX(A$1:$B165)+1,0)</f>
        <v>165</v>
      </c>
      <c r="B166" s="346" t="s">
        <v>876</v>
      </c>
      <c r="D166" s="213" t="str">
        <f ca="1"/>
        <v>Sefton Metropolitan Borough Council</v>
      </c>
      <c r="E166" s="212" t="str">
        <f>IFERROR(VLOOKUP(ROWS($E$2:E166),$A$2:$B$225,2,0),"")</f>
        <v>Sefton Metropolitan Borough Council</v>
      </c>
    </row>
    <row r="167" spans="1:5" x14ac:dyDescent="0.35">
      <c r="A167" s="210">
        <f>IF(ISNUMBER(SEARCH('LARP Summary'!$E$3,B167)),MAX(A$1:$B166)+1,0)</f>
        <v>166</v>
      </c>
      <c r="B167" s="346" t="s">
        <v>498</v>
      </c>
      <c r="D167" s="213" t="str">
        <f ca="1"/>
        <v>Selby District Council</v>
      </c>
      <c r="E167" s="212" t="str">
        <f>IFERROR(VLOOKUP(ROWS($E$2:E167),$A$2:$B$225,2,0),"")</f>
        <v>Selby District Council</v>
      </c>
    </row>
    <row r="168" spans="1:5" x14ac:dyDescent="0.35">
      <c r="A168" s="210">
        <f>IF(ISNUMBER(SEARCH('LARP Summary'!$E$3,B168)),MAX(A$1:$B167)+1,0)</f>
        <v>167</v>
      </c>
      <c r="B168" s="346" t="s">
        <v>501</v>
      </c>
      <c r="D168" s="213" t="str">
        <f ca="1"/>
        <v>Sheffield City Council</v>
      </c>
      <c r="E168" s="212" t="str">
        <f>IFERROR(VLOOKUP(ROWS($E$2:E168),$A$2:$B$225,2,0),"")</f>
        <v>Sheffield City Council</v>
      </c>
    </row>
    <row r="169" spans="1:5" x14ac:dyDescent="0.35">
      <c r="A169" s="210">
        <f>IF(ISNUMBER(SEARCH('LARP Summary'!$E$3,B169)),MAX(A$1:$B168)+1,0)</f>
        <v>168</v>
      </c>
      <c r="B169" s="346" t="s">
        <v>504</v>
      </c>
      <c r="D169" s="213" t="str">
        <f ca="1"/>
        <v>Shropshire Council</v>
      </c>
      <c r="E169" s="212" t="str">
        <f>IFERROR(VLOOKUP(ROWS($E$2:E169),$A$2:$B$225,2,0),"")</f>
        <v>Shropshire Council</v>
      </c>
    </row>
    <row r="170" spans="1:5" x14ac:dyDescent="0.35">
      <c r="A170" s="210">
        <f>IF(ISNUMBER(SEARCH('LARP Summary'!$E$3,B170)),MAX(A$1:$B169)+1,0)</f>
        <v>169</v>
      </c>
      <c r="B170" s="346" t="s">
        <v>507</v>
      </c>
      <c r="D170" s="213" t="str">
        <f ca="1"/>
        <v>Slough Borough Council</v>
      </c>
      <c r="E170" s="212" t="str">
        <f>IFERROR(VLOOKUP(ROWS($E$2:E170),$A$2:$B$225,2,0),"")</f>
        <v>Slough Borough Council</v>
      </c>
    </row>
    <row r="171" spans="1:5" x14ac:dyDescent="0.35">
      <c r="A171" s="210">
        <f>IF(ISNUMBER(SEARCH('LARP Summary'!$E$3,B171)),MAX(A$1:$B170)+1,0)</f>
        <v>170</v>
      </c>
      <c r="B171" s="346" t="s">
        <v>510</v>
      </c>
      <c r="D171" s="213" t="str">
        <f ca="1"/>
        <v>Solihull Metropolitan Borough Council</v>
      </c>
      <c r="E171" s="212" t="str">
        <f>IFERROR(VLOOKUP(ROWS($E$2:E171),$A$2:$B$225,2,0),"")</f>
        <v>Solihull Metropolitan Borough Council</v>
      </c>
    </row>
    <row r="172" spans="1:5" x14ac:dyDescent="0.35">
      <c r="A172" s="210">
        <f>IF(ISNUMBER(SEARCH('LARP Summary'!$E$3,B172)),MAX(A$1:$B171)+1,0)</f>
        <v>171</v>
      </c>
      <c r="B172" s="346" t="s">
        <v>513</v>
      </c>
      <c r="D172" s="213" t="str">
        <f ca="1"/>
        <v>Somerset West and Taunton Council</v>
      </c>
      <c r="E172" s="212" t="str">
        <f>IFERROR(VLOOKUP(ROWS($E$2:E172),$A$2:$B$225,2,0),"")</f>
        <v>Somerset West and Taunton Council</v>
      </c>
    </row>
    <row r="173" spans="1:5" x14ac:dyDescent="0.35">
      <c r="A173" s="210">
        <f>IF(ISNUMBER(SEARCH('LARP Summary'!$E$3,B173)),MAX(A$1:$B172)+1,0)</f>
        <v>172</v>
      </c>
      <c r="B173" s="346" t="s">
        <v>516</v>
      </c>
      <c r="D173" s="213" t="str">
        <f ca="1"/>
        <v>South Cambridgeshire District Council</v>
      </c>
      <c r="E173" s="212" t="str">
        <f>IFERROR(VLOOKUP(ROWS($E$2:E173),$A$2:$B$225,2,0),"")</f>
        <v>South Cambridgeshire District Council</v>
      </c>
    </row>
    <row r="174" spans="1:5" x14ac:dyDescent="0.35">
      <c r="A174" s="210">
        <f>IF(ISNUMBER(SEARCH('LARP Summary'!$E$3,B174)),MAX(A$1:$B173)+1,0)</f>
        <v>173</v>
      </c>
      <c r="B174" s="346" t="s">
        <v>908</v>
      </c>
      <c r="D174" s="213" t="str">
        <f ca="1"/>
        <v>South Derbyshire District Council</v>
      </c>
      <c r="E174" s="212" t="str">
        <f>IFERROR(VLOOKUP(ROWS($E$2:E174),$A$2:$B$225,2,0),"")</f>
        <v>South Derbyshire District Council</v>
      </c>
    </row>
    <row r="175" spans="1:5" x14ac:dyDescent="0.35">
      <c r="A175" s="210">
        <f>IF(ISNUMBER(SEARCH('LARP Summary'!$E$3,B175)),MAX(A$1:$B174)+1,0)</f>
        <v>174</v>
      </c>
      <c r="B175" s="346" t="s">
        <v>521</v>
      </c>
      <c r="D175" s="213" t="str">
        <f ca="1"/>
        <v>South Hams District Council</v>
      </c>
      <c r="E175" s="212" t="str">
        <f>IFERROR(VLOOKUP(ROWS($E$2:E175),$A$2:$B$225,2,0),"")</f>
        <v>South Hams District Council</v>
      </c>
    </row>
    <row r="176" spans="1:5" x14ac:dyDescent="0.35">
      <c r="A176" s="210">
        <f>IF(ISNUMBER(SEARCH('LARP Summary'!$E$3,B176)),MAX(A$1:$B175)+1,0)</f>
        <v>175</v>
      </c>
      <c r="B176" s="346" t="s">
        <v>524</v>
      </c>
      <c r="D176" s="213" t="str">
        <f ca="1"/>
        <v>South Holland District Council</v>
      </c>
      <c r="E176" s="212" t="str">
        <f>IFERROR(VLOOKUP(ROWS($E$2:E176),$A$2:$B$225,2,0),"")</f>
        <v>South Holland District Council</v>
      </c>
    </row>
    <row r="177" spans="1:5" x14ac:dyDescent="0.35">
      <c r="A177" s="210">
        <f>IF(ISNUMBER(SEARCH('LARP Summary'!$E$3,B177)),MAX(A$1:$B176)+1,0)</f>
        <v>176</v>
      </c>
      <c r="B177" s="346" t="s">
        <v>527</v>
      </c>
      <c r="D177" s="213" t="str">
        <f ca="1"/>
        <v>South Kesteven District Council</v>
      </c>
      <c r="E177" s="212" t="str">
        <f>IFERROR(VLOOKUP(ROWS($E$2:E177),$A$2:$B$225,2,0),"")</f>
        <v>South Kesteven District Council</v>
      </c>
    </row>
    <row r="178" spans="1:5" x14ac:dyDescent="0.35">
      <c r="A178" s="210">
        <f>IF(ISNUMBER(SEARCH('LARP Summary'!$E$3,B178)),MAX(A$1:$B177)+1,0)</f>
        <v>177</v>
      </c>
      <c r="B178" s="346" t="s">
        <v>530</v>
      </c>
      <c r="D178" s="213" t="str">
        <f ca="1"/>
        <v>South Lakeland District Council</v>
      </c>
      <c r="E178" s="212" t="str">
        <f>IFERROR(VLOOKUP(ROWS($E$2:E178),$A$2:$B$225,2,0),"")</f>
        <v>South Lakeland District Council</v>
      </c>
    </row>
    <row r="179" spans="1:5" x14ac:dyDescent="0.35">
      <c r="A179" s="210">
        <f>IF(ISNUMBER(SEARCH('LARP Summary'!$E$3,B179)),MAX(A$1:$B178)+1,0)</f>
        <v>178</v>
      </c>
      <c r="B179" s="346" t="s">
        <v>533</v>
      </c>
      <c r="D179" s="213" t="str">
        <f ca="1"/>
        <v>South Ribble Borough Council</v>
      </c>
      <c r="E179" s="212" t="str">
        <f>IFERROR(VLOOKUP(ROWS($E$2:E179),$A$2:$B$225,2,0),"")</f>
        <v>South Ribble Borough Council</v>
      </c>
    </row>
    <row r="180" spans="1:5" x14ac:dyDescent="0.35">
      <c r="A180" s="210">
        <f>IF(ISNUMBER(SEARCH('LARP Summary'!$E$3,B180)),MAX(A$1:$B179)+1,0)</f>
        <v>179</v>
      </c>
      <c r="B180" s="346" t="s">
        <v>879</v>
      </c>
      <c r="D180" s="213" t="str">
        <f ca="1"/>
        <v>South Somerset District Council</v>
      </c>
      <c r="E180" s="212" t="str">
        <f>IFERROR(VLOOKUP(ROWS($E$2:E180),$A$2:$B$225,2,0),"")</f>
        <v>South Somerset District Council</v>
      </c>
    </row>
    <row r="181" spans="1:5" x14ac:dyDescent="0.35">
      <c r="A181" s="210">
        <f>IF(ISNUMBER(SEARCH('LARP Summary'!$E$3,B181)),MAX(A$1:$B180)+1,0)</f>
        <v>180</v>
      </c>
      <c r="B181" s="346" t="s">
        <v>536</v>
      </c>
      <c r="D181" s="213" t="str">
        <f ca="1"/>
        <v>South Tyneside Council</v>
      </c>
      <c r="E181" s="212" t="str">
        <f>IFERROR(VLOOKUP(ROWS($E$2:E181),$A$2:$B$225,2,0),"")</f>
        <v>South Tyneside Council</v>
      </c>
    </row>
    <row r="182" spans="1:5" x14ac:dyDescent="0.35">
      <c r="A182" s="210">
        <f>IF(ISNUMBER(SEARCH('LARP Summary'!$E$3,B182)),MAX(A$1:$B181)+1,0)</f>
        <v>181</v>
      </c>
      <c r="B182" s="346" t="s">
        <v>539</v>
      </c>
      <c r="D182" s="213" t="str">
        <f ca="1"/>
        <v>Southampton City Council</v>
      </c>
      <c r="E182" s="212" t="str">
        <f>IFERROR(VLOOKUP(ROWS($E$2:E182),$A$2:$B$225,2,0),"")</f>
        <v>Southampton City Council</v>
      </c>
    </row>
    <row r="183" spans="1:5" x14ac:dyDescent="0.35">
      <c r="A183" s="210">
        <f>IF(ISNUMBER(SEARCH('LARP Summary'!$E$3,B183)),MAX(A$1:$B182)+1,0)</f>
        <v>182</v>
      </c>
      <c r="B183" s="346" t="s">
        <v>909</v>
      </c>
      <c r="D183" s="213" t="str">
        <f ca="1"/>
        <v>Southend on Sea City Council</v>
      </c>
      <c r="E183" s="212" t="str">
        <f>IFERROR(VLOOKUP(ROWS($E$2:E183),$A$2:$B$225,2,0),"")</f>
        <v>Southend on Sea City Council</v>
      </c>
    </row>
    <row r="184" spans="1:5" x14ac:dyDescent="0.35">
      <c r="A184" s="210">
        <f>IF(ISNUMBER(SEARCH('LARP Summary'!$E$3,B184)),MAX(A$1:$B183)+1,0)</f>
        <v>183</v>
      </c>
      <c r="B184" s="346" t="s">
        <v>544</v>
      </c>
      <c r="D184" s="213" t="str">
        <f ca="1"/>
        <v>Southwark Council</v>
      </c>
      <c r="E184" s="212" t="str">
        <f>IFERROR(VLOOKUP(ROWS($E$2:E184),$A$2:$B$225,2,0),"")</f>
        <v>Southwark Council</v>
      </c>
    </row>
    <row r="185" spans="1:5" x14ac:dyDescent="0.35">
      <c r="A185" s="210">
        <f>IF(ISNUMBER(SEARCH('LARP Summary'!$E$3,B185)),MAX(A$1:$B184)+1,0)</f>
        <v>184</v>
      </c>
      <c r="B185" s="346" t="s">
        <v>547</v>
      </c>
      <c r="D185" s="213" t="str">
        <f ca="1"/>
        <v>Spelthorne Borough Council</v>
      </c>
      <c r="E185" s="212" t="str">
        <f>IFERROR(VLOOKUP(ROWS($E$2:E185),$A$2:$B$225,2,0),"")</f>
        <v>Spelthorne Borough Council</v>
      </c>
    </row>
    <row r="186" spans="1:5" x14ac:dyDescent="0.35">
      <c r="A186" s="210">
        <f>IF(ISNUMBER(SEARCH('LARP Summary'!$E$3,B186)),MAX(A$1:$B185)+1,0)</f>
        <v>185</v>
      </c>
      <c r="B186" s="346" t="s">
        <v>550</v>
      </c>
      <c r="D186" s="213" t="str">
        <f ca="1"/>
        <v>St Albans City and District Council</v>
      </c>
      <c r="E186" s="212" t="str">
        <f>IFERROR(VLOOKUP(ROWS($E$2:E186),$A$2:$B$225,2,0),"")</f>
        <v>St Albans City and District Council</v>
      </c>
    </row>
    <row r="187" spans="1:5" x14ac:dyDescent="0.35">
      <c r="A187" s="210">
        <f>IF(ISNUMBER(SEARCH('LARP Summary'!$E$3,B187)),MAX(A$1:$B186)+1,0)</f>
        <v>186</v>
      </c>
      <c r="B187" s="346" t="s">
        <v>553</v>
      </c>
      <c r="D187" s="213" t="str">
        <f ca="1"/>
        <v>Stevenage Borough Council</v>
      </c>
      <c r="E187" s="212" t="str">
        <f>IFERROR(VLOOKUP(ROWS($E$2:E187),$A$2:$B$225,2,0),"")</f>
        <v>Stevenage Borough Council</v>
      </c>
    </row>
    <row r="188" spans="1:5" x14ac:dyDescent="0.35">
      <c r="A188" s="210">
        <f>IF(ISNUMBER(SEARCH('LARP Summary'!$E$3,B188)),MAX(A$1:$B187)+1,0)</f>
        <v>187</v>
      </c>
      <c r="B188" s="346" t="s">
        <v>556</v>
      </c>
      <c r="D188" s="213" t="str">
        <f ca="1"/>
        <v>Stockport Metropolitan Borough Council</v>
      </c>
      <c r="E188" s="212" t="str">
        <f>IFERROR(VLOOKUP(ROWS($E$2:E188),$A$2:$B$225,2,0),"")</f>
        <v>Stockport Metropolitan Borough Council</v>
      </c>
    </row>
    <row r="189" spans="1:5" x14ac:dyDescent="0.35">
      <c r="A189" s="210">
        <f>IF(ISNUMBER(SEARCH('LARP Summary'!$E$3,B189)),MAX(A$1:$B188)+1,0)</f>
        <v>188</v>
      </c>
      <c r="B189" s="346" t="s">
        <v>559</v>
      </c>
      <c r="D189" s="213" t="str">
        <f ca="1"/>
        <v>Stoke on Trent City Council</v>
      </c>
      <c r="E189" s="212" t="str">
        <f>IFERROR(VLOOKUP(ROWS($E$2:E189),$A$2:$B$225,2,0),"")</f>
        <v>Stoke on Trent City Council</v>
      </c>
    </row>
    <row r="190" spans="1:5" x14ac:dyDescent="0.35">
      <c r="A190" s="210">
        <f>IF(ISNUMBER(SEARCH('LARP Summary'!$E$3,B190)),MAX(A$1:$B189)+1,0)</f>
        <v>189</v>
      </c>
      <c r="B190" s="346" t="s">
        <v>817</v>
      </c>
      <c r="D190" s="213" t="str">
        <f ca="1"/>
        <v>Stratford-on-Avon District Council</v>
      </c>
      <c r="E190" s="212" t="str">
        <f>IFERROR(VLOOKUP(ROWS($E$2:E190),$A$2:$B$225,2,0),"")</f>
        <v>Stratford-on-Avon District Council</v>
      </c>
    </row>
    <row r="191" spans="1:5" x14ac:dyDescent="0.35">
      <c r="A191" s="210">
        <f>IF(ISNUMBER(SEARCH('LARP Summary'!$E$3,B191)),MAX(A$1:$B190)+1,0)</f>
        <v>190</v>
      </c>
      <c r="B191" s="346" t="s">
        <v>562</v>
      </c>
      <c r="D191" s="213" t="str">
        <f ca="1"/>
        <v>Stroud District Council</v>
      </c>
      <c r="E191" s="212" t="str">
        <f>IFERROR(VLOOKUP(ROWS($E$2:E191),$A$2:$B$225,2,0),"")</f>
        <v>Stroud District Council</v>
      </c>
    </row>
    <row r="192" spans="1:5" x14ac:dyDescent="0.35">
      <c r="A192" s="210">
        <f>IF(ISNUMBER(SEARCH('LARP Summary'!$E$3,B192)),MAX(A$1:$B191)+1,0)</f>
        <v>191</v>
      </c>
      <c r="B192" s="346" t="s">
        <v>565</v>
      </c>
      <c r="D192" s="213" t="str">
        <f ca="1"/>
        <v>Sunderland City Council</v>
      </c>
      <c r="E192" s="212" t="str">
        <f>IFERROR(VLOOKUP(ROWS($E$2:E192),$A$2:$B$225,2,0),"")</f>
        <v>Sunderland City Council</v>
      </c>
    </row>
    <row r="193" spans="1:5" x14ac:dyDescent="0.35">
      <c r="A193" s="210">
        <f>IF(ISNUMBER(SEARCH('LARP Summary'!$E$3,B193)),MAX(A$1:$B192)+1,0)</f>
        <v>192</v>
      </c>
      <c r="B193" s="346" t="s">
        <v>568</v>
      </c>
      <c r="D193" s="213" t="str">
        <f ca="1"/>
        <v>Swindon Borough Council</v>
      </c>
      <c r="E193" s="212" t="str">
        <f>IFERROR(VLOOKUP(ROWS($E$2:E193),$A$2:$B$225,2,0),"")</f>
        <v>Swindon Borough Council</v>
      </c>
    </row>
    <row r="194" spans="1:5" x14ac:dyDescent="0.35">
      <c r="A194" s="210">
        <f>IF(ISNUMBER(SEARCH('LARP Summary'!$E$3,B194)),MAX(A$1:$B193)+1,0)</f>
        <v>193</v>
      </c>
      <c r="B194" s="346" t="s">
        <v>571</v>
      </c>
      <c r="D194" s="213" t="str">
        <f ca="1"/>
        <v>Tamworth Borough Council</v>
      </c>
      <c r="E194" s="212" t="str">
        <f>IFERROR(VLOOKUP(ROWS($E$2:E194),$A$2:$B$225,2,0),"")</f>
        <v>Tamworth Borough Council</v>
      </c>
    </row>
    <row r="195" spans="1:5" x14ac:dyDescent="0.35">
      <c r="A195" s="210">
        <f>IF(ISNUMBER(SEARCH('LARP Summary'!$E$3,B195)),MAX(A$1:$B194)+1,0)</f>
        <v>194</v>
      </c>
      <c r="B195" s="346" t="s">
        <v>574</v>
      </c>
      <c r="D195" s="213" t="str">
        <f ca="1"/>
        <v>Tandridge District Council</v>
      </c>
      <c r="E195" s="212" t="str">
        <f>IFERROR(VLOOKUP(ROWS($E$2:E195),$A$2:$B$225,2,0),"")</f>
        <v>Tandridge District Council</v>
      </c>
    </row>
    <row r="196" spans="1:5" x14ac:dyDescent="0.35">
      <c r="A196" s="210">
        <f>IF(ISNUMBER(SEARCH('LARP Summary'!$E$3,B196)),MAX(A$1:$B195)+1,0)</f>
        <v>195</v>
      </c>
      <c r="B196" s="346" t="s">
        <v>577</v>
      </c>
      <c r="D196" s="213" t="str">
        <f ca="1"/>
        <v>Teignbridge District Council</v>
      </c>
      <c r="E196" s="212" t="str">
        <f>IFERROR(VLOOKUP(ROWS($E$2:E196),$A$2:$B$225,2,0),"")</f>
        <v>Teignbridge District Council</v>
      </c>
    </row>
    <row r="197" spans="1:5" x14ac:dyDescent="0.35">
      <c r="A197" s="210">
        <f>IF(ISNUMBER(SEARCH('LARP Summary'!$E$3,B197)),MAX(A$1:$B196)+1,0)</f>
        <v>196</v>
      </c>
      <c r="B197" s="346" t="s">
        <v>820</v>
      </c>
      <c r="D197" s="213" t="str">
        <f ca="1"/>
        <v>Telford &amp; Wrekin Council</v>
      </c>
      <c r="E197" s="212" t="str">
        <f>IFERROR(VLOOKUP(ROWS($E$2:E197),$A$2:$B$225,2,0),"")</f>
        <v>Telford &amp; Wrekin Council</v>
      </c>
    </row>
    <row r="198" spans="1:5" x14ac:dyDescent="0.35">
      <c r="A198" s="210">
        <f>IF(ISNUMBER(SEARCH('LARP Summary'!$E$3,B198)),MAX(A$1:$B197)+1,0)</f>
        <v>197</v>
      </c>
      <c r="B198" s="346" t="s">
        <v>580</v>
      </c>
      <c r="D198" s="213" t="str">
        <f ca="1"/>
        <v>Tendring District Council</v>
      </c>
      <c r="E198" s="212" t="str">
        <f>IFERROR(VLOOKUP(ROWS($E$2:E198),$A$2:$B$225,2,0),"")</f>
        <v>Tendring District Council</v>
      </c>
    </row>
    <row r="199" spans="1:5" x14ac:dyDescent="0.35">
      <c r="A199" s="210">
        <f>IF(ISNUMBER(SEARCH('LARP Summary'!$E$3,B199)),MAX(A$1:$B198)+1,0)</f>
        <v>198</v>
      </c>
      <c r="B199" s="346" t="s">
        <v>583</v>
      </c>
      <c r="D199" s="213" t="str">
        <f ca="1"/>
        <v>Thanet District Council</v>
      </c>
      <c r="E199" s="212" t="str">
        <f>IFERROR(VLOOKUP(ROWS($E$2:E199),$A$2:$B$225,2,0),"")</f>
        <v>Thanet District Council</v>
      </c>
    </row>
    <row r="200" spans="1:5" x14ac:dyDescent="0.35">
      <c r="A200" s="210">
        <f>IF(ISNUMBER(SEARCH('LARP Summary'!$E$3,B200)),MAX(A$1:$B199)+1,0)</f>
        <v>199</v>
      </c>
      <c r="B200" s="346" t="s">
        <v>586</v>
      </c>
      <c r="D200" s="213" t="str">
        <f ca="1"/>
        <v>Thurrock Council</v>
      </c>
      <c r="E200" s="212" t="str">
        <f>IFERROR(VLOOKUP(ROWS($E$2:E200),$A$2:$B$225,2,0),"")</f>
        <v>Thurrock Council</v>
      </c>
    </row>
    <row r="201" spans="1:5" x14ac:dyDescent="0.35">
      <c r="A201" s="210">
        <f>IF(ISNUMBER(SEARCH('LARP Summary'!$E$3,B201)),MAX(A$1:$B200)+1,0)</f>
        <v>200</v>
      </c>
      <c r="B201" s="346" t="s">
        <v>589</v>
      </c>
      <c r="D201" s="213" t="str">
        <f ca="1"/>
        <v>Tonbridge and Malling Borough Council</v>
      </c>
      <c r="E201" s="212" t="str">
        <f>IFERROR(VLOOKUP(ROWS($E$2:E201),$A$2:$B$225,2,0),"")</f>
        <v>Tonbridge and Malling Borough Council</v>
      </c>
    </row>
    <row r="202" spans="1:5" x14ac:dyDescent="0.35">
      <c r="A202" s="210">
        <f>IF(ISNUMBER(SEARCH('LARP Summary'!$E$3,B202)),MAX(A$1:$B201)+1,0)</f>
        <v>201</v>
      </c>
      <c r="B202" s="346" t="s">
        <v>910</v>
      </c>
      <c r="D202" s="213" t="str">
        <f ca="1"/>
        <v>Torbay Council</v>
      </c>
      <c r="E202" s="212" t="str">
        <f>IFERROR(VLOOKUP(ROWS($E$2:E202),$A$2:$B$225,2,0),"")</f>
        <v>Torbay Council</v>
      </c>
    </row>
    <row r="203" spans="1:5" x14ac:dyDescent="0.35">
      <c r="A203" s="210">
        <f>IF(ISNUMBER(SEARCH('LARP Summary'!$E$3,B203)),MAX(A$1:$B202)+1,0)</f>
        <v>202</v>
      </c>
      <c r="B203" s="346" t="s">
        <v>823</v>
      </c>
      <c r="D203" s="213" t="str">
        <f ca="1"/>
        <v>Tunbridge Wells Borough Council</v>
      </c>
      <c r="E203" s="212" t="str">
        <f>IFERROR(VLOOKUP(ROWS($E$2:E203),$A$2:$B$225,2,0),"")</f>
        <v>Tunbridge Wells Borough Council</v>
      </c>
    </row>
    <row r="204" spans="1:5" x14ac:dyDescent="0.35">
      <c r="A204" s="210">
        <f>IF(ISNUMBER(SEARCH('LARP Summary'!$E$3,B204)),MAX(A$1:$B203)+1,0)</f>
        <v>203</v>
      </c>
      <c r="B204" s="346" t="s">
        <v>592</v>
      </c>
      <c r="D204" s="213" t="str">
        <f ca="1"/>
        <v>Uttlesford District Council</v>
      </c>
      <c r="E204" s="212" t="str">
        <f>IFERROR(VLOOKUP(ROWS($E$2:E204),$A$2:$B$225,2,0),"")</f>
        <v>Uttlesford District Council</v>
      </c>
    </row>
    <row r="205" spans="1:5" x14ac:dyDescent="0.35">
      <c r="A205" s="210">
        <f>IF(ISNUMBER(SEARCH('LARP Summary'!$E$3,B205)),MAX(A$1:$B204)+1,0)</f>
        <v>204</v>
      </c>
      <c r="B205" s="346" t="s">
        <v>595</v>
      </c>
      <c r="D205" s="213" t="str">
        <f ca="1"/>
        <v>Warrington Borough Council</v>
      </c>
      <c r="E205" s="212" t="str">
        <f>IFERROR(VLOOKUP(ROWS($E$2:E205),$A$2:$B$225,2,0),"")</f>
        <v>Warrington Borough Council</v>
      </c>
    </row>
    <row r="206" spans="1:5" x14ac:dyDescent="0.35">
      <c r="A206" s="210">
        <f>IF(ISNUMBER(SEARCH('LARP Summary'!$E$3,B206)),MAX(A$1:$B205)+1,0)</f>
        <v>205</v>
      </c>
      <c r="B206" s="346" t="s">
        <v>598</v>
      </c>
      <c r="D206" s="213" t="str">
        <f ca="1"/>
        <v>Warwick District Council</v>
      </c>
      <c r="E206" s="212" t="str">
        <f>IFERROR(VLOOKUP(ROWS($E$2:E206),$A$2:$B$225,2,0),"")</f>
        <v>Warwick District Council</v>
      </c>
    </row>
    <row r="207" spans="1:5" x14ac:dyDescent="0.35">
      <c r="A207" s="210">
        <f>IF(ISNUMBER(SEARCH('LARP Summary'!$E$3,B207)),MAX(A$1:$B206)+1,0)</f>
        <v>206</v>
      </c>
      <c r="B207" s="346" t="s">
        <v>601</v>
      </c>
      <c r="D207" s="213" t="str">
        <f ca="1"/>
        <v>Waverley Borough Council</v>
      </c>
      <c r="E207" s="212" t="str">
        <f>IFERROR(VLOOKUP(ROWS($E$2:E207),$A$2:$B$225,2,0),"")</f>
        <v>Waverley Borough Council</v>
      </c>
    </row>
    <row r="208" spans="1:5" x14ac:dyDescent="0.35">
      <c r="A208" s="210">
        <f>IF(ISNUMBER(SEARCH('LARP Summary'!$E$3,B208)),MAX(A$1:$B207)+1,0)</f>
        <v>207</v>
      </c>
      <c r="B208" s="346" t="s">
        <v>604</v>
      </c>
      <c r="D208" s="213" t="str">
        <f ca="1"/>
        <v>Wealden District Council</v>
      </c>
      <c r="E208" s="212" t="str">
        <f>IFERROR(VLOOKUP(ROWS($E$2:E208),$A$2:$B$225,2,0),"")</f>
        <v>Wealden District Council</v>
      </c>
    </row>
    <row r="209" spans="1:5" x14ac:dyDescent="0.35">
      <c r="A209" s="210">
        <f>IF(ISNUMBER(SEARCH('LARP Summary'!$E$3,B209)),MAX(A$1:$B208)+1,0)</f>
        <v>208</v>
      </c>
      <c r="B209" s="346" t="s">
        <v>607</v>
      </c>
      <c r="D209" s="213" t="str">
        <f ca="1"/>
        <v>Welwyn Hatfield Borough Council</v>
      </c>
      <c r="E209" s="212" t="str">
        <f>IFERROR(VLOOKUP(ROWS($E$2:E209),$A$2:$B$225,2,0),"")</f>
        <v>Welwyn Hatfield Borough Council</v>
      </c>
    </row>
    <row r="210" spans="1:5" x14ac:dyDescent="0.35">
      <c r="A210" s="210">
        <f>IF(ISNUMBER(SEARCH('LARP Summary'!$E$3,B210)),MAX(A$1:$B209)+1,0)</f>
        <v>209</v>
      </c>
      <c r="B210" s="346" t="s">
        <v>610</v>
      </c>
      <c r="D210" s="213" t="str">
        <f ca="1"/>
        <v>West Berkshire District Council</v>
      </c>
      <c r="E210" s="212" t="str">
        <f>IFERROR(VLOOKUP(ROWS($E$2:E210),$A$2:$B$225,2,0),"")</f>
        <v>West Berkshire District Council</v>
      </c>
    </row>
    <row r="211" spans="1:5" x14ac:dyDescent="0.35">
      <c r="A211" s="210">
        <f>IF(ISNUMBER(SEARCH('LARP Summary'!$E$3,B211)),MAX(A$1:$B210)+1,0)</f>
        <v>210</v>
      </c>
      <c r="B211" s="346" t="s">
        <v>613</v>
      </c>
      <c r="D211" s="213" t="str">
        <f ca="1"/>
        <v>West Devon Borough Council</v>
      </c>
      <c r="E211" s="212" t="str">
        <f>IFERROR(VLOOKUP(ROWS($E$2:E211),$A$2:$B$225,2,0),"")</f>
        <v>West Devon Borough Council</v>
      </c>
    </row>
    <row r="212" spans="1:5" x14ac:dyDescent="0.35">
      <c r="A212" s="210">
        <f>IF(ISNUMBER(SEARCH('LARP Summary'!$E$3,B212)),MAX(A$1:$B211)+1,0)</f>
        <v>211</v>
      </c>
      <c r="B212" s="346" t="s">
        <v>616</v>
      </c>
      <c r="D212" s="213" t="str">
        <f ca="1"/>
        <v>West Lancashire Borough Council</v>
      </c>
      <c r="E212" s="212" t="str">
        <f>IFERROR(VLOOKUP(ROWS($E$2:E212),$A$2:$B$225,2,0),"")</f>
        <v>West Lancashire Borough Council</v>
      </c>
    </row>
    <row r="213" spans="1:5" x14ac:dyDescent="0.35">
      <c r="A213" s="210">
        <f>IF(ISNUMBER(SEARCH('LARP Summary'!$E$3,B213)),MAX(A$1:$B212)+1,0)</f>
        <v>212</v>
      </c>
      <c r="B213" s="346" t="s">
        <v>882</v>
      </c>
      <c r="D213" s="213" t="str">
        <f ca="1"/>
        <v>West Northamptonshire Council</v>
      </c>
      <c r="E213" s="212" t="str">
        <f>IFERROR(VLOOKUP(ROWS($E$2:E213),$A$2:$B$225,2,0),"")</f>
        <v>West Northamptonshire Council</v>
      </c>
    </row>
    <row r="214" spans="1:5" x14ac:dyDescent="0.35">
      <c r="A214" s="210">
        <f>IF(ISNUMBER(SEARCH('LARP Summary'!$E$3,B214)),MAX(A$1:$B213)+1,0)</f>
        <v>213</v>
      </c>
      <c r="B214" s="346" t="s">
        <v>619</v>
      </c>
      <c r="D214" s="213" t="str">
        <f ca="1"/>
        <v>West Suffolk Council</v>
      </c>
      <c r="E214" s="212" t="str">
        <f>IFERROR(VLOOKUP(ROWS($E$2:E214),$A$2:$B$225,2,0),"")</f>
        <v>West Suffolk Council</v>
      </c>
    </row>
    <row r="215" spans="1:5" x14ac:dyDescent="0.35">
      <c r="A215" s="210">
        <f>IF(ISNUMBER(SEARCH('LARP Summary'!$E$3,B215)),MAX(A$1:$B214)+1,0)</f>
        <v>214</v>
      </c>
      <c r="B215" s="347" t="s">
        <v>622</v>
      </c>
      <c r="D215" s="213" t="str">
        <f ca="1"/>
        <v>Wigan Council</v>
      </c>
      <c r="E215" s="212" t="str">
        <f>IFERROR(VLOOKUP(ROWS($E$2:E215),$A$2:$B$225,2,0),"")</f>
        <v>Wigan Council</v>
      </c>
    </row>
    <row r="216" spans="1:5" x14ac:dyDescent="0.35">
      <c r="A216" s="210">
        <f>IF(ISNUMBER(SEARCH('LARP Summary'!$E$3,B216)),MAX(A$1:$B215)+1,0)</f>
        <v>215</v>
      </c>
      <c r="B216" s="348" t="s">
        <v>625</v>
      </c>
      <c r="D216" s="213" t="str">
        <f ca="1"/>
        <v>Wiltshire Council</v>
      </c>
      <c r="E216" s="212" t="str">
        <f>IFERROR(VLOOKUP(ROWS($E$2:E216),$A$2:$B$225,2,0),"")</f>
        <v>Wiltshire Council</v>
      </c>
    </row>
    <row r="217" spans="1:5" x14ac:dyDescent="0.35">
      <c r="A217" s="210">
        <f>IF(ISNUMBER(SEARCH('LARP Summary'!$E$3,B217)),MAX(A$1:$B216)+1,0)</f>
        <v>216</v>
      </c>
      <c r="B217" s="348" t="s">
        <v>628</v>
      </c>
      <c r="D217" s="213" t="str">
        <f ca="1"/>
        <v>Winchester City Council</v>
      </c>
      <c r="E217" s="212" t="str">
        <f>IFERROR(VLOOKUP(ROWS($E$2:E217),$A$2:$B$225,2,0),"")</f>
        <v>Winchester City Council</v>
      </c>
    </row>
    <row r="218" spans="1:5" x14ac:dyDescent="0.35">
      <c r="A218" s="210">
        <f>IF(ISNUMBER(SEARCH('LARP Summary'!$E$3,B218)),MAX(A$1:$B217)+1,0)</f>
        <v>217</v>
      </c>
      <c r="B218" s="348" t="s">
        <v>631</v>
      </c>
      <c r="D218" s="213" t="str">
        <f ca="1"/>
        <v>Wirral Metropolitan Borough Council</v>
      </c>
      <c r="E218" s="212" t="str">
        <f>IFERROR(VLOOKUP(ROWS($E$2:E218),$A$2:$B$225,2,0),"")</f>
        <v>Wirral Metropolitan Borough Council</v>
      </c>
    </row>
    <row r="219" spans="1:5" x14ac:dyDescent="0.35">
      <c r="A219" s="210">
        <f>IF(ISNUMBER(SEARCH('LARP Summary'!$E$3,B219)),MAX(A$1:$B218)+1,0)</f>
        <v>218</v>
      </c>
      <c r="B219" s="348" t="s">
        <v>634</v>
      </c>
      <c r="D219" s="213" t="str">
        <f ca="1"/>
        <v>Woking Borough Council</v>
      </c>
      <c r="E219" s="212" t="str">
        <f>IFERROR(VLOOKUP(ROWS($E$2:E219),$A$2:$B$225,2,0),"")</f>
        <v>Woking Borough Council</v>
      </c>
    </row>
    <row r="220" spans="1:5" x14ac:dyDescent="0.35">
      <c r="A220" s="210">
        <f>IF(ISNUMBER(SEARCH('LARP Summary'!$E$3,B220)),MAX(A$1:$B219)+1,0)</f>
        <v>219</v>
      </c>
      <c r="B220" s="348" t="s">
        <v>637</v>
      </c>
      <c r="D220" s="213" t="str">
        <f ca="1"/>
        <v>Wokingham Borough Council</v>
      </c>
      <c r="E220" s="212" t="str">
        <f>IFERROR(VLOOKUP(ROWS($E$2:E220),$A$2:$B$225,2,0),"")</f>
        <v>Wokingham Borough Council</v>
      </c>
    </row>
    <row r="221" spans="1:5" x14ac:dyDescent="0.35">
      <c r="A221" s="210">
        <f>IF(ISNUMBER(SEARCH('LARP Summary'!$E$3,B221)),MAX(A$1:$B220)+1,0)</f>
        <v>220</v>
      </c>
      <c r="B221" s="329" t="s">
        <v>640</v>
      </c>
      <c r="D221" s="213" t="str">
        <f ca="1"/>
        <v>Wolverhampton City Council</v>
      </c>
      <c r="E221" s="212" t="str">
        <f>IFERROR(VLOOKUP(ROWS($E$2:E221),$A$2:$B$225,2,0),"")</f>
        <v>Wolverhampton City Council</v>
      </c>
    </row>
    <row r="222" spans="1:5" x14ac:dyDescent="0.35">
      <c r="A222" s="210">
        <f>IF(ISNUMBER(SEARCH('LARP Summary'!$E$3,B222)),MAX(A$1:$B221)+1,0)</f>
        <v>221</v>
      </c>
      <c r="B222" s="329" t="s">
        <v>885</v>
      </c>
      <c r="D222" s="213" t="str">
        <f ca="1"/>
        <v>Worthing Borough Council</v>
      </c>
      <c r="E222" s="212" t="str">
        <f>IFERROR(VLOOKUP(ROWS($E$2:E222),$A$2:$B$225,2,0),"")</f>
        <v>Worthing Borough Council</v>
      </c>
    </row>
    <row r="223" spans="1:5" x14ac:dyDescent="0.35">
      <c r="A223" s="210">
        <f>IF(ISNUMBER(SEARCH('LARP Summary'!$E$3,B223)),MAX(A$1:$B222)+1,0)</f>
        <v>0</v>
      </c>
      <c r="B223" s="329"/>
      <c r="E223" s="212" t="str">
        <f>IFERROR(VLOOKUP(ROWS($E$2:E223),$A$2:$B$225,2,0),"")</f>
        <v/>
      </c>
    </row>
    <row r="224" spans="1:5" x14ac:dyDescent="0.35">
      <c r="A224" s="210">
        <f>IF(ISNUMBER(SEARCH('LARP Summary'!$E$3,B224)),MAX(A$1:$B223)+1,0)</f>
        <v>0</v>
      </c>
      <c r="B224" s="329"/>
      <c r="E224" s="212" t="str">
        <f>IFERROR(VLOOKUP(ROWS($E$2:E224),$A$2:$B$225,2,0),"")</f>
        <v/>
      </c>
    </row>
    <row r="225" spans="1:5" x14ac:dyDescent="0.35">
      <c r="A225" s="210">
        <f>IF(ISNUMBER(SEARCH('LARP Summary'!$E$3,B225)),MAX(A$1:$B224)+1,0)</f>
        <v>0</v>
      </c>
      <c r="E225" s="212" t="str">
        <f>IFERROR(VLOOKUP(ROWS($E$2:E225),$A$2:$B$225,2,0),"")</f>
        <v/>
      </c>
    </row>
    <row r="226" spans="1:5" x14ac:dyDescent="0.35">
      <c r="A226" s="210">
        <f>IF(ISNUMBER(SEARCH('LARP Summary'!$E$3,B226)),MAX(A$1:$B225)+1,0)</f>
        <v>0</v>
      </c>
      <c r="B226" s="214"/>
      <c r="E226" s="212" t="str">
        <f>IFERROR(VLOOKUP(ROWS($E$2:E226),$A$2:$B$214,2,0),"")</f>
        <v/>
      </c>
    </row>
    <row r="227" spans="1:5" x14ac:dyDescent="0.35">
      <c r="A227" s="210">
        <f>IF(ISNUMBER(SEARCH('LARP Summary'!$E$3,B227)),MAX(A$1:$B226)+1,0)</f>
        <v>0</v>
      </c>
      <c r="B227" s="214"/>
      <c r="E227" s="212" t="str">
        <f>IFERROR(VLOOKUP(ROWS($E$2:E227),$A$2:$B$214,2,0),"")</f>
        <v/>
      </c>
    </row>
    <row r="228" spans="1:5" x14ac:dyDescent="0.35">
      <c r="A228" s="210">
        <f>IF(ISNUMBER(SEARCH('LARP Summary'!$E$3,B228)),MAX(A$1:$B227)+1,0)</f>
        <v>0</v>
      </c>
      <c r="B228" s="214"/>
      <c r="E228" s="212" t="str">
        <f>IFERROR(VLOOKUP(ROWS($E$2:E228),$A$2:$B$214,2,0),"")</f>
        <v/>
      </c>
    </row>
    <row r="229" spans="1:5" x14ac:dyDescent="0.35">
      <c r="A229" s="210">
        <f>IF(ISNUMBER(SEARCH('LARP Summary'!$E$3,B229)),MAX(A$1:$B228)+1,0)</f>
        <v>0</v>
      </c>
      <c r="B229" s="214"/>
      <c r="E229" s="212" t="str">
        <f>IFERROR(VLOOKUP(ROWS($E$2:E229),$A$2:$B$214,2,0),"")</f>
        <v/>
      </c>
    </row>
    <row r="230" spans="1:5" x14ac:dyDescent="0.35">
      <c r="A230" s="210">
        <f>IF(ISNUMBER(SEARCH('LARP Summary'!$E$3,B230)),MAX(A$1:$B229)+1,0)</f>
        <v>0</v>
      </c>
      <c r="B230" s="214"/>
      <c r="E230" s="212" t="str">
        <f>IFERROR(VLOOKUP(ROWS($E$2:E230),$A$2:$B$214,2,0),"")</f>
        <v/>
      </c>
    </row>
    <row r="231" spans="1:5" x14ac:dyDescent="0.35">
      <c r="A231" s="210">
        <f>IF(ISNUMBER(SEARCH('LARP Summary'!$E$3,B231)),MAX(A$1:$B230)+1,0)</f>
        <v>0</v>
      </c>
      <c r="B231" s="214"/>
      <c r="E231" s="212" t="str">
        <f>IFERROR(VLOOKUP(ROWS($E$2:E231),$A$2:$B$214,2,0),"")</f>
        <v/>
      </c>
    </row>
    <row r="232" spans="1:5" x14ac:dyDescent="0.35">
      <c r="A232" s="210">
        <f>IF(ISNUMBER(SEARCH('LARP Summary'!$E$3,B232)),MAX(A$1:$B231)+1,0)</f>
        <v>0</v>
      </c>
      <c r="B232" s="214"/>
      <c r="E232" s="212" t="str">
        <f>IFERROR(VLOOKUP(ROWS($E$2:E232),$A$2:$B$214,2,0),"")</f>
        <v/>
      </c>
    </row>
    <row r="233" spans="1:5" x14ac:dyDescent="0.35">
      <c r="A233" s="210">
        <f>IF(ISNUMBER(SEARCH('LARP Summary'!$E$3,B233)),MAX(A$1:$B232)+1,0)</f>
        <v>0</v>
      </c>
      <c r="B233" s="214"/>
      <c r="E233" s="212" t="str">
        <f>IFERROR(VLOOKUP(ROWS($E$2:E233),$A$2:$B$214,2,0),"")</f>
        <v/>
      </c>
    </row>
    <row r="234" spans="1:5" x14ac:dyDescent="0.35">
      <c r="A234" s="210">
        <f>IF(ISNUMBER(SEARCH('LARP Summary'!$E$3,B234)),MAX(A$1:$B233)+1,0)</f>
        <v>0</v>
      </c>
      <c r="B234" s="214"/>
      <c r="E234" s="212" t="str">
        <f>IFERROR(VLOOKUP(ROWS($E$2:E234),$A$2:$B$214,2,0),"")</f>
        <v/>
      </c>
    </row>
    <row r="235" spans="1:5" x14ac:dyDescent="0.35">
      <c r="A235" s="210">
        <f>IF(ISNUMBER(SEARCH('LARP Summary'!$E$3,B235)),MAX(A$1:$B234)+1,0)</f>
        <v>0</v>
      </c>
      <c r="B235" s="214"/>
      <c r="E235" s="212" t="str">
        <f>IFERROR(VLOOKUP(ROWS($E$2:E235),$A$2:$B$214,2,0),"")</f>
        <v/>
      </c>
    </row>
    <row r="236" spans="1:5" x14ac:dyDescent="0.35">
      <c r="A236" s="210">
        <f>IF(ISNUMBER(SEARCH('LARP Summary'!$E$3,B236)),MAX(A$1:$B235)+1,0)</f>
        <v>0</v>
      </c>
      <c r="B236" s="214"/>
      <c r="E236" s="212" t="str">
        <f>IFERROR(VLOOKUP(ROWS($E$2:E236),$A$2:$B$214,2,0),"")</f>
        <v/>
      </c>
    </row>
    <row r="237" spans="1:5" x14ac:dyDescent="0.35">
      <c r="A237" s="210">
        <f>IF(ISNUMBER(SEARCH('LARP Summary'!$E$3,B237)),MAX(A$1:$B236)+1,0)</f>
        <v>0</v>
      </c>
      <c r="B237" s="214"/>
      <c r="E237" s="212" t="str">
        <f>IFERROR(VLOOKUP(ROWS($E$2:E237),$A$2:$B$214,2,0),"")</f>
        <v/>
      </c>
    </row>
    <row r="238" spans="1:5" x14ac:dyDescent="0.35">
      <c r="A238" s="210">
        <f>IF(ISNUMBER(SEARCH('LARP Summary'!$E$3,B238)),MAX(A$1:$B237)+1,0)</f>
        <v>0</v>
      </c>
      <c r="B238" s="214"/>
      <c r="E238" s="212" t="str">
        <f>IFERROR(VLOOKUP(ROWS($E$2:E238),$A$2:$B$214,2,0),"")</f>
        <v/>
      </c>
    </row>
    <row r="239" spans="1:5" x14ac:dyDescent="0.35">
      <c r="A239" s="210">
        <f>IF(ISNUMBER(SEARCH('LARP Summary'!$E$3,B239)),MAX(A$1:$B238)+1,0)</f>
        <v>0</v>
      </c>
      <c r="B239" s="214"/>
      <c r="E239" s="212" t="str">
        <f>IFERROR(VLOOKUP(ROWS($E$2:E239),$A$2:$B$214,2,0),"")</f>
        <v/>
      </c>
    </row>
    <row r="240" spans="1:5" x14ac:dyDescent="0.35">
      <c r="A240" s="210">
        <f>IF(ISNUMBER(SEARCH('LARP Summary'!$E$3,B240)),MAX(A$1:$B239)+1,0)</f>
        <v>0</v>
      </c>
      <c r="B240" s="214"/>
      <c r="E240" s="212" t="str">
        <f>IFERROR(VLOOKUP(ROWS($E$2:E240),$A$2:$B$214,2,0),"")</f>
        <v/>
      </c>
    </row>
    <row r="241" spans="1:5" x14ac:dyDescent="0.35">
      <c r="A241" s="210">
        <f>IF(ISNUMBER(SEARCH('LARP Summary'!$E$3,B241)),MAX(A$1:$B240)+1,0)</f>
        <v>0</v>
      </c>
      <c r="B241" s="214"/>
      <c r="E241" s="212" t="str">
        <f>IFERROR(VLOOKUP(ROWS($E$2:E241),$A$2:$B$214,2,0),"")</f>
        <v/>
      </c>
    </row>
    <row r="242" spans="1:5" x14ac:dyDescent="0.35">
      <c r="A242" s="210">
        <f>IF(ISNUMBER(SEARCH('LARP Summary'!$E$3,B242)),MAX(A$1:$B241)+1,0)</f>
        <v>0</v>
      </c>
      <c r="B242" s="214"/>
      <c r="E242" s="212" t="str">
        <f>IFERROR(VLOOKUP(ROWS($E$2:E242),$A$2:$B$214,2,0),"")</f>
        <v/>
      </c>
    </row>
    <row r="243" spans="1:5" x14ac:dyDescent="0.35">
      <c r="A243" s="210">
        <f>IF(ISNUMBER(SEARCH('LARP Summary'!$E$3,B243)),MAX(A$1:$B242)+1,0)</f>
        <v>0</v>
      </c>
      <c r="B243" s="214"/>
      <c r="E243" s="212" t="str">
        <f>IFERROR(VLOOKUP(ROWS($E$2:E243),$A$2:$B$214,2,0),"")</f>
        <v/>
      </c>
    </row>
    <row r="244" spans="1:5" x14ac:dyDescent="0.35">
      <c r="A244" s="210">
        <f>IF(ISNUMBER(SEARCH('LARP Summary'!$E$3,B244)),MAX(A$1:$B243)+1,0)</f>
        <v>0</v>
      </c>
      <c r="B244" s="214"/>
      <c r="E244" s="212" t="str">
        <f>IFERROR(VLOOKUP(ROWS($E$2:E244),$A$2:$B$214,2,0),"")</f>
        <v/>
      </c>
    </row>
    <row r="245" spans="1:5" x14ac:dyDescent="0.35">
      <c r="A245" s="210">
        <f>IF(ISNUMBER(SEARCH('LARP Summary'!$E$3,B245)),MAX(A$1:$B244)+1,0)</f>
        <v>0</v>
      </c>
      <c r="B245" s="214"/>
      <c r="E245" s="212" t="str">
        <f>IFERROR(VLOOKUP(ROWS($E$2:E245),$A$2:$B$214,2,0),"")</f>
        <v/>
      </c>
    </row>
    <row r="246" spans="1:5" x14ac:dyDescent="0.35">
      <c r="A246" s="210">
        <f>IF(ISNUMBER(SEARCH('LARP Summary'!$E$3,B246)),MAX(A$1:$B245)+1,0)</f>
        <v>0</v>
      </c>
      <c r="B246" s="214"/>
      <c r="E246" s="212" t="str">
        <f>IFERROR(VLOOKUP(ROWS($E$2:E246),$A$2:$B$214,2,0),"")</f>
        <v/>
      </c>
    </row>
    <row r="247" spans="1:5" x14ac:dyDescent="0.35">
      <c r="A247" s="210">
        <f>IF(ISNUMBER(SEARCH('LARP Summary'!$E$3,B247)),MAX(A$1:$B246)+1,0)</f>
        <v>0</v>
      </c>
      <c r="B247" s="214"/>
      <c r="E247" s="212" t="str">
        <f>IFERROR(VLOOKUP(ROWS($E$2:E247),$A$2:$B$214,2,0),"")</f>
        <v/>
      </c>
    </row>
    <row r="248" spans="1:5" x14ac:dyDescent="0.35">
      <c r="A248" s="210">
        <f>IF(ISNUMBER(SEARCH('LARP Summary'!$E$3,B248)),MAX(A$1:$B247)+1,0)</f>
        <v>0</v>
      </c>
      <c r="B248" s="214"/>
      <c r="E248" s="212" t="str">
        <f>IFERROR(VLOOKUP(ROWS($E$2:E248),$A$2:$B$214,2,0),"")</f>
        <v/>
      </c>
    </row>
    <row r="249" spans="1:5" x14ac:dyDescent="0.35">
      <c r="A249" s="210">
        <f>IF(ISNUMBER(SEARCH('LARP Summary'!$E$3,B249)),MAX(A$1:$B248)+1,0)</f>
        <v>0</v>
      </c>
      <c r="B249" s="214"/>
      <c r="E249" s="212" t="str">
        <f>IFERROR(VLOOKUP(ROWS($E$2:E249),$A$2:$B$214,2,0),"")</f>
        <v/>
      </c>
    </row>
    <row r="250" spans="1:5" x14ac:dyDescent="0.35">
      <c r="A250" s="210">
        <f>IF(ISNUMBER(SEARCH('LARP Summary'!$E$3,B250)),MAX(A$1:$B249)+1,0)</f>
        <v>0</v>
      </c>
      <c r="B250" s="214"/>
      <c r="E250" s="212" t="str">
        <f>IFERROR(VLOOKUP(ROWS($E$2:E250),$A$2:$B$214,2,0),"")</f>
        <v/>
      </c>
    </row>
    <row r="251" spans="1:5" x14ac:dyDescent="0.35">
      <c r="A251" s="210">
        <f>IF(ISNUMBER(SEARCH('LARP Summary'!$E$3,B251)),MAX(A$1:$B250)+1,0)</f>
        <v>0</v>
      </c>
      <c r="B251" s="214"/>
      <c r="E251" s="212" t="str">
        <f>IFERROR(VLOOKUP(ROWS($E$2:E251),$A$2:$B$214,2,0),"")</f>
        <v/>
      </c>
    </row>
    <row r="252" spans="1:5" x14ac:dyDescent="0.35">
      <c r="A252" s="210">
        <f>IF(ISNUMBER(SEARCH('LARP Summary'!$E$3,B252)),MAX(A$1:$B251)+1,0)</f>
        <v>0</v>
      </c>
      <c r="B252" s="214"/>
      <c r="E252" s="212" t="str">
        <f>IFERROR(VLOOKUP(ROWS($E$2:E252),$A$2:$B$214,2,0),"")</f>
        <v/>
      </c>
    </row>
    <row r="253" spans="1:5" x14ac:dyDescent="0.35">
      <c r="A253" s="210">
        <f>IF(ISNUMBER(SEARCH('LARP Summary'!$E$3,B253)),MAX(A$1:$B252)+1,0)</f>
        <v>0</v>
      </c>
      <c r="B253" s="214"/>
      <c r="E253" s="212" t="str">
        <f>IFERROR(VLOOKUP(ROWS($E$2:E253),$A$2:$B$214,2,0),"")</f>
        <v/>
      </c>
    </row>
    <row r="254" spans="1:5" x14ac:dyDescent="0.35">
      <c r="A254" s="210">
        <f>IF(ISNUMBER(SEARCH('LARP Summary'!$E$3,B254)),MAX(A$1:$B253)+1,0)</f>
        <v>0</v>
      </c>
      <c r="B254" s="214"/>
      <c r="E254" s="212" t="str">
        <f>IFERROR(VLOOKUP(ROWS($E$2:E254),$A$2:$B$214,2,0),"")</f>
        <v/>
      </c>
    </row>
    <row r="255" spans="1:5" x14ac:dyDescent="0.35">
      <c r="A255" s="210">
        <f>IF(ISNUMBER(SEARCH('LARP Summary'!$E$3,B255)),MAX(A$1:$B254)+1,0)</f>
        <v>0</v>
      </c>
      <c r="B255" s="214"/>
      <c r="E255" s="212" t="str">
        <f>IFERROR(VLOOKUP(ROWS($E$2:E255),$A$2:$B$214,2,0),"")</f>
        <v/>
      </c>
    </row>
    <row r="256" spans="1:5" x14ac:dyDescent="0.35">
      <c r="A256" s="210">
        <f>IF(ISNUMBER(SEARCH('LARP Summary'!$E$3,B256)),MAX(A$1:$B255)+1,0)</f>
        <v>0</v>
      </c>
      <c r="B256" s="214"/>
      <c r="E256" s="212" t="str">
        <f>IFERROR(VLOOKUP(ROWS($E$2:E256),$A$2:$B$214,2,0),"")</f>
        <v/>
      </c>
    </row>
    <row r="257" spans="1:5" x14ac:dyDescent="0.35">
      <c r="A257" s="210">
        <f>IF(ISNUMBER(SEARCH('LARP Summary'!$E$3,B257)),MAX(A$1:$B256)+1,0)</f>
        <v>0</v>
      </c>
      <c r="B257" s="214"/>
      <c r="E257" s="212" t="str">
        <f>IFERROR(VLOOKUP(ROWS($E$2:E257),$A$2:$B$214,2,0),"")</f>
        <v/>
      </c>
    </row>
    <row r="258" spans="1:5" x14ac:dyDescent="0.35">
      <c r="A258" s="210">
        <f>IF(ISNUMBER(SEARCH('LARP Summary'!$E$3,B258)),MAX(A$1:$B257)+1,0)</f>
        <v>0</v>
      </c>
      <c r="B258" s="214"/>
      <c r="E258" s="212" t="str">
        <f>IFERROR(VLOOKUP(ROWS($E$2:E258),$A$2:$B$214,2,0),"")</f>
        <v/>
      </c>
    </row>
    <row r="259" spans="1:5" x14ac:dyDescent="0.35">
      <c r="A259" s="210">
        <f>IF(ISNUMBER(SEARCH('LARP Summary'!$E$3,B259)),MAX(A$1:$B258)+1,0)</f>
        <v>0</v>
      </c>
      <c r="B259" s="214"/>
      <c r="E259" s="212" t="str">
        <f>IFERROR(VLOOKUP(ROWS($E$2:E259),$A$2:$B$214,2,0),"")</f>
        <v/>
      </c>
    </row>
    <row r="260" spans="1:5" x14ac:dyDescent="0.35">
      <c r="A260" s="210">
        <f>IF(ISNUMBER(SEARCH('LARP Summary'!$E$3,B260)),MAX(A$1:$B259)+1,0)</f>
        <v>0</v>
      </c>
      <c r="B260" s="214"/>
      <c r="E260" s="212" t="str">
        <f>IFERROR(VLOOKUP(ROWS($E$2:E260),$A$2:$B$214,2,0),"")</f>
        <v/>
      </c>
    </row>
    <row r="261" spans="1:5" x14ac:dyDescent="0.35">
      <c r="A261" s="210">
        <f>IF(ISNUMBER(SEARCH('LARP Summary'!$E$3,B261)),MAX(A$1:$B260)+1,0)</f>
        <v>0</v>
      </c>
      <c r="B261" s="214"/>
      <c r="E261" s="212" t="str">
        <f>IFERROR(VLOOKUP(ROWS($E$2:E261),$A$2:$B$214,2,0),"")</f>
        <v/>
      </c>
    </row>
    <row r="262" spans="1:5" x14ac:dyDescent="0.35">
      <c r="A262" s="210">
        <f>IF(ISNUMBER(SEARCH('LARP Summary'!$E$3,B262)),MAX(A$1:$B261)+1,0)</f>
        <v>0</v>
      </c>
      <c r="B262" s="214"/>
      <c r="E262" s="212" t="str">
        <f>IFERROR(VLOOKUP(ROWS($E$2:E262),$A$2:$B$214,2,0),"")</f>
        <v/>
      </c>
    </row>
    <row r="263" spans="1:5" x14ac:dyDescent="0.35">
      <c r="A263" s="210">
        <f>IF(ISNUMBER(SEARCH('LARP Summary'!$E$3,B263)),MAX(A$1:$B262)+1,0)</f>
        <v>0</v>
      </c>
      <c r="B263" s="214"/>
      <c r="E263" s="212" t="str">
        <f>IFERROR(VLOOKUP(ROWS($E$2:E263),$A$2:$B$214,2,0),"")</f>
        <v/>
      </c>
    </row>
    <row r="264" spans="1:5" x14ac:dyDescent="0.35">
      <c r="A264" s="210">
        <f>IF(ISNUMBER(SEARCH('LARP Summary'!$E$3,B264)),MAX(A$1:$B263)+1,0)</f>
        <v>0</v>
      </c>
      <c r="B264" s="214"/>
      <c r="E264" s="212" t="str">
        <f>IFERROR(VLOOKUP(ROWS($E$2:E264),$A$2:$B$214,2,0),"")</f>
        <v/>
      </c>
    </row>
    <row r="265" spans="1:5" x14ac:dyDescent="0.35">
      <c r="A265" s="210">
        <f>IF(ISNUMBER(SEARCH('LARP Summary'!$E$3,B265)),MAX(A$1:$B264)+1,0)</f>
        <v>0</v>
      </c>
      <c r="B265" s="214"/>
      <c r="E265" s="212" t="str">
        <f>IFERROR(VLOOKUP(ROWS($E$2:E265),$A$2:$B$214,2,0),"")</f>
        <v/>
      </c>
    </row>
    <row r="266" spans="1:5" x14ac:dyDescent="0.35">
      <c r="A266" s="210">
        <f>IF(ISNUMBER(SEARCH('LARP Summary'!$E$3,B266)),MAX(A$1:$B265)+1,0)</f>
        <v>0</v>
      </c>
      <c r="B266" s="214"/>
      <c r="E266" s="212" t="str">
        <f>IFERROR(VLOOKUP(ROWS($E$2:E266),$A$2:$B$214,2,0),"")</f>
        <v/>
      </c>
    </row>
    <row r="267" spans="1:5" x14ac:dyDescent="0.35">
      <c r="A267" s="210">
        <f>IF(ISNUMBER(SEARCH('LARP Summary'!$E$3,B267)),MAX(A$1:$B266)+1,0)</f>
        <v>0</v>
      </c>
      <c r="B267" s="214"/>
      <c r="E267" s="212" t="str">
        <f>IFERROR(VLOOKUP(ROWS($E$2:E267),$A$2:$B$214,2,0),"")</f>
        <v/>
      </c>
    </row>
    <row r="268" spans="1:5" x14ac:dyDescent="0.35">
      <c r="A268" s="210">
        <f>IF(ISNUMBER(SEARCH('LARP Summary'!$E$3,B268)),MAX(A$1:$B267)+1,0)</f>
        <v>0</v>
      </c>
      <c r="B268" s="214"/>
      <c r="E268" s="212" t="str">
        <f>IFERROR(VLOOKUP(ROWS($E$2:E268),$A$2:$B$214,2,0),"")</f>
        <v/>
      </c>
    </row>
    <row r="269" spans="1:5" x14ac:dyDescent="0.35">
      <c r="A269" s="210">
        <f>IF(ISNUMBER(SEARCH('LARP Summary'!$E$3,B269)),MAX(A$1:$B268)+1,0)</f>
        <v>0</v>
      </c>
      <c r="B269" s="214"/>
      <c r="E269" s="212" t="str">
        <f>IFERROR(VLOOKUP(ROWS($E$2:E269),$A$2:$B$214,2,0),"")</f>
        <v/>
      </c>
    </row>
    <row r="270" spans="1:5" x14ac:dyDescent="0.35">
      <c r="A270" s="210">
        <f>IF(ISNUMBER(SEARCH('LARP Summary'!$E$3,B270)),MAX(A$1:$B269)+1,0)</f>
        <v>0</v>
      </c>
      <c r="B270" s="214"/>
      <c r="E270" s="212" t="str">
        <f>IFERROR(VLOOKUP(ROWS($E$2:E270),$A$2:$B$214,2,0),"")</f>
        <v/>
      </c>
    </row>
    <row r="271" spans="1:5" x14ac:dyDescent="0.35">
      <c r="A271" s="210">
        <f>IF(ISNUMBER(SEARCH('LARP Summary'!$E$3,B271)),MAX(A$1:$B270)+1,0)</f>
        <v>0</v>
      </c>
      <c r="B271" s="214"/>
      <c r="E271" s="212" t="str">
        <f>IFERROR(VLOOKUP(ROWS($E$2:E271),$A$2:$B$214,2,0),"")</f>
        <v/>
      </c>
    </row>
    <row r="272" spans="1:5" x14ac:dyDescent="0.35">
      <c r="A272" s="210">
        <f>IF(ISNUMBER(SEARCH('LARP Summary'!$E$3,B272)),MAX(A$1:$B271)+1,0)</f>
        <v>0</v>
      </c>
      <c r="B272" s="214"/>
      <c r="E272" s="212" t="str">
        <f>IFERROR(VLOOKUP(ROWS($E$2:E272),$A$2:$B$214,2,0),"")</f>
        <v/>
      </c>
    </row>
    <row r="273" spans="1:5" x14ac:dyDescent="0.35">
      <c r="A273" s="210">
        <f>IF(ISNUMBER(SEARCH('LARP Summary'!$E$3,B273)),MAX(A$1:$B272)+1,0)</f>
        <v>0</v>
      </c>
      <c r="B273" s="214"/>
      <c r="E273" s="212" t="str">
        <f>IFERROR(VLOOKUP(ROWS($E$2:E273),$A$2:$B$214,2,0),"")</f>
        <v/>
      </c>
    </row>
    <row r="274" spans="1:5" x14ac:dyDescent="0.35">
      <c r="A274" s="210">
        <f>IF(ISNUMBER(SEARCH('LARP Summary'!$E$3,B274)),MAX(A$1:$B273)+1,0)</f>
        <v>0</v>
      </c>
      <c r="B274" s="214"/>
      <c r="E274" s="212" t="str">
        <f>IFERROR(VLOOKUP(ROWS($E$2:E274),$A$2:$B$214,2,0),"")</f>
        <v/>
      </c>
    </row>
    <row r="275" spans="1:5" x14ac:dyDescent="0.35">
      <c r="A275" s="210">
        <f>IF(ISNUMBER(SEARCH('LARP Summary'!$E$3,B275)),MAX(A$1:$B274)+1,0)</f>
        <v>0</v>
      </c>
      <c r="B275" s="214"/>
      <c r="E275" s="212" t="str">
        <f>IFERROR(VLOOKUP(ROWS($E$2:E275),$A$2:$B$214,2,0),"")</f>
        <v/>
      </c>
    </row>
    <row r="276" spans="1:5" x14ac:dyDescent="0.35">
      <c r="A276" s="210">
        <f>IF(ISNUMBER(SEARCH('LARP Summary'!$E$3,B276)),MAX(A$1:$B275)+1,0)</f>
        <v>0</v>
      </c>
      <c r="B276" s="214"/>
      <c r="E276" s="212" t="str">
        <f>IFERROR(VLOOKUP(ROWS($E$2:E276),$A$2:$B$214,2,0),"")</f>
        <v/>
      </c>
    </row>
    <row r="277" spans="1:5" x14ac:dyDescent="0.35">
      <c r="A277" s="210">
        <f>IF(ISNUMBER(SEARCH('LARP Summary'!$E$3,B277)),MAX(A$1:$B276)+1,0)</f>
        <v>0</v>
      </c>
      <c r="B277" s="214"/>
      <c r="E277" s="212" t="str">
        <f>IFERROR(VLOOKUP(ROWS($E$2:E277),$A$2:$B$214,2,0),"")</f>
        <v/>
      </c>
    </row>
    <row r="278" spans="1:5" x14ac:dyDescent="0.35">
      <c r="A278" s="210">
        <f>IF(ISNUMBER(SEARCH('LARP Summary'!$E$3,B278)),MAX(A$1:$B277)+1,0)</f>
        <v>0</v>
      </c>
      <c r="B278" s="214"/>
      <c r="E278" s="212" t="str">
        <f>IFERROR(VLOOKUP(ROWS($E$2:E278),$A$2:$B$214,2,0),"")</f>
        <v/>
      </c>
    </row>
    <row r="279" spans="1:5" x14ac:dyDescent="0.35">
      <c r="A279" s="210">
        <f>IF(ISNUMBER(SEARCH('LARP Summary'!$E$3,B279)),MAX(A$1:$B278)+1,0)</f>
        <v>0</v>
      </c>
      <c r="B279" s="214"/>
      <c r="E279" s="212" t="str">
        <f>IFERROR(VLOOKUP(ROWS($E$2:E279),$A$2:$B$214,2,0),"")</f>
        <v/>
      </c>
    </row>
    <row r="280" spans="1:5" x14ac:dyDescent="0.35">
      <c r="A280" s="210">
        <f>IF(ISNUMBER(SEARCH('LARP Summary'!$E$3,B280)),MAX(A$1:$B279)+1,0)</f>
        <v>0</v>
      </c>
      <c r="B280" s="214"/>
      <c r="E280" s="212" t="str">
        <f>IFERROR(VLOOKUP(ROWS($E$2:E280),$A$2:$B$214,2,0),"")</f>
        <v/>
      </c>
    </row>
    <row r="281" spans="1:5" x14ac:dyDescent="0.35">
      <c r="A281" s="210">
        <f>IF(ISNUMBER(SEARCH('LARP Summary'!$E$3,B281)),MAX(A$1:$B280)+1,0)</f>
        <v>0</v>
      </c>
      <c r="B281" s="214"/>
      <c r="E281" s="212" t="str">
        <f>IFERROR(VLOOKUP(ROWS($E$2:E281),$A$2:$B$214,2,0),"")</f>
        <v/>
      </c>
    </row>
    <row r="282" spans="1:5" x14ac:dyDescent="0.35">
      <c r="A282" s="210">
        <f>IF(ISNUMBER(SEARCH('LARP Summary'!$E$3,B282)),MAX(A$1:$B281)+1,0)</f>
        <v>0</v>
      </c>
      <c r="B282" s="214"/>
      <c r="E282" s="212" t="str">
        <f>IFERROR(VLOOKUP(ROWS($E$2:E282),$A$2:$B$214,2,0),"")</f>
        <v/>
      </c>
    </row>
    <row r="283" spans="1:5" x14ac:dyDescent="0.35">
      <c r="A283" s="210">
        <f>IF(ISNUMBER(SEARCH('LARP Summary'!$E$3,B283)),MAX(A$1:$B282)+1,0)</f>
        <v>0</v>
      </c>
      <c r="B283" s="214"/>
      <c r="E283" s="212" t="str">
        <f>IFERROR(VLOOKUP(ROWS($E$2:E283),$A$2:$B$214,2,0),"")</f>
        <v/>
      </c>
    </row>
    <row r="284" spans="1:5" x14ac:dyDescent="0.35">
      <c r="A284" s="210">
        <f>IF(ISNUMBER(SEARCH('LARP Summary'!$E$3,B284)),MAX(A$1:$B283)+1,0)</f>
        <v>0</v>
      </c>
      <c r="B284" s="214"/>
      <c r="E284" s="212" t="str">
        <f>IFERROR(VLOOKUP(ROWS($E$2:E284),$A$2:$B$214,2,0),"")</f>
        <v/>
      </c>
    </row>
    <row r="285" spans="1:5" x14ac:dyDescent="0.35">
      <c r="A285" s="210">
        <f>IF(ISNUMBER(SEARCH('LARP Summary'!$E$3,B285)),MAX(A$1:$B284)+1,0)</f>
        <v>0</v>
      </c>
      <c r="B285" s="214"/>
      <c r="E285" s="212" t="str">
        <f>IFERROR(VLOOKUP(ROWS($E$2:E285),$A$2:$B$214,2,0),"")</f>
        <v/>
      </c>
    </row>
    <row r="286" spans="1:5" x14ac:dyDescent="0.35">
      <c r="A286" s="210">
        <f>IF(ISNUMBER(SEARCH('LARP Summary'!$E$3,B286)),MAX(A$1:$B285)+1,0)</f>
        <v>0</v>
      </c>
      <c r="B286" s="214"/>
      <c r="E286" s="212" t="str">
        <f>IFERROR(VLOOKUP(ROWS($E$2:E286),$A$2:$B$214,2,0),"")</f>
        <v/>
      </c>
    </row>
    <row r="287" spans="1:5" x14ac:dyDescent="0.35">
      <c r="A287" s="210">
        <f>IF(ISNUMBER(SEARCH('LARP Summary'!$E$3,B287)),MAX(A$1:$B286)+1,0)</f>
        <v>0</v>
      </c>
      <c r="B287" s="214"/>
      <c r="E287" s="212" t="str">
        <f>IFERROR(VLOOKUP(ROWS($E$2:E287),$A$2:$B$214,2,0),"")</f>
        <v/>
      </c>
    </row>
    <row r="288" spans="1:5" x14ac:dyDescent="0.35">
      <c r="A288" s="210">
        <f>IF(ISNUMBER(SEARCH('LARP Summary'!$E$3,B288)),MAX(A$1:$B287)+1,0)</f>
        <v>0</v>
      </c>
      <c r="B288" s="214"/>
      <c r="E288" s="212" t="str">
        <f>IFERROR(VLOOKUP(ROWS($E$2:E288),$A$2:$B$214,2,0),"")</f>
        <v/>
      </c>
    </row>
    <row r="289" spans="1:5" x14ac:dyDescent="0.35">
      <c r="A289" s="210">
        <f>IF(ISNUMBER(SEARCH('LARP Summary'!$E$3,B289)),MAX(A$1:$B288)+1,0)</f>
        <v>0</v>
      </c>
      <c r="B289" s="214"/>
      <c r="E289" s="212" t="str">
        <f>IFERROR(VLOOKUP(ROWS($E$2:E289),$A$2:$B$214,2,0),"")</f>
        <v/>
      </c>
    </row>
    <row r="290" spans="1:5" x14ac:dyDescent="0.35">
      <c r="A290" s="210">
        <f>IF(ISNUMBER(SEARCH('LARP Summary'!$E$3,B290)),MAX(A$1:$B289)+1,0)</f>
        <v>0</v>
      </c>
      <c r="B290" s="214"/>
      <c r="E290" s="212" t="str">
        <f>IFERROR(VLOOKUP(ROWS($E$2:E290),$A$2:$B$214,2,0),"")</f>
        <v/>
      </c>
    </row>
    <row r="291" spans="1:5" x14ac:dyDescent="0.35">
      <c r="A291" s="210">
        <f>IF(ISNUMBER(SEARCH('LARP Summary'!$E$3,B291)),MAX(A$1:$B290)+1,0)</f>
        <v>0</v>
      </c>
      <c r="B291" s="214"/>
      <c r="E291" s="212" t="str">
        <f>IFERROR(VLOOKUP(ROWS($E$2:E291),$A$2:$B$214,2,0),"")</f>
        <v/>
      </c>
    </row>
    <row r="292" spans="1:5" x14ac:dyDescent="0.35">
      <c r="A292" s="210">
        <f>IF(ISNUMBER(SEARCH('LARP Summary'!$E$3,B292)),MAX(A$1:$B291)+1,0)</f>
        <v>0</v>
      </c>
      <c r="B292" s="214"/>
      <c r="E292" s="212" t="str">
        <f>IFERROR(VLOOKUP(ROWS($E$2:E292),$A$2:$B$214,2,0),"")</f>
        <v/>
      </c>
    </row>
    <row r="293" spans="1:5" x14ac:dyDescent="0.35">
      <c r="A293" s="210">
        <f>IF(ISNUMBER(SEARCH('LARP Summary'!$E$3,B293)),MAX(A$1:$B292)+1,0)</f>
        <v>0</v>
      </c>
      <c r="B293" s="214"/>
      <c r="E293" s="212" t="str">
        <f>IFERROR(VLOOKUP(ROWS($E$2:E293),$A$2:$B$214,2,0),"")</f>
        <v/>
      </c>
    </row>
    <row r="294" spans="1:5" x14ac:dyDescent="0.35">
      <c r="A294" s="210">
        <f>IF(ISNUMBER(SEARCH('LARP Summary'!$E$3,B294)),MAX(A$1:$B293)+1,0)</f>
        <v>0</v>
      </c>
      <c r="B294" s="214"/>
      <c r="E294" s="212" t="str">
        <f>IFERROR(VLOOKUP(ROWS($E$2:E294),$A$2:$B$214,2,0),"")</f>
        <v/>
      </c>
    </row>
    <row r="295" spans="1:5" x14ac:dyDescent="0.35">
      <c r="A295" s="210">
        <f>IF(ISNUMBER(SEARCH('LARP Summary'!$E$3,B295)),MAX(A$1:$B294)+1,0)</f>
        <v>0</v>
      </c>
      <c r="B295" s="214"/>
      <c r="E295" s="212" t="str">
        <f>IFERROR(VLOOKUP(ROWS($E$2:E295),$A$2:$B$214,2,0),"")</f>
        <v/>
      </c>
    </row>
    <row r="296" spans="1:5" x14ac:dyDescent="0.35">
      <c r="A296" s="210">
        <f>IF(ISNUMBER(SEARCH('LARP Summary'!$E$3,B296)),MAX(A$1:$B295)+1,0)</f>
        <v>0</v>
      </c>
      <c r="B296" s="214"/>
      <c r="E296" s="212" t="str">
        <f>IFERROR(VLOOKUP(ROWS($E$2:E296),$A$2:$B$214,2,0),"")</f>
        <v/>
      </c>
    </row>
    <row r="297" spans="1:5" x14ac:dyDescent="0.35">
      <c r="A297" s="210">
        <f>IF(ISNUMBER(SEARCH('LARP Summary'!$E$3,B297)),MAX(A$1:$B296)+1,0)</f>
        <v>0</v>
      </c>
      <c r="B297" s="214"/>
      <c r="E297" s="212" t="str">
        <f>IFERROR(VLOOKUP(ROWS($E$2:E297),$A$2:$B$214,2,0),"")</f>
        <v/>
      </c>
    </row>
    <row r="298" spans="1:5" x14ac:dyDescent="0.35">
      <c r="A298" s="210">
        <f>IF(ISNUMBER(SEARCH('LARP Summary'!$E$3,B298)),MAX(A$1:$B297)+1,0)</f>
        <v>0</v>
      </c>
      <c r="B298" s="214"/>
      <c r="E298" s="212" t="str">
        <f>IFERROR(VLOOKUP(ROWS($E$2:E298),$A$2:$B$214,2,0),"")</f>
        <v/>
      </c>
    </row>
    <row r="299" spans="1:5" x14ac:dyDescent="0.35">
      <c r="A299" s="210">
        <f>IF(ISNUMBER(SEARCH('LARP Summary'!$E$3,B299)),MAX(A$1:$B298)+1,0)</f>
        <v>0</v>
      </c>
      <c r="B299" s="214"/>
      <c r="E299" s="212" t="str">
        <f>IFERROR(VLOOKUP(ROWS($E$2:E299),$A$2:$B$214,2,0),"")</f>
        <v/>
      </c>
    </row>
    <row r="300" spans="1:5" x14ac:dyDescent="0.35">
      <c r="A300" s="210">
        <f>IF(ISNUMBER(SEARCH('LARP Summary'!$E$3,B300)),MAX(A$1:$B299)+1,0)</f>
        <v>0</v>
      </c>
      <c r="B300" s="214"/>
      <c r="E300" s="212" t="str">
        <f>IFERROR(VLOOKUP(ROWS($E$2:E300),$A$2:$B$214,2,0),"")</f>
        <v/>
      </c>
    </row>
    <row r="301" spans="1:5" x14ac:dyDescent="0.35">
      <c r="A301" s="210">
        <f>IF(ISNUMBER(SEARCH('LARP Summary'!$E$3,B301)),MAX(A$1:$B300)+1,0)</f>
        <v>0</v>
      </c>
      <c r="B301" s="214"/>
      <c r="E301" s="212" t="str">
        <f>IFERROR(VLOOKUP(ROWS($E$2:E301),$A$2:$B$214,2,0),"")</f>
        <v/>
      </c>
    </row>
    <row r="302" spans="1:5" x14ac:dyDescent="0.35">
      <c r="A302" s="210">
        <f>IF(ISNUMBER(SEARCH('LARP Summary'!$E$3,B302)),MAX(A$1:$B301)+1,0)</f>
        <v>0</v>
      </c>
      <c r="B302" s="214"/>
      <c r="E302" s="212" t="str">
        <f>IFERROR(VLOOKUP(ROWS($E$2:E302),$A$2:$B$214,2,0),"")</f>
        <v/>
      </c>
    </row>
    <row r="303" spans="1:5" x14ac:dyDescent="0.35">
      <c r="A303" s="210">
        <f>IF(ISNUMBER(SEARCH('LARP Summary'!$E$3,B303)),MAX(A$1:$B302)+1,0)</f>
        <v>0</v>
      </c>
      <c r="B303" s="214"/>
      <c r="E303" s="212" t="str">
        <f>IFERROR(VLOOKUP(ROWS($E$2:E303),$A$2:$B$214,2,0),"")</f>
        <v/>
      </c>
    </row>
    <row r="304" spans="1:5" x14ac:dyDescent="0.35">
      <c r="A304" s="210">
        <f>IF(ISNUMBER(SEARCH('LARP Summary'!$E$3,B304)),MAX(A$1:$B303)+1,0)</f>
        <v>0</v>
      </c>
      <c r="B304" s="214"/>
      <c r="E304" s="212" t="str">
        <f>IFERROR(VLOOKUP(ROWS($E$2:E304),$A$2:$B$214,2,0),"")</f>
        <v/>
      </c>
    </row>
    <row r="305" spans="1:5" x14ac:dyDescent="0.35">
      <c r="A305" s="210">
        <f>IF(ISNUMBER(SEARCH('LARP Summary'!$E$3,B305)),MAX(A$1:$B304)+1,0)</f>
        <v>0</v>
      </c>
      <c r="B305" s="214"/>
      <c r="E305" s="212" t="str">
        <f>IFERROR(VLOOKUP(ROWS($E$2:E305),$A$2:$B$214,2,0),"")</f>
        <v/>
      </c>
    </row>
    <row r="306" spans="1:5" x14ac:dyDescent="0.35">
      <c r="A306" s="210">
        <f>IF(ISNUMBER(SEARCH('LARP Summary'!$E$3,B306)),MAX(A$1:$B305)+1,0)</f>
        <v>0</v>
      </c>
      <c r="B306" s="214"/>
      <c r="E306" s="212" t="str">
        <f>IFERROR(VLOOKUP(ROWS($E$2:E306),$A$2:$B$214,2,0),"")</f>
        <v/>
      </c>
    </row>
    <row r="307" spans="1:5" x14ac:dyDescent="0.35">
      <c r="A307" s="210">
        <f>IF(ISNUMBER(SEARCH('LARP Summary'!$E$3,B307)),MAX(A$1:$B306)+1,0)</f>
        <v>0</v>
      </c>
      <c r="B307" s="214"/>
      <c r="E307" s="212" t="str">
        <f>IFERROR(VLOOKUP(ROWS($E$2:E307),$A$2:$B$214,2,0),"")</f>
        <v/>
      </c>
    </row>
    <row r="308" spans="1:5" x14ac:dyDescent="0.35">
      <c r="A308" s="210">
        <f>IF(ISNUMBER(SEARCH('LARP Summary'!$E$3,B308)),MAX(A$1:$B307)+1,0)</f>
        <v>0</v>
      </c>
      <c r="B308" s="214"/>
      <c r="E308" s="212" t="str">
        <f>IFERROR(VLOOKUP(ROWS($E$2:E308),$A$2:$B$214,2,0),"")</f>
        <v/>
      </c>
    </row>
    <row r="309" spans="1:5" x14ac:dyDescent="0.35">
      <c r="A309" s="210">
        <f>IF(ISNUMBER(SEARCH('LARP Summary'!$E$3,B309)),MAX(A$1:$B308)+1,0)</f>
        <v>0</v>
      </c>
      <c r="B309" s="214"/>
      <c r="E309" s="212" t="str">
        <f>IFERROR(VLOOKUP(ROWS($E$2:E309),$A$2:$B$214,2,0),"")</f>
        <v/>
      </c>
    </row>
    <row r="310" spans="1:5" x14ac:dyDescent="0.35">
      <c r="A310" s="210">
        <f>IF(ISNUMBER(SEARCH('LARP Summary'!$E$3,B310)),MAX(A$1:$B309)+1,0)</f>
        <v>0</v>
      </c>
      <c r="B310" s="214"/>
      <c r="E310" s="212" t="str">
        <f>IFERROR(VLOOKUP(ROWS($E$2:E310),$A$2:$B$214,2,0),"")</f>
        <v/>
      </c>
    </row>
    <row r="311" spans="1:5" x14ac:dyDescent="0.35">
      <c r="A311" s="210">
        <f>IF(ISNUMBER(SEARCH('LARP Summary'!$E$3,B311)),MAX(A$1:$B310)+1,0)</f>
        <v>0</v>
      </c>
      <c r="B311" s="214"/>
      <c r="E311" s="212" t="str">
        <f>IFERROR(VLOOKUP(ROWS($E$2:E311),$A$2:$B$214,2,0),"")</f>
        <v/>
      </c>
    </row>
    <row r="312" spans="1:5" x14ac:dyDescent="0.35">
      <c r="A312" s="210">
        <f>IF(ISNUMBER(SEARCH('LARP Summary'!$E$3,B312)),MAX(A$1:$B311)+1,0)</f>
        <v>0</v>
      </c>
      <c r="B312" s="214"/>
      <c r="E312" s="212" t="str">
        <f>IFERROR(VLOOKUP(ROWS($E$2:E312),$A$2:$B$214,2,0),"")</f>
        <v/>
      </c>
    </row>
    <row r="313" spans="1:5" x14ac:dyDescent="0.35">
      <c r="A313" s="210">
        <f>IF(ISNUMBER(SEARCH('LARP Summary'!$E$3,B313)),MAX(A$1:$B312)+1,0)</f>
        <v>0</v>
      </c>
      <c r="B313" s="214"/>
      <c r="E313" s="212" t="str">
        <f>IFERROR(VLOOKUP(ROWS($E$2:E313),$A$2:$B$214,2,0),"")</f>
        <v/>
      </c>
    </row>
    <row r="314" spans="1:5" x14ac:dyDescent="0.35">
      <c r="A314" s="210">
        <f>IF(ISNUMBER(SEARCH('LARP Summary'!$E$3,B314)),MAX(A$1:$B313)+1,0)</f>
        <v>0</v>
      </c>
      <c r="B314" s="214"/>
      <c r="E314" s="212" t="str">
        <f>IFERROR(VLOOKUP(ROWS($E$2:E314),$A$2:$B$214,2,0),"")</f>
        <v/>
      </c>
    </row>
    <row r="315" spans="1:5" x14ac:dyDescent="0.35">
      <c r="A315" s="210">
        <f>IF(ISNUMBER(SEARCH('LARP Summary'!$E$3,B315)),MAX(A$1:$B314)+1,0)</f>
        <v>0</v>
      </c>
      <c r="B315" s="214"/>
      <c r="E315" s="212" t="str">
        <f>IFERROR(VLOOKUP(ROWS($E$2:E315),$A$2:$B$214,2,0),"")</f>
        <v/>
      </c>
    </row>
    <row r="316" spans="1:5" x14ac:dyDescent="0.35">
      <c r="A316" s="210">
        <f>IF(ISNUMBER(SEARCH('LARP Summary'!$E$3,B316)),MAX(A$1:$B315)+1,0)</f>
        <v>0</v>
      </c>
      <c r="B316" s="214"/>
      <c r="E316" s="212" t="str">
        <f>IFERROR(VLOOKUP(ROWS($E$2:E316),$A$2:$B$214,2,0),"")</f>
        <v/>
      </c>
    </row>
    <row r="317" spans="1:5" x14ac:dyDescent="0.35">
      <c r="A317" s="210">
        <f>IF(ISNUMBER(SEARCH('LARP Summary'!$E$3,B317)),MAX(A$1:$B316)+1,0)</f>
        <v>0</v>
      </c>
      <c r="B317" s="214"/>
      <c r="E317" s="212" t="str">
        <f>IFERROR(VLOOKUP(ROWS($E$2:E317),$A$2:$B$214,2,0),"")</f>
        <v/>
      </c>
    </row>
    <row r="318" spans="1:5" x14ac:dyDescent="0.35">
      <c r="A318" s="210">
        <f>IF(ISNUMBER(SEARCH('LARP Summary'!$E$3,B318)),MAX(A$1:$B317)+1,0)</f>
        <v>0</v>
      </c>
      <c r="B318" s="214"/>
      <c r="E318" s="212" t="str">
        <f>IFERROR(VLOOKUP(ROWS($E$2:E318),$A$2:$B$214,2,0),"")</f>
        <v/>
      </c>
    </row>
    <row r="319" spans="1:5" x14ac:dyDescent="0.35">
      <c r="A319" s="210">
        <f>IF(ISNUMBER(SEARCH('LARP Summary'!$E$3,B319)),MAX(A$1:$B318)+1,0)</f>
        <v>0</v>
      </c>
      <c r="B319" s="214"/>
      <c r="E319" s="212" t="str">
        <f>IFERROR(VLOOKUP(ROWS($E$2:E319),$A$2:$B$214,2,0),"")</f>
        <v/>
      </c>
    </row>
    <row r="320" spans="1:5" x14ac:dyDescent="0.35">
      <c r="A320" s="210">
        <f>IF(ISNUMBER(SEARCH('LARP Summary'!$E$3,B320)),MAX(A$1:$B319)+1,0)</f>
        <v>0</v>
      </c>
      <c r="B320" s="214"/>
      <c r="E320" s="212" t="str">
        <f>IFERROR(VLOOKUP(ROWS($E$2:E320),$A$2:$B$214,2,0),"")</f>
        <v/>
      </c>
    </row>
    <row r="321" spans="1:5" x14ac:dyDescent="0.35">
      <c r="A321" s="210">
        <f>IF(ISNUMBER(SEARCH('LARP Summary'!$E$3,B321)),MAX(A$1:$B320)+1,0)</f>
        <v>0</v>
      </c>
      <c r="B321" s="214"/>
      <c r="E321" s="212" t="str">
        <f>IFERROR(VLOOKUP(ROWS($E$2:E321),$A$2:$B$214,2,0),"")</f>
        <v/>
      </c>
    </row>
    <row r="322" spans="1:5" x14ac:dyDescent="0.35">
      <c r="A322" s="210">
        <f>IF(ISNUMBER(SEARCH('LARP Summary'!$E$3,B322)),MAX(A$1:$B321)+1,0)</f>
        <v>0</v>
      </c>
      <c r="B322" s="214"/>
      <c r="E322" s="212" t="str">
        <f>IFERROR(VLOOKUP(ROWS($E$2:E322),$A$2:$B$214,2,0),"")</f>
        <v/>
      </c>
    </row>
    <row r="323" spans="1:5" x14ac:dyDescent="0.35">
      <c r="A323" s="210">
        <f>IF(ISNUMBER(SEARCH('LARP Summary'!$E$3,B323)),MAX(A$1:$B322)+1,0)</f>
        <v>0</v>
      </c>
      <c r="B323" s="214"/>
      <c r="E323" s="212" t="str">
        <f>IFERROR(VLOOKUP(ROWS($E$2:E323),$A$2:$B$214,2,0),"")</f>
        <v/>
      </c>
    </row>
    <row r="324" spans="1:5" x14ac:dyDescent="0.35">
      <c r="A324" s="210">
        <f>IF(ISNUMBER(SEARCH('LARP Summary'!$E$3,B324)),MAX(A$1:$B323)+1,0)</f>
        <v>0</v>
      </c>
      <c r="B324" s="214"/>
      <c r="E324" s="212" t="str">
        <f>IFERROR(VLOOKUP(ROWS($E$2:E324),$A$2:$B$214,2,0),"")</f>
        <v/>
      </c>
    </row>
    <row r="325" spans="1:5" x14ac:dyDescent="0.35">
      <c r="A325" s="210">
        <f>IF(ISNUMBER(SEARCH('LARP Summary'!$E$3,B325)),MAX(A$1:$B324)+1,0)</f>
        <v>0</v>
      </c>
      <c r="B325" s="214"/>
      <c r="E325" s="212" t="str">
        <f>IFERROR(VLOOKUP(ROWS($E$2:E325),$A$2:$B$214,2,0),"")</f>
        <v/>
      </c>
    </row>
    <row r="326" spans="1:5" x14ac:dyDescent="0.35">
      <c r="A326" s="210">
        <f>IF(ISNUMBER(SEARCH('LARP Summary'!$E$3,B326)),MAX(A$1:$B325)+1,0)</f>
        <v>0</v>
      </c>
      <c r="B326" s="214"/>
      <c r="E326" s="212" t="str">
        <f>IFERROR(VLOOKUP(ROWS($E$2:E326),$A$2:$B$214,2,0),"")</f>
        <v/>
      </c>
    </row>
    <row r="327" spans="1:5" x14ac:dyDescent="0.35">
      <c r="A327" s="210">
        <f>IF(ISNUMBER(SEARCH('LARP Summary'!$E$3,B327)),MAX(A$1:$B326)+1,0)</f>
        <v>0</v>
      </c>
      <c r="B327" s="214"/>
      <c r="E327" s="212" t="str">
        <f>IFERROR(VLOOKUP(ROWS($E$2:E327),$A$2:$B$214,2,0),"")</f>
        <v/>
      </c>
    </row>
    <row r="328" spans="1:5" x14ac:dyDescent="0.35">
      <c r="A328" s="210">
        <f>IF(ISNUMBER(SEARCH('LARP Summary'!$E$3,B328)),MAX(A$1:$B327)+1,0)</f>
        <v>0</v>
      </c>
      <c r="B328" s="214"/>
      <c r="E328" s="212" t="str">
        <f>IFERROR(VLOOKUP(ROWS($E$2:E328),$A$2:$B$214,2,0),"")</f>
        <v/>
      </c>
    </row>
    <row r="329" spans="1:5" x14ac:dyDescent="0.35">
      <c r="A329" s="210">
        <f>IF(ISNUMBER(SEARCH('LARP Summary'!$E$3,B329)),MAX(A$1:$B328)+1,0)</f>
        <v>0</v>
      </c>
      <c r="B329" s="214"/>
      <c r="E329" s="212" t="str">
        <f>IFERROR(VLOOKUP(ROWS($E$2:E329),$A$2:$B$214,2,0),"")</f>
        <v/>
      </c>
    </row>
    <row r="330" spans="1:5" x14ac:dyDescent="0.35">
      <c r="A330" s="210">
        <f>IF(ISNUMBER(SEARCH('LARP Summary'!$E$3,B330)),MAX(A$1:$B329)+1,0)</f>
        <v>0</v>
      </c>
      <c r="B330" s="214"/>
      <c r="E330" s="212" t="str">
        <f>IFERROR(VLOOKUP(ROWS($E$2:E330),$A$2:$B$214,2,0),"")</f>
        <v/>
      </c>
    </row>
    <row r="331" spans="1:5" x14ac:dyDescent="0.35">
      <c r="A331" s="210">
        <f>IF(ISNUMBER(SEARCH('LARP Summary'!$E$3,B331)),MAX(A$1:$B330)+1,0)</f>
        <v>0</v>
      </c>
      <c r="B331" s="214"/>
      <c r="E331" s="212" t="str">
        <f>IFERROR(VLOOKUP(ROWS($E$2:E331),$A$2:$B$214,2,0),"")</f>
        <v/>
      </c>
    </row>
    <row r="332" spans="1:5" x14ac:dyDescent="0.35">
      <c r="A332" s="210">
        <f>IF(ISNUMBER(SEARCH('LARP Summary'!$E$3,B332)),MAX(A$1:$B331)+1,0)</f>
        <v>0</v>
      </c>
      <c r="B332" s="214"/>
      <c r="E332" s="212" t="str">
        <f>IFERROR(VLOOKUP(ROWS($E$2:E332),$A$2:$B$214,2,0),"")</f>
        <v/>
      </c>
    </row>
    <row r="333" spans="1:5" x14ac:dyDescent="0.35">
      <c r="A333" s="210">
        <f>IF(ISNUMBER(SEARCH('LARP Summary'!$E$3,B333)),MAX(A$1:$B332)+1,0)</f>
        <v>0</v>
      </c>
      <c r="B333" s="214"/>
      <c r="E333" s="212" t="str">
        <f>IFERROR(VLOOKUP(ROWS($E$2:E333),$A$2:$B$214,2,0),"")</f>
        <v/>
      </c>
    </row>
    <row r="334" spans="1:5" x14ac:dyDescent="0.35">
      <c r="A334" s="210">
        <f>IF(ISNUMBER(SEARCH('LARP Summary'!$E$3,B334)),MAX(A$1:$B333)+1,0)</f>
        <v>0</v>
      </c>
      <c r="B334" s="214"/>
      <c r="E334" s="212" t="str">
        <f>IFERROR(VLOOKUP(ROWS($E$2:E334),$A$2:$B$214,2,0),"")</f>
        <v/>
      </c>
    </row>
    <row r="335" spans="1:5" x14ac:dyDescent="0.35">
      <c r="A335" s="210">
        <f>IF(ISNUMBER(SEARCH('LARP Summary'!$E$3,B335)),MAX(A$1:$B334)+1,0)</f>
        <v>0</v>
      </c>
      <c r="B335" s="214"/>
      <c r="E335" s="212" t="str">
        <f>IFERROR(VLOOKUP(ROWS($E$2:E335),$A$2:$B$214,2,0),"")</f>
        <v/>
      </c>
    </row>
    <row r="336" spans="1:5" x14ac:dyDescent="0.35">
      <c r="A336" s="210">
        <f>IF(ISNUMBER(SEARCH('LARP Summary'!$E$3,B336)),MAX(A$1:$B335)+1,0)</f>
        <v>0</v>
      </c>
      <c r="B336" s="214"/>
      <c r="E336" s="212" t="str">
        <f>IFERROR(VLOOKUP(ROWS($E$2:E336),$A$2:$B$214,2,0),"")</f>
        <v/>
      </c>
    </row>
    <row r="337" spans="1:5" x14ac:dyDescent="0.35">
      <c r="A337" s="210">
        <f>IF(ISNUMBER(SEARCH('LARP Summary'!$E$3,B337)),MAX(A$1:$B336)+1,0)</f>
        <v>0</v>
      </c>
      <c r="B337" s="214"/>
      <c r="E337" s="212" t="str">
        <f>IFERROR(VLOOKUP(ROWS($E$2:E337),$A$2:$B$214,2,0),"")</f>
        <v/>
      </c>
    </row>
    <row r="338" spans="1:5" x14ac:dyDescent="0.35">
      <c r="A338" s="210">
        <f>IF(ISNUMBER(SEARCH('LARP Summary'!$E$3,B338)),MAX(A$1:$B337)+1,0)</f>
        <v>0</v>
      </c>
      <c r="B338" s="214"/>
      <c r="E338" s="212" t="str">
        <f>IFERROR(VLOOKUP(ROWS($E$2:E338),$A$2:$B$214,2,0),"")</f>
        <v/>
      </c>
    </row>
    <row r="339" spans="1:5" x14ac:dyDescent="0.35">
      <c r="A339" s="210">
        <f>IF(ISNUMBER(SEARCH('LARP Summary'!$E$3,B339)),MAX(A$1:$B338)+1,0)</f>
        <v>0</v>
      </c>
      <c r="B339" s="214"/>
      <c r="E339" s="212" t="str">
        <f>IFERROR(VLOOKUP(ROWS($E$2:E339),$A$2:$B$214,2,0),"")</f>
        <v/>
      </c>
    </row>
    <row r="340" spans="1:5" x14ac:dyDescent="0.35">
      <c r="A340" s="210">
        <f>IF(ISNUMBER(SEARCH('LARP Summary'!$E$3,B340)),MAX(A$1:$B339)+1,0)</f>
        <v>0</v>
      </c>
      <c r="B340" s="214"/>
      <c r="E340" s="212" t="str">
        <f>IFERROR(VLOOKUP(ROWS($E$2:E340),$A$2:$B$214,2,0),"")</f>
        <v/>
      </c>
    </row>
    <row r="341" spans="1:5" x14ac:dyDescent="0.35">
      <c r="A341" s="210">
        <f>IF(ISNUMBER(SEARCH('LARP Summary'!$E$3,B341)),MAX(A$1:$B340)+1,0)</f>
        <v>0</v>
      </c>
      <c r="B341" s="214"/>
      <c r="E341" s="212" t="str">
        <f>IFERROR(VLOOKUP(ROWS($E$2:E341),$A$2:$B$214,2,0),"")</f>
        <v/>
      </c>
    </row>
    <row r="342" spans="1:5" x14ac:dyDescent="0.35">
      <c r="A342" s="210">
        <f>IF(ISNUMBER(SEARCH('LARP Summary'!$E$3,B342)),MAX(A$1:$B341)+1,0)</f>
        <v>0</v>
      </c>
      <c r="B342" s="214"/>
      <c r="E342" s="212" t="str">
        <f>IFERROR(VLOOKUP(ROWS($E$2:E342),$A$2:$B$214,2,0),"")</f>
        <v/>
      </c>
    </row>
    <row r="343" spans="1:5" x14ac:dyDescent="0.35">
      <c r="A343" s="210">
        <f>IF(ISNUMBER(SEARCH('LARP Summary'!$E$3,B343)),MAX(A$1:$B342)+1,0)</f>
        <v>0</v>
      </c>
      <c r="B343" s="214"/>
      <c r="E343" s="212" t="str">
        <f>IFERROR(VLOOKUP(ROWS($E$2:E343),$A$2:$B$214,2,0),"")</f>
        <v/>
      </c>
    </row>
    <row r="344" spans="1:5" x14ac:dyDescent="0.35">
      <c r="A344" s="210">
        <f>IF(ISNUMBER(SEARCH('LARP Summary'!$E$3,B344)),MAX(A$1:$B343)+1,0)</f>
        <v>0</v>
      </c>
      <c r="B344" s="214"/>
      <c r="E344" s="212" t="str">
        <f>IFERROR(VLOOKUP(ROWS($E$2:E344),$A$2:$B$214,2,0),"")</f>
        <v/>
      </c>
    </row>
    <row r="345" spans="1:5" x14ac:dyDescent="0.35">
      <c r="A345" s="210">
        <f>IF(ISNUMBER(SEARCH('LARP Summary'!$E$3,B345)),MAX(A$1:$B344)+1,0)</f>
        <v>0</v>
      </c>
      <c r="B345" s="214"/>
      <c r="E345" s="212" t="str">
        <f>IFERROR(VLOOKUP(ROWS($E$2:E345),$A$2:$B$214,2,0),"")</f>
        <v/>
      </c>
    </row>
    <row r="346" spans="1:5" x14ac:dyDescent="0.35">
      <c r="A346" s="210">
        <f>IF(ISNUMBER(SEARCH('LARP Summary'!$E$3,B346)),MAX(A$1:$B345)+1,0)</f>
        <v>0</v>
      </c>
      <c r="B346" s="214"/>
      <c r="E346" s="212" t="str">
        <f>IFERROR(VLOOKUP(ROWS($E$2:E346),$A$2:$B$214,2,0),"")</f>
        <v/>
      </c>
    </row>
    <row r="347" spans="1:5" x14ac:dyDescent="0.35">
      <c r="A347" s="210">
        <f>IF(ISNUMBER(SEARCH('LARP Summary'!$E$3,B347)),MAX(A$1:$B346)+1,0)</f>
        <v>0</v>
      </c>
      <c r="B347" s="214"/>
      <c r="E347" s="212" t="str">
        <f>IFERROR(VLOOKUP(ROWS($E$2:E347),$A$2:$B$214,2,0),"")</f>
        <v/>
      </c>
    </row>
    <row r="348" spans="1:5" x14ac:dyDescent="0.35">
      <c r="A348" s="210">
        <f>IF(ISNUMBER(SEARCH('LARP Summary'!$E$3,B348)),MAX(A$1:$B347)+1,0)</f>
        <v>0</v>
      </c>
      <c r="B348" s="214"/>
      <c r="E348" s="212" t="str">
        <f>IFERROR(VLOOKUP(ROWS($E$2:E348),$A$2:$B$214,2,0),"")</f>
        <v/>
      </c>
    </row>
    <row r="349" spans="1:5" x14ac:dyDescent="0.35">
      <c r="A349" s="210">
        <f>IF(ISNUMBER(SEARCH('LARP Summary'!$E$3,B349)),MAX(A$1:$B348)+1,0)</f>
        <v>0</v>
      </c>
      <c r="B349" s="214"/>
      <c r="E349" s="212" t="str">
        <f>IFERROR(VLOOKUP(ROWS($E$2:E349),$A$2:$B$214,2,0),"")</f>
        <v/>
      </c>
    </row>
    <row r="350" spans="1:5" x14ac:dyDescent="0.35">
      <c r="A350" s="210">
        <f>IF(ISNUMBER(SEARCH('LARP Summary'!$E$3,B350)),MAX(A$1:$B349)+1,0)</f>
        <v>0</v>
      </c>
      <c r="B350" s="214"/>
      <c r="E350" s="212" t="str">
        <f>IFERROR(VLOOKUP(ROWS($E$2:E350),$A$2:$B$214,2,0),"")</f>
        <v/>
      </c>
    </row>
    <row r="351" spans="1:5" x14ac:dyDescent="0.35">
      <c r="A351" s="210">
        <f>IF(ISNUMBER(SEARCH('LARP Summary'!$E$3,B351)),MAX(A$1:$B350)+1,0)</f>
        <v>0</v>
      </c>
      <c r="B351" s="214"/>
      <c r="E351" s="212" t="str">
        <f>IFERROR(VLOOKUP(ROWS($E$2:E351),$A$2:$B$214,2,0),"")</f>
        <v/>
      </c>
    </row>
    <row r="352" spans="1:5" x14ac:dyDescent="0.35">
      <c r="A352" s="210">
        <f>IF(ISNUMBER(SEARCH('LARP Summary'!$E$3,B352)),MAX(A$1:$B351)+1,0)</f>
        <v>0</v>
      </c>
      <c r="B352" s="214"/>
      <c r="E352" s="212" t="str">
        <f>IFERROR(VLOOKUP(ROWS($E$2:E352),$A$2:$B$214,2,0),"")</f>
        <v/>
      </c>
    </row>
    <row r="353" spans="1:5" x14ac:dyDescent="0.35">
      <c r="A353" s="210">
        <f>IF(ISNUMBER(SEARCH('LARP Summary'!$E$3,B353)),MAX(A$1:$B352)+1,0)</f>
        <v>0</v>
      </c>
      <c r="B353" s="214"/>
      <c r="E353" s="212" t="str">
        <f>IFERROR(VLOOKUP(ROWS($E$2:E353),$A$2:$B$214,2,0),"")</f>
        <v/>
      </c>
    </row>
    <row r="354" spans="1:5" x14ac:dyDescent="0.35">
      <c r="A354" s="210">
        <f>IF(ISNUMBER(SEARCH('LARP Summary'!$E$3,B354)),MAX(A$1:$B353)+1,0)</f>
        <v>0</v>
      </c>
      <c r="B354" s="214"/>
      <c r="E354" s="212" t="str">
        <f>IFERROR(VLOOKUP(ROWS($E$2:E354),$A$2:$B$214,2,0),"")</f>
        <v/>
      </c>
    </row>
    <row r="355" spans="1:5" x14ac:dyDescent="0.35">
      <c r="A355" s="210">
        <f>IF(ISNUMBER(SEARCH('LARP Summary'!$E$3,B355)),MAX(A$1:$B354)+1,0)</f>
        <v>0</v>
      </c>
      <c r="B355" s="214"/>
      <c r="E355" s="212" t="str">
        <f>IFERROR(VLOOKUP(ROWS($E$2:E355),$A$2:$B$214,2,0),"")</f>
        <v/>
      </c>
    </row>
    <row r="356" spans="1:5" x14ac:dyDescent="0.35">
      <c r="A356" s="210">
        <f>IF(ISNUMBER(SEARCH('LARP Summary'!$E$3,B356)),MAX(A$1:$B355)+1,0)</f>
        <v>0</v>
      </c>
      <c r="B356" s="214"/>
      <c r="E356" s="212" t="str">
        <f>IFERROR(VLOOKUP(ROWS($E$2:E356),$A$2:$B$214,2,0),"")</f>
        <v/>
      </c>
    </row>
    <row r="357" spans="1:5" x14ac:dyDescent="0.35">
      <c r="A357" s="210">
        <f>IF(ISNUMBER(SEARCH('LARP Summary'!$E$3,B357)),MAX(A$1:$B356)+1,0)</f>
        <v>0</v>
      </c>
      <c r="B357" s="214"/>
      <c r="E357" s="212" t="str">
        <f>IFERROR(VLOOKUP(ROWS($E$2:E357),$A$2:$B$214,2,0),"")</f>
        <v/>
      </c>
    </row>
    <row r="358" spans="1:5" x14ac:dyDescent="0.35">
      <c r="A358" s="210">
        <f>IF(ISNUMBER(SEARCH('LARP Summary'!$E$3,B358)),MAX(A$1:$B357)+1,0)</f>
        <v>0</v>
      </c>
      <c r="B358" s="214"/>
      <c r="E358" s="212" t="str">
        <f>IFERROR(VLOOKUP(ROWS($E$2:E358),$A$2:$B$214,2,0),"")</f>
        <v/>
      </c>
    </row>
    <row r="359" spans="1:5" x14ac:dyDescent="0.35">
      <c r="A359" s="210">
        <f>IF(ISNUMBER(SEARCH('LARP Summary'!$E$3,B359)),MAX(A$1:$B358)+1,0)</f>
        <v>0</v>
      </c>
      <c r="B359" s="214"/>
      <c r="E359" s="212" t="str">
        <f>IFERROR(VLOOKUP(ROWS($E$2:E359),$A$2:$B$214,2,0),"")</f>
        <v/>
      </c>
    </row>
    <row r="360" spans="1:5" x14ac:dyDescent="0.35">
      <c r="A360" s="210">
        <f>IF(ISNUMBER(SEARCH('LARP Summary'!$E$3,B360)),MAX(A$1:$B359)+1,0)</f>
        <v>0</v>
      </c>
      <c r="B360" s="214"/>
      <c r="E360" s="212" t="str">
        <f>IFERROR(VLOOKUP(ROWS($E$2:E360),$A$2:$B$214,2,0),"")</f>
        <v/>
      </c>
    </row>
    <row r="361" spans="1:5" x14ac:dyDescent="0.35">
      <c r="A361" s="210">
        <f>IF(ISNUMBER(SEARCH('LARP Summary'!$E$3,B361)),MAX(A$1:$B360)+1,0)</f>
        <v>0</v>
      </c>
      <c r="B361" s="214"/>
      <c r="E361" s="212" t="str">
        <f>IFERROR(VLOOKUP(ROWS($E$2:E361),$A$2:$B$214,2,0),"")</f>
        <v/>
      </c>
    </row>
    <row r="362" spans="1:5" x14ac:dyDescent="0.35">
      <c r="A362" s="210">
        <f>IF(ISNUMBER(SEARCH('LARP Summary'!$E$3,B362)),MAX(A$1:$B361)+1,0)</f>
        <v>0</v>
      </c>
      <c r="B362" s="214"/>
      <c r="E362" s="212" t="str">
        <f>IFERROR(VLOOKUP(ROWS($E$2:E362),$A$2:$B$214,2,0),"")</f>
        <v/>
      </c>
    </row>
    <row r="363" spans="1:5" x14ac:dyDescent="0.35">
      <c r="A363" s="210">
        <f>IF(ISNUMBER(SEARCH('LARP Summary'!$E$3,B363)),MAX(A$1:$B362)+1,0)</f>
        <v>0</v>
      </c>
      <c r="B363" s="214"/>
      <c r="E363" s="212" t="str">
        <f>IFERROR(VLOOKUP(ROWS($E$2:E363),$A$2:$B$214,2,0),"")</f>
        <v/>
      </c>
    </row>
    <row r="364" spans="1:5" x14ac:dyDescent="0.35">
      <c r="A364" s="210">
        <f>IF(ISNUMBER(SEARCH('LARP Summary'!$E$3,B364)),MAX(A$1:$B363)+1,0)</f>
        <v>0</v>
      </c>
      <c r="B364" s="214"/>
      <c r="E364" s="212" t="str">
        <f>IFERROR(VLOOKUP(ROWS($E$2:E364),$A$2:$B$214,2,0),"")</f>
        <v/>
      </c>
    </row>
    <row r="365" spans="1:5" x14ac:dyDescent="0.35">
      <c r="A365" s="210">
        <f>IF(ISNUMBER(SEARCH('LARP Summary'!$E$3,B365)),MAX(A$1:$B364)+1,0)</f>
        <v>0</v>
      </c>
      <c r="B365" s="214"/>
      <c r="E365" s="212" t="str">
        <f>IFERROR(VLOOKUP(ROWS($E$2:E365),$A$2:$B$214,2,0),"")</f>
        <v/>
      </c>
    </row>
    <row r="366" spans="1:5" x14ac:dyDescent="0.35">
      <c r="A366" s="210">
        <f>IF(ISNUMBER(SEARCH('LARP Summary'!$E$3,B366)),MAX(A$1:$B365)+1,0)</f>
        <v>0</v>
      </c>
      <c r="B366" s="214"/>
      <c r="E366" s="212" t="str">
        <f>IFERROR(VLOOKUP(ROWS($E$2:E366),$A$2:$B$214,2,0),"")</f>
        <v/>
      </c>
    </row>
    <row r="367" spans="1:5" x14ac:dyDescent="0.35">
      <c r="A367" s="210">
        <f>IF(ISNUMBER(SEARCH('LARP Summary'!$E$3,B367)),MAX(A$1:$B366)+1,0)</f>
        <v>0</v>
      </c>
      <c r="B367" s="214"/>
      <c r="E367" s="212" t="str">
        <f>IFERROR(VLOOKUP(ROWS($E$2:E367),$A$2:$B$214,2,0),"")</f>
        <v/>
      </c>
    </row>
    <row r="368" spans="1:5" x14ac:dyDescent="0.35">
      <c r="A368" s="210">
        <f>IF(ISNUMBER(SEARCH('LARP Summary'!$E$3,B368)),MAX(A$1:$B367)+1,0)</f>
        <v>0</v>
      </c>
      <c r="B368" s="214"/>
      <c r="E368" s="212" t="str">
        <f>IFERROR(VLOOKUP(ROWS($E$2:E368),$A$2:$B$214,2,0),"")</f>
        <v/>
      </c>
    </row>
    <row r="369" spans="1:5" x14ac:dyDescent="0.35">
      <c r="A369" s="210">
        <f>IF(ISNUMBER(SEARCH('LARP Summary'!$E$3,B369)),MAX(A$1:$B368)+1,0)</f>
        <v>0</v>
      </c>
      <c r="B369" s="214"/>
      <c r="E369" s="212" t="str">
        <f>IFERROR(VLOOKUP(ROWS($E$2:E369),$A$2:$B$214,2,0),"")</f>
        <v/>
      </c>
    </row>
    <row r="370" spans="1:5" x14ac:dyDescent="0.35">
      <c r="A370" s="210">
        <f>IF(ISNUMBER(SEARCH('LARP Summary'!$E$3,B370)),MAX(A$1:$B369)+1,0)</f>
        <v>0</v>
      </c>
      <c r="B370" s="214"/>
      <c r="E370" s="212" t="str">
        <f>IFERROR(VLOOKUP(ROWS($E$2:E370),$A$2:$B$214,2,0),"")</f>
        <v/>
      </c>
    </row>
    <row r="371" spans="1:5" x14ac:dyDescent="0.35">
      <c r="A371" s="210">
        <f>IF(ISNUMBER(SEARCH('LARP Summary'!$E$3,B371)),MAX(A$1:$B370)+1,0)</f>
        <v>0</v>
      </c>
      <c r="B371" s="214"/>
      <c r="E371" s="212" t="str">
        <f>IFERROR(VLOOKUP(ROWS($E$2:E371),$A$2:$B$214,2,0),"")</f>
        <v/>
      </c>
    </row>
    <row r="372" spans="1:5" x14ac:dyDescent="0.35">
      <c r="A372" s="210">
        <f>IF(ISNUMBER(SEARCH('LARP Summary'!$E$3,B372)),MAX(A$1:$B371)+1,0)</f>
        <v>0</v>
      </c>
      <c r="B372" s="214"/>
      <c r="E372" s="212" t="str">
        <f>IFERROR(VLOOKUP(ROWS($E$2:E372),$A$2:$B$214,2,0),"")</f>
        <v/>
      </c>
    </row>
    <row r="373" spans="1:5" x14ac:dyDescent="0.35">
      <c r="A373" s="210">
        <f>IF(ISNUMBER(SEARCH('LARP Summary'!$E$3,B373)),MAX(A$1:$B372)+1,0)</f>
        <v>0</v>
      </c>
      <c r="B373" s="214"/>
      <c r="E373" s="212" t="str">
        <f>IFERROR(VLOOKUP(ROWS($E$2:E373),$A$2:$B$214,2,0),"")</f>
        <v/>
      </c>
    </row>
    <row r="374" spans="1:5" x14ac:dyDescent="0.35">
      <c r="A374" s="210">
        <f>IF(ISNUMBER(SEARCH('LARP Summary'!$E$3,B374)),MAX(A$1:$B373)+1,0)</f>
        <v>0</v>
      </c>
      <c r="B374" s="214"/>
      <c r="E374" s="212" t="str">
        <f>IFERROR(VLOOKUP(ROWS($E$2:E374),$A$2:$B$214,2,0),"")</f>
        <v/>
      </c>
    </row>
    <row r="375" spans="1:5" x14ac:dyDescent="0.35">
      <c r="A375" s="210">
        <f>IF(ISNUMBER(SEARCH('LARP Summary'!$E$3,B375)),MAX(A$1:$B374)+1,0)</f>
        <v>0</v>
      </c>
      <c r="B375" s="214"/>
      <c r="E375" s="212" t="str">
        <f>IFERROR(VLOOKUP(ROWS($E$2:E375),$A$2:$B$214,2,0),"")</f>
        <v/>
      </c>
    </row>
    <row r="376" spans="1:5" x14ac:dyDescent="0.35">
      <c r="A376" s="210">
        <f>IF(ISNUMBER(SEARCH('LARP Summary'!$E$3,B376)),MAX(A$1:$B375)+1,0)</f>
        <v>0</v>
      </c>
      <c r="B376" s="214"/>
      <c r="E376" s="212" t="str">
        <f>IFERROR(VLOOKUP(ROWS($E$2:E376),$A$2:$B$214,2,0),"")</f>
        <v/>
      </c>
    </row>
    <row r="377" spans="1:5" x14ac:dyDescent="0.35">
      <c r="A377" s="210">
        <f>IF(ISNUMBER(SEARCH('LARP Summary'!$E$3,B377)),MAX(A$1:$B376)+1,0)</f>
        <v>0</v>
      </c>
      <c r="B377" s="214"/>
      <c r="E377" s="212" t="str">
        <f>IFERROR(VLOOKUP(ROWS($E$2:E377),$A$2:$B$214,2,0),"")</f>
        <v/>
      </c>
    </row>
    <row r="378" spans="1:5" x14ac:dyDescent="0.35">
      <c r="A378" s="210">
        <f>IF(ISNUMBER(SEARCH('LARP Summary'!$E$3,B378)),MAX(A$1:$B377)+1,0)</f>
        <v>0</v>
      </c>
      <c r="B378" s="214"/>
      <c r="E378" s="212" t="str">
        <f>IFERROR(VLOOKUP(ROWS($E$2:E378),$A$2:$B$214,2,0),"")</f>
        <v/>
      </c>
    </row>
    <row r="379" spans="1:5" x14ac:dyDescent="0.35">
      <c r="A379" s="210">
        <f>IF(ISNUMBER(SEARCH('LARP Summary'!$E$3,B379)),MAX(A$1:$B378)+1,0)</f>
        <v>0</v>
      </c>
      <c r="B379" s="214"/>
      <c r="E379" s="212" t="str">
        <f>IFERROR(VLOOKUP(ROWS($E$2:E379),$A$2:$B$214,2,0),"")</f>
        <v/>
      </c>
    </row>
    <row r="380" spans="1:5" x14ac:dyDescent="0.35">
      <c r="A380" s="210">
        <f>IF(ISNUMBER(SEARCH('LARP Summary'!$E$3,B380)),MAX(A$1:$B379)+1,0)</f>
        <v>0</v>
      </c>
      <c r="B380" s="214"/>
      <c r="E380" s="212" t="str">
        <f>IFERROR(VLOOKUP(ROWS($E$2:E380),$A$2:$B$214,2,0),"")</f>
        <v/>
      </c>
    </row>
    <row r="381" spans="1:5" x14ac:dyDescent="0.35">
      <c r="A381" s="210">
        <f>IF(ISNUMBER(SEARCH('LARP Summary'!$E$3,B381)),MAX(A$1:$B380)+1,0)</f>
        <v>0</v>
      </c>
      <c r="B381" s="214"/>
      <c r="E381" s="212" t="str">
        <f>IFERROR(VLOOKUP(ROWS($E$2:E381),$A$2:$B$214,2,0),"")</f>
        <v/>
      </c>
    </row>
    <row r="382" spans="1:5" x14ac:dyDescent="0.35">
      <c r="A382" s="210">
        <f>IF(ISNUMBER(SEARCH('LARP Summary'!$E$3,B382)),MAX(A$1:$B381)+1,0)</f>
        <v>0</v>
      </c>
      <c r="B382" s="214"/>
      <c r="E382" s="212" t="str">
        <f>IFERROR(VLOOKUP(ROWS($E$2:E382),$A$2:$B$214,2,0),"")</f>
        <v/>
      </c>
    </row>
    <row r="383" spans="1:5" x14ac:dyDescent="0.35">
      <c r="A383" s="210">
        <f>IF(ISNUMBER(SEARCH('LARP Summary'!$E$3,B383)),MAX(A$1:$B382)+1,0)</f>
        <v>0</v>
      </c>
      <c r="B383" s="214"/>
      <c r="E383" s="212" t="str">
        <f>IFERROR(VLOOKUP(ROWS($E$2:E383),$A$2:$B$214,2,0),"")</f>
        <v/>
      </c>
    </row>
    <row r="384" spans="1:5" x14ac:dyDescent="0.35">
      <c r="A384" s="210">
        <f>IF(ISNUMBER(SEARCH('LARP Summary'!$E$3,B384)),MAX(A$1:$B383)+1,0)</f>
        <v>0</v>
      </c>
      <c r="B384" s="214"/>
      <c r="E384" s="212" t="str">
        <f>IFERROR(VLOOKUP(ROWS($E$2:E384),$A$2:$B$214,2,0),"")</f>
        <v/>
      </c>
    </row>
    <row r="385" spans="1:5" x14ac:dyDescent="0.35">
      <c r="A385" s="210">
        <f>IF(ISNUMBER(SEARCH('LARP Summary'!$E$3,B385)),MAX(A$1:$B384)+1,0)</f>
        <v>0</v>
      </c>
      <c r="B385" s="214"/>
      <c r="E385" s="212" t="str">
        <f>IFERROR(VLOOKUP(ROWS($E$2:E385),$A$2:$B$214,2,0),"")</f>
        <v/>
      </c>
    </row>
    <row r="386" spans="1:5" x14ac:dyDescent="0.35">
      <c r="A386" s="210">
        <f>IF(ISNUMBER(SEARCH('LARP Summary'!$E$3,B386)),MAX(A$1:$B385)+1,0)</f>
        <v>0</v>
      </c>
      <c r="B386" s="214"/>
      <c r="E386" s="212" t="str">
        <f>IFERROR(VLOOKUP(ROWS($E$2:E386),$A$2:$B$214,2,0),"")</f>
        <v/>
      </c>
    </row>
    <row r="387" spans="1:5" x14ac:dyDescent="0.35">
      <c r="A387" s="210">
        <f>IF(ISNUMBER(SEARCH('LARP Summary'!$E$3,B387)),MAX(A$1:$B386)+1,0)</f>
        <v>0</v>
      </c>
      <c r="B387" s="214"/>
      <c r="E387" s="212" t="str">
        <f>IFERROR(VLOOKUP(ROWS($E$2:E387),$A$2:$B$214,2,0),"")</f>
        <v/>
      </c>
    </row>
    <row r="388" spans="1:5" x14ac:dyDescent="0.35">
      <c r="A388" s="210">
        <f>IF(ISNUMBER(SEARCH('LARP Summary'!$E$3,B388)),MAX(A$1:$B387)+1,0)</f>
        <v>0</v>
      </c>
      <c r="B388" s="214"/>
      <c r="E388" s="212" t="str">
        <f>IFERROR(VLOOKUP(ROWS($E$2:E388),$A$2:$B$214,2,0),"")</f>
        <v/>
      </c>
    </row>
    <row r="389" spans="1:5" x14ac:dyDescent="0.35">
      <c r="A389" s="210">
        <f>IF(ISNUMBER(SEARCH('LARP Summary'!$E$3,B389)),MAX(A$1:$B388)+1,0)</f>
        <v>0</v>
      </c>
      <c r="B389" s="214"/>
      <c r="E389" s="212" t="str">
        <f>IFERROR(VLOOKUP(ROWS($E$2:E389),$A$2:$B$214,2,0),"")</f>
        <v/>
      </c>
    </row>
    <row r="390" spans="1:5" x14ac:dyDescent="0.35">
      <c r="A390" s="210">
        <f>IF(ISNUMBER(SEARCH('LARP Summary'!$E$3,B390)),MAX(A$1:$B389)+1,0)</f>
        <v>0</v>
      </c>
      <c r="B390" s="214"/>
      <c r="E390" s="212" t="str">
        <f>IFERROR(VLOOKUP(ROWS($E$2:E390),$A$2:$B$214,2,0),"")</f>
        <v/>
      </c>
    </row>
    <row r="391" spans="1:5" x14ac:dyDescent="0.35">
      <c r="A391" s="210">
        <f>IF(ISNUMBER(SEARCH('LARP Summary'!$E$3,B391)),MAX(A$1:$B390)+1,0)</f>
        <v>0</v>
      </c>
      <c r="B391" s="214"/>
      <c r="E391" s="212" t="str">
        <f>IFERROR(VLOOKUP(ROWS($E$2:E391),$A$2:$B$214,2,0),"")</f>
        <v/>
      </c>
    </row>
    <row r="392" spans="1:5" x14ac:dyDescent="0.35">
      <c r="A392" s="210">
        <f>IF(ISNUMBER(SEARCH('LARP Summary'!$E$3,B392)),MAX(A$1:$B391)+1,0)</f>
        <v>0</v>
      </c>
      <c r="B392" s="214"/>
      <c r="E392" s="212" t="str">
        <f>IFERROR(VLOOKUP(ROWS($E$2:E392),$A$2:$B$214,2,0),"")</f>
        <v/>
      </c>
    </row>
    <row r="393" spans="1:5" x14ac:dyDescent="0.35">
      <c r="A393" s="210">
        <f>IF(ISNUMBER(SEARCH('LARP Summary'!$E$3,B393)),MAX(A$1:$B392)+1,0)</f>
        <v>0</v>
      </c>
      <c r="B393" s="214"/>
      <c r="E393" s="212" t="str">
        <f>IFERROR(VLOOKUP(ROWS($E$2:E393),$A$2:$B$214,2,0),"")</f>
        <v/>
      </c>
    </row>
    <row r="394" spans="1:5" x14ac:dyDescent="0.35">
      <c r="A394" s="210">
        <f>IF(ISNUMBER(SEARCH('LARP Summary'!$E$3,B394)),MAX(A$1:$B393)+1,0)</f>
        <v>0</v>
      </c>
      <c r="B394" s="214"/>
      <c r="E394" s="212" t="str">
        <f>IFERROR(VLOOKUP(ROWS($E$2:E394),$A$2:$B$214,2,0),"")</f>
        <v/>
      </c>
    </row>
    <row r="395" spans="1:5" x14ac:dyDescent="0.35">
      <c r="A395" s="210">
        <f>IF(ISNUMBER(SEARCH('LARP Summary'!$E$3,B395)),MAX(A$1:$B394)+1,0)</f>
        <v>0</v>
      </c>
      <c r="B395" s="214"/>
      <c r="E395" s="212" t="str">
        <f>IFERROR(VLOOKUP(ROWS($E$2:E395),$A$2:$B$214,2,0),"")</f>
        <v/>
      </c>
    </row>
    <row r="396" spans="1:5" x14ac:dyDescent="0.35">
      <c r="A396" s="210">
        <f>IF(ISNUMBER(SEARCH('LARP Summary'!$E$3,B396)),MAX(A$1:$B395)+1,0)</f>
        <v>0</v>
      </c>
      <c r="B396" s="214"/>
      <c r="E396" s="212" t="str">
        <f>IFERROR(VLOOKUP(ROWS($E$2:E396),$A$2:$B$214,2,0),"")</f>
        <v/>
      </c>
    </row>
    <row r="397" spans="1:5" x14ac:dyDescent="0.35">
      <c r="A397" s="210">
        <f>IF(ISNUMBER(SEARCH('LARP Summary'!$E$3,B397)),MAX(A$1:$B396)+1,0)</f>
        <v>0</v>
      </c>
      <c r="B397" s="214"/>
      <c r="E397" s="212" t="str">
        <f>IFERROR(VLOOKUP(ROWS($E$2:E397),$A$2:$B$214,2,0),"")</f>
        <v/>
      </c>
    </row>
    <row r="398" spans="1:5" x14ac:dyDescent="0.35">
      <c r="A398" s="210">
        <f>IF(ISNUMBER(SEARCH('LARP Summary'!$E$3,B398)),MAX(A$1:$B397)+1,0)</f>
        <v>0</v>
      </c>
      <c r="B398" s="214"/>
      <c r="E398" s="212" t="str">
        <f>IFERROR(VLOOKUP(ROWS($E$2:E398),$A$2:$B$214,2,0),"")</f>
        <v/>
      </c>
    </row>
    <row r="399" spans="1:5" x14ac:dyDescent="0.35">
      <c r="A399" s="210">
        <f>IF(ISNUMBER(SEARCH('LARP Summary'!$E$3,B399)),MAX(A$1:$B398)+1,0)</f>
        <v>0</v>
      </c>
      <c r="B399" s="214"/>
      <c r="E399" s="212" t="str">
        <f>IFERROR(VLOOKUP(ROWS($E$2:E399),$A$2:$B$214,2,0),"")</f>
        <v/>
      </c>
    </row>
    <row r="400" spans="1:5" x14ac:dyDescent="0.35">
      <c r="A400" s="210">
        <f>IF(ISNUMBER(SEARCH('LARP Summary'!$E$3,B400)),MAX(A$1:$B399)+1,0)</f>
        <v>0</v>
      </c>
      <c r="B400" s="214"/>
      <c r="E400" s="212" t="str">
        <f>IFERROR(VLOOKUP(ROWS($E$2:E400),$A$2:$B$214,2,0),"")</f>
        <v/>
      </c>
    </row>
    <row r="401" spans="1:5" x14ac:dyDescent="0.35">
      <c r="A401" s="210">
        <f>IF(ISNUMBER(SEARCH('LARP Summary'!$E$3,B401)),MAX(A$1:$B400)+1,0)</f>
        <v>0</v>
      </c>
      <c r="B401" s="214"/>
      <c r="E401" s="212" t="str">
        <f>IFERROR(VLOOKUP(ROWS($E$2:E401),$A$2:$B$214,2,0),"")</f>
        <v/>
      </c>
    </row>
    <row r="402" spans="1:5" x14ac:dyDescent="0.35">
      <c r="A402" s="210">
        <f>IF(ISNUMBER(SEARCH('LARP Summary'!$E$3,B402)),MAX(A$1:$B401)+1,0)</f>
        <v>0</v>
      </c>
      <c r="B402" s="214"/>
      <c r="E402" s="212" t="str">
        <f>IFERROR(VLOOKUP(ROWS($E$2:E402),$A$2:$B$214,2,0),"")</f>
        <v/>
      </c>
    </row>
    <row r="403" spans="1:5" x14ac:dyDescent="0.35">
      <c r="A403" s="210">
        <f>IF(ISNUMBER(SEARCH('LARP Summary'!$E$3,B403)),MAX(A$1:$B402)+1,0)</f>
        <v>0</v>
      </c>
      <c r="B403" s="214"/>
      <c r="E403" s="212" t="str">
        <f>IFERROR(VLOOKUP(ROWS($E$2:E403),$A$2:$B$214,2,0),"")</f>
        <v/>
      </c>
    </row>
    <row r="404" spans="1:5" x14ac:dyDescent="0.35">
      <c r="A404" s="210">
        <f>IF(ISNUMBER(SEARCH('LARP Summary'!$E$3,B404)),MAX(A$1:$B403)+1,0)</f>
        <v>0</v>
      </c>
      <c r="B404" s="214"/>
      <c r="E404" s="212" t="str">
        <f>IFERROR(VLOOKUP(ROWS($E$2:E404),$A$2:$B$214,2,0),"")</f>
        <v/>
      </c>
    </row>
    <row r="405" spans="1:5" x14ac:dyDescent="0.35">
      <c r="A405" s="210">
        <f>IF(ISNUMBER(SEARCH('LARP Summary'!$E$3,B405)),MAX(A$1:$B404)+1,0)</f>
        <v>0</v>
      </c>
      <c r="B405" s="214"/>
      <c r="E405" s="212" t="str">
        <f>IFERROR(VLOOKUP(ROWS($E$2:E405),$A$2:$B$214,2,0),"")</f>
        <v/>
      </c>
    </row>
    <row r="406" spans="1:5" x14ac:dyDescent="0.35">
      <c r="A406" s="210">
        <f>IF(ISNUMBER(SEARCH('LARP Summary'!$E$3,B406)),MAX(A$1:$B405)+1,0)</f>
        <v>0</v>
      </c>
      <c r="B406" s="214"/>
      <c r="E406" s="212" t="str">
        <f>IFERROR(VLOOKUP(ROWS($E$2:E406),$A$2:$B$214,2,0),"")</f>
        <v/>
      </c>
    </row>
    <row r="407" spans="1:5" x14ac:dyDescent="0.35">
      <c r="A407" s="210">
        <f>IF(ISNUMBER(SEARCH('LARP Summary'!$E$3,B407)),MAX(A$1:$B406)+1,0)</f>
        <v>0</v>
      </c>
      <c r="B407" s="214"/>
      <c r="E407" s="212" t="str">
        <f>IFERROR(VLOOKUP(ROWS($E$2:E407),$A$2:$B$214,2,0),"")</f>
        <v/>
      </c>
    </row>
    <row r="408" spans="1:5" x14ac:dyDescent="0.35">
      <c r="A408" s="210">
        <f>IF(ISNUMBER(SEARCH('LARP Summary'!$E$3,B408)),MAX(A$1:$B407)+1,0)</f>
        <v>0</v>
      </c>
      <c r="B408" s="214"/>
      <c r="E408" s="212" t="str">
        <f>IFERROR(VLOOKUP(ROWS($E$2:E408),$A$2:$B$214,2,0),"")</f>
        <v/>
      </c>
    </row>
    <row r="409" spans="1:5" x14ac:dyDescent="0.35">
      <c r="A409" s="210">
        <f>IF(ISNUMBER(SEARCH('LARP Summary'!$E$3,B409)),MAX(A$1:$B408)+1,0)</f>
        <v>0</v>
      </c>
      <c r="B409" s="214"/>
      <c r="E409" s="212" t="str">
        <f>IFERROR(VLOOKUP(ROWS($E$2:E409),$A$2:$B$214,2,0),"")</f>
        <v/>
      </c>
    </row>
    <row r="410" spans="1:5" x14ac:dyDescent="0.35">
      <c r="A410" s="210">
        <f>IF(ISNUMBER(SEARCH('LARP Summary'!$E$3,B410)),MAX(A$1:$B409)+1,0)</f>
        <v>0</v>
      </c>
      <c r="B410" s="214"/>
      <c r="E410" s="212" t="str">
        <f>IFERROR(VLOOKUP(ROWS($E$2:E410),$A$2:$B$214,2,0),"")</f>
        <v/>
      </c>
    </row>
    <row r="411" spans="1:5" x14ac:dyDescent="0.35">
      <c r="A411" s="210">
        <f>IF(ISNUMBER(SEARCH('LARP Summary'!$E$3,B411)),MAX(A$1:$B410)+1,0)</f>
        <v>0</v>
      </c>
      <c r="B411" s="214"/>
      <c r="E411" s="212" t="str">
        <f>IFERROR(VLOOKUP(ROWS($E$2:E411),$A$2:$B$214,2,0),"")</f>
        <v/>
      </c>
    </row>
    <row r="412" spans="1:5" x14ac:dyDescent="0.35">
      <c r="A412" s="210">
        <f>IF(ISNUMBER(SEARCH('LARP Summary'!$E$3,B412)),MAX(A$1:$B411)+1,0)</f>
        <v>0</v>
      </c>
      <c r="B412" s="214"/>
      <c r="E412" s="212" t="str">
        <f>IFERROR(VLOOKUP(ROWS($E$2:E412),$A$2:$B$214,2,0),"")</f>
        <v/>
      </c>
    </row>
    <row r="413" spans="1:5" x14ac:dyDescent="0.35">
      <c r="A413" s="210">
        <f>IF(ISNUMBER(SEARCH('LARP Summary'!$E$3,B413)),MAX(A$1:$B412)+1,0)</f>
        <v>0</v>
      </c>
      <c r="B413" s="214"/>
      <c r="E413" s="212" t="str">
        <f>IFERROR(VLOOKUP(ROWS($E$2:E413),$A$2:$B$214,2,0),"")</f>
        <v/>
      </c>
    </row>
    <row r="414" spans="1:5" x14ac:dyDescent="0.35">
      <c r="A414" s="210">
        <f>IF(ISNUMBER(SEARCH('LARP Summary'!$E$3,B414)),MAX(A$1:$B413)+1,0)</f>
        <v>0</v>
      </c>
      <c r="B414" s="214"/>
      <c r="E414" s="212" t="str">
        <f>IFERROR(VLOOKUP(ROWS($E$2:E414),$A$2:$B$214,2,0),"")</f>
        <v/>
      </c>
    </row>
    <row r="415" spans="1:5" x14ac:dyDescent="0.35">
      <c r="A415" s="210">
        <f>IF(ISNUMBER(SEARCH('LARP Summary'!$E$3,B415)),MAX(A$1:$B414)+1,0)</f>
        <v>0</v>
      </c>
      <c r="B415" s="214"/>
      <c r="E415" s="212" t="str">
        <f>IFERROR(VLOOKUP(ROWS($E$2:E415),$A$2:$B$214,2,0),"")</f>
        <v/>
      </c>
    </row>
    <row r="416" spans="1:5" x14ac:dyDescent="0.35">
      <c r="A416" s="210">
        <f>IF(ISNUMBER(SEARCH('LARP Summary'!$E$3,B416)),MAX(A$1:$B415)+1,0)</f>
        <v>0</v>
      </c>
      <c r="B416" s="214"/>
      <c r="E416" s="212" t="str">
        <f>IFERROR(VLOOKUP(ROWS($E$2:E416),$A$2:$B$214,2,0),"")</f>
        <v/>
      </c>
    </row>
    <row r="417" spans="1:5" x14ac:dyDescent="0.35">
      <c r="A417" s="210">
        <f>IF(ISNUMBER(SEARCH('LARP Summary'!$E$3,B417)),MAX(A$1:$B416)+1,0)</f>
        <v>0</v>
      </c>
      <c r="B417" s="214"/>
      <c r="E417" s="212" t="str">
        <f>IFERROR(VLOOKUP(ROWS($E$2:E417),$A$2:$B$214,2,0),"")</f>
        <v/>
      </c>
    </row>
    <row r="418" spans="1:5" x14ac:dyDescent="0.35">
      <c r="A418" s="210">
        <f>IF(ISNUMBER(SEARCH('LARP Summary'!$E$3,B418)),MAX(A$1:$B417)+1,0)</f>
        <v>0</v>
      </c>
      <c r="B418" s="214"/>
      <c r="E418" s="212" t="str">
        <f>IFERROR(VLOOKUP(ROWS($E$2:E418),$A$2:$B$214,2,0),"")</f>
        <v/>
      </c>
    </row>
    <row r="419" spans="1:5" x14ac:dyDescent="0.35">
      <c r="A419" s="210">
        <f>IF(ISNUMBER(SEARCH('LARP Summary'!$E$3,B419)),MAX(A$1:$B418)+1,0)</f>
        <v>0</v>
      </c>
      <c r="B419" s="214"/>
      <c r="E419" s="212" t="str">
        <f>IFERROR(VLOOKUP(ROWS($E$2:E419),$A$2:$B$214,2,0),"")</f>
        <v/>
      </c>
    </row>
    <row r="420" spans="1:5" x14ac:dyDescent="0.35">
      <c r="A420" s="210">
        <f>IF(ISNUMBER(SEARCH('LARP Summary'!$E$3,B420)),MAX(A$1:$B419)+1,0)</f>
        <v>0</v>
      </c>
      <c r="B420" s="214"/>
      <c r="E420" s="212" t="str">
        <f>IFERROR(VLOOKUP(ROWS($E$2:E420),$A$2:$B$214,2,0),"")</f>
        <v/>
      </c>
    </row>
    <row r="421" spans="1:5" x14ac:dyDescent="0.35">
      <c r="A421" s="210">
        <f>IF(ISNUMBER(SEARCH('LARP Summary'!$E$3,B421)),MAX(A$1:$B420)+1,0)</f>
        <v>0</v>
      </c>
      <c r="B421" s="214"/>
      <c r="E421" s="212" t="str">
        <f>IFERROR(VLOOKUP(ROWS($E$2:E421),$A$2:$B$214,2,0),"")</f>
        <v/>
      </c>
    </row>
    <row r="422" spans="1:5" x14ac:dyDescent="0.35">
      <c r="A422" s="210">
        <f>IF(ISNUMBER(SEARCH('LARP Summary'!$E$3,B422)),MAX(A$1:$B421)+1,0)</f>
        <v>0</v>
      </c>
      <c r="B422" s="214"/>
      <c r="E422" s="212" t="str">
        <f>IFERROR(VLOOKUP(ROWS($E$2:E422),$A$2:$B$214,2,0),"")</f>
        <v/>
      </c>
    </row>
    <row r="423" spans="1:5" x14ac:dyDescent="0.35">
      <c r="A423" s="210">
        <f>IF(ISNUMBER(SEARCH('LARP Summary'!$E$3,B423)),MAX(A$1:$B422)+1,0)</f>
        <v>0</v>
      </c>
      <c r="B423" s="214"/>
      <c r="E423" s="212" t="str">
        <f>IFERROR(VLOOKUP(ROWS($E$2:E423),$A$2:$B$214,2,0),"")</f>
        <v/>
      </c>
    </row>
    <row r="424" spans="1:5" x14ac:dyDescent="0.35">
      <c r="A424" s="210">
        <f>IF(ISNUMBER(SEARCH('LARP Summary'!$E$3,B424)),MAX(A$1:$B423)+1,0)</f>
        <v>0</v>
      </c>
      <c r="B424" s="214"/>
      <c r="E424" s="212" t="str">
        <f>IFERROR(VLOOKUP(ROWS($E$2:E424),$A$2:$B$214,2,0),"")</f>
        <v/>
      </c>
    </row>
    <row r="425" spans="1:5" x14ac:dyDescent="0.35">
      <c r="A425" s="210">
        <f>IF(ISNUMBER(SEARCH('LARP Summary'!$E$3,B425)),MAX(A$1:$B424)+1,0)</f>
        <v>0</v>
      </c>
      <c r="B425" s="214"/>
      <c r="E425" s="212" t="str">
        <f>IFERROR(VLOOKUP(ROWS($E$2:E425),$A$2:$B$214,2,0),"")</f>
        <v/>
      </c>
    </row>
    <row r="426" spans="1:5" x14ac:dyDescent="0.35">
      <c r="A426" s="210">
        <f>IF(ISNUMBER(SEARCH('LARP Summary'!$E$3,B426)),MAX(A$1:$B425)+1,0)</f>
        <v>0</v>
      </c>
      <c r="B426" s="214"/>
      <c r="E426" s="212" t="str">
        <f>IFERROR(VLOOKUP(ROWS($E$2:E426),$A$2:$B$214,2,0),"")</f>
        <v/>
      </c>
    </row>
    <row r="427" spans="1:5" x14ac:dyDescent="0.35">
      <c r="A427" s="210">
        <f>IF(ISNUMBER(SEARCH('LARP Summary'!$E$3,B427)),MAX(A$1:$B426)+1,0)</f>
        <v>0</v>
      </c>
      <c r="B427" s="214"/>
      <c r="E427" s="212" t="str">
        <f>IFERROR(VLOOKUP(ROWS($E$2:E427),$A$2:$B$214,2,0),"")</f>
        <v/>
      </c>
    </row>
    <row r="428" spans="1:5" x14ac:dyDescent="0.35">
      <c r="A428" s="210">
        <f>IF(ISNUMBER(SEARCH('LARP Summary'!$E$3,B428)),MAX(A$1:$B427)+1,0)</f>
        <v>0</v>
      </c>
      <c r="B428" s="214"/>
      <c r="E428" s="212" t="str">
        <f>IFERROR(VLOOKUP(ROWS($E$2:E428),$A$2:$B$214,2,0),"")</f>
        <v/>
      </c>
    </row>
    <row r="429" spans="1:5" x14ac:dyDescent="0.35">
      <c r="A429" s="210">
        <f>IF(ISNUMBER(SEARCH('LARP Summary'!$E$3,B429)),MAX(A$1:$B428)+1,0)</f>
        <v>0</v>
      </c>
      <c r="B429" s="214"/>
      <c r="E429" s="212" t="str">
        <f>IFERROR(VLOOKUP(ROWS($E$2:E429),$A$2:$B$214,2,0),"")</f>
        <v/>
      </c>
    </row>
    <row r="430" spans="1:5" x14ac:dyDescent="0.35">
      <c r="A430" s="210">
        <f>IF(ISNUMBER(SEARCH('LARP Summary'!$E$3,B430)),MAX(A$1:$B429)+1,0)</f>
        <v>0</v>
      </c>
      <c r="B430" s="214"/>
      <c r="E430" s="212" t="str">
        <f>IFERROR(VLOOKUP(ROWS($E$2:E430),$A$2:$B$214,2,0),"")</f>
        <v/>
      </c>
    </row>
    <row r="431" spans="1:5" x14ac:dyDescent="0.35">
      <c r="A431" s="210">
        <f>IF(ISNUMBER(SEARCH('LARP Summary'!$E$3,B431)),MAX(A$1:$B430)+1,0)</f>
        <v>0</v>
      </c>
      <c r="B431" s="214"/>
      <c r="E431" s="212" t="str">
        <f>IFERROR(VLOOKUP(ROWS($E$2:E431),$A$2:$B$214,2,0),"")</f>
        <v/>
      </c>
    </row>
    <row r="432" spans="1:5" x14ac:dyDescent="0.35">
      <c r="A432" s="210">
        <f>IF(ISNUMBER(SEARCH('LARP Summary'!$E$3,B432)),MAX(A$1:$B431)+1,0)</f>
        <v>0</v>
      </c>
      <c r="B432" s="214"/>
      <c r="E432" s="212" t="str">
        <f>IFERROR(VLOOKUP(ROWS($E$2:E432),$A$2:$B$214,2,0),"")</f>
        <v/>
      </c>
    </row>
    <row r="433" spans="1:5" x14ac:dyDescent="0.35">
      <c r="A433" s="210">
        <f>IF(ISNUMBER(SEARCH('LARP Summary'!$E$3,B433)),MAX(A$1:$B432)+1,0)</f>
        <v>0</v>
      </c>
      <c r="B433" s="214"/>
      <c r="E433" s="212" t="str">
        <f>IFERROR(VLOOKUP(ROWS($E$2:E433),$A$2:$B$214,2,0),"")</f>
        <v/>
      </c>
    </row>
    <row r="434" spans="1:5" x14ac:dyDescent="0.35">
      <c r="A434" s="210">
        <f>IF(ISNUMBER(SEARCH('LARP Summary'!$E$3,B434)),MAX(A$1:$B433)+1,0)</f>
        <v>0</v>
      </c>
      <c r="B434" s="214"/>
      <c r="E434" s="212" t="str">
        <f>IFERROR(VLOOKUP(ROWS($E$2:E434),$A$2:$B$214,2,0),"")</f>
        <v/>
      </c>
    </row>
    <row r="435" spans="1:5" x14ac:dyDescent="0.35">
      <c r="A435" s="210">
        <f>IF(ISNUMBER(SEARCH('LARP Summary'!$E$3,B435)),MAX(A$1:$B434)+1,0)</f>
        <v>0</v>
      </c>
      <c r="B435" s="214"/>
      <c r="E435" s="212" t="str">
        <f>IFERROR(VLOOKUP(ROWS($E$2:E435),$A$2:$B$214,2,0),"")</f>
        <v/>
      </c>
    </row>
    <row r="436" spans="1:5" x14ac:dyDescent="0.35">
      <c r="A436" s="210">
        <f>IF(ISNUMBER(SEARCH('LARP Summary'!$E$3,B436)),MAX(A$1:$B435)+1,0)</f>
        <v>0</v>
      </c>
      <c r="B436" s="214"/>
      <c r="E436" s="212" t="str">
        <f>IFERROR(VLOOKUP(ROWS($E$2:E436),$A$2:$B$214,2,0),"")</f>
        <v/>
      </c>
    </row>
    <row r="437" spans="1:5" x14ac:dyDescent="0.35">
      <c r="A437" s="210">
        <f>IF(ISNUMBER(SEARCH('LARP Summary'!$E$3,B437)),MAX(A$1:$B436)+1,0)</f>
        <v>0</v>
      </c>
      <c r="B437" s="214"/>
      <c r="E437" s="212" t="str">
        <f>IFERROR(VLOOKUP(ROWS($E$2:E437),$A$2:$B$214,2,0),"")</f>
        <v/>
      </c>
    </row>
    <row r="438" spans="1:5" x14ac:dyDescent="0.35">
      <c r="A438" s="210">
        <f>IF(ISNUMBER(SEARCH('LARP Summary'!$E$3,B438)),MAX(A$1:$B437)+1,0)</f>
        <v>0</v>
      </c>
      <c r="B438" s="214"/>
      <c r="E438" s="212" t="str">
        <f>IFERROR(VLOOKUP(ROWS($E$2:E438),$A$2:$B$214,2,0),"")</f>
        <v/>
      </c>
    </row>
    <row r="439" spans="1:5" x14ac:dyDescent="0.35">
      <c r="A439" s="210">
        <f>IF(ISNUMBER(SEARCH('LARP Summary'!$E$3,B439)),MAX(A$1:$B438)+1,0)</f>
        <v>0</v>
      </c>
      <c r="B439" s="214"/>
      <c r="E439" s="212" t="str">
        <f>IFERROR(VLOOKUP(ROWS($E$2:E439),$A$2:$B$214,2,0),"")</f>
        <v/>
      </c>
    </row>
    <row r="440" spans="1:5" x14ac:dyDescent="0.35">
      <c r="A440" s="210">
        <f>IF(ISNUMBER(SEARCH('LARP Summary'!$E$3,B440)),MAX(A$1:$B439)+1,0)</f>
        <v>0</v>
      </c>
      <c r="B440" s="214"/>
      <c r="E440" s="212" t="str">
        <f>IFERROR(VLOOKUP(ROWS($E$2:E440),$A$2:$B$214,2,0),"")</f>
        <v/>
      </c>
    </row>
    <row r="441" spans="1:5" x14ac:dyDescent="0.35">
      <c r="A441" s="210">
        <f>IF(ISNUMBER(SEARCH('LARP Summary'!$E$3,B441)),MAX(A$1:$B440)+1,0)</f>
        <v>0</v>
      </c>
      <c r="B441" s="214"/>
      <c r="E441" s="212" t="str">
        <f>IFERROR(VLOOKUP(ROWS($E$2:E441),$A$2:$B$214,2,0),"")</f>
        <v/>
      </c>
    </row>
    <row r="442" spans="1:5" x14ac:dyDescent="0.35">
      <c r="A442" s="210">
        <f>IF(ISNUMBER(SEARCH('LARP Summary'!$E$3,B442)),MAX(A$1:$B441)+1,0)</f>
        <v>0</v>
      </c>
      <c r="B442" s="214"/>
      <c r="E442" s="212" t="str">
        <f>IFERROR(VLOOKUP(ROWS($E$2:E442),$A$2:$B$214,2,0),"")</f>
        <v/>
      </c>
    </row>
    <row r="443" spans="1:5" x14ac:dyDescent="0.35">
      <c r="A443" s="210">
        <f>IF(ISNUMBER(SEARCH('LARP Summary'!$E$3,B443)),MAX(A$1:$B442)+1,0)</f>
        <v>0</v>
      </c>
      <c r="B443" s="214"/>
      <c r="E443" s="212" t="str">
        <f>IFERROR(VLOOKUP(ROWS($E$2:E443),$A$2:$B$214,2,0),"")</f>
        <v/>
      </c>
    </row>
    <row r="444" spans="1:5" x14ac:dyDescent="0.35">
      <c r="A444" s="210">
        <f>IF(ISNUMBER(SEARCH('LARP Summary'!$E$3,B444)),MAX(A$1:$B443)+1,0)</f>
        <v>0</v>
      </c>
      <c r="B444" s="214"/>
      <c r="E444" s="212" t="str">
        <f>IFERROR(VLOOKUP(ROWS($E$2:E444),$A$2:$B$214,2,0),"")</f>
        <v/>
      </c>
    </row>
    <row r="445" spans="1:5" x14ac:dyDescent="0.35">
      <c r="A445" s="210">
        <f>IF(ISNUMBER(SEARCH('LARP Summary'!$E$3,B445)),MAX(A$1:$B444)+1,0)</f>
        <v>0</v>
      </c>
      <c r="B445" s="214"/>
      <c r="E445" s="212" t="str">
        <f>IFERROR(VLOOKUP(ROWS($E$2:E445),$A$2:$B$214,2,0),"")</f>
        <v/>
      </c>
    </row>
    <row r="446" spans="1:5" x14ac:dyDescent="0.35">
      <c r="A446" s="210">
        <f>IF(ISNUMBER(SEARCH('LARP Summary'!$E$3,B446)),MAX(A$1:$B445)+1,0)</f>
        <v>0</v>
      </c>
      <c r="B446" s="214"/>
      <c r="E446" s="212" t="str">
        <f>IFERROR(VLOOKUP(ROWS($E$2:E446),$A$2:$B$214,2,0),"")</f>
        <v/>
      </c>
    </row>
    <row r="447" spans="1:5" x14ac:dyDescent="0.35">
      <c r="A447" s="210">
        <f>IF(ISNUMBER(SEARCH('LARP Summary'!$E$3,B447)),MAX(A$1:$B446)+1,0)</f>
        <v>0</v>
      </c>
      <c r="B447" s="214"/>
      <c r="E447" s="212" t="str">
        <f>IFERROR(VLOOKUP(ROWS($E$2:E447),$A$2:$B$214,2,0),"")</f>
        <v/>
      </c>
    </row>
    <row r="448" spans="1:5" x14ac:dyDescent="0.35">
      <c r="A448" s="210">
        <f>IF(ISNUMBER(SEARCH('LARP Summary'!$E$3,B448)),MAX(A$1:$B447)+1,0)</f>
        <v>0</v>
      </c>
      <c r="B448" s="214"/>
      <c r="E448" s="212" t="str">
        <f>IFERROR(VLOOKUP(ROWS($E$2:E448),$A$2:$B$214,2,0),"")</f>
        <v/>
      </c>
    </row>
    <row r="449" spans="1:5" x14ac:dyDescent="0.35">
      <c r="A449" s="210">
        <f>IF(ISNUMBER(SEARCH('LARP Summary'!$E$3,B449)),MAX(A$1:$B448)+1,0)</f>
        <v>0</v>
      </c>
      <c r="B449" s="214"/>
      <c r="E449" s="212" t="str">
        <f>IFERROR(VLOOKUP(ROWS($E$2:E449),$A$2:$B$214,2,0),"")</f>
        <v/>
      </c>
    </row>
    <row r="450" spans="1:5" x14ac:dyDescent="0.35">
      <c r="A450" s="210">
        <f>IF(ISNUMBER(SEARCH('LARP Summary'!$E$3,B450)),MAX(A$1:$B449)+1,0)</f>
        <v>0</v>
      </c>
      <c r="B450" s="214"/>
      <c r="E450" s="212" t="str">
        <f>IFERROR(VLOOKUP(ROWS($E$2:E450),$A$2:$B$214,2,0),"")</f>
        <v/>
      </c>
    </row>
    <row r="451" spans="1:5" x14ac:dyDescent="0.35">
      <c r="A451" s="210">
        <f>IF(ISNUMBER(SEARCH('LARP Summary'!$E$3,B451)),MAX(A$1:$B450)+1,0)</f>
        <v>0</v>
      </c>
      <c r="B451" s="214"/>
      <c r="E451" s="212" t="str">
        <f>IFERROR(VLOOKUP(ROWS($E$2:E451),$A$2:$B$214,2,0),"")</f>
        <v/>
      </c>
    </row>
    <row r="452" spans="1:5" x14ac:dyDescent="0.35">
      <c r="A452" s="210">
        <f>IF(ISNUMBER(SEARCH('LARP Summary'!$E$3,B452)),MAX(A$1:$B451)+1,0)</f>
        <v>0</v>
      </c>
      <c r="B452" s="214"/>
      <c r="E452" s="212" t="str">
        <f>IFERROR(VLOOKUP(ROWS($E$2:E452),$A$2:$B$214,2,0),"")</f>
        <v/>
      </c>
    </row>
    <row r="453" spans="1:5" x14ac:dyDescent="0.35">
      <c r="A453" s="210">
        <f>IF(ISNUMBER(SEARCH('LARP Summary'!$E$3,B453)),MAX(A$1:$B452)+1,0)</f>
        <v>0</v>
      </c>
      <c r="B453" s="214"/>
      <c r="E453" s="212" t="str">
        <f>IFERROR(VLOOKUP(ROWS($E$2:E453),$A$2:$B$214,2,0),"")</f>
        <v/>
      </c>
    </row>
    <row r="454" spans="1:5" x14ac:dyDescent="0.35">
      <c r="A454" s="210">
        <f>IF(ISNUMBER(SEARCH('LARP Summary'!$E$3,B454)),MAX(A$1:$B453)+1,0)</f>
        <v>0</v>
      </c>
      <c r="B454" s="214"/>
      <c r="E454" s="212" t="str">
        <f>IFERROR(VLOOKUP(ROWS($E$2:E454),$A$2:$B$214,2,0),"")</f>
        <v/>
      </c>
    </row>
    <row r="455" spans="1:5" x14ac:dyDescent="0.35">
      <c r="A455" s="210">
        <f>IF(ISNUMBER(SEARCH('LARP Summary'!$E$3,B455)),MAX(A$1:$B454)+1,0)</f>
        <v>0</v>
      </c>
      <c r="B455" s="214"/>
      <c r="E455" s="212" t="str">
        <f>IFERROR(VLOOKUP(ROWS($E$2:E455),$A$2:$B$214,2,0),"")</f>
        <v/>
      </c>
    </row>
    <row r="456" spans="1:5" x14ac:dyDescent="0.35">
      <c r="A456" s="210">
        <f>IF(ISNUMBER(SEARCH('LARP Summary'!$E$3,B456)),MAX(A$1:$B455)+1,0)</f>
        <v>0</v>
      </c>
      <c r="B456" s="214"/>
      <c r="E456" s="212" t="str">
        <f>IFERROR(VLOOKUP(ROWS($E$2:E456),$A$2:$B$214,2,0),"")</f>
        <v/>
      </c>
    </row>
    <row r="457" spans="1:5" x14ac:dyDescent="0.35">
      <c r="A457" s="210">
        <f>IF(ISNUMBER(SEARCH('LARP Summary'!$E$3,B457)),MAX(A$1:$B456)+1,0)</f>
        <v>0</v>
      </c>
      <c r="B457" s="214"/>
      <c r="E457" s="212" t="str">
        <f>IFERROR(VLOOKUP(ROWS($E$2:E457),$A$2:$B$214,2,0),"")</f>
        <v/>
      </c>
    </row>
    <row r="458" spans="1:5" x14ac:dyDescent="0.35">
      <c r="A458" s="210">
        <f>IF(ISNUMBER(SEARCH('LARP Summary'!$E$3,B458)),MAX(A$1:$B457)+1,0)</f>
        <v>0</v>
      </c>
      <c r="B458" s="214"/>
      <c r="E458" s="212" t="str">
        <f>IFERROR(VLOOKUP(ROWS($E$2:E458),$A$2:$B$214,2,0),"")</f>
        <v/>
      </c>
    </row>
    <row r="459" spans="1:5" x14ac:dyDescent="0.35">
      <c r="A459" s="210">
        <f>IF(ISNUMBER(SEARCH('LARP Summary'!$E$3,B459)),MAX(A$1:$B458)+1,0)</f>
        <v>0</v>
      </c>
      <c r="B459" s="214"/>
      <c r="E459" s="212" t="str">
        <f>IFERROR(VLOOKUP(ROWS($E$2:E459),$A$2:$B$214,2,0),"")</f>
        <v/>
      </c>
    </row>
    <row r="460" spans="1:5" x14ac:dyDescent="0.35">
      <c r="A460" s="210">
        <f>IF(ISNUMBER(SEARCH('LARP Summary'!$E$3,B460)),MAX(A$1:$B459)+1,0)</f>
        <v>0</v>
      </c>
      <c r="B460" s="214"/>
      <c r="E460" s="212" t="str">
        <f>IFERROR(VLOOKUP(ROWS($E$2:E460),$A$2:$B$214,2,0),"")</f>
        <v/>
      </c>
    </row>
    <row r="461" spans="1:5" x14ac:dyDescent="0.35">
      <c r="A461" s="210">
        <f>IF(ISNUMBER(SEARCH('LARP Summary'!$E$3,B461)),MAX(A$1:$B460)+1,0)</f>
        <v>0</v>
      </c>
      <c r="B461" s="214"/>
      <c r="E461" s="212" t="str">
        <f>IFERROR(VLOOKUP(ROWS($E$2:E461),$A$2:$B$214,2,0),"")</f>
        <v/>
      </c>
    </row>
    <row r="462" spans="1:5" x14ac:dyDescent="0.35">
      <c r="A462" s="210">
        <f>IF(ISNUMBER(SEARCH('LARP Summary'!$E$3,B462)),MAX(A$1:$B461)+1,0)</f>
        <v>0</v>
      </c>
      <c r="B462" s="214"/>
      <c r="E462" s="212" t="str">
        <f>IFERROR(VLOOKUP(ROWS($E$2:E462),$A$2:$B$214,2,0),"")</f>
        <v/>
      </c>
    </row>
    <row r="463" spans="1:5" x14ac:dyDescent="0.35">
      <c r="A463" s="210">
        <f>IF(ISNUMBER(SEARCH('LARP Summary'!$E$3,B463)),MAX(A$1:$B462)+1,0)</f>
        <v>0</v>
      </c>
      <c r="B463" s="214"/>
      <c r="E463" s="212" t="str">
        <f>IFERROR(VLOOKUP(ROWS($E$2:E463),$A$2:$B$214,2,0),"")</f>
        <v/>
      </c>
    </row>
    <row r="464" spans="1:5" x14ac:dyDescent="0.35">
      <c r="A464" s="210">
        <f>IF(ISNUMBER(SEARCH('LARP Summary'!$E$3,B464)),MAX(A$1:$B463)+1,0)</f>
        <v>0</v>
      </c>
      <c r="B464" s="214"/>
      <c r="E464" s="212" t="str">
        <f>IFERROR(VLOOKUP(ROWS($E$2:E464),$A$2:$B$214,2,0),"")</f>
        <v/>
      </c>
    </row>
    <row r="465" spans="1:5" x14ac:dyDescent="0.35">
      <c r="A465" s="210">
        <f>IF(ISNUMBER(SEARCH('LARP Summary'!$E$3,B465)),MAX(A$1:$B464)+1,0)</f>
        <v>0</v>
      </c>
      <c r="B465" s="214"/>
      <c r="E465" s="212" t="str">
        <f>IFERROR(VLOOKUP(ROWS($E$2:E465),$A$2:$B$214,2,0),"")</f>
        <v/>
      </c>
    </row>
    <row r="466" spans="1:5" x14ac:dyDescent="0.35">
      <c r="A466" s="210">
        <f>IF(ISNUMBER(SEARCH('LARP Summary'!$E$3,B466)),MAX(A$1:$B465)+1,0)</f>
        <v>0</v>
      </c>
      <c r="B466" s="214"/>
      <c r="E466" s="212" t="str">
        <f>IFERROR(VLOOKUP(ROWS($E$2:E466),$A$2:$B$214,2,0),"")</f>
        <v/>
      </c>
    </row>
    <row r="467" spans="1:5" x14ac:dyDescent="0.35">
      <c r="A467" s="210">
        <f>IF(ISNUMBER(SEARCH('LARP Summary'!$E$3,B467)),MAX(A$1:$B466)+1,0)</f>
        <v>0</v>
      </c>
      <c r="B467" s="214"/>
      <c r="E467" s="212" t="str">
        <f>IFERROR(VLOOKUP(ROWS($E$2:E467),$A$2:$B$214,2,0),"")</f>
        <v/>
      </c>
    </row>
    <row r="468" spans="1:5" x14ac:dyDescent="0.35">
      <c r="A468" s="210">
        <f>IF(ISNUMBER(SEARCH('LARP Summary'!$E$3,B468)),MAX(A$1:$B467)+1,0)</f>
        <v>0</v>
      </c>
      <c r="B468" s="214"/>
      <c r="E468" s="212" t="str">
        <f>IFERROR(VLOOKUP(ROWS($E$2:E468),$A$2:$B$214,2,0),"")</f>
        <v/>
      </c>
    </row>
    <row r="469" spans="1:5" x14ac:dyDescent="0.35">
      <c r="A469" s="210">
        <f>IF(ISNUMBER(SEARCH('LARP Summary'!$E$3,B469)),MAX(A$1:$B468)+1,0)</f>
        <v>0</v>
      </c>
      <c r="B469" s="214"/>
      <c r="E469" s="212" t="str">
        <f>IFERROR(VLOOKUP(ROWS($E$2:E469),$A$2:$B$214,2,0),"")</f>
        <v/>
      </c>
    </row>
    <row r="470" spans="1:5" x14ac:dyDescent="0.35">
      <c r="A470" s="210">
        <f>IF(ISNUMBER(SEARCH('LARP Summary'!$E$3,B470)),MAX(A$1:$B469)+1,0)</f>
        <v>0</v>
      </c>
      <c r="B470" s="214"/>
      <c r="E470" s="212" t="str">
        <f>IFERROR(VLOOKUP(ROWS($E$2:E470),$A$2:$B$214,2,0),"")</f>
        <v/>
      </c>
    </row>
    <row r="471" spans="1:5" x14ac:dyDescent="0.35">
      <c r="A471" s="210">
        <f>IF(ISNUMBER(SEARCH('LARP Summary'!$E$3,B471)),MAX(A$1:$B470)+1,0)</f>
        <v>0</v>
      </c>
      <c r="B471" s="214"/>
      <c r="E471" s="212" t="str">
        <f>IFERROR(VLOOKUP(ROWS($E$2:E471),$A$2:$B$214,2,0),"")</f>
        <v/>
      </c>
    </row>
    <row r="472" spans="1:5" x14ac:dyDescent="0.35">
      <c r="A472" s="210">
        <f>IF(ISNUMBER(SEARCH('LARP Summary'!$E$3,B472)),MAX(A$1:$B471)+1,0)</f>
        <v>0</v>
      </c>
      <c r="B472" s="214"/>
      <c r="E472" s="212" t="str">
        <f>IFERROR(VLOOKUP(ROWS($E$2:E472),$A$2:$B$214,2,0),"")</f>
        <v/>
      </c>
    </row>
    <row r="473" spans="1:5" x14ac:dyDescent="0.35">
      <c r="A473" s="210">
        <f>IF(ISNUMBER(SEARCH('LARP Summary'!$E$3,B473)),MAX(A$1:$B472)+1,0)</f>
        <v>0</v>
      </c>
      <c r="B473" s="214"/>
      <c r="E473" s="212" t="str">
        <f>IFERROR(VLOOKUP(ROWS($E$2:E473),$A$2:$B$214,2,0),"")</f>
        <v/>
      </c>
    </row>
    <row r="474" spans="1:5" x14ac:dyDescent="0.35">
      <c r="A474" s="210">
        <f>IF(ISNUMBER(SEARCH('LARP Summary'!$E$3,B474)),MAX(A$1:$B473)+1,0)</f>
        <v>0</v>
      </c>
      <c r="B474" s="214"/>
      <c r="E474" s="212" t="str">
        <f>IFERROR(VLOOKUP(ROWS($E$2:E474),$A$2:$B$214,2,0),"")</f>
        <v/>
      </c>
    </row>
    <row r="475" spans="1:5" x14ac:dyDescent="0.35">
      <c r="A475" s="210">
        <f>IF(ISNUMBER(SEARCH('LARP Summary'!$E$3,B475)),MAX(A$1:$B474)+1,0)</f>
        <v>0</v>
      </c>
      <c r="B475" s="214"/>
      <c r="E475" s="212" t="str">
        <f>IFERROR(VLOOKUP(ROWS($E$2:E475),$A$2:$B$214,2,0),"")</f>
        <v/>
      </c>
    </row>
    <row r="476" spans="1:5" x14ac:dyDescent="0.35">
      <c r="A476" s="210">
        <f>IF(ISNUMBER(SEARCH('LARP Summary'!$E$3,B476)),MAX(A$1:$B475)+1,0)</f>
        <v>0</v>
      </c>
      <c r="B476" s="214"/>
      <c r="E476" s="212" t="str">
        <f>IFERROR(VLOOKUP(ROWS($E$2:E476),$A$2:$B$214,2,0),"")</f>
        <v/>
      </c>
    </row>
    <row r="477" spans="1:5" x14ac:dyDescent="0.35">
      <c r="A477" s="210">
        <f>IF(ISNUMBER(SEARCH('LARP Summary'!$E$3,B477)),MAX(A$1:$B476)+1,0)</f>
        <v>0</v>
      </c>
      <c r="B477" s="214"/>
      <c r="E477" s="212" t="str">
        <f>IFERROR(VLOOKUP(ROWS($E$2:E477),$A$2:$B$214,2,0),"")</f>
        <v/>
      </c>
    </row>
    <row r="478" spans="1:5" x14ac:dyDescent="0.35">
      <c r="A478" s="210">
        <f>IF(ISNUMBER(SEARCH('LARP Summary'!$E$3,B478)),MAX(A$1:$B477)+1,0)</f>
        <v>0</v>
      </c>
      <c r="B478" s="214"/>
      <c r="E478" s="212" t="str">
        <f>IFERROR(VLOOKUP(ROWS($E$2:E478),$A$2:$B$214,2,0),"")</f>
        <v/>
      </c>
    </row>
    <row r="479" spans="1:5" x14ac:dyDescent="0.35">
      <c r="A479" s="210">
        <f>IF(ISNUMBER(SEARCH('LARP Summary'!$E$3,B479)),MAX(A$1:$B478)+1,0)</f>
        <v>0</v>
      </c>
      <c r="B479" s="214"/>
      <c r="E479" s="212" t="str">
        <f>IFERROR(VLOOKUP(ROWS($E$2:E479),$A$2:$B$214,2,0),"")</f>
        <v/>
      </c>
    </row>
    <row r="480" spans="1:5" x14ac:dyDescent="0.35">
      <c r="A480" s="210">
        <f>IF(ISNUMBER(SEARCH('LARP Summary'!$E$3,B480)),MAX(A$1:$B479)+1,0)</f>
        <v>0</v>
      </c>
      <c r="B480" s="214"/>
      <c r="E480" s="212" t="str">
        <f>IFERROR(VLOOKUP(ROWS($E$2:E480),$A$2:$B$214,2,0),"")</f>
        <v/>
      </c>
    </row>
    <row r="481" spans="1:5" x14ac:dyDescent="0.35">
      <c r="A481" s="210">
        <f>IF(ISNUMBER(SEARCH('LARP Summary'!$E$3,B481)),MAX(A$1:$B480)+1,0)</f>
        <v>0</v>
      </c>
      <c r="B481" s="214"/>
      <c r="E481" s="212" t="str">
        <f>IFERROR(VLOOKUP(ROWS($E$2:E481),$A$2:$B$214,2,0),"")</f>
        <v/>
      </c>
    </row>
    <row r="482" spans="1:5" x14ac:dyDescent="0.35">
      <c r="A482" s="210">
        <f>IF(ISNUMBER(SEARCH('LARP Summary'!$E$3,B482)),MAX(A$1:$B481)+1,0)</f>
        <v>0</v>
      </c>
      <c r="B482" s="214"/>
      <c r="E482" s="212" t="str">
        <f>IFERROR(VLOOKUP(ROWS($E$2:E482),$A$2:$B$214,2,0),"")</f>
        <v/>
      </c>
    </row>
    <row r="483" spans="1:5" x14ac:dyDescent="0.35">
      <c r="A483" s="210">
        <f>IF(ISNUMBER(SEARCH('LARP Summary'!$E$3,B483)),MAX(A$1:$B482)+1,0)</f>
        <v>0</v>
      </c>
      <c r="B483" s="214"/>
      <c r="E483" s="212" t="str">
        <f>IFERROR(VLOOKUP(ROWS($E$2:E483),$A$2:$B$214,2,0),"")</f>
        <v/>
      </c>
    </row>
    <row r="484" spans="1:5" x14ac:dyDescent="0.35">
      <c r="A484" s="210">
        <f>IF(ISNUMBER(SEARCH('LARP Summary'!$E$3,B484)),MAX(A$1:$B483)+1,0)</f>
        <v>0</v>
      </c>
      <c r="B484" s="214"/>
      <c r="E484" s="212" t="str">
        <f>IFERROR(VLOOKUP(ROWS($E$2:E484),$A$2:$B$214,2,0),"")</f>
        <v/>
      </c>
    </row>
    <row r="485" spans="1:5" x14ac:dyDescent="0.35">
      <c r="A485" s="210">
        <f>IF(ISNUMBER(SEARCH('LARP Summary'!$E$3,B485)),MAX(A$1:$B484)+1,0)</f>
        <v>0</v>
      </c>
      <c r="B485" s="214"/>
      <c r="E485" s="212" t="str">
        <f>IFERROR(VLOOKUP(ROWS($E$2:E485),$A$2:$B$214,2,0),"")</f>
        <v/>
      </c>
    </row>
    <row r="486" spans="1:5" x14ac:dyDescent="0.35">
      <c r="A486" s="210">
        <f>IF(ISNUMBER(SEARCH('LARP Summary'!$E$3,B486)),MAX(A$1:$B485)+1,0)</f>
        <v>0</v>
      </c>
      <c r="B486" s="214"/>
      <c r="E486" s="212" t="str">
        <f>IFERROR(VLOOKUP(ROWS($E$2:E486),$A$2:$B$214,2,0),"")</f>
        <v/>
      </c>
    </row>
    <row r="487" spans="1:5" x14ac:dyDescent="0.35">
      <c r="A487" s="210">
        <f>IF(ISNUMBER(SEARCH('LARP Summary'!$E$3,B487)),MAX(A$1:$B486)+1,0)</f>
        <v>0</v>
      </c>
      <c r="B487" s="214"/>
      <c r="E487" s="212" t="str">
        <f>IFERROR(VLOOKUP(ROWS($E$2:E487),$A$2:$B$214,2,0),"")</f>
        <v/>
      </c>
    </row>
    <row r="488" spans="1:5" x14ac:dyDescent="0.35">
      <c r="A488" s="210">
        <f>IF(ISNUMBER(SEARCH('LARP Summary'!$E$3,B488)),MAX(A$1:$B487)+1,0)</f>
        <v>0</v>
      </c>
      <c r="B488" s="214"/>
      <c r="E488" s="212" t="str">
        <f>IFERROR(VLOOKUP(ROWS($E$2:E488),$A$2:$B$214,2,0),"")</f>
        <v/>
      </c>
    </row>
    <row r="489" spans="1:5" x14ac:dyDescent="0.35">
      <c r="A489" s="210">
        <f>IF(ISNUMBER(SEARCH('LARP Summary'!$E$3,B489)),MAX(A$1:$B488)+1,0)</f>
        <v>0</v>
      </c>
      <c r="B489" s="214"/>
      <c r="E489" s="212" t="str">
        <f>IFERROR(VLOOKUP(ROWS($E$2:E489),$A$2:$B$214,2,0),"")</f>
        <v/>
      </c>
    </row>
    <row r="490" spans="1:5" x14ac:dyDescent="0.35">
      <c r="A490" s="210">
        <f>IF(ISNUMBER(SEARCH('LARP Summary'!$E$3,B490)),MAX(A$1:$B489)+1,0)</f>
        <v>0</v>
      </c>
      <c r="B490" s="214"/>
      <c r="E490" s="212" t="str">
        <f>IFERROR(VLOOKUP(ROWS($E$2:E490),$A$2:$B$214,2,0),"")</f>
        <v/>
      </c>
    </row>
    <row r="491" spans="1:5" x14ac:dyDescent="0.35">
      <c r="A491" s="210">
        <f>IF(ISNUMBER(SEARCH('LARP Summary'!$E$3,B491)),MAX(A$1:$B490)+1,0)</f>
        <v>0</v>
      </c>
      <c r="B491" s="214"/>
      <c r="E491" s="212" t="str">
        <f>IFERROR(VLOOKUP(ROWS($E$2:E491),$A$2:$B$214,2,0),"")</f>
        <v/>
      </c>
    </row>
    <row r="492" spans="1:5" x14ac:dyDescent="0.35">
      <c r="A492" s="210">
        <f>IF(ISNUMBER(SEARCH('LARP Summary'!$E$3,B492)),MAX(A$1:$B491)+1,0)</f>
        <v>0</v>
      </c>
      <c r="B492" s="214"/>
      <c r="E492" s="212" t="str">
        <f>IFERROR(VLOOKUP(ROWS($E$2:E492),$A$2:$B$214,2,0),"")</f>
        <v/>
      </c>
    </row>
    <row r="493" spans="1:5" x14ac:dyDescent="0.35">
      <c r="A493" s="210">
        <f>IF(ISNUMBER(SEARCH('LARP Summary'!$E$3,B493)),MAX(A$1:$B492)+1,0)</f>
        <v>0</v>
      </c>
      <c r="B493" s="214"/>
      <c r="E493" s="212" t="str">
        <f>IFERROR(VLOOKUP(ROWS($E$2:E493),$A$2:$B$214,2,0),"")</f>
        <v/>
      </c>
    </row>
    <row r="494" spans="1:5" x14ac:dyDescent="0.35">
      <c r="A494" s="210">
        <f>IF(ISNUMBER(SEARCH('LARP Summary'!$E$3,B494)),MAX(A$1:$B493)+1,0)</f>
        <v>0</v>
      </c>
      <c r="B494" s="214"/>
      <c r="E494" s="212" t="str">
        <f>IFERROR(VLOOKUP(ROWS($E$2:E494),$A$2:$B$214,2,0),"")</f>
        <v/>
      </c>
    </row>
    <row r="495" spans="1:5" x14ac:dyDescent="0.35">
      <c r="A495" s="210">
        <f>IF(ISNUMBER(SEARCH('LARP Summary'!$E$3,B495)),MAX(A$1:$B494)+1,0)</f>
        <v>0</v>
      </c>
      <c r="B495" s="214"/>
      <c r="E495" s="212" t="str">
        <f>IFERROR(VLOOKUP(ROWS($E$2:E495),$A$2:$B$214,2,0),"")</f>
        <v/>
      </c>
    </row>
    <row r="496" spans="1:5" x14ac:dyDescent="0.35">
      <c r="A496" s="210">
        <f>IF(ISNUMBER(SEARCH('LARP Summary'!$E$3,B496)),MAX(A$1:$B495)+1,0)</f>
        <v>0</v>
      </c>
      <c r="B496" s="214"/>
      <c r="E496" s="212" t="str">
        <f>IFERROR(VLOOKUP(ROWS($E$2:E496),$A$2:$B$214,2,0),"")</f>
        <v/>
      </c>
    </row>
    <row r="497" spans="1:5" x14ac:dyDescent="0.35">
      <c r="A497" s="210">
        <f>IF(ISNUMBER(SEARCH('LARP Summary'!$E$3,B497)),MAX(A$1:$B496)+1,0)</f>
        <v>0</v>
      </c>
      <c r="B497" s="214"/>
      <c r="E497" s="212" t="str">
        <f>IFERROR(VLOOKUP(ROWS($E$2:E497),$A$2:$B$214,2,0),"")</f>
        <v/>
      </c>
    </row>
    <row r="498" spans="1:5" x14ac:dyDescent="0.35">
      <c r="A498" s="210">
        <f>IF(ISNUMBER(SEARCH('LARP Summary'!$E$3,B498)),MAX(A$1:$B497)+1,0)</f>
        <v>0</v>
      </c>
      <c r="B498" s="214"/>
      <c r="E498" s="212" t="str">
        <f>IFERROR(VLOOKUP(ROWS($E$2:E498),$A$2:$B$214,2,0),"")</f>
        <v/>
      </c>
    </row>
    <row r="499" spans="1:5" x14ac:dyDescent="0.35">
      <c r="A499" s="210">
        <f>IF(ISNUMBER(SEARCH('LARP Summary'!$E$3,B499)),MAX(A$1:$B498)+1,0)</f>
        <v>0</v>
      </c>
      <c r="B499" s="214"/>
      <c r="E499" s="212" t="str">
        <f>IFERROR(VLOOKUP(ROWS($E$2:E499),$A$2:$B$214,2,0),"")</f>
        <v/>
      </c>
    </row>
    <row r="500" spans="1:5" x14ac:dyDescent="0.35">
      <c r="A500" s="210">
        <f>IF(ISNUMBER(SEARCH('LARP Summary'!$E$3,B500)),MAX(A$1:$B499)+1,0)</f>
        <v>0</v>
      </c>
      <c r="B500" s="214"/>
      <c r="E500" s="212" t="str">
        <f>IFERROR(VLOOKUP(ROWS($E$2:E500),$A$2:$B$214,2,0),"")</f>
        <v/>
      </c>
    </row>
    <row r="501" spans="1:5" x14ac:dyDescent="0.35">
      <c r="A501" s="210">
        <f>IF(ISNUMBER(SEARCH('LARP Summary'!$E$3,B501)),MAX(A$1:$B500)+1,0)</f>
        <v>0</v>
      </c>
      <c r="B501" s="214"/>
      <c r="E501" s="212" t="str">
        <f>IFERROR(VLOOKUP(ROWS($E$2:E501),$A$2:$B$214,2,0),"")</f>
        <v/>
      </c>
    </row>
    <row r="502" spans="1:5" x14ac:dyDescent="0.35">
      <c r="A502" s="210">
        <f>IF(ISNUMBER(SEARCH('LARP Summary'!$E$3,B502)),MAX(A$1:$B501)+1,0)</f>
        <v>0</v>
      </c>
      <c r="B502" s="214"/>
      <c r="E502" s="212" t="str">
        <f>IFERROR(VLOOKUP(ROWS($E$2:E502),$A$2:$B$214,2,0),"")</f>
        <v/>
      </c>
    </row>
    <row r="503" spans="1:5" x14ac:dyDescent="0.35">
      <c r="A503" s="210">
        <f>IF(ISNUMBER(SEARCH('LARP Summary'!$E$3,B503)),MAX(A$1:$B502)+1,0)</f>
        <v>0</v>
      </c>
      <c r="B503" s="214"/>
      <c r="E503" s="212" t="str">
        <f>IFERROR(VLOOKUP(ROWS($E$2:E503),$A$2:$B$214,2,0),"")</f>
        <v/>
      </c>
    </row>
    <row r="504" spans="1:5" x14ac:dyDescent="0.35">
      <c r="A504" s="210">
        <f>IF(ISNUMBER(SEARCH('LARP Summary'!$E$3,B504)),MAX(A$1:$B503)+1,0)</f>
        <v>0</v>
      </c>
      <c r="B504" s="214"/>
      <c r="E504" s="212" t="str">
        <f>IFERROR(VLOOKUP(ROWS($E$2:E504),$A$2:$B$214,2,0),"")</f>
        <v/>
      </c>
    </row>
    <row r="505" spans="1:5" x14ac:dyDescent="0.35">
      <c r="A505" s="210">
        <f>IF(ISNUMBER(SEARCH('LARP Summary'!$E$3,B505)),MAX(A$1:$B504)+1,0)</f>
        <v>0</v>
      </c>
      <c r="B505" s="214"/>
      <c r="E505" s="212" t="str">
        <f>IFERROR(VLOOKUP(ROWS($E$2:E505),$A$2:$B$214,2,0),"")</f>
        <v/>
      </c>
    </row>
    <row r="506" spans="1:5" x14ac:dyDescent="0.35">
      <c r="A506" s="210">
        <f>IF(ISNUMBER(SEARCH('LARP Summary'!$E$3,B506)),MAX(A$1:$B505)+1,0)</f>
        <v>0</v>
      </c>
      <c r="B506" s="214"/>
      <c r="E506" s="212" t="str">
        <f>IFERROR(VLOOKUP(ROWS($E$2:E506),$A$2:$B$214,2,0),"")</f>
        <v/>
      </c>
    </row>
    <row r="507" spans="1:5" x14ac:dyDescent="0.35">
      <c r="A507" s="210">
        <f>IF(ISNUMBER(SEARCH('LARP Summary'!$E$3,B507)),MAX(A$1:$B506)+1,0)</f>
        <v>0</v>
      </c>
      <c r="B507" s="214"/>
      <c r="E507" s="212" t="str">
        <f>IFERROR(VLOOKUP(ROWS($E$2:E507),$A$2:$B$214,2,0),"")</f>
        <v/>
      </c>
    </row>
    <row r="508" spans="1:5" x14ac:dyDescent="0.35">
      <c r="A508" s="210">
        <f>IF(ISNUMBER(SEARCH('LARP Summary'!$E$3,B508)),MAX(A$1:$B507)+1,0)</f>
        <v>0</v>
      </c>
      <c r="B508" s="214"/>
      <c r="E508" s="212" t="str">
        <f>IFERROR(VLOOKUP(ROWS($E$2:E508),$A$2:$B$214,2,0),"")</f>
        <v/>
      </c>
    </row>
    <row r="509" spans="1:5" x14ac:dyDescent="0.35">
      <c r="A509" s="210">
        <f>IF(ISNUMBER(SEARCH('LARP Summary'!$E$3,B509)),MAX(A$1:$B508)+1,0)</f>
        <v>0</v>
      </c>
      <c r="B509" s="214"/>
      <c r="E509" s="212" t="str">
        <f>IFERROR(VLOOKUP(ROWS($E$2:E509),$A$2:$B$214,2,0),"")</f>
        <v/>
      </c>
    </row>
    <row r="510" spans="1:5" x14ac:dyDescent="0.35">
      <c r="A510" s="210">
        <f>IF(ISNUMBER(SEARCH('LARP Summary'!$E$3,B510)),MAX(A$1:$B509)+1,0)</f>
        <v>0</v>
      </c>
      <c r="B510" s="214"/>
      <c r="E510" s="212" t="str">
        <f>IFERROR(VLOOKUP(ROWS($E$2:E510),$A$2:$B$214,2,0),"")</f>
        <v/>
      </c>
    </row>
    <row r="511" spans="1:5" x14ac:dyDescent="0.35">
      <c r="A511" s="210">
        <f>IF(ISNUMBER(SEARCH('LARP Summary'!$E$3,B511)),MAX(A$1:$B510)+1,0)</f>
        <v>0</v>
      </c>
      <c r="B511" s="214"/>
      <c r="E511" s="212" t="str">
        <f>IFERROR(VLOOKUP(ROWS($E$2:E511),$A$2:$B$214,2,0),"")</f>
        <v/>
      </c>
    </row>
    <row r="512" spans="1:5" x14ac:dyDescent="0.35">
      <c r="A512" s="210">
        <f>IF(ISNUMBER(SEARCH('LARP Summary'!$E$3,B512)),MAX(A$1:$B511)+1,0)</f>
        <v>0</v>
      </c>
      <c r="B512" s="214"/>
      <c r="E512" s="212" t="str">
        <f>IFERROR(VLOOKUP(ROWS($E$2:E512),$A$2:$B$214,2,0),"")</f>
        <v/>
      </c>
    </row>
    <row r="513" spans="1:5" x14ac:dyDescent="0.35">
      <c r="A513" s="210">
        <f>IF(ISNUMBER(SEARCH('LARP Summary'!$E$3,B513)),MAX(A$1:$B512)+1,0)</f>
        <v>0</v>
      </c>
      <c r="B513" s="214"/>
      <c r="E513" s="212" t="str">
        <f>IFERROR(VLOOKUP(ROWS($E$2:E513),$A$2:$B$214,2,0),"")</f>
        <v/>
      </c>
    </row>
    <row r="514" spans="1:5" x14ac:dyDescent="0.35">
      <c r="A514" s="210">
        <f>IF(ISNUMBER(SEARCH('LARP Summary'!$E$3,B514)),MAX(A$1:$B513)+1,0)</f>
        <v>0</v>
      </c>
      <c r="B514" s="214"/>
      <c r="E514" s="212" t="str">
        <f>IFERROR(VLOOKUP(ROWS($E$2:E514),$A$2:$B$214,2,0),"")</f>
        <v/>
      </c>
    </row>
    <row r="515" spans="1:5" x14ac:dyDescent="0.35">
      <c r="A515" s="210">
        <f>IF(ISNUMBER(SEARCH('LARP Summary'!$E$3,B515)),MAX(A$1:$B514)+1,0)</f>
        <v>0</v>
      </c>
      <c r="B515" s="214"/>
      <c r="E515" s="212" t="str">
        <f>IFERROR(VLOOKUP(ROWS($E$2:E515),$A$2:$B$214,2,0),"")</f>
        <v/>
      </c>
    </row>
    <row r="516" spans="1:5" x14ac:dyDescent="0.35">
      <c r="A516" s="210">
        <f>IF(ISNUMBER(SEARCH('LARP Summary'!$E$3,B516)),MAX(A$1:$B515)+1,0)</f>
        <v>0</v>
      </c>
      <c r="B516" s="214"/>
      <c r="E516" s="212" t="str">
        <f>IFERROR(VLOOKUP(ROWS($E$2:E516),$A$2:$B$214,2,0),"")</f>
        <v/>
      </c>
    </row>
    <row r="517" spans="1:5" x14ac:dyDescent="0.35">
      <c r="A517" s="210">
        <f>IF(ISNUMBER(SEARCH('LARP Summary'!$E$3,B517)),MAX(A$1:$B516)+1,0)</f>
        <v>0</v>
      </c>
      <c r="B517" s="214"/>
      <c r="E517" s="212" t="str">
        <f>IFERROR(VLOOKUP(ROWS($E$2:E517),$A$2:$B$214,2,0),"")</f>
        <v/>
      </c>
    </row>
    <row r="518" spans="1:5" x14ac:dyDescent="0.35">
      <c r="A518" s="210">
        <f>IF(ISNUMBER(SEARCH('LARP Summary'!$E$3,B518)),MAX(A$1:$B517)+1,0)</f>
        <v>0</v>
      </c>
      <c r="B518" s="214"/>
      <c r="E518" s="212" t="str">
        <f>IFERROR(VLOOKUP(ROWS($E$2:E518),$A$2:$B$214,2,0),"")</f>
        <v/>
      </c>
    </row>
    <row r="519" spans="1:5" x14ac:dyDescent="0.35">
      <c r="A519" s="210">
        <f>IF(ISNUMBER(SEARCH('LARP Summary'!$E$3,B519)),MAX(A$1:$B518)+1,0)</f>
        <v>0</v>
      </c>
      <c r="B519" s="214"/>
      <c r="E519" s="212" t="str">
        <f>IFERROR(VLOOKUP(ROWS($E$2:E519),$A$2:$B$214,2,0),"")</f>
        <v/>
      </c>
    </row>
    <row r="520" spans="1:5" x14ac:dyDescent="0.35">
      <c r="A520" s="210">
        <f>IF(ISNUMBER(SEARCH('LARP Summary'!$E$3,B520)),MAX(A$1:$B519)+1,0)</f>
        <v>0</v>
      </c>
      <c r="B520" s="214"/>
      <c r="E520" s="212" t="str">
        <f>IFERROR(VLOOKUP(ROWS($E$2:E520),$A$2:$B$214,2,0),"")</f>
        <v/>
      </c>
    </row>
    <row r="521" spans="1:5" x14ac:dyDescent="0.35">
      <c r="A521" s="210">
        <f>IF(ISNUMBER(SEARCH('LARP Summary'!$E$3,B521)),MAX(A$1:$B520)+1,0)</f>
        <v>0</v>
      </c>
      <c r="B521" s="214"/>
      <c r="E521" s="212" t="str">
        <f>IFERROR(VLOOKUP(ROWS($E$2:E521),$A$2:$B$214,2,0),"")</f>
        <v/>
      </c>
    </row>
    <row r="522" spans="1:5" x14ac:dyDescent="0.35">
      <c r="A522" s="210">
        <f>IF(ISNUMBER(SEARCH('LARP Summary'!$E$3,B522)),MAX(A$1:$B521)+1,0)</f>
        <v>0</v>
      </c>
      <c r="B522" s="214"/>
      <c r="E522" s="212" t="str">
        <f>IFERROR(VLOOKUP(ROWS($E$2:E522),$A$2:$B$214,2,0),"")</f>
        <v/>
      </c>
    </row>
    <row r="523" spans="1:5" x14ac:dyDescent="0.35">
      <c r="A523" s="210">
        <f>IF(ISNUMBER(SEARCH('LARP Summary'!$E$3,B523)),MAX(A$1:$B522)+1,0)</f>
        <v>0</v>
      </c>
      <c r="B523" s="214"/>
      <c r="E523" s="212" t="str">
        <f>IFERROR(VLOOKUP(ROWS($E$2:E523),$A$2:$B$214,2,0),"")</f>
        <v/>
      </c>
    </row>
    <row r="524" spans="1:5" x14ac:dyDescent="0.35">
      <c r="A524" s="210">
        <f>IF(ISNUMBER(SEARCH('LARP Summary'!$E$3,B524)),MAX(A$1:$B523)+1,0)</f>
        <v>0</v>
      </c>
      <c r="B524" s="214"/>
      <c r="E524" s="212" t="str">
        <f>IFERROR(VLOOKUP(ROWS($E$2:E524),$A$2:$B$214,2,0),"")</f>
        <v/>
      </c>
    </row>
    <row r="525" spans="1:5" x14ac:dyDescent="0.35">
      <c r="A525" s="210">
        <f>IF(ISNUMBER(SEARCH('LARP Summary'!$E$3,B525)),MAX(A$1:$B524)+1,0)</f>
        <v>0</v>
      </c>
      <c r="B525" s="214"/>
      <c r="E525" s="212" t="str">
        <f>IFERROR(VLOOKUP(ROWS($E$2:E525),$A$2:$B$214,2,0),"")</f>
        <v/>
      </c>
    </row>
    <row r="526" spans="1:5" x14ac:dyDescent="0.35">
      <c r="A526" s="210">
        <f>IF(ISNUMBER(SEARCH('LARP Summary'!$E$3,B526)),MAX(A$1:$B525)+1,0)</f>
        <v>0</v>
      </c>
      <c r="B526" s="214"/>
      <c r="E526" s="212" t="str">
        <f>IFERROR(VLOOKUP(ROWS($E$2:E526),$A$2:$B$214,2,0),"")</f>
        <v/>
      </c>
    </row>
    <row r="527" spans="1:5" x14ac:dyDescent="0.35">
      <c r="A527" s="210">
        <f>IF(ISNUMBER(SEARCH('LARP Summary'!$E$3,B527)),MAX(A$1:$B526)+1,0)</f>
        <v>0</v>
      </c>
      <c r="B527" s="214"/>
      <c r="E527" s="212" t="str">
        <f>IFERROR(VLOOKUP(ROWS($E$2:E527),$A$2:$B$214,2,0),"")</f>
        <v/>
      </c>
    </row>
    <row r="528" spans="1:5" x14ac:dyDescent="0.35">
      <c r="A528" s="210">
        <f>IF(ISNUMBER(SEARCH('LARP Summary'!$E$3,B528)),MAX(A$1:$B527)+1,0)</f>
        <v>0</v>
      </c>
      <c r="B528" s="214"/>
      <c r="E528" s="212" t="str">
        <f>IFERROR(VLOOKUP(ROWS($E$2:E528),$A$2:$B$214,2,0),"")</f>
        <v/>
      </c>
    </row>
    <row r="529" spans="1:5" x14ac:dyDescent="0.35">
      <c r="A529" s="210">
        <f>IF(ISNUMBER(SEARCH('LARP Summary'!$E$3,B529)),MAX(A$1:$B528)+1,0)</f>
        <v>0</v>
      </c>
      <c r="B529" s="214"/>
      <c r="E529" s="212" t="str">
        <f>IFERROR(VLOOKUP(ROWS($E$2:E529),$A$2:$B$214,2,0),"")</f>
        <v/>
      </c>
    </row>
    <row r="530" spans="1:5" x14ac:dyDescent="0.35">
      <c r="A530" s="210">
        <f>IF(ISNUMBER(SEARCH('LARP Summary'!$E$3,B530)),MAX(A$1:$B529)+1,0)</f>
        <v>0</v>
      </c>
      <c r="B530" s="214"/>
      <c r="E530" s="212" t="str">
        <f>IFERROR(VLOOKUP(ROWS($E$2:E530),$A$2:$B$214,2,0),"")</f>
        <v/>
      </c>
    </row>
    <row r="531" spans="1:5" x14ac:dyDescent="0.35">
      <c r="A531" s="210">
        <f>IF(ISNUMBER(SEARCH('LARP Summary'!$E$3,B531)),MAX(A$1:$B530)+1,0)</f>
        <v>0</v>
      </c>
      <c r="B531" s="214"/>
      <c r="E531" s="212" t="str">
        <f>IFERROR(VLOOKUP(ROWS($E$2:E531),$A$2:$B$214,2,0),"")</f>
        <v/>
      </c>
    </row>
    <row r="532" spans="1:5" x14ac:dyDescent="0.35">
      <c r="A532" s="210">
        <f>IF(ISNUMBER(SEARCH('LARP Summary'!$E$3,B532)),MAX(A$1:$B531)+1,0)</f>
        <v>0</v>
      </c>
      <c r="B532" s="214"/>
      <c r="E532" s="212" t="str">
        <f>IFERROR(VLOOKUP(ROWS($E$2:E532),$A$2:$B$214,2,0),"")</f>
        <v/>
      </c>
    </row>
    <row r="533" spans="1:5" x14ac:dyDescent="0.35">
      <c r="A533" s="210">
        <f>IF(ISNUMBER(SEARCH('LARP Summary'!$E$3,B533)),MAX(A$1:$B532)+1,0)</f>
        <v>0</v>
      </c>
      <c r="B533" s="214"/>
      <c r="E533" s="212" t="str">
        <f>IFERROR(VLOOKUP(ROWS($E$2:E533),$A$2:$B$214,2,0),"")</f>
        <v/>
      </c>
    </row>
    <row r="534" spans="1:5" x14ac:dyDescent="0.35">
      <c r="A534" s="210">
        <f>IF(ISNUMBER(SEARCH('LARP Summary'!$E$3,B534)),MAX(A$1:$B533)+1,0)</f>
        <v>0</v>
      </c>
      <c r="B534" s="214"/>
      <c r="E534" s="212" t="str">
        <f>IFERROR(VLOOKUP(ROWS($E$2:E534),$A$2:$B$214,2,0),"")</f>
        <v/>
      </c>
    </row>
    <row r="535" spans="1:5" x14ac:dyDescent="0.35">
      <c r="A535" s="210">
        <f>IF(ISNUMBER(SEARCH('LARP Summary'!$E$3,B535)),MAX(A$1:$B534)+1,0)</f>
        <v>0</v>
      </c>
      <c r="B535" s="214"/>
      <c r="E535" s="212" t="str">
        <f>IFERROR(VLOOKUP(ROWS($E$2:E535),$A$2:$B$214,2,0),"")</f>
        <v/>
      </c>
    </row>
    <row r="536" spans="1:5" x14ac:dyDescent="0.35">
      <c r="A536" s="210">
        <f>IF(ISNUMBER(SEARCH('LARP Summary'!$E$3,B536)),MAX(A$1:$B535)+1,0)</f>
        <v>0</v>
      </c>
      <c r="B536" s="214"/>
      <c r="E536" s="212" t="str">
        <f>IFERROR(VLOOKUP(ROWS($E$2:E536),$A$2:$B$214,2,0),"")</f>
        <v/>
      </c>
    </row>
    <row r="537" spans="1:5" x14ac:dyDescent="0.35">
      <c r="A537" s="210">
        <f>IF(ISNUMBER(SEARCH('LARP Summary'!$E$3,B537)),MAX(A$1:$B536)+1,0)</f>
        <v>0</v>
      </c>
      <c r="B537" s="214"/>
      <c r="E537" s="212" t="str">
        <f>IFERROR(VLOOKUP(ROWS($E$2:E537),$A$2:$B$214,2,0),"")</f>
        <v/>
      </c>
    </row>
    <row r="538" spans="1:5" x14ac:dyDescent="0.35">
      <c r="A538" s="210">
        <f>IF(ISNUMBER(SEARCH('LARP Summary'!$E$3,B538)),MAX(A$1:$B537)+1,0)</f>
        <v>0</v>
      </c>
      <c r="B538" s="214"/>
      <c r="E538" s="212" t="str">
        <f>IFERROR(VLOOKUP(ROWS($E$2:E538),$A$2:$B$214,2,0),"")</f>
        <v/>
      </c>
    </row>
    <row r="539" spans="1:5" x14ac:dyDescent="0.35">
      <c r="A539" s="210">
        <f>IF(ISNUMBER(SEARCH('LARP Summary'!$E$3,B539)),MAX(A$1:$B538)+1,0)</f>
        <v>0</v>
      </c>
      <c r="B539" s="214"/>
      <c r="E539" s="212" t="str">
        <f>IFERROR(VLOOKUP(ROWS($E$2:E539),$A$2:$B$214,2,0),"")</f>
        <v/>
      </c>
    </row>
    <row r="540" spans="1:5" x14ac:dyDescent="0.35">
      <c r="A540" s="210">
        <f>IF(ISNUMBER(SEARCH('LARP Summary'!$E$3,B540)),MAX(A$1:$B539)+1,0)</f>
        <v>0</v>
      </c>
      <c r="B540" s="214"/>
      <c r="E540" s="212" t="str">
        <f>IFERROR(VLOOKUP(ROWS($E$2:E540),$A$2:$B$214,2,0),"")</f>
        <v/>
      </c>
    </row>
    <row r="541" spans="1:5" x14ac:dyDescent="0.35">
      <c r="A541" s="210">
        <f>IF(ISNUMBER(SEARCH('LARP Summary'!$E$3,B541)),MAX(A$1:$B540)+1,0)</f>
        <v>0</v>
      </c>
      <c r="B541" s="214"/>
      <c r="E541" s="212" t="str">
        <f>IFERROR(VLOOKUP(ROWS($E$2:E541),$A$2:$B$214,2,0),"")</f>
        <v/>
      </c>
    </row>
    <row r="542" spans="1:5" x14ac:dyDescent="0.35">
      <c r="A542" s="210">
        <f>IF(ISNUMBER(SEARCH('LARP Summary'!$E$3,B542)),MAX(A$1:$B541)+1,0)</f>
        <v>0</v>
      </c>
      <c r="B542" s="214"/>
      <c r="E542" s="212" t="str">
        <f>IFERROR(VLOOKUP(ROWS($E$2:E542),$A$2:$B$214,2,0),"")</f>
        <v/>
      </c>
    </row>
    <row r="543" spans="1:5" x14ac:dyDescent="0.35">
      <c r="A543" s="210">
        <f>IF(ISNUMBER(SEARCH('LARP Summary'!$E$3,B543)),MAX(A$1:$B542)+1,0)</f>
        <v>0</v>
      </c>
      <c r="B543" s="214"/>
      <c r="E543" s="212" t="str">
        <f>IFERROR(VLOOKUP(ROWS($E$2:E543),$A$2:$B$214,2,0),"")</f>
        <v/>
      </c>
    </row>
    <row r="544" spans="1:5" x14ac:dyDescent="0.35">
      <c r="A544" s="210">
        <f>IF(ISNUMBER(SEARCH('LARP Summary'!$E$3,B544)),MAX(A$1:$B543)+1,0)</f>
        <v>0</v>
      </c>
      <c r="B544" s="214"/>
      <c r="E544" s="212" t="str">
        <f>IFERROR(VLOOKUP(ROWS($E$2:E544),$A$2:$B$214,2,0),"")</f>
        <v/>
      </c>
    </row>
    <row r="545" spans="1:5" x14ac:dyDescent="0.35">
      <c r="A545" s="210">
        <f>IF(ISNUMBER(SEARCH('LARP Summary'!$E$3,B545)),MAX(A$1:$B544)+1,0)</f>
        <v>0</v>
      </c>
      <c r="B545" s="214"/>
      <c r="E545" s="212" t="str">
        <f>IFERROR(VLOOKUP(ROWS($E$2:E545),$A$2:$B$214,2,0),"")</f>
        <v/>
      </c>
    </row>
    <row r="546" spans="1:5" x14ac:dyDescent="0.35">
      <c r="A546" s="210">
        <f>IF(ISNUMBER(SEARCH('LARP Summary'!$E$3,B546)),MAX(A$1:$B545)+1,0)</f>
        <v>0</v>
      </c>
      <c r="B546" s="214"/>
      <c r="E546" s="212" t="str">
        <f>IFERROR(VLOOKUP(ROWS($E$2:E546),$A$2:$B$214,2,0),"")</f>
        <v/>
      </c>
    </row>
    <row r="547" spans="1:5" x14ac:dyDescent="0.35">
      <c r="A547" s="210">
        <f>IF(ISNUMBER(SEARCH('LARP Summary'!$E$3,B547)),MAX(A$1:$B546)+1,0)</f>
        <v>0</v>
      </c>
      <c r="B547" s="214"/>
      <c r="E547" s="212" t="str">
        <f>IFERROR(VLOOKUP(ROWS($E$2:E547),$A$2:$B$214,2,0),"")</f>
        <v/>
      </c>
    </row>
    <row r="548" spans="1:5" x14ac:dyDescent="0.35">
      <c r="A548" s="210">
        <f>IF(ISNUMBER(SEARCH('LARP Summary'!$E$3,B548)),MAX(A$1:$B547)+1,0)</f>
        <v>0</v>
      </c>
      <c r="B548" s="214"/>
      <c r="E548" s="212" t="str">
        <f>IFERROR(VLOOKUP(ROWS($E$2:E548),$A$2:$B$214,2,0),"")</f>
        <v/>
      </c>
    </row>
    <row r="549" spans="1:5" x14ac:dyDescent="0.35">
      <c r="A549" s="210">
        <f>IF(ISNUMBER(SEARCH('LARP Summary'!$E$3,B549)),MAX(A$1:$B548)+1,0)</f>
        <v>0</v>
      </c>
      <c r="B549" s="214"/>
      <c r="E549" s="212" t="str">
        <f>IFERROR(VLOOKUP(ROWS($E$2:E549),$A$2:$B$214,2,0),"")</f>
        <v/>
      </c>
    </row>
    <row r="550" spans="1:5" x14ac:dyDescent="0.35">
      <c r="A550" s="210">
        <f>IF(ISNUMBER(SEARCH('LARP Summary'!$E$3,B550)),MAX(A$1:$B549)+1,0)</f>
        <v>0</v>
      </c>
      <c r="B550" s="214"/>
      <c r="E550" s="212" t="str">
        <f>IFERROR(VLOOKUP(ROWS($E$2:E550),$A$2:$B$214,2,0),"")</f>
        <v/>
      </c>
    </row>
    <row r="551" spans="1:5" x14ac:dyDescent="0.35">
      <c r="A551" s="210">
        <f>IF(ISNUMBER(SEARCH('LARP Summary'!$E$3,B551)),MAX(A$1:$B550)+1,0)</f>
        <v>0</v>
      </c>
      <c r="B551" s="214"/>
      <c r="E551" s="212" t="str">
        <f>IFERROR(VLOOKUP(ROWS($E$2:E551),$A$2:$B$214,2,0),"")</f>
        <v/>
      </c>
    </row>
    <row r="552" spans="1:5" x14ac:dyDescent="0.35">
      <c r="A552" s="210">
        <f>IF(ISNUMBER(SEARCH('LARP Summary'!$E$3,B552)),MAX(A$1:$B551)+1,0)</f>
        <v>0</v>
      </c>
      <c r="B552" s="214"/>
      <c r="E552" s="212" t="str">
        <f>IFERROR(VLOOKUP(ROWS($E$2:E552),$A$2:$B$214,2,0),"")</f>
        <v/>
      </c>
    </row>
    <row r="553" spans="1:5" x14ac:dyDescent="0.35">
      <c r="A553" s="210">
        <f>IF(ISNUMBER(SEARCH('LARP Summary'!$E$3,B553)),MAX(A$1:$B552)+1,0)</f>
        <v>0</v>
      </c>
      <c r="B553" s="214"/>
      <c r="E553" s="212" t="str">
        <f>IFERROR(VLOOKUP(ROWS($E$2:E553),$A$2:$B$214,2,0),"")</f>
        <v/>
      </c>
    </row>
    <row r="554" spans="1:5" x14ac:dyDescent="0.35">
      <c r="A554" s="210">
        <f>IF(ISNUMBER(SEARCH('LARP Summary'!$E$3,B554)),MAX(A$1:$B553)+1,0)</f>
        <v>0</v>
      </c>
      <c r="B554" s="214"/>
      <c r="E554" s="212" t="str">
        <f>IFERROR(VLOOKUP(ROWS($E$2:E554),$A$2:$B$214,2,0),"")</f>
        <v/>
      </c>
    </row>
    <row r="555" spans="1:5" x14ac:dyDescent="0.35">
      <c r="A555" s="210">
        <f>IF(ISNUMBER(SEARCH('LARP Summary'!$E$3,B555)),MAX(A$1:$B554)+1,0)</f>
        <v>0</v>
      </c>
      <c r="B555" s="214"/>
      <c r="E555" s="212" t="str">
        <f>IFERROR(VLOOKUP(ROWS($E$2:E555),$A$2:$B$214,2,0),"")</f>
        <v/>
      </c>
    </row>
    <row r="556" spans="1:5" x14ac:dyDescent="0.35">
      <c r="A556" s="210">
        <f>IF(ISNUMBER(SEARCH('LARP Summary'!$E$3,B556)),MAX(A$1:$B555)+1,0)</f>
        <v>0</v>
      </c>
      <c r="B556" s="214"/>
      <c r="E556" s="212" t="str">
        <f>IFERROR(VLOOKUP(ROWS($E$2:E556),$A$2:$B$214,2,0),"")</f>
        <v/>
      </c>
    </row>
    <row r="557" spans="1:5" x14ac:dyDescent="0.35">
      <c r="A557" s="210">
        <f>IF(ISNUMBER(SEARCH('LARP Summary'!$E$3,B557)),MAX(A$1:$B556)+1,0)</f>
        <v>0</v>
      </c>
      <c r="B557" s="214"/>
      <c r="E557" s="212" t="str">
        <f>IFERROR(VLOOKUP(ROWS($E$2:E557),$A$2:$B$214,2,0),"")</f>
        <v/>
      </c>
    </row>
    <row r="558" spans="1:5" x14ac:dyDescent="0.35">
      <c r="A558" s="210">
        <f>IF(ISNUMBER(SEARCH('LARP Summary'!$E$3,B558)),MAX(A$1:$B557)+1,0)</f>
        <v>0</v>
      </c>
      <c r="B558" s="214"/>
      <c r="E558" s="212" t="str">
        <f>IFERROR(VLOOKUP(ROWS($E$2:E558),$A$2:$B$214,2,0),"")</f>
        <v/>
      </c>
    </row>
    <row r="559" spans="1:5" x14ac:dyDescent="0.35">
      <c r="A559" s="210">
        <f>IF(ISNUMBER(SEARCH('LARP Summary'!$E$3,B559)),MAX(A$1:$B558)+1,0)</f>
        <v>0</v>
      </c>
      <c r="B559" s="214"/>
      <c r="E559" s="212" t="str">
        <f>IFERROR(VLOOKUP(ROWS($E$2:E559),$A$2:$B$214,2,0),"")</f>
        <v/>
      </c>
    </row>
    <row r="560" spans="1:5" x14ac:dyDescent="0.35">
      <c r="A560" s="210">
        <f>IF(ISNUMBER(SEARCH('LARP Summary'!$E$3,B560)),MAX(A$1:$B559)+1,0)</f>
        <v>0</v>
      </c>
      <c r="B560" s="214"/>
      <c r="E560" s="212" t="str">
        <f>IFERROR(VLOOKUP(ROWS($E$2:E560),$A$2:$B$214,2,0),"")</f>
        <v/>
      </c>
    </row>
    <row r="561" spans="1:5" x14ac:dyDescent="0.35">
      <c r="A561" s="210">
        <f>IF(ISNUMBER(SEARCH('LARP Summary'!$E$3,B561)),MAX(A$1:$B560)+1,0)</f>
        <v>0</v>
      </c>
      <c r="B561" s="214"/>
      <c r="E561" s="212" t="str">
        <f>IFERROR(VLOOKUP(ROWS($E$2:E561),$A$2:$B$214,2,0),"")</f>
        <v/>
      </c>
    </row>
    <row r="562" spans="1:5" x14ac:dyDescent="0.35">
      <c r="A562" s="210">
        <f>IF(ISNUMBER(SEARCH('LARP Summary'!$E$3,B562)),MAX(A$1:$B561)+1,0)</f>
        <v>0</v>
      </c>
      <c r="B562" s="214"/>
      <c r="E562" s="212" t="str">
        <f>IFERROR(VLOOKUP(ROWS($E$2:E562),$A$2:$B$214,2,0),"")</f>
        <v/>
      </c>
    </row>
    <row r="563" spans="1:5" x14ac:dyDescent="0.35">
      <c r="A563" s="210">
        <f>IF(ISNUMBER(SEARCH('LARP Summary'!$E$3,B563)),MAX(A$1:$B562)+1,0)</f>
        <v>0</v>
      </c>
      <c r="B563" s="214"/>
      <c r="E563" s="212" t="str">
        <f>IFERROR(VLOOKUP(ROWS($E$2:E563),$A$2:$B$214,2,0),"")</f>
        <v/>
      </c>
    </row>
    <row r="564" spans="1:5" x14ac:dyDescent="0.35">
      <c r="A564" s="210">
        <f>IF(ISNUMBER(SEARCH('LARP Summary'!$E$3,B564)),MAX(A$1:$B563)+1,0)</f>
        <v>0</v>
      </c>
      <c r="B564" s="214"/>
      <c r="E564" s="212" t="str">
        <f>IFERROR(VLOOKUP(ROWS($E$2:E564),$A$2:$B$214,2,0),"")</f>
        <v/>
      </c>
    </row>
    <row r="565" spans="1:5" x14ac:dyDescent="0.35">
      <c r="A565" s="210">
        <f>IF(ISNUMBER(SEARCH('LARP Summary'!$E$3,B565)),MAX(A$1:$B564)+1,0)</f>
        <v>0</v>
      </c>
      <c r="B565" s="214"/>
      <c r="E565" s="212" t="str">
        <f>IFERROR(VLOOKUP(ROWS($E$2:E565),$A$2:$B$214,2,0),"")</f>
        <v/>
      </c>
    </row>
    <row r="566" spans="1:5" x14ac:dyDescent="0.35">
      <c r="A566" s="210">
        <f>IF(ISNUMBER(SEARCH('LARP Summary'!$E$3,B566)),MAX(A$1:$B565)+1,0)</f>
        <v>0</v>
      </c>
      <c r="B566" s="214"/>
      <c r="E566" s="212" t="str">
        <f>IFERROR(VLOOKUP(ROWS($E$2:E566),$A$2:$B$214,2,0),"")</f>
        <v/>
      </c>
    </row>
    <row r="567" spans="1:5" x14ac:dyDescent="0.35">
      <c r="A567" s="210">
        <f>IF(ISNUMBER(SEARCH('LARP Summary'!$E$3,B567)),MAX(A$1:$B566)+1,0)</f>
        <v>0</v>
      </c>
      <c r="B567" s="214"/>
      <c r="E567" s="212" t="str">
        <f>IFERROR(VLOOKUP(ROWS($E$2:E567),$A$2:$B$214,2,0),"")</f>
        <v/>
      </c>
    </row>
    <row r="568" spans="1:5" x14ac:dyDescent="0.35">
      <c r="A568" s="210">
        <f>IF(ISNUMBER(SEARCH('LARP Summary'!$E$3,B568)),MAX(A$1:$B567)+1,0)</f>
        <v>0</v>
      </c>
      <c r="B568" s="214"/>
      <c r="E568" s="212" t="str">
        <f>IFERROR(VLOOKUP(ROWS($E$2:E568),$A$2:$B$214,2,0),"")</f>
        <v/>
      </c>
    </row>
    <row r="569" spans="1:5" x14ac:dyDescent="0.35">
      <c r="A569" s="210">
        <f>IF(ISNUMBER(SEARCH('LARP Summary'!$E$3,B569)),MAX(A$1:$B568)+1,0)</f>
        <v>0</v>
      </c>
      <c r="B569" s="214"/>
      <c r="E569" s="212" t="str">
        <f>IFERROR(VLOOKUP(ROWS($E$2:E569),$A$2:$B$214,2,0),"")</f>
        <v/>
      </c>
    </row>
    <row r="570" spans="1:5" x14ac:dyDescent="0.35">
      <c r="A570" s="210">
        <f>IF(ISNUMBER(SEARCH('LARP Summary'!$E$3,B570)),MAX(A$1:$B569)+1,0)</f>
        <v>0</v>
      </c>
      <c r="B570" s="214"/>
      <c r="E570" s="212" t="str">
        <f>IFERROR(VLOOKUP(ROWS($E$2:E570),$A$2:$B$214,2,0),"")</f>
        <v/>
      </c>
    </row>
    <row r="571" spans="1:5" x14ac:dyDescent="0.35">
      <c r="A571" s="210">
        <f>IF(ISNUMBER(SEARCH('LARP Summary'!$E$3,B571)),MAX(A$1:$B570)+1,0)</f>
        <v>0</v>
      </c>
      <c r="B571" s="214"/>
      <c r="E571" s="212" t="str">
        <f>IFERROR(VLOOKUP(ROWS($E$2:E571),$A$2:$B$214,2,0),"")</f>
        <v/>
      </c>
    </row>
    <row r="572" spans="1:5" x14ac:dyDescent="0.35">
      <c r="A572" s="210">
        <f>IF(ISNUMBER(SEARCH('LARP Summary'!$E$3,B572)),MAX(A$1:$B571)+1,0)</f>
        <v>0</v>
      </c>
      <c r="B572" s="214"/>
      <c r="E572" s="212" t="str">
        <f>IFERROR(VLOOKUP(ROWS($E$2:E572),$A$2:$B$214,2,0),"")</f>
        <v/>
      </c>
    </row>
    <row r="573" spans="1:5" x14ac:dyDescent="0.35">
      <c r="A573" s="210">
        <f>IF(ISNUMBER(SEARCH('LARP Summary'!$E$3,B573)),MAX(A$1:$B572)+1,0)</f>
        <v>0</v>
      </c>
      <c r="B573" s="214"/>
      <c r="E573" s="212" t="str">
        <f>IFERROR(VLOOKUP(ROWS($E$2:E573),$A$2:$B$214,2,0),"")</f>
        <v/>
      </c>
    </row>
    <row r="574" spans="1:5" x14ac:dyDescent="0.35">
      <c r="A574" s="210">
        <f>IF(ISNUMBER(SEARCH('LARP Summary'!$E$3,B574)),MAX(A$1:$B573)+1,0)</f>
        <v>0</v>
      </c>
      <c r="B574" s="214"/>
      <c r="E574" s="212" t="str">
        <f>IFERROR(VLOOKUP(ROWS($E$2:E574),$A$2:$B$214,2,0),"")</f>
        <v/>
      </c>
    </row>
    <row r="575" spans="1:5" x14ac:dyDescent="0.35">
      <c r="A575" s="210">
        <f>IF(ISNUMBER(SEARCH('LARP Summary'!$E$3,B575)),MAX(A$1:$B574)+1,0)</f>
        <v>0</v>
      </c>
      <c r="B575" s="214"/>
      <c r="E575" s="212" t="str">
        <f>IFERROR(VLOOKUP(ROWS($E$2:E575),$A$2:$B$214,2,0),"")</f>
        <v/>
      </c>
    </row>
    <row r="576" spans="1:5" x14ac:dyDescent="0.35">
      <c r="A576" s="210">
        <f>IF(ISNUMBER(SEARCH('LARP Summary'!$E$3,B576)),MAX(A$1:$B575)+1,0)</f>
        <v>0</v>
      </c>
      <c r="B576" s="214"/>
      <c r="E576" s="212" t="str">
        <f>IFERROR(VLOOKUP(ROWS($E$2:E576),$A$2:$B$214,2,0),"")</f>
        <v/>
      </c>
    </row>
    <row r="577" spans="1:5" x14ac:dyDescent="0.35">
      <c r="A577" s="210">
        <f>IF(ISNUMBER(SEARCH('LARP Summary'!$E$3,B577)),MAX(A$1:$B576)+1,0)</f>
        <v>0</v>
      </c>
      <c r="B577" s="214"/>
      <c r="E577" s="212" t="str">
        <f>IFERROR(VLOOKUP(ROWS($E$2:E577),$A$2:$B$214,2,0),"")</f>
        <v/>
      </c>
    </row>
    <row r="578" spans="1:5" x14ac:dyDescent="0.35">
      <c r="A578" s="210">
        <f>IF(ISNUMBER(SEARCH('LARP Summary'!$E$3,B578)),MAX(A$1:$B577)+1,0)</f>
        <v>0</v>
      </c>
      <c r="B578" s="214"/>
      <c r="E578" s="212" t="str">
        <f>IFERROR(VLOOKUP(ROWS($E$2:E578),$A$2:$B$214,2,0),"")</f>
        <v/>
      </c>
    </row>
    <row r="579" spans="1:5" x14ac:dyDescent="0.35">
      <c r="A579" s="210">
        <f>IF(ISNUMBER(SEARCH('LARP Summary'!$E$3,B579)),MAX(A$1:$B578)+1,0)</f>
        <v>0</v>
      </c>
      <c r="B579" s="214"/>
      <c r="E579" s="212" t="str">
        <f>IFERROR(VLOOKUP(ROWS($E$2:E579),$A$2:$B$214,2,0),"")</f>
        <v/>
      </c>
    </row>
    <row r="580" spans="1:5" x14ac:dyDescent="0.35">
      <c r="A580" s="210">
        <f>IF(ISNUMBER(SEARCH('LARP Summary'!$E$3,B580)),MAX(A$1:$B579)+1,0)</f>
        <v>0</v>
      </c>
      <c r="B580" s="214"/>
      <c r="E580" s="212" t="str">
        <f>IFERROR(VLOOKUP(ROWS($E$2:E580),$A$2:$B$214,2,0),"")</f>
        <v/>
      </c>
    </row>
    <row r="581" spans="1:5" x14ac:dyDescent="0.35">
      <c r="A581" s="210">
        <f>IF(ISNUMBER(SEARCH('LARP Summary'!$E$3,B581)),MAX(A$1:$B580)+1,0)</f>
        <v>0</v>
      </c>
      <c r="B581" s="214"/>
      <c r="E581" s="212" t="str">
        <f>IFERROR(VLOOKUP(ROWS($E$2:E581),$A$2:$B$214,2,0),"")</f>
        <v/>
      </c>
    </row>
    <row r="582" spans="1:5" x14ac:dyDescent="0.35">
      <c r="A582" s="210">
        <f>IF(ISNUMBER(SEARCH('LARP Summary'!$E$3,B582)),MAX(A$1:$B581)+1,0)</f>
        <v>0</v>
      </c>
      <c r="B582" s="214"/>
      <c r="E582" s="212" t="str">
        <f>IFERROR(VLOOKUP(ROWS($E$2:E582),$A$2:$B$214,2,0),"")</f>
        <v/>
      </c>
    </row>
    <row r="583" spans="1:5" x14ac:dyDescent="0.35">
      <c r="A583" s="210">
        <f>IF(ISNUMBER(SEARCH('LARP Summary'!$E$3,B583)),MAX(A$1:$B582)+1,0)</f>
        <v>0</v>
      </c>
      <c r="B583" s="214"/>
      <c r="E583" s="212" t="str">
        <f>IFERROR(VLOOKUP(ROWS($E$2:E583),$A$2:$B$214,2,0),"")</f>
        <v/>
      </c>
    </row>
    <row r="584" spans="1:5" x14ac:dyDescent="0.35">
      <c r="A584" s="210">
        <f>IF(ISNUMBER(SEARCH('LARP Summary'!$E$3,B584)),MAX(A$1:$B583)+1,0)</f>
        <v>0</v>
      </c>
      <c r="B584" s="214"/>
      <c r="E584" s="212" t="str">
        <f>IFERROR(VLOOKUP(ROWS($E$2:E584),$A$2:$B$214,2,0),"")</f>
        <v/>
      </c>
    </row>
    <row r="585" spans="1:5" x14ac:dyDescent="0.35">
      <c r="A585" s="210">
        <f>IF(ISNUMBER(SEARCH('LARP Summary'!$E$3,B585)),MAX(A$1:$B584)+1,0)</f>
        <v>0</v>
      </c>
      <c r="B585" s="214"/>
      <c r="E585" s="212" t="str">
        <f>IFERROR(VLOOKUP(ROWS($E$2:E585),$A$2:$B$214,2,0),"")</f>
        <v/>
      </c>
    </row>
    <row r="586" spans="1:5" x14ac:dyDescent="0.35">
      <c r="A586" s="210">
        <f>IF(ISNUMBER(SEARCH('LARP Summary'!$E$3,B586)),MAX(A$1:$B585)+1,0)</f>
        <v>0</v>
      </c>
      <c r="B586" s="214"/>
      <c r="E586" s="212" t="str">
        <f>IFERROR(VLOOKUP(ROWS($E$2:E586),$A$2:$B$214,2,0),"")</f>
        <v/>
      </c>
    </row>
    <row r="587" spans="1:5" x14ac:dyDescent="0.35">
      <c r="A587" s="210">
        <f>IF(ISNUMBER(SEARCH('LARP Summary'!$E$3,B587)),MAX(A$1:$B586)+1,0)</f>
        <v>0</v>
      </c>
      <c r="B587" s="214"/>
      <c r="E587" s="212" t="str">
        <f>IFERROR(VLOOKUP(ROWS($E$2:E587),$A$2:$B$214,2,0),"")</f>
        <v/>
      </c>
    </row>
    <row r="588" spans="1:5" x14ac:dyDescent="0.35">
      <c r="A588" s="210">
        <f>IF(ISNUMBER(SEARCH('LARP Summary'!$E$3,B588)),MAX(A$1:$B587)+1,0)</f>
        <v>0</v>
      </c>
      <c r="B588" s="214"/>
      <c r="E588" s="212" t="str">
        <f>IFERROR(VLOOKUP(ROWS($E$2:E588),$A$2:$B$214,2,0),"")</f>
        <v/>
      </c>
    </row>
    <row r="589" spans="1:5" x14ac:dyDescent="0.35">
      <c r="A589" s="210">
        <f>IF(ISNUMBER(SEARCH('LARP Summary'!$E$3,B589)),MAX(A$1:$B588)+1,0)</f>
        <v>0</v>
      </c>
      <c r="B589" s="214"/>
      <c r="E589" s="212" t="str">
        <f>IFERROR(VLOOKUP(ROWS($E$2:E589),$A$2:$B$214,2,0),"")</f>
        <v/>
      </c>
    </row>
    <row r="590" spans="1:5" x14ac:dyDescent="0.35">
      <c r="A590" s="210">
        <f>IF(ISNUMBER(SEARCH('LARP Summary'!$E$3,B590)),MAX(A$1:$B589)+1,0)</f>
        <v>0</v>
      </c>
      <c r="B590" s="214"/>
      <c r="E590" s="212" t="str">
        <f>IFERROR(VLOOKUP(ROWS($E$2:E590),$A$2:$B$214,2,0),"")</f>
        <v/>
      </c>
    </row>
    <row r="591" spans="1:5" x14ac:dyDescent="0.35">
      <c r="A591" s="210">
        <f>IF(ISNUMBER(SEARCH('LARP Summary'!$E$3,B591)),MAX(A$1:$B590)+1,0)</f>
        <v>0</v>
      </c>
      <c r="B591" s="214"/>
      <c r="E591" s="212" t="str">
        <f>IFERROR(VLOOKUP(ROWS($E$2:E591),$A$2:$B$214,2,0),"")</f>
        <v/>
      </c>
    </row>
    <row r="592" spans="1:5" x14ac:dyDescent="0.35">
      <c r="A592" s="210">
        <f>IF(ISNUMBER(SEARCH('LARP Summary'!$E$3,B592)),MAX(A$1:$B591)+1,0)</f>
        <v>0</v>
      </c>
      <c r="B592" s="214"/>
      <c r="E592" s="212" t="str">
        <f>IFERROR(VLOOKUP(ROWS($E$2:E592),$A$2:$B$214,2,0),"")</f>
        <v/>
      </c>
    </row>
    <row r="593" spans="1:5" x14ac:dyDescent="0.35">
      <c r="A593" s="210">
        <f>IF(ISNUMBER(SEARCH('LARP Summary'!$E$3,B593)),MAX(A$1:$B592)+1,0)</f>
        <v>0</v>
      </c>
      <c r="B593" s="214"/>
      <c r="E593" s="212" t="str">
        <f>IFERROR(VLOOKUP(ROWS($E$2:E593),$A$2:$B$214,2,0),"")</f>
        <v/>
      </c>
    </row>
    <row r="594" spans="1:5" x14ac:dyDescent="0.35">
      <c r="A594" s="210">
        <f>IF(ISNUMBER(SEARCH('LARP Summary'!$E$3,B594)),MAX(A$1:$B593)+1,0)</f>
        <v>0</v>
      </c>
      <c r="B594" s="214"/>
      <c r="E594" s="212" t="str">
        <f>IFERROR(VLOOKUP(ROWS($E$2:E594),$A$2:$B$214,2,0),"")</f>
        <v/>
      </c>
    </row>
    <row r="595" spans="1:5" x14ac:dyDescent="0.35">
      <c r="A595" s="210">
        <f>IF(ISNUMBER(SEARCH('LARP Summary'!$E$3,B595)),MAX(A$1:$B594)+1,0)</f>
        <v>0</v>
      </c>
      <c r="B595" s="214"/>
      <c r="E595" s="212" t="str">
        <f>IFERROR(VLOOKUP(ROWS($E$2:E595),$A$2:$B$214,2,0),"")</f>
        <v/>
      </c>
    </row>
    <row r="596" spans="1:5" x14ac:dyDescent="0.35">
      <c r="A596" s="210">
        <f>IF(ISNUMBER(SEARCH('LARP Summary'!$E$3,B596)),MAX(A$1:$B595)+1,0)</f>
        <v>0</v>
      </c>
      <c r="B596" s="214"/>
      <c r="E596" s="212" t="str">
        <f>IFERROR(VLOOKUP(ROWS($E$2:E596),$A$2:$B$214,2,0),"")</f>
        <v/>
      </c>
    </row>
    <row r="597" spans="1:5" x14ac:dyDescent="0.35">
      <c r="A597" s="210">
        <f>IF(ISNUMBER(SEARCH('LARP Summary'!$E$3,B597)),MAX(A$1:$B596)+1,0)</f>
        <v>0</v>
      </c>
      <c r="B597" s="214"/>
      <c r="E597" s="212" t="str">
        <f>IFERROR(VLOOKUP(ROWS($E$2:E597),$A$2:$B$214,2,0),"")</f>
        <v/>
      </c>
    </row>
    <row r="598" spans="1:5" x14ac:dyDescent="0.35">
      <c r="A598" s="210">
        <f>IF(ISNUMBER(SEARCH('LARP Summary'!$E$3,B598)),MAX(A$1:$B597)+1,0)</f>
        <v>0</v>
      </c>
      <c r="B598" s="214"/>
      <c r="E598" s="212" t="str">
        <f>IFERROR(VLOOKUP(ROWS($E$2:E598),$A$2:$B$214,2,0),"")</f>
        <v/>
      </c>
    </row>
    <row r="599" spans="1:5" x14ac:dyDescent="0.35">
      <c r="A599" s="210">
        <f>IF(ISNUMBER(SEARCH('LARP Summary'!$E$3,B599)),MAX(A$1:$B598)+1,0)</f>
        <v>0</v>
      </c>
      <c r="B599" s="214"/>
      <c r="E599" s="212" t="str">
        <f>IFERROR(VLOOKUP(ROWS($E$2:E599),$A$2:$B$214,2,0),"")</f>
        <v/>
      </c>
    </row>
    <row r="600" spans="1:5" x14ac:dyDescent="0.35">
      <c r="A600" s="210">
        <f>IF(ISNUMBER(SEARCH('LARP Summary'!$E$3,B600)),MAX(A$1:$B599)+1,0)</f>
        <v>0</v>
      </c>
      <c r="B600" s="214"/>
      <c r="E600" s="212" t="str">
        <f>IFERROR(VLOOKUP(ROWS($E$2:E600),$A$2:$B$214,2,0),"")</f>
        <v/>
      </c>
    </row>
    <row r="601" spans="1:5" x14ac:dyDescent="0.35">
      <c r="A601" s="210">
        <f>IF(ISNUMBER(SEARCH('LARP Summary'!$E$3,B601)),MAX(A$1:$B600)+1,0)</f>
        <v>0</v>
      </c>
      <c r="B601" s="214"/>
      <c r="E601" s="212" t="str">
        <f>IFERROR(VLOOKUP(ROWS($E$2:E601),$A$2:$B$214,2,0),"")</f>
        <v/>
      </c>
    </row>
    <row r="602" spans="1:5" x14ac:dyDescent="0.35">
      <c r="A602" s="210">
        <f>IF(ISNUMBER(SEARCH('LARP Summary'!$E$3,B602)),MAX(A$1:$B601)+1,0)</f>
        <v>0</v>
      </c>
      <c r="B602" s="214"/>
      <c r="E602" s="212" t="str">
        <f>IFERROR(VLOOKUP(ROWS($E$2:E602),$A$2:$B$214,2,0),"")</f>
        <v/>
      </c>
    </row>
    <row r="603" spans="1:5" x14ac:dyDescent="0.35">
      <c r="A603" s="210">
        <f>IF(ISNUMBER(SEARCH('LARP Summary'!$E$3,B603)),MAX(A$1:$B602)+1,0)</f>
        <v>0</v>
      </c>
      <c r="B603" s="214"/>
      <c r="E603" s="212" t="str">
        <f>IFERROR(VLOOKUP(ROWS($E$2:E603),$A$2:$B$214,2,0),"")</f>
        <v/>
      </c>
    </row>
    <row r="604" spans="1:5" x14ac:dyDescent="0.35">
      <c r="A604" s="210">
        <f>IF(ISNUMBER(SEARCH('LARP Summary'!$E$3,B604)),MAX(A$1:$B603)+1,0)</f>
        <v>0</v>
      </c>
      <c r="B604" s="214"/>
      <c r="E604" s="212" t="str">
        <f>IFERROR(VLOOKUP(ROWS($E$2:E604),$A$2:$B$214,2,0),"")</f>
        <v/>
      </c>
    </row>
    <row r="605" spans="1:5" x14ac:dyDescent="0.35">
      <c r="A605" s="210">
        <f>IF(ISNUMBER(SEARCH('LARP Summary'!$E$3,B605)),MAX(A$1:$B604)+1,0)</f>
        <v>0</v>
      </c>
      <c r="B605" s="214"/>
      <c r="E605" s="212" t="str">
        <f>IFERROR(VLOOKUP(ROWS($E$2:E605),$A$2:$B$214,2,0),"")</f>
        <v/>
      </c>
    </row>
    <row r="606" spans="1:5" x14ac:dyDescent="0.35">
      <c r="A606" s="210">
        <f>IF(ISNUMBER(SEARCH('LARP Summary'!$E$3,B606)),MAX(A$1:$B605)+1,0)</f>
        <v>0</v>
      </c>
      <c r="B606" s="214"/>
      <c r="E606" s="212" t="str">
        <f>IFERROR(VLOOKUP(ROWS($E$2:E606),$A$2:$B$214,2,0),"")</f>
        <v/>
      </c>
    </row>
    <row r="607" spans="1:5" x14ac:dyDescent="0.35">
      <c r="A607" s="210">
        <f>IF(ISNUMBER(SEARCH('LARP Summary'!$E$3,B607)),MAX(A$1:$B606)+1,0)</f>
        <v>0</v>
      </c>
      <c r="B607" s="214"/>
      <c r="E607" s="212" t="str">
        <f>IFERROR(VLOOKUP(ROWS($E$2:E607),$A$2:$B$214,2,0),"")</f>
        <v/>
      </c>
    </row>
    <row r="608" spans="1:5" x14ac:dyDescent="0.35">
      <c r="A608" s="210">
        <f>IF(ISNUMBER(SEARCH('LARP Summary'!$E$3,B608)),MAX(A$1:$B607)+1,0)</f>
        <v>0</v>
      </c>
      <c r="B608" s="214"/>
      <c r="E608" s="212" t="str">
        <f>IFERROR(VLOOKUP(ROWS($E$2:E608),$A$2:$B$214,2,0),"")</f>
        <v/>
      </c>
    </row>
    <row r="609" spans="1:5" x14ac:dyDescent="0.35">
      <c r="A609" s="210">
        <f>IF(ISNUMBER(SEARCH('LARP Summary'!$E$3,B609)),MAX(A$1:$B608)+1,0)</f>
        <v>0</v>
      </c>
      <c r="B609" s="214"/>
      <c r="E609" s="212" t="str">
        <f>IFERROR(VLOOKUP(ROWS($E$2:E609),$A$2:$B$214,2,0),"")</f>
        <v/>
      </c>
    </row>
    <row r="610" spans="1:5" x14ac:dyDescent="0.35">
      <c r="A610" s="210">
        <f>IF(ISNUMBER(SEARCH('LARP Summary'!$E$3,B610)),MAX(A$1:$B609)+1,0)</f>
        <v>0</v>
      </c>
      <c r="B610" s="214"/>
      <c r="E610" s="212" t="str">
        <f>IFERROR(VLOOKUP(ROWS($E$2:E610),$A$2:$B$214,2,0),"")</f>
        <v/>
      </c>
    </row>
    <row r="611" spans="1:5" x14ac:dyDescent="0.35">
      <c r="A611" s="210">
        <f>IF(ISNUMBER(SEARCH('LARP Summary'!$E$3,B611)),MAX(A$1:$B610)+1,0)</f>
        <v>0</v>
      </c>
      <c r="B611" s="214"/>
      <c r="E611" s="212" t="str">
        <f>IFERROR(VLOOKUP(ROWS($E$2:E611),$A$2:$B$214,2,0),"")</f>
        <v/>
      </c>
    </row>
    <row r="612" spans="1:5" x14ac:dyDescent="0.35">
      <c r="A612" s="210">
        <f>IF(ISNUMBER(SEARCH('LARP Summary'!$E$3,B612)),MAX(A$1:$B611)+1,0)</f>
        <v>0</v>
      </c>
      <c r="B612" s="214"/>
      <c r="E612" s="212" t="str">
        <f>IFERROR(VLOOKUP(ROWS($E$2:E612),$A$2:$B$214,2,0),"")</f>
        <v/>
      </c>
    </row>
    <row r="613" spans="1:5" x14ac:dyDescent="0.35">
      <c r="A613" s="210">
        <f>IF(ISNUMBER(SEARCH('LARP Summary'!$E$3,B613)),MAX(A$1:$B612)+1,0)</f>
        <v>0</v>
      </c>
      <c r="B613" s="214"/>
      <c r="E613" s="212" t="str">
        <f>IFERROR(VLOOKUP(ROWS($E$2:E613),$A$2:$B$214,2,0),"")</f>
        <v/>
      </c>
    </row>
    <row r="614" spans="1:5" x14ac:dyDescent="0.35">
      <c r="A614" s="210">
        <f>IF(ISNUMBER(SEARCH('LARP Summary'!$E$3,B614)),MAX(A$1:$B613)+1,0)</f>
        <v>0</v>
      </c>
      <c r="B614" s="214"/>
      <c r="E614" s="212" t="str">
        <f>IFERROR(VLOOKUP(ROWS($E$2:E614),$A$2:$B$214,2,0),"")</f>
        <v/>
      </c>
    </row>
    <row r="615" spans="1:5" x14ac:dyDescent="0.35">
      <c r="A615" s="210">
        <f>IF(ISNUMBER(SEARCH('LARP Summary'!$E$3,B615)),MAX(A$1:$B614)+1,0)</f>
        <v>0</v>
      </c>
      <c r="B615" s="214"/>
      <c r="E615" s="212" t="str">
        <f>IFERROR(VLOOKUP(ROWS($E$2:E615),$A$2:$B$214,2,0),"")</f>
        <v/>
      </c>
    </row>
    <row r="616" spans="1:5" x14ac:dyDescent="0.35">
      <c r="A616" s="210">
        <f>IF(ISNUMBER(SEARCH('LARP Summary'!$E$3,B616)),MAX(A$1:$B615)+1,0)</f>
        <v>0</v>
      </c>
      <c r="B616" s="214"/>
      <c r="E616" s="212" t="str">
        <f>IFERROR(VLOOKUP(ROWS($E$2:E616),$A$2:$B$214,2,0),"")</f>
        <v/>
      </c>
    </row>
    <row r="617" spans="1:5" x14ac:dyDescent="0.35">
      <c r="A617" s="210">
        <f>IF(ISNUMBER(SEARCH('LARP Summary'!$E$3,B617)),MAX(A$1:$B616)+1,0)</f>
        <v>0</v>
      </c>
      <c r="B617" s="214"/>
      <c r="E617" s="212" t="str">
        <f>IFERROR(VLOOKUP(ROWS($E$2:E617),$A$2:$B$214,2,0),"")</f>
        <v/>
      </c>
    </row>
    <row r="618" spans="1:5" x14ac:dyDescent="0.35">
      <c r="A618" s="210">
        <f>IF(ISNUMBER(SEARCH('LARP Summary'!$E$3,B618)),MAX(A$1:$B617)+1,0)</f>
        <v>0</v>
      </c>
      <c r="B618" s="214"/>
      <c r="E618" s="212" t="str">
        <f>IFERROR(VLOOKUP(ROWS($E$2:E618),$A$2:$B$214,2,0),"")</f>
        <v/>
      </c>
    </row>
    <row r="619" spans="1:5" x14ac:dyDescent="0.35">
      <c r="A619" s="210">
        <f>IF(ISNUMBER(SEARCH('LARP Summary'!$E$3,B619)),MAX(A$1:$B618)+1,0)</f>
        <v>0</v>
      </c>
      <c r="B619" s="214"/>
      <c r="E619" s="212" t="str">
        <f>IFERROR(VLOOKUP(ROWS($E$2:E619),$A$2:$B$214,2,0),"")</f>
        <v/>
      </c>
    </row>
    <row r="620" spans="1:5" x14ac:dyDescent="0.35">
      <c r="A620" s="210">
        <f>IF(ISNUMBER(SEARCH('LARP Summary'!$E$3,B620)),MAX(A$1:$B619)+1,0)</f>
        <v>0</v>
      </c>
      <c r="B620" s="214"/>
      <c r="E620" s="212" t="str">
        <f>IFERROR(VLOOKUP(ROWS($E$2:E620),$A$2:$B$214,2,0),"")</f>
        <v/>
      </c>
    </row>
    <row r="621" spans="1:5" x14ac:dyDescent="0.35">
      <c r="A621" s="210">
        <f>IF(ISNUMBER(SEARCH('LARP Summary'!$E$3,B621)),MAX(A$1:$B620)+1,0)</f>
        <v>0</v>
      </c>
      <c r="B621" s="214"/>
      <c r="E621" s="212" t="str">
        <f>IFERROR(VLOOKUP(ROWS($E$2:E621),$A$2:$B$214,2,0),"")</f>
        <v/>
      </c>
    </row>
    <row r="622" spans="1:5" x14ac:dyDescent="0.35">
      <c r="A622" s="210">
        <f>IF(ISNUMBER(SEARCH('LARP Summary'!$E$3,B622)),MAX(A$1:$B621)+1,0)</f>
        <v>0</v>
      </c>
      <c r="B622" s="214"/>
      <c r="E622" s="212" t="str">
        <f>IFERROR(VLOOKUP(ROWS($E$2:E622),$A$2:$B$214,2,0),"")</f>
        <v/>
      </c>
    </row>
    <row r="623" spans="1:5" x14ac:dyDescent="0.35">
      <c r="A623" s="210">
        <f>IF(ISNUMBER(SEARCH('LARP Summary'!$E$3,B623)),MAX(A$1:$B622)+1,0)</f>
        <v>0</v>
      </c>
      <c r="B623" s="214"/>
      <c r="E623" s="212" t="str">
        <f>IFERROR(VLOOKUP(ROWS($E$2:E623),$A$2:$B$214,2,0),"")</f>
        <v/>
      </c>
    </row>
    <row r="624" spans="1:5" x14ac:dyDescent="0.35">
      <c r="A624" s="210">
        <f>IF(ISNUMBER(SEARCH('LARP Summary'!$E$3,B624)),MAX(A$1:$B623)+1,0)</f>
        <v>0</v>
      </c>
      <c r="B624" s="214"/>
      <c r="E624" s="212" t="str">
        <f>IFERROR(VLOOKUP(ROWS($E$2:E624),$A$2:$B$214,2,0),"")</f>
        <v/>
      </c>
    </row>
    <row r="625" spans="1:5" x14ac:dyDescent="0.35">
      <c r="A625" s="210">
        <f>IF(ISNUMBER(SEARCH('LARP Summary'!$E$3,B625)),MAX(A$1:$B624)+1,0)</f>
        <v>0</v>
      </c>
      <c r="B625" s="214"/>
      <c r="E625" s="212" t="str">
        <f>IFERROR(VLOOKUP(ROWS($E$2:E625),$A$2:$B$214,2,0),"")</f>
        <v/>
      </c>
    </row>
    <row r="626" spans="1:5" x14ac:dyDescent="0.35">
      <c r="A626" s="210">
        <f>IF(ISNUMBER(SEARCH('LARP Summary'!$E$3,B626)),MAX(A$1:$B625)+1,0)</f>
        <v>0</v>
      </c>
      <c r="B626" s="214"/>
      <c r="E626" s="212" t="str">
        <f>IFERROR(VLOOKUP(ROWS($E$2:E626),$A$2:$B$214,2,0),"")</f>
        <v/>
      </c>
    </row>
    <row r="627" spans="1:5" x14ac:dyDescent="0.35">
      <c r="A627" s="210">
        <f>IF(ISNUMBER(SEARCH('LARP Summary'!$E$3,B627)),MAX(A$1:$B626)+1,0)</f>
        <v>0</v>
      </c>
      <c r="B627" s="214"/>
      <c r="E627" s="212" t="str">
        <f>IFERROR(VLOOKUP(ROWS($E$2:E627),$A$2:$B$214,2,0),"")</f>
        <v/>
      </c>
    </row>
    <row r="628" spans="1:5" x14ac:dyDescent="0.35">
      <c r="A628" s="210">
        <f>IF(ISNUMBER(SEARCH('LARP Summary'!$E$3,B628)),MAX(A$1:$B627)+1,0)</f>
        <v>0</v>
      </c>
      <c r="B628" s="214"/>
      <c r="E628" s="212" t="str">
        <f>IFERROR(VLOOKUP(ROWS($E$2:E628),$A$2:$B$214,2,0),"")</f>
        <v/>
      </c>
    </row>
    <row r="629" spans="1:5" x14ac:dyDescent="0.35">
      <c r="A629" s="210">
        <f>IF(ISNUMBER(SEARCH('LARP Summary'!$E$3,B629)),MAX(A$1:$B628)+1,0)</f>
        <v>0</v>
      </c>
      <c r="B629" s="214"/>
      <c r="E629" s="212" t="str">
        <f>IFERROR(VLOOKUP(ROWS($E$2:E629),$A$2:$B$214,2,0),"")</f>
        <v/>
      </c>
    </row>
    <row r="630" spans="1:5" x14ac:dyDescent="0.35">
      <c r="A630" s="210">
        <f>IF(ISNUMBER(SEARCH('LARP Summary'!$E$3,B630)),MAX(A$1:$B629)+1,0)</f>
        <v>0</v>
      </c>
      <c r="B630" s="214"/>
      <c r="E630" s="212" t="str">
        <f>IFERROR(VLOOKUP(ROWS($E$2:E630),$A$2:$B$214,2,0),"")</f>
        <v/>
      </c>
    </row>
    <row r="631" spans="1:5" x14ac:dyDescent="0.35">
      <c r="A631" s="210">
        <f>IF(ISNUMBER(SEARCH('LARP Summary'!$E$3,B631)),MAX(A$1:$B630)+1,0)</f>
        <v>0</v>
      </c>
      <c r="B631" s="214"/>
      <c r="E631" s="212" t="str">
        <f>IFERROR(VLOOKUP(ROWS($E$2:E631),$A$2:$B$214,2,0),"")</f>
        <v/>
      </c>
    </row>
    <row r="632" spans="1:5" x14ac:dyDescent="0.35">
      <c r="A632" s="210">
        <f>IF(ISNUMBER(SEARCH('LARP Summary'!$E$3,B632)),MAX(A$1:$B631)+1,0)</f>
        <v>0</v>
      </c>
      <c r="B632" s="214"/>
      <c r="E632" s="212" t="str">
        <f>IFERROR(VLOOKUP(ROWS($E$2:E632),$A$2:$B$214,2,0),"")</f>
        <v/>
      </c>
    </row>
    <row r="633" spans="1:5" x14ac:dyDescent="0.35">
      <c r="A633" s="210">
        <f>IF(ISNUMBER(SEARCH('LARP Summary'!$E$3,B633)),MAX(A$1:$B632)+1,0)</f>
        <v>0</v>
      </c>
      <c r="B633" s="214"/>
      <c r="E633" s="212" t="str">
        <f>IFERROR(VLOOKUP(ROWS($E$2:E633),$A$2:$B$214,2,0),"")</f>
        <v/>
      </c>
    </row>
    <row r="634" spans="1:5" x14ac:dyDescent="0.35">
      <c r="A634" s="210">
        <f>IF(ISNUMBER(SEARCH('LARP Summary'!$E$3,B634)),MAX(A$1:$B633)+1,0)</f>
        <v>0</v>
      </c>
      <c r="B634" s="214"/>
      <c r="E634" s="212" t="str">
        <f>IFERROR(VLOOKUP(ROWS($E$2:E634),$A$2:$B$214,2,0),"")</f>
        <v/>
      </c>
    </row>
    <row r="635" spans="1:5" x14ac:dyDescent="0.35">
      <c r="A635" s="210">
        <f>IF(ISNUMBER(SEARCH('LARP Summary'!$E$3,B635)),MAX(A$1:$B634)+1,0)</f>
        <v>0</v>
      </c>
      <c r="B635" s="214"/>
      <c r="E635" s="212" t="str">
        <f>IFERROR(VLOOKUP(ROWS($E$2:E635),$A$2:$B$214,2,0),"")</f>
        <v/>
      </c>
    </row>
    <row r="636" spans="1:5" x14ac:dyDescent="0.35">
      <c r="A636" s="210">
        <f>IF(ISNUMBER(SEARCH('LARP Summary'!$E$3,B636)),MAX(A$1:$B635)+1,0)</f>
        <v>0</v>
      </c>
      <c r="B636" s="214"/>
      <c r="E636" s="212" t="str">
        <f>IFERROR(VLOOKUP(ROWS($E$2:E636),$A$2:$B$214,2,0),"")</f>
        <v/>
      </c>
    </row>
    <row r="637" spans="1:5" x14ac:dyDescent="0.35">
      <c r="A637" s="210">
        <f>IF(ISNUMBER(SEARCH('LARP Summary'!$E$3,B637)),MAX(A$1:$B636)+1,0)</f>
        <v>0</v>
      </c>
      <c r="B637" s="214"/>
      <c r="E637" s="212" t="str">
        <f>IFERROR(VLOOKUP(ROWS($E$2:E637),$A$2:$B$214,2,0),"")</f>
        <v/>
      </c>
    </row>
    <row r="638" spans="1:5" x14ac:dyDescent="0.35">
      <c r="A638" s="210">
        <f>IF(ISNUMBER(SEARCH('LARP Summary'!$E$3,B638)),MAX(A$1:$B637)+1,0)</f>
        <v>0</v>
      </c>
      <c r="B638" s="214"/>
      <c r="E638" s="212" t="str">
        <f>IFERROR(VLOOKUP(ROWS($E$2:E638),$A$2:$B$214,2,0),"")</f>
        <v/>
      </c>
    </row>
    <row r="639" spans="1:5" x14ac:dyDescent="0.35">
      <c r="A639" s="210">
        <f>IF(ISNUMBER(SEARCH('LARP Summary'!$E$3,B639)),MAX(A$1:$B638)+1,0)</f>
        <v>0</v>
      </c>
      <c r="B639" s="214"/>
      <c r="E639" s="212" t="str">
        <f>IFERROR(VLOOKUP(ROWS($E$2:E639),$A$2:$B$214,2,0),"")</f>
        <v/>
      </c>
    </row>
    <row r="640" spans="1:5" x14ac:dyDescent="0.35">
      <c r="A640" s="210">
        <f>IF(ISNUMBER(SEARCH('LARP Summary'!$E$3,B640)),MAX(A$1:$B639)+1,0)</f>
        <v>0</v>
      </c>
      <c r="B640" s="214"/>
      <c r="E640" s="212" t="str">
        <f>IFERROR(VLOOKUP(ROWS($E$2:E640),$A$2:$B$214,2,0),"")</f>
        <v/>
      </c>
    </row>
    <row r="641" spans="1:5" x14ac:dyDescent="0.35">
      <c r="A641" s="210">
        <f>IF(ISNUMBER(SEARCH('LARP Summary'!$E$3,B641)),MAX(A$1:$B640)+1,0)</f>
        <v>0</v>
      </c>
      <c r="B641" s="214"/>
      <c r="E641" s="212" t="str">
        <f>IFERROR(VLOOKUP(ROWS($E$2:E641),$A$2:$B$214,2,0),"")</f>
        <v/>
      </c>
    </row>
    <row r="642" spans="1:5" x14ac:dyDescent="0.35">
      <c r="A642" s="210">
        <f>IF(ISNUMBER(SEARCH('LARP Summary'!$E$3,B642)),MAX(A$1:$B641)+1,0)</f>
        <v>0</v>
      </c>
      <c r="B642" s="214"/>
      <c r="E642" s="212" t="str">
        <f>IFERROR(VLOOKUP(ROWS($E$2:E642),$A$2:$B$214,2,0),"")</f>
        <v/>
      </c>
    </row>
    <row r="643" spans="1:5" x14ac:dyDescent="0.35">
      <c r="A643" s="210">
        <f>IF(ISNUMBER(SEARCH('LARP Summary'!$E$3,B643)),MAX(A$1:$B642)+1,0)</f>
        <v>0</v>
      </c>
      <c r="B643" s="214"/>
      <c r="E643" s="212" t="str">
        <f>IFERROR(VLOOKUP(ROWS($E$2:E643),$A$2:$B$214,2,0),"")</f>
        <v/>
      </c>
    </row>
    <row r="644" spans="1:5" x14ac:dyDescent="0.35">
      <c r="A644" s="210">
        <f>IF(ISNUMBER(SEARCH('LARP Summary'!$E$3,B644)),MAX(A$1:$B643)+1,0)</f>
        <v>0</v>
      </c>
      <c r="B644" s="214"/>
      <c r="E644" s="212" t="str">
        <f>IFERROR(VLOOKUP(ROWS($E$2:E644),$A$2:$B$214,2,0),"")</f>
        <v/>
      </c>
    </row>
    <row r="645" spans="1:5" x14ac:dyDescent="0.35">
      <c r="A645" s="210">
        <f>IF(ISNUMBER(SEARCH('LARP Summary'!$E$3,B645)),MAX(A$1:$B644)+1,0)</f>
        <v>0</v>
      </c>
      <c r="B645" s="214"/>
      <c r="E645" s="212" t="str">
        <f>IFERROR(VLOOKUP(ROWS($E$2:E645),$A$2:$B$214,2,0),"")</f>
        <v/>
      </c>
    </row>
    <row r="646" spans="1:5" x14ac:dyDescent="0.35">
      <c r="A646" s="210">
        <f>IF(ISNUMBER(SEARCH('LARP Summary'!$E$3,B646)),MAX(A$1:$B645)+1,0)</f>
        <v>0</v>
      </c>
      <c r="B646" s="214"/>
      <c r="E646" s="212" t="str">
        <f>IFERROR(VLOOKUP(ROWS($E$2:E646),$A$2:$B$214,2,0),"")</f>
        <v/>
      </c>
    </row>
    <row r="647" spans="1:5" x14ac:dyDescent="0.35">
      <c r="A647" s="210">
        <f>IF(ISNUMBER(SEARCH('LARP Summary'!$E$3,B647)),MAX(A$1:$B646)+1,0)</f>
        <v>0</v>
      </c>
      <c r="B647" s="214"/>
      <c r="E647" s="212" t="str">
        <f>IFERROR(VLOOKUP(ROWS($E$2:E647),$A$2:$B$214,2,0),"")</f>
        <v/>
      </c>
    </row>
    <row r="648" spans="1:5" x14ac:dyDescent="0.35">
      <c r="A648" s="210">
        <f>IF(ISNUMBER(SEARCH('LARP Summary'!$E$3,B648)),MAX(A$1:$B647)+1,0)</f>
        <v>0</v>
      </c>
      <c r="B648" s="214"/>
      <c r="E648" s="212" t="str">
        <f>IFERROR(VLOOKUP(ROWS($E$2:E648),$A$2:$B$214,2,0),"")</f>
        <v/>
      </c>
    </row>
    <row r="649" spans="1:5" x14ac:dyDescent="0.35">
      <c r="A649" s="210">
        <f>IF(ISNUMBER(SEARCH('LARP Summary'!$E$3,B649)),MAX(A$1:$B648)+1,0)</f>
        <v>0</v>
      </c>
      <c r="B649" s="214"/>
      <c r="E649" s="212" t="str">
        <f>IFERROR(VLOOKUP(ROWS($E$2:E649),$A$2:$B$214,2,0),"")</f>
        <v/>
      </c>
    </row>
    <row r="650" spans="1:5" x14ac:dyDescent="0.35">
      <c r="A650" s="210">
        <f>IF(ISNUMBER(SEARCH('LARP Summary'!$E$3,B650)),MAX(A$1:$B649)+1,0)</f>
        <v>0</v>
      </c>
      <c r="B650" s="214"/>
      <c r="E650" s="212" t="str">
        <f>IFERROR(VLOOKUP(ROWS($E$2:E650),$A$2:$B$214,2,0),"")</f>
        <v/>
      </c>
    </row>
    <row r="651" spans="1:5" x14ac:dyDescent="0.35">
      <c r="A651" s="210">
        <f>IF(ISNUMBER(SEARCH('LARP Summary'!$E$3,B651)),MAX(A$1:$B650)+1,0)</f>
        <v>0</v>
      </c>
      <c r="B651" s="214"/>
      <c r="E651" s="212" t="str">
        <f>IFERROR(VLOOKUP(ROWS($E$2:E651),$A$2:$B$214,2,0),"")</f>
        <v/>
      </c>
    </row>
    <row r="652" spans="1:5" x14ac:dyDescent="0.35">
      <c r="A652" s="210">
        <f>IF(ISNUMBER(SEARCH('LARP Summary'!$E$3,B652)),MAX(A$1:$B651)+1,0)</f>
        <v>0</v>
      </c>
      <c r="B652" s="214"/>
      <c r="E652" s="212" t="str">
        <f>IFERROR(VLOOKUP(ROWS($E$2:E652),$A$2:$B$214,2,0),"")</f>
        <v/>
      </c>
    </row>
    <row r="653" spans="1:5" x14ac:dyDescent="0.35">
      <c r="A653" s="210">
        <f>IF(ISNUMBER(SEARCH('LARP Summary'!$E$3,B653)),MAX(A$1:$B652)+1,0)</f>
        <v>0</v>
      </c>
      <c r="B653" s="214"/>
      <c r="E653" s="212" t="str">
        <f>IFERROR(VLOOKUP(ROWS($E$2:E653),$A$2:$B$214,2,0),"")</f>
        <v/>
      </c>
    </row>
    <row r="654" spans="1:5" x14ac:dyDescent="0.35">
      <c r="A654" s="210">
        <f>IF(ISNUMBER(SEARCH('LARP Summary'!$E$3,B654)),MAX(A$1:$B653)+1,0)</f>
        <v>0</v>
      </c>
      <c r="B654" s="214"/>
      <c r="E654" s="212" t="str">
        <f>IFERROR(VLOOKUP(ROWS($E$2:E654),$A$2:$B$214,2,0),"")</f>
        <v/>
      </c>
    </row>
    <row r="655" spans="1:5" x14ac:dyDescent="0.35">
      <c r="A655" s="210">
        <f>IF(ISNUMBER(SEARCH('LARP Summary'!$E$3,B655)),MAX(A$1:$B654)+1,0)</f>
        <v>0</v>
      </c>
      <c r="B655" s="214"/>
      <c r="E655" s="212" t="str">
        <f>IFERROR(VLOOKUP(ROWS($E$2:E655),$A$2:$B$214,2,0),"")</f>
        <v/>
      </c>
    </row>
    <row r="656" spans="1:5" x14ac:dyDescent="0.35">
      <c r="A656" s="210">
        <f>IF(ISNUMBER(SEARCH('LARP Summary'!$E$3,B656)),MAX(A$1:$B655)+1,0)</f>
        <v>0</v>
      </c>
      <c r="B656" s="214"/>
      <c r="E656" s="212" t="str">
        <f>IFERROR(VLOOKUP(ROWS($E$2:E656),$A$2:$B$214,2,0),"")</f>
        <v/>
      </c>
    </row>
    <row r="657" spans="1:5" x14ac:dyDescent="0.35">
      <c r="A657" s="210">
        <f>IF(ISNUMBER(SEARCH('LARP Summary'!$E$3,B657)),MAX(A$1:$B656)+1,0)</f>
        <v>0</v>
      </c>
      <c r="B657" s="214"/>
      <c r="E657" s="212" t="str">
        <f>IFERROR(VLOOKUP(ROWS($E$2:E657),$A$2:$B$214,2,0),"")</f>
        <v/>
      </c>
    </row>
    <row r="658" spans="1:5" x14ac:dyDescent="0.35">
      <c r="A658" s="210">
        <f>IF(ISNUMBER(SEARCH('LARP Summary'!$E$3,B658)),MAX(A$1:$B657)+1,0)</f>
        <v>0</v>
      </c>
      <c r="B658" s="214"/>
      <c r="E658" s="212" t="str">
        <f>IFERROR(VLOOKUP(ROWS($E$2:E658),$A$2:$B$214,2,0),"")</f>
        <v/>
      </c>
    </row>
    <row r="659" spans="1:5" x14ac:dyDescent="0.35">
      <c r="A659" s="210">
        <f>IF(ISNUMBER(SEARCH('LARP Summary'!$E$3,B659)),MAX(A$1:$B658)+1,0)</f>
        <v>0</v>
      </c>
      <c r="B659" s="214"/>
      <c r="E659" s="212" t="str">
        <f>IFERROR(VLOOKUP(ROWS($E$2:E659),$A$2:$B$214,2,0),"")</f>
        <v/>
      </c>
    </row>
    <row r="660" spans="1:5" x14ac:dyDescent="0.35">
      <c r="A660" s="210">
        <f>IF(ISNUMBER(SEARCH('LARP Summary'!$E$3,B660)),MAX(A$1:$B659)+1,0)</f>
        <v>0</v>
      </c>
      <c r="B660" s="214"/>
      <c r="E660" s="212" t="str">
        <f>IFERROR(VLOOKUP(ROWS($E$2:E660),$A$2:$B$214,2,0),"")</f>
        <v/>
      </c>
    </row>
    <row r="661" spans="1:5" x14ac:dyDescent="0.35">
      <c r="A661" s="210">
        <f>IF(ISNUMBER(SEARCH('LARP Summary'!$E$3,B661)),MAX(A$1:$B660)+1,0)</f>
        <v>0</v>
      </c>
      <c r="B661" s="214"/>
      <c r="E661" s="212" t="str">
        <f>IFERROR(VLOOKUP(ROWS($E$2:E661),$A$2:$B$214,2,0),"")</f>
        <v/>
      </c>
    </row>
    <row r="662" spans="1:5" x14ac:dyDescent="0.35">
      <c r="A662" s="210">
        <f>IF(ISNUMBER(SEARCH('LARP Summary'!$E$3,B662)),MAX(A$1:$B661)+1,0)</f>
        <v>0</v>
      </c>
      <c r="B662" s="214"/>
      <c r="E662" s="212" t="str">
        <f>IFERROR(VLOOKUP(ROWS($E$2:E662),$A$2:$B$214,2,0),"")</f>
        <v/>
      </c>
    </row>
    <row r="663" spans="1:5" x14ac:dyDescent="0.35">
      <c r="A663" s="210">
        <f>IF(ISNUMBER(SEARCH('LARP Summary'!$E$3,B663)),MAX(A$1:$B662)+1,0)</f>
        <v>0</v>
      </c>
      <c r="B663" s="214"/>
      <c r="E663" s="212" t="str">
        <f>IFERROR(VLOOKUP(ROWS($E$2:E663),$A$2:$B$214,2,0),"")</f>
        <v/>
      </c>
    </row>
    <row r="664" spans="1:5" x14ac:dyDescent="0.35">
      <c r="A664" s="210">
        <f>IF(ISNUMBER(SEARCH('LARP Summary'!$E$3,B664)),MAX(A$1:$B663)+1,0)</f>
        <v>0</v>
      </c>
      <c r="B664" s="214"/>
      <c r="E664" s="212" t="str">
        <f>IFERROR(VLOOKUP(ROWS($E$2:E664),$A$2:$B$214,2,0),"")</f>
        <v/>
      </c>
    </row>
    <row r="665" spans="1:5" x14ac:dyDescent="0.35">
      <c r="A665" s="210">
        <f>IF(ISNUMBER(SEARCH('LARP Summary'!$E$3,B665)),MAX(A$1:$B664)+1,0)</f>
        <v>0</v>
      </c>
      <c r="B665" s="214"/>
      <c r="E665" s="212" t="str">
        <f>IFERROR(VLOOKUP(ROWS($E$2:E665),$A$2:$B$214,2,0),"")</f>
        <v/>
      </c>
    </row>
    <row r="666" spans="1:5" x14ac:dyDescent="0.35">
      <c r="A666" s="210">
        <f>IF(ISNUMBER(SEARCH('LARP Summary'!$E$3,B666)),MAX(A$1:$B665)+1,0)</f>
        <v>0</v>
      </c>
      <c r="B666" s="214"/>
      <c r="E666" s="212" t="str">
        <f>IFERROR(VLOOKUP(ROWS($E$2:E666),$A$2:$B$214,2,0),"")</f>
        <v/>
      </c>
    </row>
    <row r="667" spans="1:5" x14ac:dyDescent="0.35">
      <c r="A667" s="210">
        <f>IF(ISNUMBER(SEARCH('LARP Summary'!$E$3,B667)),MAX(A$1:$B666)+1,0)</f>
        <v>0</v>
      </c>
      <c r="B667" s="214"/>
      <c r="E667" s="212" t="str">
        <f>IFERROR(VLOOKUP(ROWS($E$2:E667),$A$2:$B$214,2,0),"")</f>
        <v/>
      </c>
    </row>
    <row r="668" spans="1:5" x14ac:dyDescent="0.35">
      <c r="A668" s="210">
        <f>IF(ISNUMBER(SEARCH('LARP Summary'!$E$3,B668)),MAX(A$1:$B667)+1,0)</f>
        <v>0</v>
      </c>
      <c r="B668" s="214"/>
      <c r="E668" s="212" t="str">
        <f>IFERROR(VLOOKUP(ROWS($E$2:E668),$A$2:$B$214,2,0),"")</f>
        <v/>
      </c>
    </row>
    <row r="669" spans="1:5" x14ac:dyDescent="0.35">
      <c r="A669" s="210">
        <f>IF(ISNUMBER(SEARCH('LARP Summary'!$E$3,B669)),MAX(A$1:$B668)+1,0)</f>
        <v>0</v>
      </c>
      <c r="B669" s="214"/>
      <c r="E669" s="212" t="str">
        <f>IFERROR(VLOOKUP(ROWS($E$2:E669),$A$2:$B$214,2,0),"")</f>
        <v/>
      </c>
    </row>
    <row r="670" spans="1:5" x14ac:dyDescent="0.35">
      <c r="A670" s="210">
        <f>IF(ISNUMBER(SEARCH('LARP Summary'!$E$3,B670)),MAX(A$1:$B669)+1,0)</f>
        <v>0</v>
      </c>
      <c r="B670" s="214"/>
      <c r="E670" s="212" t="str">
        <f>IFERROR(VLOOKUP(ROWS($E$2:E670),$A$2:$B$214,2,0),"")</f>
        <v/>
      </c>
    </row>
    <row r="671" spans="1:5" x14ac:dyDescent="0.35">
      <c r="A671" s="210">
        <f>IF(ISNUMBER(SEARCH('LARP Summary'!$E$3,B671)),MAX(A$1:$B670)+1,0)</f>
        <v>0</v>
      </c>
      <c r="B671" s="214"/>
      <c r="E671" s="212" t="str">
        <f>IFERROR(VLOOKUP(ROWS($E$2:E671),$A$2:$B$214,2,0),"")</f>
        <v/>
      </c>
    </row>
    <row r="672" spans="1:5" x14ac:dyDescent="0.35">
      <c r="A672" s="210">
        <f>IF(ISNUMBER(SEARCH('LARP Summary'!$E$3,B672)),MAX(A$1:$B671)+1,0)</f>
        <v>0</v>
      </c>
      <c r="B672" s="214"/>
      <c r="E672" s="212" t="str">
        <f>IFERROR(VLOOKUP(ROWS($E$2:E672),$A$2:$B$214,2,0),"")</f>
        <v/>
      </c>
    </row>
    <row r="673" spans="1:5" x14ac:dyDescent="0.35">
      <c r="A673" s="210">
        <f>IF(ISNUMBER(SEARCH('LARP Summary'!$E$3,B673)),MAX(A$1:$B672)+1,0)</f>
        <v>0</v>
      </c>
      <c r="B673" s="214"/>
      <c r="E673" s="212" t="str">
        <f>IFERROR(VLOOKUP(ROWS($E$2:E673),$A$2:$B$214,2,0),"")</f>
        <v/>
      </c>
    </row>
    <row r="674" spans="1:5" x14ac:dyDescent="0.35">
      <c r="A674" s="210">
        <f>IF(ISNUMBER(SEARCH('LARP Summary'!$E$3,B674)),MAX(A$1:$B673)+1,0)</f>
        <v>0</v>
      </c>
      <c r="B674" s="214"/>
      <c r="E674" s="212" t="str">
        <f>IFERROR(VLOOKUP(ROWS($E$2:E674),$A$2:$B$214,2,0),"")</f>
        <v/>
      </c>
    </row>
    <row r="675" spans="1:5" x14ac:dyDescent="0.35">
      <c r="A675" s="210">
        <f>IF(ISNUMBER(SEARCH('LARP Summary'!$E$3,B675)),MAX(A$1:$B674)+1,0)</f>
        <v>0</v>
      </c>
      <c r="B675" s="214"/>
      <c r="E675" s="212" t="str">
        <f>IFERROR(VLOOKUP(ROWS($E$2:E675),$A$2:$B$214,2,0),"")</f>
        <v/>
      </c>
    </row>
    <row r="676" spans="1:5" x14ac:dyDescent="0.35">
      <c r="A676" s="210">
        <f>IF(ISNUMBER(SEARCH('LARP Summary'!$E$3,B676)),MAX(A$1:$B675)+1,0)</f>
        <v>0</v>
      </c>
      <c r="B676" s="214"/>
      <c r="E676" s="212" t="str">
        <f>IFERROR(VLOOKUP(ROWS($E$2:E676),$A$2:$B$214,2,0),"")</f>
        <v/>
      </c>
    </row>
    <row r="677" spans="1:5" x14ac:dyDescent="0.35">
      <c r="A677" s="210">
        <f>IF(ISNUMBER(SEARCH('LARP Summary'!$E$3,B677)),MAX(A$1:$B676)+1,0)</f>
        <v>0</v>
      </c>
      <c r="B677" s="214"/>
      <c r="E677" s="212" t="str">
        <f>IFERROR(VLOOKUP(ROWS($E$2:E677),$A$2:$B$214,2,0),"")</f>
        <v/>
      </c>
    </row>
    <row r="678" spans="1:5" x14ac:dyDescent="0.35">
      <c r="A678" s="210">
        <f>IF(ISNUMBER(SEARCH('LARP Summary'!$E$3,B678)),MAX(A$1:$B677)+1,0)</f>
        <v>0</v>
      </c>
      <c r="B678" s="214"/>
      <c r="E678" s="212" t="str">
        <f>IFERROR(VLOOKUP(ROWS($E$2:E678),$A$2:$B$214,2,0),"")</f>
        <v/>
      </c>
    </row>
    <row r="679" spans="1:5" x14ac:dyDescent="0.35">
      <c r="A679" s="210">
        <f>IF(ISNUMBER(SEARCH('LARP Summary'!$E$3,B679)),MAX(A$1:$B678)+1,0)</f>
        <v>0</v>
      </c>
      <c r="B679" s="214"/>
      <c r="E679" s="212" t="str">
        <f>IFERROR(VLOOKUP(ROWS($E$2:E679),$A$2:$B$214,2,0),"")</f>
        <v/>
      </c>
    </row>
    <row r="680" spans="1:5" x14ac:dyDescent="0.35">
      <c r="A680" s="210">
        <f>IF(ISNUMBER(SEARCH('LARP Summary'!$E$3,B680)),MAX(A$1:$B679)+1,0)</f>
        <v>0</v>
      </c>
      <c r="B680" s="214"/>
      <c r="E680" s="212" t="str">
        <f>IFERROR(VLOOKUP(ROWS($E$2:E680),$A$2:$B$214,2,0),"")</f>
        <v/>
      </c>
    </row>
    <row r="681" spans="1:5" x14ac:dyDescent="0.35">
      <c r="A681" s="210">
        <f>IF(ISNUMBER(SEARCH('LARP Summary'!$E$3,B681)),MAX(A$1:$B680)+1,0)</f>
        <v>0</v>
      </c>
      <c r="B681" s="214"/>
      <c r="E681" s="212" t="str">
        <f>IFERROR(VLOOKUP(ROWS($E$2:E681),$A$2:$B$214,2,0),"")</f>
        <v/>
      </c>
    </row>
    <row r="682" spans="1:5" x14ac:dyDescent="0.35">
      <c r="A682" s="210">
        <f>IF(ISNUMBER(SEARCH('LARP Summary'!$E$3,B682)),MAX(A$1:$B681)+1,0)</f>
        <v>0</v>
      </c>
      <c r="B682" s="214"/>
      <c r="E682" s="212" t="str">
        <f>IFERROR(VLOOKUP(ROWS($E$2:E682),$A$2:$B$214,2,0),"")</f>
        <v/>
      </c>
    </row>
    <row r="683" spans="1:5" x14ac:dyDescent="0.35">
      <c r="A683" s="210">
        <f>IF(ISNUMBER(SEARCH('LARP Summary'!$E$3,B683)),MAX(A$1:$B682)+1,0)</f>
        <v>0</v>
      </c>
      <c r="B683" s="214"/>
      <c r="E683" s="212" t="str">
        <f>IFERROR(VLOOKUP(ROWS($E$2:E683),$A$2:$B$214,2,0),"")</f>
        <v/>
      </c>
    </row>
    <row r="684" spans="1:5" x14ac:dyDescent="0.35">
      <c r="A684" s="210">
        <f>IF(ISNUMBER(SEARCH('LARP Summary'!$E$3,B684)),MAX(A$1:$B683)+1,0)</f>
        <v>0</v>
      </c>
      <c r="B684" s="214"/>
      <c r="E684" s="212" t="str">
        <f>IFERROR(VLOOKUP(ROWS($E$2:E684),$A$2:$B$214,2,0),"")</f>
        <v/>
      </c>
    </row>
    <row r="685" spans="1:5" x14ac:dyDescent="0.35">
      <c r="A685" s="210">
        <f>IF(ISNUMBER(SEARCH('LARP Summary'!$E$3,B685)),MAX(A$1:$B684)+1,0)</f>
        <v>0</v>
      </c>
      <c r="B685" s="214"/>
      <c r="E685" s="212" t="str">
        <f>IFERROR(VLOOKUP(ROWS($E$2:E685),$A$2:$B$214,2,0),"")</f>
        <v/>
      </c>
    </row>
    <row r="686" spans="1:5" x14ac:dyDescent="0.35">
      <c r="A686" s="210">
        <f>IF(ISNUMBER(SEARCH('LARP Summary'!$E$3,B686)),MAX(A$1:$B685)+1,0)</f>
        <v>0</v>
      </c>
      <c r="B686" s="214"/>
      <c r="E686" s="212" t="str">
        <f>IFERROR(VLOOKUP(ROWS($E$2:E686),$A$2:$B$214,2,0),"")</f>
        <v/>
      </c>
    </row>
    <row r="687" spans="1:5" x14ac:dyDescent="0.35">
      <c r="A687" s="210">
        <f>IF(ISNUMBER(SEARCH('LARP Summary'!$E$3,B687)),MAX(A$1:$B686)+1,0)</f>
        <v>0</v>
      </c>
      <c r="B687" s="214"/>
      <c r="E687" s="212" t="str">
        <f>IFERROR(VLOOKUP(ROWS($E$2:E687),$A$2:$B$214,2,0),"")</f>
        <v/>
      </c>
    </row>
    <row r="688" spans="1:5" x14ac:dyDescent="0.35">
      <c r="A688" s="210">
        <f>IF(ISNUMBER(SEARCH('LARP Summary'!$E$3,B688)),MAX(A$1:$B687)+1,0)</f>
        <v>0</v>
      </c>
      <c r="B688" s="214"/>
      <c r="E688" s="212" t="str">
        <f>IFERROR(VLOOKUP(ROWS($E$2:E688),$A$2:$B$214,2,0),"")</f>
        <v/>
      </c>
    </row>
    <row r="689" spans="1:5" x14ac:dyDescent="0.35">
      <c r="A689" s="210">
        <f>IF(ISNUMBER(SEARCH('LARP Summary'!$E$3,B689)),MAX(A$1:$B688)+1,0)</f>
        <v>0</v>
      </c>
      <c r="B689" s="214"/>
      <c r="E689" s="212" t="str">
        <f>IFERROR(VLOOKUP(ROWS($E$2:E689),$A$2:$B$214,2,0),"")</f>
        <v/>
      </c>
    </row>
    <row r="690" spans="1:5" x14ac:dyDescent="0.35">
      <c r="A690" s="210">
        <f>IF(ISNUMBER(SEARCH('LARP Summary'!$E$3,B690)),MAX(A$1:$B689)+1,0)</f>
        <v>0</v>
      </c>
      <c r="B690" s="214"/>
      <c r="E690" s="212" t="str">
        <f>IFERROR(VLOOKUP(ROWS($E$2:E690),$A$2:$B$214,2,0),"")</f>
        <v/>
      </c>
    </row>
    <row r="691" spans="1:5" x14ac:dyDescent="0.35">
      <c r="A691" s="210">
        <f>IF(ISNUMBER(SEARCH('LARP Summary'!$E$3,B691)),MAX(A$1:$B690)+1,0)</f>
        <v>0</v>
      </c>
      <c r="B691" s="214"/>
      <c r="E691" s="212" t="str">
        <f>IFERROR(VLOOKUP(ROWS($E$2:E691),$A$2:$B$214,2,0),"")</f>
        <v/>
      </c>
    </row>
    <row r="692" spans="1:5" x14ac:dyDescent="0.35">
      <c r="A692" s="210">
        <f>IF(ISNUMBER(SEARCH('LARP Summary'!$E$3,B692)),MAX(A$1:$B691)+1,0)</f>
        <v>0</v>
      </c>
      <c r="B692" s="214"/>
      <c r="E692" s="212" t="str">
        <f>IFERROR(VLOOKUP(ROWS($E$2:E692),$A$2:$B$214,2,0),"")</f>
        <v/>
      </c>
    </row>
    <row r="693" spans="1:5" x14ac:dyDescent="0.35">
      <c r="A693" s="210">
        <f>IF(ISNUMBER(SEARCH('LARP Summary'!$E$3,B693)),MAX(A$1:$B692)+1,0)</f>
        <v>0</v>
      </c>
      <c r="B693" s="214"/>
      <c r="E693" s="212" t="str">
        <f>IFERROR(VLOOKUP(ROWS($E$2:E693),$A$2:$B$214,2,0),"")</f>
        <v/>
      </c>
    </row>
    <row r="694" spans="1:5" x14ac:dyDescent="0.35">
      <c r="A694" s="210">
        <f>IF(ISNUMBER(SEARCH('LARP Summary'!$E$3,B694)),MAX(A$1:$B693)+1,0)</f>
        <v>0</v>
      </c>
      <c r="B694" s="214"/>
      <c r="E694" s="212" t="str">
        <f>IFERROR(VLOOKUP(ROWS($E$2:E694),$A$2:$B$214,2,0),"")</f>
        <v/>
      </c>
    </row>
    <row r="695" spans="1:5" x14ac:dyDescent="0.35">
      <c r="A695" s="210">
        <f>IF(ISNUMBER(SEARCH('LARP Summary'!$E$3,B695)),MAX(A$1:$B694)+1,0)</f>
        <v>0</v>
      </c>
      <c r="B695" s="214"/>
      <c r="E695" s="212" t="str">
        <f>IFERROR(VLOOKUP(ROWS($E$2:E695),$A$2:$B$214,2,0),"")</f>
        <v/>
      </c>
    </row>
    <row r="696" spans="1:5" x14ac:dyDescent="0.35">
      <c r="A696" s="210">
        <f>IF(ISNUMBER(SEARCH('LARP Summary'!$E$3,B696)),MAX(A$1:$B695)+1,0)</f>
        <v>0</v>
      </c>
      <c r="B696" s="214"/>
      <c r="E696" s="212" t="str">
        <f>IFERROR(VLOOKUP(ROWS($E$2:E696),$A$2:$B$214,2,0),"")</f>
        <v/>
      </c>
    </row>
    <row r="697" spans="1:5" x14ac:dyDescent="0.35">
      <c r="A697" s="210">
        <f>IF(ISNUMBER(SEARCH('LARP Summary'!$E$3,B697)),MAX(A$1:$B696)+1,0)</f>
        <v>0</v>
      </c>
      <c r="B697" s="214"/>
      <c r="E697" s="212" t="str">
        <f>IFERROR(VLOOKUP(ROWS($E$2:E697),$A$2:$B$214,2,0),"")</f>
        <v/>
      </c>
    </row>
    <row r="698" spans="1:5" x14ac:dyDescent="0.35">
      <c r="A698" s="210">
        <f>IF(ISNUMBER(SEARCH('LARP Summary'!$E$3,B698)),MAX(A$1:$B697)+1,0)</f>
        <v>0</v>
      </c>
      <c r="B698" s="214"/>
      <c r="E698" s="212" t="str">
        <f>IFERROR(VLOOKUP(ROWS($E$2:E698),$A$2:$B$214,2,0),"")</f>
        <v/>
      </c>
    </row>
    <row r="699" spans="1:5" x14ac:dyDescent="0.35">
      <c r="A699" s="210">
        <f>IF(ISNUMBER(SEARCH('LARP Summary'!$E$3,B699)),MAX(A$1:$B698)+1,0)</f>
        <v>0</v>
      </c>
      <c r="B699" s="214"/>
      <c r="E699" s="212" t="str">
        <f>IFERROR(VLOOKUP(ROWS($E$2:E699),$A$2:$B$214,2,0),"")</f>
        <v/>
      </c>
    </row>
    <row r="700" spans="1:5" x14ac:dyDescent="0.35">
      <c r="A700" s="210">
        <f>IF(ISNUMBER(SEARCH('LARP Summary'!$E$3,B700)),MAX(A$1:$B699)+1,0)</f>
        <v>0</v>
      </c>
      <c r="B700" s="214"/>
      <c r="E700" s="212" t="str">
        <f>IFERROR(VLOOKUP(ROWS($E$2:E700),$A$2:$B$214,2,0),"")</f>
        <v/>
      </c>
    </row>
    <row r="701" spans="1:5" x14ac:dyDescent="0.35">
      <c r="A701" s="210">
        <f>IF(ISNUMBER(SEARCH('LARP Summary'!$E$3,B701)),MAX(A$1:$B700)+1,0)</f>
        <v>0</v>
      </c>
      <c r="B701" s="214"/>
      <c r="E701" s="212" t="str">
        <f>IFERROR(VLOOKUP(ROWS($E$2:E701),$A$2:$B$214,2,0),"")</f>
        <v/>
      </c>
    </row>
    <row r="702" spans="1:5" x14ac:dyDescent="0.35">
      <c r="A702" s="210">
        <f>IF(ISNUMBER(SEARCH('LARP Summary'!$E$3,B702)),MAX(A$1:$B701)+1,0)</f>
        <v>0</v>
      </c>
      <c r="B702" s="214"/>
      <c r="E702" s="212" t="str">
        <f>IFERROR(VLOOKUP(ROWS($E$2:E702),$A$2:$B$214,2,0),"")</f>
        <v/>
      </c>
    </row>
    <row r="703" spans="1:5" x14ac:dyDescent="0.35">
      <c r="A703" s="210">
        <f>IF(ISNUMBER(SEARCH('LARP Summary'!$E$3,B703)),MAX(A$1:$B702)+1,0)</f>
        <v>0</v>
      </c>
      <c r="B703" s="214"/>
      <c r="E703" s="212" t="str">
        <f>IFERROR(VLOOKUP(ROWS($E$2:E703),$A$2:$B$214,2,0),"")</f>
        <v/>
      </c>
    </row>
    <row r="704" spans="1:5" x14ac:dyDescent="0.35">
      <c r="A704" s="210">
        <f>IF(ISNUMBER(SEARCH('LARP Summary'!$E$3,B704)),MAX(A$1:$B703)+1,0)</f>
        <v>0</v>
      </c>
      <c r="B704" s="214"/>
      <c r="E704" s="212" t="str">
        <f>IFERROR(VLOOKUP(ROWS($E$2:E704),$A$2:$B$214,2,0),"")</f>
        <v/>
      </c>
    </row>
    <row r="705" spans="1:5" x14ac:dyDescent="0.35">
      <c r="A705" s="210">
        <f>IF(ISNUMBER(SEARCH('LARP Summary'!$E$3,B705)),MAX(A$1:$B704)+1,0)</f>
        <v>0</v>
      </c>
      <c r="B705" s="214"/>
      <c r="E705" s="212" t="str">
        <f>IFERROR(VLOOKUP(ROWS($E$2:E705),$A$2:$B$214,2,0),"")</f>
        <v/>
      </c>
    </row>
    <row r="706" spans="1:5" x14ac:dyDescent="0.35">
      <c r="A706" s="210">
        <f>IF(ISNUMBER(SEARCH('LARP Summary'!$E$3,B706)),MAX(A$1:$B705)+1,0)</f>
        <v>0</v>
      </c>
      <c r="B706" s="214"/>
      <c r="E706" s="212" t="str">
        <f>IFERROR(VLOOKUP(ROWS($E$2:E706),$A$2:$B$214,2,0),"")</f>
        <v/>
      </c>
    </row>
    <row r="707" spans="1:5" x14ac:dyDescent="0.35">
      <c r="A707" s="210">
        <f>IF(ISNUMBER(SEARCH('LARP Summary'!$E$3,B707)),MAX(A$1:$B706)+1,0)</f>
        <v>0</v>
      </c>
      <c r="B707" s="214"/>
      <c r="E707" s="212" t="str">
        <f>IFERROR(VLOOKUP(ROWS($E$2:E707),$A$2:$B$214,2,0),"")</f>
        <v/>
      </c>
    </row>
    <row r="708" spans="1:5" x14ac:dyDescent="0.35">
      <c r="A708" s="210">
        <f>IF(ISNUMBER(SEARCH('LARP Summary'!$E$3,B708)),MAX(A$1:$B707)+1,0)</f>
        <v>0</v>
      </c>
      <c r="B708" s="214"/>
      <c r="E708" s="212" t="str">
        <f>IFERROR(VLOOKUP(ROWS($E$2:E708),$A$2:$B$214,2,0),"")</f>
        <v/>
      </c>
    </row>
    <row r="709" spans="1:5" x14ac:dyDescent="0.35">
      <c r="A709" s="210">
        <f>IF(ISNUMBER(SEARCH('LARP Summary'!$E$3,B709)),MAX(A$1:$B708)+1,0)</f>
        <v>0</v>
      </c>
      <c r="B709" s="214"/>
      <c r="E709" s="212" t="str">
        <f>IFERROR(VLOOKUP(ROWS($E$2:E709),$A$2:$B$214,2,0),"")</f>
        <v/>
      </c>
    </row>
    <row r="710" spans="1:5" x14ac:dyDescent="0.35">
      <c r="A710" s="210">
        <f>IF(ISNUMBER(SEARCH('LARP Summary'!$E$3,B710)),MAX(A$1:$B709)+1,0)</f>
        <v>0</v>
      </c>
      <c r="B710" s="214"/>
      <c r="E710" s="212" t="str">
        <f>IFERROR(VLOOKUP(ROWS($E$2:E710),$A$2:$B$214,2,0),"")</f>
        <v/>
      </c>
    </row>
    <row r="711" spans="1:5" x14ac:dyDescent="0.35">
      <c r="A711" s="210">
        <f>IF(ISNUMBER(SEARCH('LARP Summary'!$E$3,B711)),MAX(A$1:$B710)+1,0)</f>
        <v>0</v>
      </c>
      <c r="B711" s="214"/>
      <c r="E711" s="212" t="str">
        <f>IFERROR(VLOOKUP(ROWS($E$2:E711),$A$2:$B$214,2,0),"")</f>
        <v/>
      </c>
    </row>
    <row r="712" spans="1:5" x14ac:dyDescent="0.35">
      <c r="A712" s="210">
        <f>IF(ISNUMBER(SEARCH('LARP Summary'!$E$3,B712)),MAX(A$1:$B711)+1,0)</f>
        <v>0</v>
      </c>
      <c r="B712" s="214"/>
      <c r="E712" s="212" t="str">
        <f>IFERROR(VLOOKUP(ROWS($E$2:E712),$A$2:$B$214,2,0),"")</f>
        <v/>
      </c>
    </row>
    <row r="713" spans="1:5" x14ac:dyDescent="0.35">
      <c r="A713" s="210">
        <f>IF(ISNUMBER(SEARCH('LARP Summary'!$E$3,B713)),MAX(A$1:$B712)+1,0)</f>
        <v>0</v>
      </c>
      <c r="B713" s="214"/>
      <c r="E713" s="212" t="str">
        <f>IFERROR(VLOOKUP(ROWS($E$2:E713),$A$2:$B$214,2,0),"")</f>
        <v/>
      </c>
    </row>
    <row r="714" spans="1:5" x14ac:dyDescent="0.35">
      <c r="A714" s="210">
        <f>IF(ISNUMBER(SEARCH('LARP Summary'!$E$3,B714)),MAX(A$1:$B713)+1,0)</f>
        <v>0</v>
      </c>
      <c r="B714" s="214"/>
      <c r="E714" s="212" t="str">
        <f>IFERROR(VLOOKUP(ROWS($E$2:E714),$A$2:$B$214,2,0),"")</f>
        <v/>
      </c>
    </row>
    <row r="715" spans="1:5" x14ac:dyDescent="0.35">
      <c r="A715" s="210">
        <f>IF(ISNUMBER(SEARCH('LARP Summary'!$E$3,B715)),MAX(A$1:$B714)+1,0)</f>
        <v>0</v>
      </c>
      <c r="B715" s="214"/>
      <c r="E715" s="212" t="str">
        <f>IFERROR(VLOOKUP(ROWS($E$2:E715),$A$2:$B$214,2,0),"")</f>
        <v/>
      </c>
    </row>
    <row r="716" spans="1:5" x14ac:dyDescent="0.35">
      <c r="A716" s="210">
        <f>IF(ISNUMBER(SEARCH('LARP Summary'!$E$3,B716)),MAX(A$1:$B715)+1,0)</f>
        <v>0</v>
      </c>
      <c r="B716" s="214"/>
      <c r="E716" s="212" t="str">
        <f>IFERROR(VLOOKUP(ROWS($E$2:E716),$A$2:$B$214,2,0),"")</f>
        <v/>
      </c>
    </row>
    <row r="717" spans="1:5" x14ac:dyDescent="0.35">
      <c r="A717" s="210">
        <f>IF(ISNUMBER(SEARCH('LARP Summary'!$E$3,B717)),MAX(A$1:$B716)+1,0)</f>
        <v>0</v>
      </c>
      <c r="B717" s="214"/>
      <c r="E717" s="212" t="str">
        <f>IFERROR(VLOOKUP(ROWS($E$2:E717),$A$2:$B$214,2,0),"")</f>
        <v/>
      </c>
    </row>
    <row r="718" spans="1:5" x14ac:dyDescent="0.35">
      <c r="A718" s="210">
        <f>IF(ISNUMBER(SEARCH('LARP Summary'!$E$3,B718)),MAX(A$1:$B717)+1,0)</f>
        <v>0</v>
      </c>
      <c r="B718" s="214"/>
      <c r="E718" s="212" t="str">
        <f>IFERROR(VLOOKUP(ROWS($E$2:E718),$A$2:$B$214,2,0),"")</f>
        <v/>
      </c>
    </row>
    <row r="719" spans="1:5" x14ac:dyDescent="0.35">
      <c r="A719" s="210">
        <f>IF(ISNUMBER(SEARCH('LARP Summary'!$E$3,B719)),MAX(A$1:$B718)+1,0)</f>
        <v>0</v>
      </c>
      <c r="B719" s="214"/>
      <c r="E719" s="212" t="str">
        <f>IFERROR(VLOOKUP(ROWS($E$2:E719),$A$2:$B$214,2,0),"")</f>
        <v/>
      </c>
    </row>
    <row r="720" spans="1:5" x14ac:dyDescent="0.35">
      <c r="A720" s="210">
        <f>IF(ISNUMBER(SEARCH('LARP Summary'!$E$3,B720)),MAX(A$1:$B719)+1,0)</f>
        <v>0</v>
      </c>
      <c r="B720" s="214"/>
      <c r="E720" s="212" t="str">
        <f>IFERROR(VLOOKUP(ROWS($E$2:E720),$A$2:$B$214,2,0),"")</f>
        <v/>
      </c>
    </row>
    <row r="721" spans="1:5" x14ac:dyDescent="0.35">
      <c r="A721" s="210">
        <f>IF(ISNUMBER(SEARCH('LARP Summary'!$E$3,B721)),MAX(A$1:$B720)+1,0)</f>
        <v>0</v>
      </c>
      <c r="B721" s="214"/>
      <c r="E721" s="212" t="str">
        <f>IFERROR(VLOOKUP(ROWS($E$2:E721),$A$2:$B$214,2,0),"")</f>
        <v/>
      </c>
    </row>
    <row r="722" spans="1:5" x14ac:dyDescent="0.35">
      <c r="A722" s="210">
        <f>IF(ISNUMBER(SEARCH('LARP Summary'!$E$3,B722)),MAX(A$1:$B721)+1,0)</f>
        <v>0</v>
      </c>
      <c r="B722" s="214"/>
      <c r="E722" s="212" t="str">
        <f>IFERROR(VLOOKUP(ROWS($E$2:E722),$A$2:$B$214,2,0),"")</f>
        <v/>
      </c>
    </row>
    <row r="723" spans="1:5" x14ac:dyDescent="0.35">
      <c r="A723" s="210">
        <f>IF(ISNUMBER(SEARCH('LARP Summary'!$E$3,B723)),MAX(A$1:$B722)+1,0)</f>
        <v>0</v>
      </c>
      <c r="B723" s="214"/>
      <c r="E723" s="212" t="str">
        <f>IFERROR(VLOOKUP(ROWS($E$2:E723),$A$2:$B$214,2,0),"")</f>
        <v/>
      </c>
    </row>
    <row r="724" spans="1:5" x14ac:dyDescent="0.35">
      <c r="A724" s="210">
        <f>IF(ISNUMBER(SEARCH('LARP Summary'!$E$3,B724)),MAX(A$1:$B723)+1,0)</f>
        <v>0</v>
      </c>
      <c r="B724" s="214"/>
      <c r="E724" s="212" t="str">
        <f>IFERROR(VLOOKUP(ROWS($E$2:E724),$A$2:$B$214,2,0),"")</f>
        <v/>
      </c>
    </row>
    <row r="725" spans="1:5" x14ac:dyDescent="0.35">
      <c r="A725" s="210">
        <f>IF(ISNUMBER(SEARCH('LARP Summary'!$E$3,B725)),MAX(A$1:$B724)+1,0)</f>
        <v>0</v>
      </c>
      <c r="B725" s="214"/>
      <c r="E725" s="212" t="str">
        <f>IFERROR(VLOOKUP(ROWS($E$2:E725),$A$2:$B$214,2,0),"")</f>
        <v/>
      </c>
    </row>
    <row r="726" spans="1:5" x14ac:dyDescent="0.35">
      <c r="A726" s="210">
        <f>IF(ISNUMBER(SEARCH('LARP Summary'!$E$3,B726)),MAX(A$1:$B725)+1,0)</f>
        <v>0</v>
      </c>
      <c r="B726" s="214"/>
      <c r="E726" s="212" t="str">
        <f>IFERROR(VLOOKUP(ROWS($E$2:E726),$A$2:$B$214,2,0),"")</f>
        <v/>
      </c>
    </row>
    <row r="727" spans="1:5" x14ac:dyDescent="0.35">
      <c r="A727" s="210">
        <f>IF(ISNUMBER(SEARCH('LARP Summary'!$E$3,B727)),MAX(A$1:$B726)+1,0)</f>
        <v>0</v>
      </c>
      <c r="B727" s="214"/>
      <c r="E727" s="212" t="str">
        <f>IFERROR(VLOOKUP(ROWS($E$2:E727),$A$2:$B$214,2,0),"")</f>
        <v/>
      </c>
    </row>
    <row r="728" spans="1:5" x14ac:dyDescent="0.35">
      <c r="A728" s="210">
        <f>IF(ISNUMBER(SEARCH('LARP Summary'!$E$3,B728)),MAX(A$1:$B727)+1,0)</f>
        <v>0</v>
      </c>
      <c r="B728" s="214"/>
      <c r="E728" s="212" t="str">
        <f>IFERROR(VLOOKUP(ROWS($E$2:E728),$A$2:$B$214,2,0),"")</f>
        <v/>
      </c>
    </row>
    <row r="729" spans="1:5" x14ac:dyDescent="0.35">
      <c r="A729" s="210">
        <f>IF(ISNUMBER(SEARCH('LARP Summary'!$E$3,B729)),MAX(A$1:$B728)+1,0)</f>
        <v>0</v>
      </c>
      <c r="B729" s="214"/>
      <c r="E729" s="212" t="str">
        <f>IFERROR(VLOOKUP(ROWS($E$2:E729),$A$2:$B$214,2,0),"")</f>
        <v/>
      </c>
    </row>
    <row r="730" spans="1:5" x14ac:dyDescent="0.35">
      <c r="A730" s="210">
        <f>IF(ISNUMBER(SEARCH('LARP Summary'!$E$3,B730)),MAX(A$1:$B729)+1,0)</f>
        <v>0</v>
      </c>
      <c r="B730" s="214"/>
      <c r="E730" s="212" t="str">
        <f>IFERROR(VLOOKUP(ROWS($E$2:E730),$A$2:$B$214,2,0),"")</f>
        <v/>
      </c>
    </row>
    <row r="731" spans="1:5" x14ac:dyDescent="0.35">
      <c r="A731" s="210">
        <f>IF(ISNUMBER(SEARCH('LARP Summary'!$E$3,B731)),MAX(A$1:$B730)+1,0)</f>
        <v>0</v>
      </c>
      <c r="B731" s="214"/>
      <c r="E731" s="212" t="str">
        <f>IFERROR(VLOOKUP(ROWS($E$2:E731),$A$2:$B$214,2,0),"")</f>
        <v/>
      </c>
    </row>
    <row r="732" spans="1:5" x14ac:dyDescent="0.35">
      <c r="A732" s="210">
        <f>IF(ISNUMBER(SEARCH('LARP Summary'!$E$3,B732)),MAX(A$1:$B731)+1,0)</f>
        <v>0</v>
      </c>
      <c r="B732" s="214"/>
      <c r="E732" s="212" t="str">
        <f>IFERROR(VLOOKUP(ROWS($E$2:E732),$A$2:$B$214,2,0),"")</f>
        <v/>
      </c>
    </row>
    <row r="733" spans="1:5" x14ac:dyDescent="0.35">
      <c r="A733" s="210">
        <f>IF(ISNUMBER(SEARCH('LARP Summary'!$E$3,B733)),MAX(A$1:$B732)+1,0)</f>
        <v>0</v>
      </c>
      <c r="B733" s="214"/>
      <c r="E733" s="212" t="str">
        <f>IFERROR(VLOOKUP(ROWS($E$2:E733),$A$2:$B$214,2,0),"")</f>
        <v/>
      </c>
    </row>
    <row r="734" spans="1:5" x14ac:dyDescent="0.35">
      <c r="A734" s="210">
        <f>IF(ISNUMBER(SEARCH('LARP Summary'!$E$3,B734)),MAX(A$1:$B733)+1,0)</f>
        <v>0</v>
      </c>
      <c r="B734" s="214"/>
      <c r="E734" s="212" t="str">
        <f>IFERROR(VLOOKUP(ROWS($E$2:E734),$A$2:$B$214,2,0),"")</f>
        <v/>
      </c>
    </row>
    <row r="735" spans="1:5" x14ac:dyDescent="0.35">
      <c r="A735" s="210">
        <f>IF(ISNUMBER(SEARCH('LARP Summary'!$E$3,B735)),MAX(A$1:$B734)+1,0)</f>
        <v>0</v>
      </c>
      <c r="B735" s="214"/>
      <c r="E735" s="212" t="str">
        <f>IFERROR(VLOOKUP(ROWS($E$2:E735),$A$2:$B$214,2,0),"")</f>
        <v/>
      </c>
    </row>
    <row r="736" spans="1:5" x14ac:dyDescent="0.35">
      <c r="A736" s="210">
        <f>IF(ISNUMBER(SEARCH('LARP Summary'!$E$3,B736)),MAX(A$1:$B735)+1,0)</f>
        <v>0</v>
      </c>
      <c r="B736" s="214"/>
      <c r="E736" s="212" t="str">
        <f>IFERROR(VLOOKUP(ROWS($E$2:E736),$A$2:$B$214,2,0),"")</f>
        <v/>
      </c>
    </row>
    <row r="737" spans="1:5" x14ac:dyDescent="0.35">
      <c r="A737" s="210">
        <f>IF(ISNUMBER(SEARCH('LARP Summary'!$E$3,B737)),MAX(A$1:$B736)+1,0)</f>
        <v>0</v>
      </c>
      <c r="B737" s="214"/>
      <c r="E737" s="212" t="str">
        <f>IFERROR(VLOOKUP(ROWS($E$2:E737),$A$2:$B$214,2,0),"")</f>
        <v/>
      </c>
    </row>
    <row r="738" spans="1:5" x14ac:dyDescent="0.35">
      <c r="A738" s="210">
        <f>IF(ISNUMBER(SEARCH('LARP Summary'!$E$3,B738)),MAX(A$1:$B737)+1,0)</f>
        <v>0</v>
      </c>
      <c r="B738" s="214"/>
      <c r="E738" s="212" t="str">
        <f>IFERROR(VLOOKUP(ROWS($E$2:E738),$A$2:$B$214,2,0),"")</f>
        <v/>
      </c>
    </row>
    <row r="739" spans="1:5" x14ac:dyDescent="0.35">
      <c r="A739" s="210">
        <f>IF(ISNUMBER(SEARCH('LARP Summary'!$E$3,B739)),MAX(A$1:$B738)+1,0)</f>
        <v>0</v>
      </c>
      <c r="B739" s="214"/>
      <c r="E739" s="212" t="str">
        <f>IFERROR(VLOOKUP(ROWS($E$2:E739),$A$2:$B$214,2,0),"")</f>
        <v/>
      </c>
    </row>
    <row r="740" spans="1:5" x14ac:dyDescent="0.35">
      <c r="A740" s="210">
        <f>IF(ISNUMBER(SEARCH('LARP Summary'!$E$3,B740)),MAX(A$1:$B739)+1,0)</f>
        <v>0</v>
      </c>
      <c r="B740" s="214"/>
      <c r="E740" s="212" t="str">
        <f>IFERROR(VLOOKUP(ROWS($E$2:E740),$A$2:$B$214,2,0),"")</f>
        <v/>
      </c>
    </row>
    <row r="741" spans="1:5" x14ac:dyDescent="0.35">
      <c r="A741" s="210">
        <f>IF(ISNUMBER(SEARCH('LARP Summary'!$E$3,B741)),MAX(A$1:$B740)+1,0)</f>
        <v>0</v>
      </c>
      <c r="B741" s="214"/>
      <c r="E741" s="212" t="str">
        <f>IFERROR(VLOOKUP(ROWS($E$2:E741),$A$2:$B$214,2,0),"")</f>
        <v/>
      </c>
    </row>
    <row r="742" spans="1:5" x14ac:dyDescent="0.35">
      <c r="A742" s="210">
        <f>IF(ISNUMBER(SEARCH('LARP Summary'!$E$3,B742)),MAX(A$1:$B741)+1,0)</f>
        <v>0</v>
      </c>
      <c r="B742" s="214"/>
      <c r="E742" s="212" t="str">
        <f>IFERROR(VLOOKUP(ROWS($E$2:E742),$A$2:$B$214,2,0),"")</f>
        <v/>
      </c>
    </row>
    <row r="743" spans="1:5" x14ac:dyDescent="0.35">
      <c r="A743" s="210">
        <f>IF(ISNUMBER(SEARCH('LARP Summary'!$E$3,B743)),MAX(A$1:$B742)+1,0)</f>
        <v>0</v>
      </c>
      <c r="B743" s="214"/>
      <c r="E743" s="212" t="str">
        <f>IFERROR(VLOOKUP(ROWS($E$2:E743),$A$2:$B$214,2,0),"")</f>
        <v/>
      </c>
    </row>
    <row r="744" spans="1:5" x14ac:dyDescent="0.35">
      <c r="A744" s="210">
        <f>IF(ISNUMBER(SEARCH('LARP Summary'!$E$3,B744)),MAX(A$1:$B743)+1,0)</f>
        <v>0</v>
      </c>
      <c r="B744" s="214"/>
      <c r="E744" s="212" t="str">
        <f>IFERROR(VLOOKUP(ROWS($E$2:E744),$A$2:$B$214,2,0),"")</f>
        <v/>
      </c>
    </row>
    <row r="745" spans="1:5" x14ac:dyDescent="0.35">
      <c r="A745" s="210">
        <f>IF(ISNUMBER(SEARCH('LARP Summary'!$E$3,B745)),MAX(A$1:$B744)+1,0)</f>
        <v>0</v>
      </c>
      <c r="B745" s="214"/>
      <c r="E745" s="212" t="str">
        <f>IFERROR(VLOOKUP(ROWS($E$2:E745),$A$2:$B$214,2,0),"")</f>
        <v/>
      </c>
    </row>
    <row r="746" spans="1:5" x14ac:dyDescent="0.35">
      <c r="A746" s="210">
        <f>IF(ISNUMBER(SEARCH('LARP Summary'!$E$3,B746)),MAX(A$1:$B745)+1,0)</f>
        <v>0</v>
      </c>
      <c r="B746" s="214"/>
      <c r="E746" s="212" t="str">
        <f>IFERROR(VLOOKUP(ROWS($E$2:E746),$A$2:$B$214,2,0),"")</f>
        <v/>
      </c>
    </row>
    <row r="747" spans="1:5" x14ac:dyDescent="0.35">
      <c r="A747" s="210">
        <f>IF(ISNUMBER(SEARCH('LARP Summary'!$E$3,B747)),MAX(A$1:$B746)+1,0)</f>
        <v>0</v>
      </c>
      <c r="B747" s="214"/>
      <c r="E747" s="212" t="str">
        <f>IFERROR(VLOOKUP(ROWS($E$2:E747),$A$2:$B$214,2,0),"")</f>
        <v/>
      </c>
    </row>
    <row r="748" spans="1:5" x14ac:dyDescent="0.35">
      <c r="A748" s="210">
        <f>IF(ISNUMBER(SEARCH('LARP Summary'!$E$3,B748)),MAX(A$1:$B747)+1,0)</f>
        <v>0</v>
      </c>
      <c r="B748" s="214"/>
      <c r="E748" s="212" t="str">
        <f>IFERROR(VLOOKUP(ROWS($E$2:E748),$A$2:$B$214,2,0),"")</f>
        <v/>
      </c>
    </row>
    <row r="749" spans="1:5" x14ac:dyDescent="0.35">
      <c r="A749" s="210">
        <f>IF(ISNUMBER(SEARCH('LARP Summary'!$E$3,B749)),MAX(A$1:$B748)+1,0)</f>
        <v>0</v>
      </c>
      <c r="B749" s="214"/>
      <c r="E749" s="212" t="str">
        <f>IFERROR(VLOOKUP(ROWS($E$2:E749),$A$2:$B$214,2,0),"")</f>
        <v/>
      </c>
    </row>
    <row r="750" spans="1:5" x14ac:dyDescent="0.35">
      <c r="A750" s="210">
        <f>IF(ISNUMBER(SEARCH('LARP Summary'!$E$3,B750)),MAX(A$1:$B749)+1,0)</f>
        <v>0</v>
      </c>
      <c r="B750" s="214"/>
      <c r="E750" s="212" t="str">
        <f>IFERROR(VLOOKUP(ROWS($E$2:E750),$A$2:$B$214,2,0),"")</f>
        <v/>
      </c>
    </row>
    <row r="751" spans="1:5" x14ac:dyDescent="0.35">
      <c r="A751" s="210">
        <f>IF(ISNUMBER(SEARCH('LARP Summary'!$E$3,B751)),MAX(A$1:$B750)+1,0)</f>
        <v>0</v>
      </c>
      <c r="B751" s="214"/>
      <c r="E751" s="212" t="str">
        <f>IFERROR(VLOOKUP(ROWS($E$2:E751),$A$2:$B$214,2,0),"")</f>
        <v/>
      </c>
    </row>
    <row r="752" spans="1:5" x14ac:dyDescent="0.35">
      <c r="A752" s="210">
        <f>IF(ISNUMBER(SEARCH('LARP Summary'!$E$3,B752)),MAX(A$1:$B751)+1,0)</f>
        <v>0</v>
      </c>
      <c r="B752" s="214"/>
      <c r="E752" s="212" t="str">
        <f>IFERROR(VLOOKUP(ROWS($E$2:E752),$A$2:$B$214,2,0),"")</f>
        <v/>
      </c>
    </row>
    <row r="753" spans="1:5" x14ac:dyDescent="0.35">
      <c r="A753" s="210">
        <f>IF(ISNUMBER(SEARCH('LARP Summary'!$E$3,B753)),MAX(A$1:$B752)+1,0)</f>
        <v>0</v>
      </c>
      <c r="B753" s="214"/>
      <c r="E753" s="212" t="str">
        <f>IFERROR(VLOOKUP(ROWS($E$2:E753),$A$2:$B$214,2,0),"")</f>
        <v/>
      </c>
    </row>
    <row r="754" spans="1:5" x14ac:dyDescent="0.35">
      <c r="A754" s="210">
        <f>IF(ISNUMBER(SEARCH('LARP Summary'!$E$3,B754)),MAX(A$1:$B753)+1,0)</f>
        <v>0</v>
      </c>
      <c r="B754" s="214"/>
      <c r="E754" s="212" t="str">
        <f>IFERROR(VLOOKUP(ROWS($E$2:E754),$A$2:$B$214,2,0),"")</f>
        <v/>
      </c>
    </row>
    <row r="755" spans="1:5" x14ac:dyDescent="0.35">
      <c r="A755" s="210">
        <f>IF(ISNUMBER(SEARCH('LARP Summary'!$E$3,B755)),MAX(A$1:$B754)+1,0)</f>
        <v>0</v>
      </c>
      <c r="B755" s="214"/>
      <c r="E755" s="212" t="str">
        <f>IFERROR(VLOOKUP(ROWS($E$2:E755),$A$2:$B$214,2,0),"")</f>
        <v/>
      </c>
    </row>
    <row r="756" spans="1:5" x14ac:dyDescent="0.35">
      <c r="A756" s="210">
        <f>IF(ISNUMBER(SEARCH('LARP Summary'!$E$3,B756)),MAX(A$1:$B755)+1,0)</f>
        <v>0</v>
      </c>
      <c r="B756" s="214"/>
      <c r="E756" s="212" t="str">
        <f>IFERROR(VLOOKUP(ROWS($E$2:E756),$A$2:$B$214,2,0),"")</f>
        <v/>
      </c>
    </row>
    <row r="757" spans="1:5" x14ac:dyDescent="0.35">
      <c r="A757" s="210">
        <f>IF(ISNUMBER(SEARCH('LARP Summary'!$E$3,B757)),MAX(A$1:$B756)+1,0)</f>
        <v>0</v>
      </c>
      <c r="B757" s="214"/>
      <c r="E757" s="212" t="str">
        <f>IFERROR(VLOOKUP(ROWS($E$2:E757),$A$2:$B$214,2,0),"")</f>
        <v/>
      </c>
    </row>
    <row r="758" spans="1:5" x14ac:dyDescent="0.35">
      <c r="A758" s="210">
        <f>IF(ISNUMBER(SEARCH('LARP Summary'!$E$3,B758)),MAX(A$1:$B757)+1,0)</f>
        <v>0</v>
      </c>
      <c r="B758" s="214"/>
      <c r="E758" s="212" t="str">
        <f>IFERROR(VLOOKUP(ROWS($E$2:E758),$A$2:$B$214,2,0),"")</f>
        <v/>
      </c>
    </row>
    <row r="759" spans="1:5" x14ac:dyDescent="0.35">
      <c r="A759" s="210">
        <f>IF(ISNUMBER(SEARCH('LARP Summary'!$E$3,B759)),MAX(A$1:$B758)+1,0)</f>
        <v>0</v>
      </c>
      <c r="B759" s="214"/>
      <c r="E759" s="212" t="str">
        <f>IFERROR(VLOOKUP(ROWS($E$2:E759),$A$2:$B$214,2,0),"")</f>
        <v/>
      </c>
    </row>
    <row r="760" spans="1:5" x14ac:dyDescent="0.35">
      <c r="A760" s="210">
        <f>IF(ISNUMBER(SEARCH('LARP Summary'!$E$3,B760)),MAX(A$1:$B759)+1,0)</f>
        <v>0</v>
      </c>
      <c r="B760" s="214"/>
      <c r="E760" s="212" t="str">
        <f>IFERROR(VLOOKUP(ROWS($E$2:E760),$A$2:$B$214,2,0),"")</f>
        <v/>
      </c>
    </row>
    <row r="761" spans="1:5" x14ac:dyDescent="0.35">
      <c r="A761" s="210">
        <f>IF(ISNUMBER(SEARCH('LARP Summary'!$E$3,B761)),MAX(A$1:$B760)+1,0)</f>
        <v>0</v>
      </c>
      <c r="B761" s="214"/>
      <c r="E761" s="212" t="str">
        <f>IFERROR(VLOOKUP(ROWS($E$2:E761),$A$2:$B$214,2,0),"")</f>
        <v/>
      </c>
    </row>
    <row r="762" spans="1:5" x14ac:dyDescent="0.35">
      <c r="A762" s="210">
        <f>IF(ISNUMBER(SEARCH('LARP Summary'!$E$3,B762)),MAX(A$1:$B761)+1,0)</f>
        <v>0</v>
      </c>
      <c r="B762" s="214"/>
      <c r="E762" s="212" t="str">
        <f>IFERROR(VLOOKUP(ROWS($E$2:E762),$A$2:$B$214,2,0),"")</f>
        <v/>
      </c>
    </row>
    <row r="763" spans="1:5" x14ac:dyDescent="0.35">
      <c r="A763" s="210">
        <f>IF(ISNUMBER(SEARCH('LARP Summary'!$E$3,B763)),MAX(A$1:$B762)+1,0)</f>
        <v>0</v>
      </c>
      <c r="B763" s="214"/>
      <c r="E763" s="212" t="str">
        <f>IFERROR(VLOOKUP(ROWS($E$2:E763),$A$2:$B$214,2,0),"")</f>
        <v/>
      </c>
    </row>
    <row r="764" spans="1:5" x14ac:dyDescent="0.35">
      <c r="A764" s="210">
        <f>IF(ISNUMBER(SEARCH('LARP Summary'!$E$3,B764)),MAX(A$1:$B763)+1,0)</f>
        <v>0</v>
      </c>
      <c r="B764" s="214"/>
      <c r="E764" s="212" t="str">
        <f>IFERROR(VLOOKUP(ROWS($E$2:E764),$A$2:$B$214,2,0),"")</f>
        <v/>
      </c>
    </row>
    <row r="765" spans="1:5" x14ac:dyDescent="0.35">
      <c r="A765" s="210">
        <f>IF(ISNUMBER(SEARCH('LARP Summary'!$E$3,B765)),MAX(A$1:$B764)+1,0)</f>
        <v>0</v>
      </c>
      <c r="B765" s="214"/>
      <c r="E765" s="212" t="str">
        <f>IFERROR(VLOOKUP(ROWS($E$2:E765),$A$2:$B$214,2,0),"")</f>
        <v/>
      </c>
    </row>
    <row r="766" spans="1:5" x14ac:dyDescent="0.35">
      <c r="A766" s="210">
        <f>IF(ISNUMBER(SEARCH('LARP Summary'!$E$3,B766)),MAX(A$1:$B765)+1,0)</f>
        <v>0</v>
      </c>
      <c r="B766" s="214"/>
      <c r="E766" s="212" t="str">
        <f>IFERROR(VLOOKUP(ROWS($E$2:E766),$A$2:$B$214,2,0),"")</f>
        <v/>
      </c>
    </row>
    <row r="767" spans="1:5" x14ac:dyDescent="0.35">
      <c r="A767" s="210">
        <f>IF(ISNUMBER(SEARCH('LARP Summary'!$E$3,B767)),MAX(A$1:$B766)+1,0)</f>
        <v>0</v>
      </c>
      <c r="B767" s="214"/>
      <c r="E767" s="212" t="str">
        <f>IFERROR(VLOOKUP(ROWS($E$2:E767),$A$2:$B$214,2,0),"")</f>
        <v/>
      </c>
    </row>
    <row r="768" spans="1:5" x14ac:dyDescent="0.35">
      <c r="A768" s="210">
        <f>IF(ISNUMBER(SEARCH('LARP Summary'!$E$3,B768)),MAX(A$1:$B767)+1,0)</f>
        <v>0</v>
      </c>
      <c r="B768" s="214"/>
      <c r="E768" s="212" t="str">
        <f>IFERROR(VLOOKUP(ROWS($E$2:E768),$A$2:$B$214,2,0),"")</f>
        <v/>
      </c>
    </row>
    <row r="769" spans="1:5" x14ac:dyDescent="0.35">
      <c r="A769" s="210">
        <f>IF(ISNUMBER(SEARCH('LARP Summary'!$E$3,B769)),MAX(A$1:$B768)+1,0)</f>
        <v>0</v>
      </c>
      <c r="B769" s="214"/>
      <c r="E769" s="212" t="str">
        <f>IFERROR(VLOOKUP(ROWS($E$2:E769),$A$2:$B$214,2,0),"")</f>
        <v/>
      </c>
    </row>
    <row r="770" spans="1:5" x14ac:dyDescent="0.35">
      <c r="A770" s="210">
        <f>IF(ISNUMBER(SEARCH('LARP Summary'!$E$3,B770)),MAX(A$1:$B769)+1,0)</f>
        <v>0</v>
      </c>
      <c r="B770" s="214"/>
      <c r="E770" s="212" t="str">
        <f>IFERROR(VLOOKUP(ROWS($E$2:E770),$A$2:$B$214,2,0),"")</f>
        <v/>
      </c>
    </row>
    <row r="771" spans="1:5" x14ac:dyDescent="0.35">
      <c r="A771" s="210">
        <f>IF(ISNUMBER(SEARCH('LARP Summary'!$E$3,B771)),MAX(A$1:$B770)+1,0)</f>
        <v>0</v>
      </c>
      <c r="B771" s="214"/>
      <c r="E771" s="212" t="str">
        <f>IFERROR(VLOOKUP(ROWS($E$2:E771),$A$2:$B$214,2,0),"")</f>
        <v/>
      </c>
    </row>
    <row r="772" spans="1:5" x14ac:dyDescent="0.35">
      <c r="A772" s="210">
        <f>IF(ISNUMBER(SEARCH('LARP Summary'!$E$3,B772)),MAX(A$1:$B771)+1,0)</f>
        <v>0</v>
      </c>
      <c r="B772" s="214"/>
      <c r="E772" s="212" t="str">
        <f>IFERROR(VLOOKUP(ROWS($E$2:E772),$A$2:$B$214,2,0),"")</f>
        <v/>
      </c>
    </row>
    <row r="773" spans="1:5" x14ac:dyDescent="0.35">
      <c r="A773" s="210">
        <f>IF(ISNUMBER(SEARCH('LARP Summary'!$E$3,B773)),MAX(A$1:$B772)+1,0)</f>
        <v>0</v>
      </c>
      <c r="B773" s="214"/>
      <c r="E773" s="212" t="str">
        <f>IFERROR(VLOOKUP(ROWS($E$2:E773),$A$2:$B$214,2,0),"")</f>
        <v/>
      </c>
    </row>
    <row r="774" spans="1:5" x14ac:dyDescent="0.35">
      <c r="A774" s="210">
        <f>IF(ISNUMBER(SEARCH('LARP Summary'!$E$3,B774)),MAX(A$1:$B773)+1,0)</f>
        <v>0</v>
      </c>
      <c r="B774" s="214"/>
      <c r="E774" s="212" t="str">
        <f>IFERROR(VLOOKUP(ROWS($E$2:E774),$A$2:$B$214,2,0),"")</f>
        <v/>
      </c>
    </row>
    <row r="775" spans="1:5" x14ac:dyDescent="0.35">
      <c r="A775" s="210">
        <f>IF(ISNUMBER(SEARCH('LARP Summary'!$E$3,B775)),MAX(A$1:$B774)+1,0)</f>
        <v>0</v>
      </c>
      <c r="B775" s="214"/>
      <c r="E775" s="212" t="str">
        <f>IFERROR(VLOOKUP(ROWS($E$2:E775),$A$2:$B$214,2,0),"")</f>
        <v/>
      </c>
    </row>
    <row r="776" spans="1:5" x14ac:dyDescent="0.35">
      <c r="A776" s="210">
        <f>IF(ISNUMBER(SEARCH('LARP Summary'!$E$3,B776)),MAX(A$1:$B775)+1,0)</f>
        <v>0</v>
      </c>
      <c r="B776" s="214"/>
      <c r="E776" s="212" t="str">
        <f>IFERROR(VLOOKUP(ROWS($E$2:E776),$A$2:$B$214,2,0),"")</f>
        <v/>
      </c>
    </row>
    <row r="777" spans="1:5" x14ac:dyDescent="0.35">
      <c r="A777" s="210">
        <f>IF(ISNUMBER(SEARCH('LARP Summary'!$E$3,B777)),MAX(A$1:$B776)+1,0)</f>
        <v>0</v>
      </c>
      <c r="B777" s="214"/>
      <c r="E777" s="212" t="str">
        <f>IFERROR(VLOOKUP(ROWS($E$2:E777),$A$2:$B$214,2,0),"")</f>
        <v/>
      </c>
    </row>
    <row r="778" spans="1:5" x14ac:dyDescent="0.35">
      <c r="A778" s="210">
        <f>IF(ISNUMBER(SEARCH('LARP Summary'!$E$3,B778)),MAX(A$1:$B777)+1,0)</f>
        <v>0</v>
      </c>
      <c r="B778" s="214"/>
      <c r="E778" s="212" t="str">
        <f>IFERROR(VLOOKUP(ROWS($E$2:E778),$A$2:$B$214,2,0),"")</f>
        <v/>
      </c>
    </row>
    <row r="779" spans="1:5" x14ac:dyDescent="0.35">
      <c r="A779" s="210">
        <f>IF(ISNUMBER(SEARCH('LARP Summary'!$E$3,B779)),MAX(A$1:$B778)+1,0)</f>
        <v>0</v>
      </c>
      <c r="B779" s="214"/>
      <c r="E779" s="212" t="str">
        <f>IFERROR(VLOOKUP(ROWS($E$2:E779),$A$2:$B$214,2,0),"")</f>
        <v/>
      </c>
    </row>
    <row r="780" spans="1:5" x14ac:dyDescent="0.35">
      <c r="A780" s="210">
        <f>IF(ISNUMBER(SEARCH('LARP Summary'!$E$3,B780)),MAX(A$1:$B779)+1,0)</f>
        <v>0</v>
      </c>
      <c r="B780" s="214"/>
      <c r="E780" s="212" t="str">
        <f>IFERROR(VLOOKUP(ROWS($E$2:E780),$A$2:$B$214,2,0),"")</f>
        <v/>
      </c>
    </row>
    <row r="781" spans="1:5" x14ac:dyDescent="0.35">
      <c r="A781" s="210">
        <f>IF(ISNUMBER(SEARCH('LARP Summary'!$E$3,B781)),MAX(A$1:$B780)+1,0)</f>
        <v>0</v>
      </c>
      <c r="B781" s="214"/>
      <c r="E781" s="212" t="str">
        <f>IFERROR(VLOOKUP(ROWS($E$2:E781),$A$2:$B$214,2,0),"")</f>
        <v/>
      </c>
    </row>
    <row r="782" spans="1:5" x14ac:dyDescent="0.35">
      <c r="A782" s="210">
        <f>IF(ISNUMBER(SEARCH('LARP Summary'!$E$3,B782)),MAX(A$1:$B781)+1,0)</f>
        <v>0</v>
      </c>
      <c r="B782" s="214"/>
      <c r="E782" s="212" t="str">
        <f>IFERROR(VLOOKUP(ROWS($E$2:E782),$A$2:$B$214,2,0),"")</f>
        <v/>
      </c>
    </row>
    <row r="783" spans="1:5" x14ac:dyDescent="0.35">
      <c r="A783" s="210">
        <f>IF(ISNUMBER(SEARCH('LARP Summary'!$E$3,B783)),MAX(A$1:$B782)+1,0)</f>
        <v>0</v>
      </c>
      <c r="B783" s="214"/>
      <c r="E783" s="212" t="str">
        <f>IFERROR(VLOOKUP(ROWS($E$2:E783),$A$2:$B$214,2,0),"")</f>
        <v/>
      </c>
    </row>
    <row r="784" spans="1:5" x14ac:dyDescent="0.35">
      <c r="A784" s="210">
        <f>IF(ISNUMBER(SEARCH('LARP Summary'!$E$3,B784)),MAX(A$1:$B783)+1,0)</f>
        <v>0</v>
      </c>
      <c r="B784" s="214"/>
      <c r="E784" s="212" t="str">
        <f>IFERROR(VLOOKUP(ROWS($E$2:E784),$A$2:$B$214,2,0),"")</f>
        <v/>
      </c>
    </row>
    <row r="785" spans="1:5" x14ac:dyDescent="0.35">
      <c r="A785" s="210">
        <f>IF(ISNUMBER(SEARCH('LARP Summary'!$E$3,B785)),MAX(A$1:$B784)+1,0)</f>
        <v>0</v>
      </c>
      <c r="B785" s="214"/>
      <c r="E785" s="212" t="str">
        <f>IFERROR(VLOOKUP(ROWS($E$2:E785),$A$2:$B$214,2,0),"")</f>
        <v/>
      </c>
    </row>
    <row r="786" spans="1:5" x14ac:dyDescent="0.35">
      <c r="A786" s="210">
        <f>IF(ISNUMBER(SEARCH('LARP Summary'!$E$3,B786)),MAX(A$1:$B785)+1,0)</f>
        <v>0</v>
      </c>
      <c r="B786" s="214"/>
      <c r="E786" s="212" t="str">
        <f>IFERROR(VLOOKUP(ROWS($E$2:E786),$A$2:$B$214,2,0),"")</f>
        <v/>
      </c>
    </row>
    <row r="787" spans="1:5" x14ac:dyDescent="0.35">
      <c r="A787" s="210">
        <f>IF(ISNUMBER(SEARCH('LARP Summary'!$E$3,B787)),MAX(A$1:$B786)+1,0)</f>
        <v>0</v>
      </c>
      <c r="B787" s="214"/>
      <c r="E787" s="212" t="str">
        <f>IFERROR(VLOOKUP(ROWS($E$2:E787),$A$2:$B$214,2,0),"")</f>
        <v/>
      </c>
    </row>
    <row r="788" spans="1:5" x14ac:dyDescent="0.35">
      <c r="A788" s="210">
        <f>IF(ISNUMBER(SEARCH('LARP Summary'!$E$3,B788)),MAX(A$1:$B787)+1,0)</f>
        <v>0</v>
      </c>
      <c r="B788" s="214"/>
      <c r="E788" s="212" t="str">
        <f>IFERROR(VLOOKUP(ROWS($E$2:E788),$A$2:$B$214,2,0),"")</f>
        <v/>
      </c>
    </row>
    <row r="789" spans="1:5" x14ac:dyDescent="0.35">
      <c r="A789" s="210">
        <f>IF(ISNUMBER(SEARCH('LARP Summary'!$E$3,B789)),MAX(A$1:$B788)+1,0)</f>
        <v>0</v>
      </c>
      <c r="B789" s="214"/>
      <c r="E789" s="212" t="str">
        <f>IFERROR(VLOOKUP(ROWS($E$2:E789),$A$2:$B$214,2,0),"")</f>
        <v/>
      </c>
    </row>
    <row r="790" spans="1:5" x14ac:dyDescent="0.35">
      <c r="A790" s="210">
        <f>IF(ISNUMBER(SEARCH('LARP Summary'!$E$3,B790)),MAX(A$1:$B789)+1,0)</f>
        <v>0</v>
      </c>
      <c r="B790" s="214"/>
      <c r="E790" s="212" t="str">
        <f>IFERROR(VLOOKUP(ROWS($E$2:E790),$A$2:$B$214,2,0),"")</f>
        <v/>
      </c>
    </row>
    <row r="791" spans="1:5" x14ac:dyDescent="0.35">
      <c r="A791" s="210">
        <f>IF(ISNUMBER(SEARCH('LARP Summary'!$E$3,B791)),MAX(A$1:$B790)+1,0)</f>
        <v>0</v>
      </c>
      <c r="B791" s="214"/>
      <c r="E791" s="212" t="str">
        <f>IFERROR(VLOOKUP(ROWS($E$2:E791),$A$2:$B$214,2,0),"")</f>
        <v/>
      </c>
    </row>
    <row r="792" spans="1:5" x14ac:dyDescent="0.35">
      <c r="A792" s="210">
        <f>IF(ISNUMBER(SEARCH('LARP Summary'!$E$3,B792)),MAX(A$1:$B791)+1,0)</f>
        <v>0</v>
      </c>
      <c r="B792" s="214"/>
      <c r="E792" s="212" t="str">
        <f>IFERROR(VLOOKUP(ROWS($E$2:E792),$A$2:$B$214,2,0),"")</f>
        <v/>
      </c>
    </row>
    <row r="793" spans="1:5" x14ac:dyDescent="0.35">
      <c r="A793" s="210">
        <f>IF(ISNUMBER(SEARCH('LARP Summary'!$E$3,B793)),MAX(A$1:$B792)+1,0)</f>
        <v>0</v>
      </c>
      <c r="B793" s="214"/>
      <c r="E793" s="212" t="str">
        <f>IFERROR(VLOOKUP(ROWS($E$2:E793),$A$2:$B$214,2,0),"")</f>
        <v/>
      </c>
    </row>
    <row r="794" spans="1:5" x14ac:dyDescent="0.35">
      <c r="A794" s="210">
        <f>IF(ISNUMBER(SEARCH('LARP Summary'!$E$3,B794)),MAX(A$1:$B793)+1,0)</f>
        <v>0</v>
      </c>
      <c r="B794" s="214"/>
      <c r="E794" s="212" t="str">
        <f>IFERROR(VLOOKUP(ROWS($E$2:E794),$A$2:$B$214,2,0),"")</f>
        <v/>
      </c>
    </row>
    <row r="795" spans="1:5" x14ac:dyDescent="0.35">
      <c r="A795" s="210">
        <f>IF(ISNUMBER(SEARCH('LARP Summary'!$E$3,B795)),MAX(A$1:$B794)+1,0)</f>
        <v>0</v>
      </c>
      <c r="B795" s="214"/>
      <c r="E795" s="212" t="str">
        <f>IFERROR(VLOOKUP(ROWS($E$2:E795),$A$2:$B$214,2,0),"")</f>
        <v/>
      </c>
    </row>
    <row r="796" spans="1:5" x14ac:dyDescent="0.35">
      <c r="A796" s="210">
        <f>IF(ISNUMBER(SEARCH('LARP Summary'!$E$3,B796)),MAX(A$1:$B795)+1,0)</f>
        <v>0</v>
      </c>
      <c r="B796" s="214"/>
      <c r="E796" s="212" t="str">
        <f>IFERROR(VLOOKUP(ROWS($E$2:E796),$A$2:$B$214,2,0),"")</f>
        <v/>
      </c>
    </row>
    <row r="797" spans="1:5" x14ac:dyDescent="0.35">
      <c r="A797" s="210">
        <f>IF(ISNUMBER(SEARCH('LARP Summary'!$E$3,B797)),MAX(A$1:$B796)+1,0)</f>
        <v>0</v>
      </c>
      <c r="B797" s="214"/>
      <c r="E797" s="212" t="str">
        <f>IFERROR(VLOOKUP(ROWS($E$2:E797),$A$2:$B$214,2,0),"")</f>
        <v/>
      </c>
    </row>
    <row r="798" spans="1:5" x14ac:dyDescent="0.35">
      <c r="A798" s="210">
        <f>IF(ISNUMBER(SEARCH('LARP Summary'!$E$3,B798)),MAX(A$1:$B797)+1,0)</f>
        <v>0</v>
      </c>
      <c r="B798" s="214"/>
      <c r="E798" s="212" t="str">
        <f>IFERROR(VLOOKUP(ROWS($E$2:E798),$A$2:$B$214,2,0),"")</f>
        <v/>
      </c>
    </row>
    <row r="799" spans="1:5" x14ac:dyDescent="0.35">
      <c r="A799" s="210">
        <f>IF(ISNUMBER(SEARCH('LARP Summary'!$E$3,B799)),MAX(A$1:$B798)+1,0)</f>
        <v>0</v>
      </c>
      <c r="B799" s="214"/>
      <c r="E799" s="212" t="str">
        <f>IFERROR(VLOOKUP(ROWS($E$2:E799),$A$2:$B$214,2,0),"")</f>
        <v/>
      </c>
    </row>
    <row r="800" spans="1:5" x14ac:dyDescent="0.35">
      <c r="A800" s="210">
        <f>IF(ISNUMBER(SEARCH('LARP Summary'!$E$3,B800)),MAX(A$1:$B799)+1,0)</f>
        <v>0</v>
      </c>
      <c r="B800" s="214"/>
      <c r="E800" s="212" t="str">
        <f>IFERROR(VLOOKUP(ROWS($E$2:E800),$A$2:$B$214,2,0),"")</f>
        <v/>
      </c>
    </row>
    <row r="801" spans="1:5" x14ac:dyDescent="0.35">
      <c r="A801" s="210">
        <f>IF(ISNUMBER(SEARCH('LARP Summary'!$E$3,B801)),MAX(A$1:$B800)+1,0)</f>
        <v>0</v>
      </c>
      <c r="B801" s="214"/>
      <c r="E801" s="212" t="str">
        <f>IFERROR(VLOOKUP(ROWS($E$2:E801),$A$2:$B$214,2,0),"")</f>
        <v/>
      </c>
    </row>
    <row r="802" spans="1:5" x14ac:dyDescent="0.35">
      <c r="A802" s="210">
        <f>IF(ISNUMBER(SEARCH('LARP Summary'!$E$3,B802)),MAX(A$1:$B801)+1,0)</f>
        <v>0</v>
      </c>
      <c r="B802" s="214"/>
      <c r="E802" s="212" t="str">
        <f>IFERROR(VLOOKUP(ROWS($E$2:E802),$A$2:$B$214,2,0),"")</f>
        <v/>
      </c>
    </row>
    <row r="803" spans="1:5" x14ac:dyDescent="0.35">
      <c r="A803" s="210">
        <f>IF(ISNUMBER(SEARCH('LARP Summary'!$E$3,B803)),MAX(A$1:$B802)+1,0)</f>
        <v>0</v>
      </c>
      <c r="B803" s="214"/>
      <c r="E803" s="212" t="str">
        <f>IFERROR(VLOOKUP(ROWS($E$2:E803),$A$2:$B$214,2,0),"")</f>
        <v/>
      </c>
    </row>
    <row r="804" spans="1:5" x14ac:dyDescent="0.35">
      <c r="A804" s="210">
        <f>IF(ISNUMBER(SEARCH('LARP Summary'!$E$3,B804)),MAX(A$1:$B803)+1,0)</f>
        <v>0</v>
      </c>
      <c r="B804" s="214"/>
      <c r="E804" s="212" t="str">
        <f>IFERROR(VLOOKUP(ROWS($E$2:E804),$A$2:$B$214,2,0),"")</f>
        <v/>
      </c>
    </row>
    <row r="805" spans="1:5" x14ac:dyDescent="0.35">
      <c r="A805" s="210">
        <f>IF(ISNUMBER(SEARCH('LARP Summary'!$E$3,B805)),MAX(A$1:$B804)+1,0)</f>
        <v>0</v>
      </c>
      <c r="B805" s="214"/>
      <c r="E805" s="212" t="str">
        <f>IFERROR(VLOOKUP(ROWS($E$2:E805),$A$2:$B$214,2,0),"")</f>
        <v/>
      </c>
    </row>
    <row r="806" spans="1:5" x14ac:dyDescent="0.35">
      <c r="A806" s="210">
        <f>IF(ISNUMBER(SEARCH('LARP Summary'!$E$3,B806)),MAX(A$1:$B805)+1,0)</f>
        <v>0</v>
      </c>
      <c r="B806" s="214"/>
      <c r="E806" s="212" t="str">
        <f>IFERROR(VLOOKUP(ROWS($E$2:E806),$A$2:$B$214,2,0),"")</f>
        <v/>
      </c>
    </row>
    <row r="807" spans="1:5" x14ac:dyDescent="0.35">
      <c r="A807" s="210">
        <f>IF(ISNUMBER(SEARCH('LARP Summary'!$E$3,B807)),MAX(A$1:$B806)+1,0)</f>
        <v>0</v>
      </c>
      <c r="B807" s="214"/>
      <c r="E807" s="212" t="str">
        <f>IFERROR(VLOOKUP(ROWS($E$2:E807),$A$2:$B$214,2,0),"")</f>
        <v/>
      </c>
    </row>
    <row r="808" spans="1:5" x14ac:dyDescent="0.35">
      <c r="A808" s="210">
        <f>IF(ISNUMBER(SEARCH('LARP Summary'!$E$3,B808)),MAX(A$1:$B807)+1,0)</f>
        <v>0</v>
      </c>
      <c r="B808" s="214"/>
      <c r="E808" s="212" t="str">
        <f>IFERROR(VLOOKUP(ROWS($E$2:E808),$A$2:$B$214,2,0),"")</f>
        <v/>
      </c>
    </row>
    <row r="809" spans="1:5" x14ac:dyDescent="0.35">
      <c r="A809" s="210">
        <f>IF(ISNUMBER(SEARCH('LARP Summary'!$E$3,B809)),MAX(A$1:$B808)+1,0)</f>
        <v>0</v>
      </c>
      <c r="B809" s="214"/>
      <c r="E809" s="212" t="str">
        <f>IFERROR(VLOOKUP(ROWS($E$2:E809),$A$2:$B$214,2,0),"")</f>
        <v/>
      </c>
    </row>
    <row r="810" spans="1:5" x14ac:dyDescent="0.35">
      <c r="A810" s="210">
        <f>IF(ISNUMBER(SEARCH('LARP Summary'!$E$3,B810)),MAX(A$1:$B809)+1,0)</f>
        <v>0</v>
      </c>
      <c r="B810" s="214"/>
      <c r="E810" s="212" t="str">
        <f>IFERROR(VLOOKUP(ROWS($E$2:E810),$A$2:$B$214,2,0),"")</f>
        <v/>
      </c>
    </row>
    <row r="811" spans="1:5" x14ac:dyDescent="0.35">
      <c r="A811" s="210">
        <f>IF(ISNUMBER(SEARCH('LARP Summary'!$E$3,B811)),MAX(A$1:$B810)+1,0)</f>
        <v>0</v>
      </c>
      <c r="B811" s="214"/>
      <c r="E811" s="212" t="str">
        <f>IFERROR(VLOOKUP(ROWS($E$2:E811),$A$2:$B$214,2,0),"")</f>
        <v/>
      </c>
    </row>
    <row r="812" spans="1:5" x14ac:dyDescent="0.35">
      <c r="A812" s="210">
        <f>IF(ISNUMBER(SEARCH('LARP Summary'!$E$3,B812)),MAX(A$1:$B811)+1,0)</f>
        <v>0</v>
      </c>
      <c r="B812" s="214"/>
      <c r="E812" s="212" t="str">
        <f>IFERROR(VLOOKUP(ROWS($E$2:E812),$A$2:$B$214,2,0),"")</f>
        <v/>
      </c>
    </row>
    <row r="813" spans="1:5" x14ac:dyDescent="0.35">
      <c r="A813" s="210">
        <f>IF(ISNUMBER(SEARCH('LARP Summary'!$E$3,B813)),MAX(A$1:$B812)+1,0)</f>
        <v>0</v>
      </c>
      <c r="B813" s="214"/>
      <c r="E813" s="212" t="str">
        <f>IFERROR(VLOOKUP(ROWS($E$2:E813),$A$2:$B$214,2,0),"")</f>
        <v/>
      </c>
    </row>
    <row r="814" spans="1:5" x14ac:dyDescent="0.35">
      <c r="A814" s="210">
        <f>IF(ISNUMBER(SEARCH('LARP Summary'!$E$3,B814)),MAX(A$1:$B813)+1,0)</f>
        <v>0</v>
      </c>
      <c r="B814" s="214"/>
      <c r="E814" s="212" t="str">
        <f>IFERROR(VLOOKUP(ROWS($E$2:E814),$A$2:$B$214,2,0),"")</f>
        <v/>
      </c>
    </row>
    <row r="815" spans="1:5" x14ac:dyDescent="0.35">
      <c r="A815" s="210">
        <f>IF(ISNUMBER(SEARCH('LARP Summary'!$E$3,B815)),MAX(A$1:$B814)+1,0)</f>
        <v>0</v>
      </c>
      <c r="B815" s="214"/>
      <c r="E815" s="212" t="str">
        <f>IFERROR(VLOOKUP(ROWS($E$2:E815),$A$2:$B$214,2,0),"")</f>
        <v/>
      </c>
    </row>
    <row r="816" spans="1:5" x14ac:dyDescent="0.35">
      <c r="A816" s="210">
        <f>IF(ISNUMBER(SEARCH('LARP Summary'!$E$3,B816)),MAX(A$1:$B815)+1,0)</f>
        <v>0</v>
      </c>
      <c r="B816" s="214"/>
      <c r="E816" s="212" t="str">
        <f>IFERROR(VLOOKUP(ROWS($E$2:E816),$A$2:$B$214,2,0),"")</f>
        <v/>
      </c>
    </row>
    <row r="817" spans="1:5" x14ac:dyDescent="0.35">
      <c r="A817" s="210">
        <f>IF(ISNUMBER(SEARCH('LARP Summary'!$E$3,B817)),MAX(A$1:$B816)+1,0)</f>
        <v>0</v>
      </c>
      <c r="B817" s="214"/>
      <c r="E817" s="212" t="str">
        <f>IFERROR(VLOOKUP(ROWS($E$2:E817),$A$2:$B$214,2,0),"")</f>
        <v/>
      </c>
    </row>
    <row r="818" spans="1:5" x14ac:dyDescent="0.35">
      <c r="A818" s="210">
        <f>IF(ISNUMBER(SEARCH('LARP Summary'!$E$3,B818)),MAX(A$1:$B817)+1,0)</f>
        <v>0</v>
      </c>
      <c r="B818" s="214"/>
      <c r="E818" s="212" t="str">
        <f>IFERROR(VLOOKUP(ROWS($E$2:E818),$A$2:$B$214,2,0),"")</f>
        <v/>
      </c>
    </row>
    <row r="819" spans="1:5" x14ac:dyDescent="0.35">
      <c r="A819" s="210">
        <f>IF(ISNUMBER(SEARCH('LARP Summary'!$E$3,B819)),MAX(A$1:$B818)+1,0)</f>
        <v>0</v>
      </c>
      <c r="B819" s="214"/>
      <c r="E819" s="212" t="str">
        <f>IFERROR(VLOOKUP(ROWS($E$2:E819),$A$2:$B$214,2,0),"")</f>
        <v/>
      </c>
    </row>
    <row r="820" spans="1:5" x14ac:dyDescent="0.35">
      <c r="A820" s="210">
        <f>IF(ISNUMBER(SEARCH('LARP Summary'!$E$3,B820)),MAX(A$1:$B819)+1,0)</f>
        <v>0</v>
      </c>
      <c r="B820" s="214"/>
      <c r="E820" s="212" t="str">
        <f>IFERROR(VLOOKUP(ROWS($E$2:E820),$A$2:$B$214,2,0),"")</f>
        <v/>
      </c>
    </row>
    <row r="821" spans="1:5" x14ac:dyDescent="0.35">
      <c r="A821" s="210">
        <f>IF(ISNUMBER(SEARCH('LARP Summary'!$E$3,B821)),MAX(A$1:$B820)+1,0)</f>
        <v>0</v>
      </c>
      <c r="B821" s="214"/>
      <c r="E821" s="212" t="str">
        <f>IFERROR(VLOOKUP(ROWS($E$2:E821),$A$2:$B$214,2,0),"")</f>
        <v/>
      </c>
    </row>
    <row r="822" spans="1:5" x14ac:dyDescent="0.35">
      <c r="A822" s="210">
        <f>IF(ISNUMBER(SEARCH('LARP Summary'!$E$3,B822)),MAX(A$1:$B821)+1,0)</f>
        <v>0</v>
      </c>
      <c r="B822" s="214"/>
      <c r="E822" s="212" t="str">
        <f>IFERROR(VLOOKUP(ROWS($E$2:E822),$A$2:$B$214,2,0),"")</f>
        <v/>
      </c>
    </row>
    <row r="823" spans="1:5" x14ac:dyDescent="0.35">
      <c r="A823" s="210">
        <f>IF(ISNUMBER(SEARCH('LARP Summary'!$E$3,B823)),MAX(A$1:$B822)+1,0)</f>
        <v>0</v>
      </c>
      <c r="B823" s="214"/>
      <c r="E823" s="212" t="str">
        <f>IFERROR(VLOOKUP(ROWS($E$2:E823),$A$2:$B$214,2,0),"")</f>
        <v/>
      </c>
    </row>
    <row r="824" spans="1:5" x14ac:dyDescent="0.35">
      <c r="A824" s="210">
        <f>IF(ISNUMBER(SEARCH('LARP Summary'!$E$3,B824)),MAX(A$1:$B823)+1,0)</f>
        <v>0</v>
      </c>
      <c r="B824" s="214"/>
      <c r="E824" s="212" t="str">
        <f>IFERROR(VLOOKUP(ROWS($E$2:E824),$A$2:$B$214,2,0),"")</f>
        <v/>
      </c>
    </row>
    <row r="825" spans="1:5" x14ac:dyDescent="0.35">
      <c r="A825" s="210">
        <f>IF(ISNUMBER(SEARCH('LARP Summary'!$E$3,B825)),MAX(A$1:$B824)+1,0)</f>
        <v>0</v>
      </c>
      <c r="B825" s="214"/>
      <c r="E825" s="212" t="str">
        <f>IFERROR(VLOOKUP(ROWS($E$2:E825),$A$2:$B$214,2,0),"")</f>
        <v/>
      </c>
    </row>
    <row r="826" spans="1:5" x14ac:dyDescent="0.35">
      <c r="A826" s="210">
        <f>IF(ISNUMBER(SEARCH('LARP Summary'!$E$3,B826)),MAX(A$1:$B825)+1,0)</f>
        <v>0</v>
      </c>
      <c r="B826" s="214"/>
      <c r="E826" s="212" t="str">
        <f>IFERROR(VLOOKUP(ROWS($E$2:E826),$A$2:$B$214,2,0),"")</f>
        <v/>
      </c>
    </row>
    <row r="827" spans="1:5" x14ac:dyDescent="0.35">
      <c r="A827" s="210">
        <f>IF(ISNUMBER(SEARCH('LARP Summary'!$E$3,B827)),MAX(A$1:$B826)+1,0)</f>
        <v>0</v>
      </c>
      <c r="B827" s="214"/>
      <c r="E827" s="212" t="str">
        <f>IFERROR(VLOOKUP(ROWS($E$2:E827),$A$2:$B$214,2,0),"")</f>
        <v/>
      </c>
    </row>
    <row r="828" spans="1:5" x14ac:dyDescent="0.35">
      <c r="A828" s="210">
        <f>IF(ISNUMBER(SEARCH('LARP Summary'!$E$3,B828)),MAX(A$1:$B827)+1,0)</f>
        <v>0</v>
      </c>
      <c r="B828" s="214"/>
      <c r="E828" s="212" t="str">
        <f>IFERROR(VLOOKUP(ROWS($E$2:E828),$A$2:$B$214,2,0),"")</f>
        <v/>
      </c>
    </row>
    <row r="829" spans="1:5" x14ac:dyDescent="0.35">
      <c r="A829" s="210">
        <f>IF(ISNUMBER(SEARCH('LARP Summary'!$E$3,B829)),MAX(A$1:$B828)+1,0)</f>
        <v>0</v>
      </c>
      <c r="B829" s="214"/>
      <c r="E829" s="212" t="str">
        <f>IFERROR(VLOOKUP(ROWS($E$2:E829),$A$2:$B$214,2,0),"")</f>
        <v/>
      </c>
    </row>
    <row r="830" spans="1:5" x14ac:dyDescent="0.35">
      <c r="A830" s="210">
        <f>IF(ISNUMBER(SEARCH('LARP Summary'!$E$3,B830)),MAX(A$1:$B829)+1,0)</f>
        <v>0</v>
      </c>
      <c r="B830" s="214"/>
      <c r="E830" s="212" t="str">
        <f>IFERROR(VLOOKUP(ROWS($E$2:E830),$A$2:$B$214,2,0),"")</f>
        <v/>
      </c>
    </row>
    <row r="831" spans="1:5" x14ac:dyDescent="0.35">
      <c r="A831" s="210">
        <f>IF(ISNUMBER(SEARCH('LARP Summary'!$E$3,B831)),MAX(A$1:$B830)+1,0)</f>
        <v>0</v>
      </c>
      <c r="B831" s="214"/>
      <c r="E831" s="212" t="str">
        <f>IFERROR(VLOOKUP(ROWS($E$2:E831),$A$2:$B$214,2,0),"")</f>
        <v/>
      </c>
    </row>
    <row r="832" spans="1:5" x14ac:dyDescent="0.35">
      <c r="A832" s="210">
        <f>IF(ISNUMBER(SEARCH('LARP Summary'!$E$3,B832)),MAX(A$1:$B831)+1,0)</f>
        <v>0</v>
      </c>
      <c r="B832" s="214"/>
      <c r="E832" s="212" t="str">
        <f>IFERROR(VLOOKUP(ROWS($E$2:E832),$A$2:$B$214,2,0),"")</f>
        <v/>
      </c>
    </row>
    <row r="833" spans="1:5" x14ac:dyDescent="0.35">
      <c r="A833" s="210">
        <f>IF(ISNUMBER(SEARCH('LARP Summary'!$E$3,B833)),MAX(A$1:$B832)+1,0)</f>
        <v>0</v>
      </c>
      <c r="B833" s="214"/>
      <c r="E833" s="212" t="str">
        <f>IFERROR(VLOOKUP(ROWS($E$2:E833),$A$2:$B$214,2,0),"")</f>
        <v/>
      </c>
    </row>
    <row r="834" spans="1:5" x14ac:dyDescent="0.35">
      <c r="A834" s="210">
        <f>IF(ISNUMBER(SEARCH('LARP Summary'!$E$3,B834)),MAX(A$1:$B833)+1,0)</f>
        <v>0</v>
      </c>
      <c r="B834" s="214"/>
      <c r="E834" s="212" t="str">
        <f>IFERROR(VLOOKUP(ROWS($E$2:E834),$A$2:$B$214,2,0),"")</f>
        <v/>
      </c>
    </row>
    <row r="835" spans="1:5" x14ac:dyDescent="0.35">
      <c r="A835" s="210">
        <f>IF(ISNUMBER(SEARCH('LARP Summary'!$E$3,B835)),MAX(A$1:$B834)+1,0)</f>
        <v>0</v>
      </c>
      <c r="B835" s="214"/>
      <c r="E835" s="212" t="str">
        <f>IFERROR(VLOOKUP(ROWS($E$2:E835),$A$2:$B$214,2,0),"")</f>
        <v/>
      </c>
    </row>
    <row r="836" spans="1:5" x14ac:dyDescent="0.35">
      <c r="A836" s="210">
        <f>IF(ISNUMBER(SEARCH('LARP Summary'!$E$3,B836)),MAX(A$1:$B835)+1,0)</f>
        <v>0</v>
      </c>
      <c r="B836" s="214"/>
      <c r="E836" s="212" t="str">
        <f>IFERROR(VLOOKUP(ROWS($E$2:E836),$A$2:$B$214,2,0),"")</f>
        <v/>
      </c>
    </row>
    <row r="837" spans="1:5" x14ac:dyDescent="0.35">
      <c r="A837" s="210">
        <f>IF(ISNUMBER(SEARCH('LARP Summary'!$E$3,B837)),MAX(A$1:$B836)+1,0)</f>
        <v>0</v>
      </c>
      <c r="B837" s="214"/>
      <c r="E837" s="212" t="str">
        <f>IFERROR(VLOOKUP(ROWS($E$2:E837),$A$2:$B$214,2,0),"")</f>
        <v/>
      </c>
    </row>
    <row r="838" spans="1:5" x14ac:dyDescent="0.35">
      <c r="A838" s="210">
        <f>IF(ISNUMBER(SEARCH('LARP Summary'!$E$3,B838)),MAX(A$1:$B837)+1,0)</f>
        <v>0</v>
      </c>
      <c r="B838" s="214"/>
      <c r="E838" s="212" t="str">
        <f>IFERROR(VLOOKUP(ROWS($E$2:E838),$A$2:$B$214,2,0),"")</f>
        <v/>
      </c>
    </row>
    <row r="839" spans="1:5" x14ac:dyDescent="0.35">
      <c r="A839" s="210">
        <f>IF(ISNUMBER(SEARCH('LARP Summary'!$E$3,B839)),MAX(A$1:$B838)+1,0)</f>
        <v>0</v>
      </c>
      <c r="B839" s="214"/>
      <c r="E839" s="212" t="str">
        <f>IFERROR(VLOOKUP(ROWS($E$2:E839),$A$2:$B$214,2,0),"")</f>
        <v/>
      </c>
    </row>
    <row r="840" spans="1:5" x14ac:dyDescent="0.35">
      <c r="A840" s="210">
        <f>IF(ISNUMBER(SEARCH('LARP Summary'!$E$3,B840)),MAX(A$1:$B839)+1,0)</f>
        <v>0</v>
      </c>
      <c r="B840" s="214"/>
      <c r="E840" s="212" t="str">
        <f>IFERROR(VLOOKUP(ROWS($E$2:E840),$A$2:$B$214,2,0),"")</f>
        <v/>
      </c>
    </row>
    <row r="841" spans="1:5" x14ac:dyDescent="0.35">
      <c r="A841" s="210">
        <f>IF(ISNUMBER(SEARCH('LARP Summary'!$E$3,B841)),MAX(A$1:$B840)+1,0)</f>
        <v>0</v>
      </c>
      <c r="B841" s="214"/>
      <c r="E841" s="212" t="str">
        <f>IFERROR(VLOOKUP(ROWS($E$2:E841),$A$2:$B$214,2,0),"")</f>
        <v/>
      </c>
    </row>
    <row r="842" spans="1:5" x14ac:dyDescent="0.35">
      <c r="A842" s="210">
        <f>IF(ISNUMBER(SEARCH('LARP Summary'!$E$3,B842)),MAX(A$1:$B841)+1,0)</f>
        <v>0</v>
      </c>
      <c r="B842" s="214"/>
      <c r="E842" s="212" t="str">
        <f>IFERROR(VLOOKUP(ROWS($E$2:E842),$A$2:$B$214,2,0),"")</f>
        <v/>
      </c>
    </row>
    <row r="843" spans="1:5" x14ac:dyDescent="0.35">
      <c r="A843" s="210">
        <f>IF(ISNUMBER(SEARCH('LARP Summary'!$E$3,B843)),MAX(A$1:$B842)+1,0)</f>
        <v>0</v>
      </c>
      <c r="B843" s="214"/>
      <c r="E843" s="212" t="str">
        <f>IFERROR(VLOOKUP(ROWS($E$2:E843),$A$2:$B$214,2,0),"")</f>
        <v/>
      </c>
    </row>
    <row r="844" spans="1:5" x14ac:dyDescent="0.35">
      <c r="A844" s="210">
        <f>IF(ISNUMBER(SEARCH('LARP Summary'!$E$3,B844)),MAX(A$1:$B843)+1,0)</f>
        <v>0</v>
      </c>
      <c r="B844" s="214"/>
      <c r="E844" s="212" t="str">
        <f>IFERROR(VLOOKUP(ROWS($E$2:E844),$A$2:$B$214,2,0),"")</f>
        <v/>
      </c>
    </row>
    <row r="845" spans="1:5" x14ac:dyDescent="0.35">
      <c r="A845" s="210">
        <f>IF(ISNUMBER(SEARCH('LARP Summary'!$E$3,B845)),MAX(A$1:$B844)+1,0)</f>
        <v>0</v>
      </c>
      <c r="B845" s="214"/>
      <c r="E845" s="212" t="str">
        <f>IFERROR(VLOOKUP(ROWS($E$2:E845),$A$2:$B$214,2,0),"")</f>
        <v/>
      </c>
    </row>
    <row r="846" spans="1:5" x14ac:dyDescent="0.35">
      <c r="A846" s="210">
        <f>IF(ISNUMBER(SEARCH('LARP Summary'!$E$3,B846)),MAX(A$1:$B845)+1,0)</f>
        <v>0</v>
      </c>
      <c r="B846" s="214"/>
      <c r="E846" s="212" t="str">
        <f>IFERROR(VLOOKUP(ROWS($E$2:E846),$A$2:$B$214,2,0),"")</f>
        <v/>
      </c>
    </row>
    <row r="847" spans="1:5" x14ac:dyDescent="0.35">
      <c r="A847" s="210">
        <f>IF(ISNUMBER(SEARCH('LARP Summary'!$E$3,B847)),MAX(A$1:$B846)+1,0)</f>
        <v>0</v>
      </c>
      <c r="B847" s="214"/>
      <c r="E847" s="212" t="str">
        <f>IFERROR(VLOOKUP(ROWS($E$2:E847),$A$2:$B$214,2,0),"")</f>
        <v/>
      </c>
    </row>
    <row r="848" spans="1:5" x14ac:dyDescent="0.35">
      <c r="A848" s="210">
        <f>IF(ISNUMBER(SEARCH('LARP Summary'!$E$3,B848)),MAX(A$1:$B847)+1,0)</f>
        <v>0</v>
      </c>
      <c r="B848" s="214"/>
      <c r="E848" s="212" t="str">
        <f>IFERROR(VLOOKUP(ROWS($E$2:E848),$A$2:$B$214,2,0),"")</f>
        <v/>
      </c>
    </row>
    <row r="849" spans="1:5" x14ac:dyDescent="0.35">
      <c r="A849" s="210">
        <f>IF(ISNUMBER(SEARCH('LARP Summary'!$E$3,B849)),MAX(A$1:$B848)+1,0)</f>
        <v>0</v>
      </c>
      <c r="B849" s="214"/>
      <c r="E849" s="212" t="str">
        <f>IFERROR(VLOOKUP(ROWS($E$2:E849),$A$2:$B$214,2,0),"")</f>
        <v/>
      </c>
    </row>
    <row r="850" spans="1:5" x14ac:dyDescent="0.35">
      <c r="A850" s="210">
        <f>IF(ISNUMBER(SEARCH('LARP Summary'!$E$3,B850)),MAX(A$1:$B849)+1,0)</f>
        <v>0</v>
      </c>
      <c r="B850" s="214"/>
      <c r="E850" s="212" t="str">
        <f>IFERROR(VLOOKUP(ROWS($E$2:E850),$A$2:$B$214,2,0),"")</f>
        <v/>
      </c>
    </row>
    <row r="851" spans="1:5" x14ac:dyDescent="0.35">
      <c r="A851" s="210">
        <f>IF(ISNUMBER(SEARCH('LARP Summary'!$E$3,B851)),MAX(A$1:$B850)+1,0)</f>
        <v>0</v>
      </c>
      <c r="B851" s="214"/>
      <c r="E851" s="212" t="str">
        <f>IFERROR(VLOOKUP(ROWS($E$2:E851),$A$2:$B$214,2,0),"")</f>
        <v/>
      </c>
    </row>
    <row r="852" spans="1:5" x14ac:dyDescent="0.35">
      <c r="A852" s="210">
        <f>IF(ISNUMBER(SEARCH('LARP Summary'!$E$3,B852)),MAX(A$1:$B851)+1,0)</f>
        <v>0</v>
      </c>
      <c r="B852" s="214"/>
      <c r="E852" s="212" t="str">
        <f>IFERROR(VLOOKUP(ROWS($E$2:E852),$A$2:$B$214,2,0),"")</f>
        <v/>
      </c>
    </row>
    <row r="853" spans="1:5" x14ac:dyDescent="0.35">
      <c r="A853" s="210">
        <f>IF(ISNUMBER(SEARCH('LARP Summary'!$E$3,B853)),MAX(A$1:$B852)+1,0)</f>
        <v>0</v>
      </c>
      <c r="B853" s="214"/>
      <c r="E853" s="212" t="str">
        <f>IFERROR(VLOOKUP(ROWS($E$2:E853),$A$2:$B$214,2,0),"")</f>
        <v/>
      </c>
    </row>
    <row r="854" spans="1:5" x14ac:dyDescent="0.35">
      <c r="A854" s="210">
        <f>IF(ISNUMBER(SEARCH('LARP Summary'!$E$3,B854)),MAX(A$1:$B853)+1,0)</f>
        <v>0</v>
      </c>
      <c r="B854" s="214"/>
      <c r="E854" s="212" t="str">
        <f>IFERROR(VLOOKUP(ROWS($E$2:E854),$A$2:$B$214,2,0),"")</f>
        <v/>
      </c>
    </row>
    <row r="855" spans="1:5" x14ac:dyDescent="0.35">
      <c r="A855" s="210">
        <f>IF(ISNUMBER(SEARCH('LARP Summary'!$E$3,B855)),MAX(A$1:$B854)+1,0)</f>
        <v>0</v>
      </c>
      <c r="B855" s="214"/>
      <c r="E855" s="212" t="str">
        <f>IFERROR(VLOOKUP(ROWS($E$2:E855),$A$2:$B$214,2,0),"")</f>
        <v/>
      </c>
    </row>
    <row r="856" spans="1:5" x14ac:dyDescent="0.35">
      <c r="A856" s="210">
        <f>IF(ISNUMBER(SEARCH('LARP Summary'!$E$3,B856)),MAX(A$1:$B855)+1,0)</f>
        <v>0</v>
      </c>
      <c r="B856" s="214"/>
      <c r="E856" s="212" t="str">
        <f>IFERROR(VLOOKUP(ROWS($E$2:E856),$A$2:$B$214,2,0),"")</f>
        <v/>
      </c>
    </row>
    <row r="857" spans="1:5" x14ac:dyDescent="0.35">
      <c r="A857" s="210">
        <f>IF(ISNUMBER(SEARCH('LARP Summary'!$E$3,B857)),MAX(A$1:$B856)+1,0)</f>
        <v>0</v>
      </c>
      <c r="B857" s="214"/>
      <c r="E857" s="212" t="str">
        <f>IFERROR(VLOOKUP(ROWS($E$2:E857),$A$2:$B$214,2,0),"")</f>
        <v/>
      </c>
    </row>
    <row r="858" spans="1:5" x14ac:dyDescent="0.35">
      <c r="A858" s="210">
        <f>IF(ISNUMBER(SEARCH('LARP Summary'!$E$3,B858)),MAX(A$1:$B857)+1,0)</f>
        <v>0</v>
      </c>
      <c r="B858" s="214"/>
      <c r="E858" s="212" t="str">
        <f>IFERROR(VLOOKUP(ROWS($E$2:E858),$A$2:$B$214,2,0),"")</f>
        <v/>
      </c>
    </row>
    <row r="859" spans="1:5" x14ac:dyDescent="0.35">
      <c r="A859" s="210">
        <f>IF(ISNUMBER(SEARCH('LARP Summary'!$E$3,B859)),MAX(A$1:$B858)+1,0)</f>
        <v>0</v>
      </c>
      <c r="B859" s="214"/>
      <c r="E859" s="212" t="str">
        <f>IFERROR(VLOOKUP(ROWS($E$2:E859),$A$2:$B$214,2,0),"")</f>
        <v/>
      </c>
    </row>
    <row r="860" spans="1:5" x14ac:dyDescent="0.35">
      <c r="A860" s="210">
        <f>IF(ISNUMBER(SEARCH('LARP Summary'!$E$3,B860)),MAX(A$1:$B859)+1,0)</f>
        <v>0</v>
      </c>
      <c r="B860" s="214"/>
      <c r="E860" s="212" t="str">
        <f>IFERROR(VLOOKUP(ROWS($E$2:E860),$A$2:$B$214,2,0),"")</f>
        <v/>
      </c>
    </row>
    <row r="861" spans="1:5" x14ac:dyDescent="0.35">
      <c r="A861" s="210">
        <f>IF(ISNUMBER(SEARCH('LARP Summary'!$E$3,B861)),MAX(A$1:$B860)+1,0)</f>
        <v>0</v>
      </c>
      <c r="B861" s="214"/>
      <c r="E861" s="212" t="str">
        <f>IFERROR(VLOOKUP(ROWS($E$2:E861),$A$2:$B$214,2,0),"")</f>
        <v/>
      </c>
    </row>
    <row r="862" spans="1:5" x14ac:dyDescent="0.35">
      <c r="A862" s="210">
        <f>IF(ISNUMBER(SEARCH('LARP Summary'!$E$3,B862)),MAX(A$1:$B861)+1,0)</f>
        <v>0</v>
      </c>
      <c r="B862" s="214"/>
      <c r="E862" s="212" t="str">
        <f>IFERROR(VLOOKUP(ROWS($E$2:E862),$A$2:$B$214,2,0),"")</f>
        <v/>
      </c>
    </row>
    <row r="863" spans="1:5" x14ac:dyDescent="0.35">
      <c r="A863" s="210">
        <f>IF(ISNUMBER(SEARCH('LARP Summary'!$E$3,B863)),MAX(A$1:$B862)+1,0)</f>
        <v>0</v>
      </c>
      <c r="B863" s="214"/>
      <c r="E863" s="212" t="str">
        <f>IFERROR(VLOOKUP(ROWS($E$2:E863),$A$2:$B$214,2,0),"")</f>
        <v/>
      </c>
    </row>
    <row r="864" spans="1:5" x14ac:dyDescent="0.35">
      <c r="A864" s="210">
        <f>IF(ISNUMBER(SEARCH('LARP Summary'!$E$3,B864)),MAX(A$1:$B863)+1,0)</f>
        <v>0</v>
      </c>
      <c r="B864" s="214"/>
      <c r="E864" s="212" t="str">
        <f>IFERROR(VLOOKUP(ROWS($E$2:E864),$A$2:$B$214,2,0),"")</f>
        <v/>
      </c>
    </row>
    <row r="865" spans="1:5" x14ac:dyDescent="0.35">
      <c r="A865" s="210">
        <f>IF(ISNUMBER(SEARCH('LARP Summary'!$E$3,B865)),MAX(A$1:$B864)+1,0)</f>
        <v>0</v>
      </c>
      <c r="B865" s="214"/>
      <c r="E865" s="212" t="str">
        <f>IFERROR(VLOOKUP(ROWS($E$2:E865),$A$2:$B$214,2,0),"")</f>
        <v/>
      </c>
    </row>
    <row r="866" spans="1:5" x14ac:dyDescent="0.35">
      <c r="A866" s="210">
        <f>IF(ISNUMBER(SEARCH('LARP Summary'!$E$3,B866)),MAX(A$1:$B865)+1,0)</f>
        <v>0</v>
      </c>
      <c r="B866" s="214"/>
      <c r="E866" s="212" t="str">
        <f>IFERROR(VLOOKUP(ROWS($E$2:E866),$A$2:$B$214,2,0),"")</f>
        <v/>
      </c>
    </row>
    <row r="867" spans="1:5" x14ac:dyDescent="0.35">
      <c r="A867" s="210">
        <f>IF(ISNUMBER(SEARCH('LARP Summary'!$E$3,B867)),MAX(A$1:$B866)+1,0)</f>
        <v>0</v>
      </c>
      <c r="B867" s="214"/>
      <c r="E867" s="212" t="str">
        <f>IFERROR(VLOOKUP(ROWS($E$2:E867),$A$2:$B$214,2,0),"")</f>
        <v/>
      </c>
    </row>
    <row r="868" spans="1:5" x14ac:dyDescent="0.35">
      <c r="A868" s="210">
        <f>IF(ISNUMBER(SEARCH('LARP Summary'!$E$3,B868)),MAX(A$1:$B867)+1,0)</f>
        <v>0</v>
      </c>
      <c r="B868" s="214"/>
      <c r="E868" s="212" t="str">
        <f>IFERROR(VLOOKUP(ROWS($E$2:E868),$A$2:$B$214,2,0),"")</f>
        <v/>
      </c>
    </row>
    <row r="869" spans="1:5" x14ac:dyDescent="0.35">
      <c r="A869" s="210">
        <f>IF(ISNUMBER(SEARCH('LARP Summary'!$E$3,B869)),MAX(A$1:$B868)+1,0)</f>
        <v>0</v>
      </c>
      <c r="B869" s="214"/>
      <c r="E869" s="212" t="str">
        <f>IFERROR(VLOOKUP(ROWS($E$2:E869),$A$2:$B$214,2,0),"")</f>
        <v/>
      </c>
    </row>
    <row r="870" spans="1:5" x14ac:dyDescent="0.35">
      <c r="A870" s="210">
        <f>IF(ISNUMBER(SEARCH('LARP Summary'!$E$3,B870)),MAX(A$1:$B869)+1,0)</f>
        <v>0</v>
      </c>
      <c r="B870" s="214"/>
      <c r="E870" s="212" t="str">
        <f>IFERROR(VLOOKUP(ROWS($E$2:E870),$A$2:$B$214,2,0),"")</f>
        <v/>
      </c>
    </row>
    <row r="871" spans="1:5" x14ac:dyDescent="0.35">
      <c r="A871" s="210">
        <f>IF(ISNUMBER(SEARCH('LARP Summary'!$E$3,B871)),MAX(A$1:$B870)+1,0)</f>
        <v>0</v>
      </c>
      <c r="B871" s="214"/>
      <c r="E871" s="212" t="str">
        <f>IFERROR(VLOOKUP(ROWS($E$2:E871),$A$2:$B$214,2,0),"")</f>
        <v/>
      </c>
    </row>
    <row r="872" spans="1:5" x14ac:dyDescent="0.35">
      <c r="A872" s="210">
        <f>IF(ISNUMBER(SEARCH('LARP Summary'!$E$3,B872)),MAX(A$1:$B871)+1,0)</f>
        <v>0</v>
      </c>
      <c r="B872" s="214"/>
      <c r="E872" s="212" t="str">
        <f>IFERROR(VLOOKUP(ROWS($E$2:E872),$A$2:$B$214,2,0),"")</f>
        <v/>
      </c>
    </row>
    <row r="873" spans="1:5" x14ac:dyDescent="0.35">
      <c r="A873" s="210">
        <f>IF(ISNUMBER(SEARCH('LARP Summary'!$E$3,B873)),MAX(A$1:$B872)+1,0)</f>
        <v>0</v>
      </c>
      <c r="B873" s="214"/>
      <c r="E873" s="212" t="str">
        <f>IFERROR(VLOOKUP(ROWS($E$2:E873),$A$2:$B$214,2,0),"")</f>
        <v/>
      </c>
    </row>
    <row r="874" spans="1:5" x14ac:dyDescent="0.35">
      <c r="A874" s="210">
        <f>IF(ISNUMBER(SEARCH('LARP Summary'!$E$3,B874)),MAX(A$1:$B873)+1,0)</f>
        <v>0</v>
      </c>
      <c r="B874" s="214"/>
      <c r="E874" s="212" t="str">
        <f>IFERROR(VLOOKUP(ROWS($E$2:E874),$A$2:$B$214,2,0),"")</f>
        <v/>
      </c>
    </row>
    <row r="875" spans="1:5" x14ac:dyDescent="0.35">
      <c r="A875" s="210">
        <f>IF(ISNUMBER(SEARCH('LARP Summary'!$E$3,B875)),MAX(A$1:$B874)+1,0)</f>
        <v>0</v>
      </c>
      <c r="B875" s="214"/>
      <c r="E875" s="212" t="str">
        <f>IFERROR(VLOOKUP(ROWS($E$2:E875),$A$2:$B$214,2,0),"")</f>
        <v/>
      </c>
    </row>
    <row r="876" spans="1:5" x14ac:dyDescent="0.35">
      <c r="A876" s="210">
        <f>IF(ISNUMBER(SEARCH('LARP Summary'!$E$3,B876)),MAX(A$1:$B875)+1,0)</f>
        <v>0</v>
      </c>
      <c r="B876" s="214"/>
      <c r="E876" s="212" t="str">
        <f>IFERROR(VLOOKUP(ROWS($E$2:E876),$A$2:$B$214,2,0),"")</f>
        <v/>
      </c>
    </row>
    <row r="877" spans="1:5" x14ac:dyDescent="0.35">
      <c r="A877" s="210">
        <f>IF(ISNUMBER(SEARCH('LARP Summary'!$E$3,B877)),MAX(A$1:$B876)+1,0)</f>
        <v>0</v>
      </c>
      <c r="B877" s="214"/>
      <c r="E877" s="212" t="str">
        <f>IFERROR(VLOOKUP(ROWS($E$2:E877),$A$2:$B$214,2,0),"")</f>
        <v/>
      </c>
    </row>
    <row r="878" spans="1:5" x14ac:dyDescent="0.35">
      <c r="A878" s="210">
        <f>IF(ISNUMBER(SEARCH('LARP Summary'!$E$3,B878)),MAX(A$1:$B877)+1,0)</f>
        <v>0</v>
      </c>
      <c r="B878" s="214"/>
      <c r="E878" s="212" t="str">
        <f>IFERROR(VLOOKUP(ROWS($E$2:E878),$A$2:$B$214,2,0),"")</f>
        <v/>
      </c>
    </row>
    <row r="879" spans="1:5" x14ac:dyDescent="0.35">
      <c r="A879" s="210">
        <f>IF(ISNUMBER(SEARCH('LARP Summary'!$E$3,B879)),MAX(A$1:$B878)+1,0)</f>
        <v>0</v>
      </c>
      <c r="B879" s="214"/>
      <c r="E879" s="212" t="str">
        <f>IFERROR(VLOOKUP(ROWS($E$2:E879),$A$2:$B$214,2,0),"")</f>
        <v/>
      </c>
    </row>
    <row r="880" spans="1:5" x14ac:dyDescent="0.35">
      <c r="A880" s="210">
        <f>IF(ISNUMBER(SEARCH('LARP Summary'!$E$3,B880)),MAX(A$1:$B879)+1,0)</f>
        <v>0</v>
      </c>
      <c r="B880" s="214"/>
      <c r="E880" s="212" t="str">
        <f>IFERROR(VLOOKUP(ROWS($E$2:E880),$A$2:$B$214,2,0),"")</f>
        <v/>
      </c>
    </row>
    <row r="881" spans="1:5" x14ac:dyDescent="0.35">
      <c r="A881" s="210">
        <f>IF(ISNUMBER(SEARCH('LARP Summary'!$E$3,B881)),MAX(A$1:$B880)+1,0)</f>
        <v>0</v>
      </c>
      <c r="B881" s="214"/>
      <c r="E881" s="212" t="str">
        <f>IFERROR(VLOOKUP(ROWS($E$2:E881),$A$2:$B$214,2,0),"")</f>
        <v/>
      </c>
    </row>
    <row r="882" spans="1:5" x14ac:dyDescent="0.35">
      <c r="A882" s="210">
        <f>IF(ISNUMBER(SEARCH('LARP Summary'!$E$3,B882)),MAX(A$1:$B881)+1,0)</f>
        <v>0</v>
      </c>
      <c r="B882" s="214"/>
      <c r="E882" s="212" t="str">
        <f>IFERROR(VLOOKUP(ROWS($E$2:E882),$A$2:$B$214,2,0),"")</f>
        <v/>
      </c>
    </row>
    <row r="883" spans="1:5" x14ac:dyDescent="0.35">
      <c r="A883" s="210">
        <f>IF(ISNUMBER(SEARCH('LARP Summary'!$E$3,B883)),MAX(A$1:$B882)+1,0)</f>
        <v>0</v>
      </c>
      <c r="B883" s="214"/>
      <c r="E883" s="212" t="str">
        <f>IFERROR(VLOOKUP(ROWS($E$2:E883),$A$2:$B$214,2,0),"")</f>
        <v/>
      </c>
    </row>
    <row r="884" spans="1:5" x14ac:dyDescent="0.35">
      <c r="A884" s="210">
        <f>IF(ISNUMBER(SEARCH('LARP Summary'!$E$3,B884)),MAX(A$1:$B883)+1,0)</f>
        <v>0</v>
      </c>
      <c r="B884" s="214"/>
      <c r="E884" s="212" t="str">
        <f>IFERROR(VLOOKUP(ROWS($E$2:E884),$A$2:$B$214,2,0),"")</f>
        <v/>
      </c>
    </row>
    <row r="885" spans="1:5" x14ac:dyDescent="0.35">
      <c r="A885" s="210">
        <f>IF(ISNUMBER(SEARCH('LARP Summary'!$E$3,B885)),MAX(A$1:$B884)+1,0)</f>
        <v>0</v>
      </c>
      <c r="B885" s="214"/>
      <c r="E885" s="212" t="str">
        <f>IFERROR(VLOOKUP(ROWS($E$2:E885),$A$2:$B$214,2,0),"")</f>
        <v/>
      </c>
    </row>
    <row r="886" spans="1:5" x14ac:dyDescent="0.35">
      <c r="A886" s="210">
        <f>IF(ISNUMBER(SEARCH('LARP Summary'!$E$3,B886)),MAX(A$1:$B885)+1,0)</f>
        <v>0</v>
      </c>
      <c r="B886" s="214"/>
      <c r="E886" s="212" t="str">
        <f>IFERROR(VLOOKUP(ROWS($E$2:E886),$A$2:$B$214,2,0),"")</f>
        <v/>
      </c>
    </row>
    <row r="887" spans="1:5" x14ac:dyDescent="0.35">
      <c r="A887" s="210">
        <f>IF(ISNUMBER(SEARCH('LARP Summary'!$E$3,B887)),MAX(A$1:$B886)+1,0)</f>
        <v>0</v>
      </c>
      <c r="B887" s="214"/>
      <c r="E887" s="212" t="str">
        <f>IFERROR(VLOOKUP(ROWS($E$2:E887),$A$2:$B$214,2,0),"")</f>
        <v/>
      </c>
    </row>
    <row r="888" spans="1:5" x14ac:dyDescent="0.35">
      <c r="A888" s="210">
        <f>IF(ISNUMBER(SEARCH('LARP Summary'!$E$3,B888)),MAX(A$1:$B887)+1,0)</f>
        <v>0</v>
      </c>
      <c r="B888" s="214"/>
      <c r="E888" s="212" t="str">
        <f>IFERROR(VLOOKUP(ROWS($E$2:E888),$A$2:$B$214,2,0),"")</f>
        <v/>
      </c>
    </row>
    <row r="889" spans="1:5" x14ac:dyDescent="0.35">
      <c r="A889" s="210">
        <f>IF(ISNUMBER(SEARCH('LARP Summary'!$E$3,B889)),MAX(A$1:$B888)+1,0)</f>
        <v>0</v>
      </c>
      <c r="B889" s="214"/>
      <c r="E889" s="212" t="str">
        <f>IFERROR(VLOOKUP(ROWS($E$2:E889),$A$2:$B$214,2,0),"")</f>
        <v/>
      </c>
    </row>
    <row r="890" spans="1:5" x14ac:dyDescent="0.35">
      <c r="A890" s="210">
        <f>IF(ISNUMBER(SEARCH('LARP Summary'!$E$3,B890)),MAX(A$1:$B889)+1,0)</f>
        <v>0</v>
      </c>
      <c r="B890" s="214"/>
      <c r="E890" s="212" t="str">
        <f>IFERROR(VLOOKUP(ROWS($E$2:E890),$A$2:$B$214,2,0),"")</f>
        <v/>
      </c>
    </row>
    <row r="891" spans="1:5" x14ac:dyDescent="0.35">
      <c r="A891" s="210">
        <f>IF(ISNUMBER(SEARCH('LARP Summary'!$E$3,B891)),MAX(A$1:$B890)+1,0)</f>
        <v>0</v>
      </c>
      <c r="B891" s="214"/>
      <c r="E891" s="212" t="str">
        <f>IFERROR(VLOOKUP(ROWS($E$2:E891),$A$2:$B$214,2,0),"")</f>
        <v/>
      </c>
    </row>
    <row r="892" spans="1:5" x14ac:dyDescent="0.35">
      <c r="A892" s="210">
        <f>IF(ISNUMBER(SEARCH('LARP Summary'!$E$3,B892)),MAX(A$1:$B891)+1,0)</f>
        <v>0</v>
      </c>
      <c r="B892" s="214"/>
      <c r="E892" s="212" t="str">
        <f>IFERROR(VLOOKUP(ROWS($E$2:E892),$A$2:$B$214,2,0),"")</f>
        <v/>
      </c>
    </row>
    <row r="893" spans="1:5" x14ac:dyDescent="0.35">
      <c r="A893" s="210">
        <f>IF(ISNUMBER(SEARCH('LARP Summary'!$E$3,B893)),MAX(A$1:$B892)+1,0)</f>
        <v>0</v>
      </c>
      <c r="B893" s="214"/>
      <c r="E893" s="212" t="str">
        <f>IFERROR(VLOOKUP(ROWS($E$2:E893),$A$2:$B$214,2,0),"")</f>
        <v/>
      </c>
    </row>
    <row r="894" spans="1:5" x14ac:dyDescent="0.35">
      <c r="A894" s="210">
        <f>IF(ISNUMBER(SEARCH('LARP Summary'!$E$3,B894)),MAX(A$1:$B893)+1,0)</f>
        <v>0</v>
      </c>
      <c r="B894" s="214"/>
      <c r="E894" s="212" t="str">
        <f>IFERROR(VLOOKUP(ROWS($E$2:E894),$A$2:$B$214,2,0),"")</f>
        <v/>
      </c>
    </row>
    <row r="895" spans="1:5" x14ac:dyDescent="0.35">
      <c r="A895" s="210">
        <f>IF(ISNUMBER(SEARCH('LARP Summary'!$E$3,B895)),MAX(A$1:$B894)+1,0)</f>
        <v>0</v>
      </c>
      <c r="B895" s="214"/>
      <c r="E895" s="212" t="str">
        <f>IFERROR(VLOOKUP(ROWS($E$2:E895),$A$2:$B$214,2,0),"")</f>
        <v/>
      </c>
    </row>
    <row r="896" spans="1:5" x14ac:dyDescent="0.35">
      <c r="A896" s="210">
        <f>IF(ISNUMBER(SEARCH('LARP Summary'!$E$3,B896)),MAX(A$1:$B895)+1,0)</f>
        <v>0</v>
      </c>
      <c r="B896" s="214"/>
      <c r="E896" s="212" t="str">
        <f>IFERROR(VLOOKUP(ROWS($E$2:E896),$A$2:$B$214,2,0),"")</f>
        <v/>
      </c>
    </row>
    <row r="897" spans="1:5" x14ac:dyDescent="0.35">
      <c r="A897" s="210">
        <f>IF(ISNUMBER(SEARCH('LARP Summary'!$E$3,B897)),MAX(A$1:$B896)+1,0)</f>
        <v>0</v>
      </c>
      <c r="B897" s="214"/>
      <c r="E897" s="212" t="str">
        <f>IFERROR(VLOOKUP(ROWS($E$2:E897),$A$2:$B$214,2,0),"")</f>
        <v/>
      </c>
    </row>
    <row r="898" spans="1:5" x14ac:dyDescent="0.35">
      <c r="A898" s="210">
        <f>IF(ISNUMBER(SEARCH('LARP Summary'!$E$3,B898)),MAX(A$1:$B897)+1,0)</f>
        <v>0</v>
      </c>
      <c r="B898" s="214"/>
      <c r="E898" s="212" t="str">
        <f>IFERROR(VLOOKUP(ROWS($E$2:E898),$A$2:$B$214,2,0),"")</f>
        <v/>
      </c>
    </row>
    <row r="899" spans="1:5" x14ac:dyDescent="0.35">
      <c r="A899" s="210">
        <f>IF(ISNUMBER(SEARCH('LARP Summary'!$E$3,B899)),MAX(A$1:$B898)+1,0)</f>
        <v>0</v>
      </c>
      <c r="B899" s="214"/>
      <c r="E899" s="212" t="str">
        <f>IFERROR(VLOOKUP(ROWS($E$2:E899),$A$2:$B$214,2,0),"")</f>
        <v/>
      </c>
    </row>
    <row r="900" spans="1:5" x14ac:dyDescent="0.35">
      <c r="A900" s="210">
        <f>IF(ISNUMBER(SEARCH('LARP Summary'!$E$3,B900)),MAX(A$1:$B899)+1,0)</f>
        <v>0</v>
      </c>
      <c r="B900" s="214"/>
      <c r="E900" s="212" t="str">
        <f>IFERROR(VLOOKUP(ROWS($E$2:E900),$A$2:$B$214,2,0),"")</f>
        <v/>
      </c>
    </row>
    <row r="901" spans="1:5" x14ac:dyDescent="0.35">
      <c r="A901" s="210">
        <f>IF(ISNUMBER(SEARCH('LARP Summary'!$E$3,B901)),MAX(A$1:$B900)+1,0)</f>
        <v>0</v>
      </c>
      <c r="B901" s="214"/>
      <c r="E901" s="212" t="str">
        <f>IFERROR(VLOOKUP(ROWS($E$2:E901),$A$2:$B$214,2,0),"")</f>
        <v/>
      </c>
    </row>
    <row r="902" spans="1:5" x14ac:dyDescent="0.35">
      <c r="A902" s="210">
        <f>IF(ISNUMBER(SEARCH('LARP Summary'!$E$3,B902)),MAX(A$1:$B901)+1,0)</f>
        <v>0</v>
      </c>
      <c r="B902" s="214"/>
      <c r="E902" s="212" t="str">
        <f>IFERROR(VLOOKUP(ROWS($E$2:E902),$A$2:$B$214,2,0),"")</f>
        <v/>
      </c>
    </row>
    <row r="903" spans="1:5" x14ac:dyDescent="0.35">
      <c r="A903" s="210">
        <f>IF(ISNUMBER(SEARCH('LARP Summary'!$E$3,B903)),MAX(A$1:$B902)+1,0)</f>
        <v>0</v>
      </c>
      <c r="B903" s="214"/>
      <c r="E903" s="212" t="str">
        <f>IFERROR(VLOOKUP(ROWS($E$2:E903),$A$2:$B$214,2,0),"")</f>
        <v/>
      </c>
    </row>
    <row r="904" spans="1:5" x14ac:dyDescent="0.35">
      <c r="A904" s="210">
        <f>IF(ISNUMBER(SEARCH('LARP Summary'!$E$3,B904)),MAX(A$1:$B903)+1,0)</f>
        <v>0</v>
      </c>
      <c r="B904" s="214"/>
      <c r="E904" s="212" t="str">
        <f>IFERROR(VLOOKUP(ROWS($E$2:E904),$A$2:$B$214,2,0),"")</f>
        <v/>
      </c>
    </row>
    <row r="905" spans="1:5" x14ac:dyDescent="0.35">
      <c r="A905" s="210">
        <f>IF(ISNUMBER(SEARCH('LARP Summary'!$E$3,B905)),MAX(A$1:$B904)+1,0)</f>
        <v>0</v>
      </c>
      <c r="B905" s="214"/>
      <c r="E905" s="212" t="str">
        <f>IFERROR(VLOOKUP(ROWS($E$2:E905),$A$2:$B$214,2,0),"")</f>
        <v/>
      </c>
    </row>
    <row r="906" spans="1:5" x14ac:dyDescent="0.35">
      <c r="A906" s="210">
        <f>IF(ISNUMBER(SEARCH('LARP Summary'!$E$3,B906)),MAX(A$1:$B905)+1,0)</f>
        <v>0</v>
      </c>
      <c r="B906" s="214"/>
      <c r="E906" s="212" t="str">
        <f>IFERROR(VLOOKUP(ROWS($E$2:E906),$A$2:$B$214,2,0),"")</f>
        <v/>
      </c>
    </row>
    <row r="907" spans="1:5" x14ac:dyDescent="0.35">
      <c r="A907" s="210">
        <f>IF(ISNUMBER(SEARCH('LARP Summary'!$E$3,B907)),MAX(A$1:$B906)+1,0)</f>
        <v>0</v>
      </c>
      <c r="B907" s="214"/>
      <c r="E907" s="212" t="str">
        <f>IFERROR(VLOOKUP(ROWS($E$2:E907),$A$2:$B$214,2,0),"")</f>
        <v/>
      </c>
    </row>
    <row r="908" spans="1:5" x14ac:dyDescent="0.35">
      <c r="A908" s="210">
        <f>IF(ISNUMBER(SEARCH('LARP Summary'!$E$3,B908)),MAX(A$1:$B907)+1,0)</f>
        <v>0</v>
      </c>
      <c r="B908" s="214"/>
      <c r="E908" s="212" t="str">
        <f>IFERROR(VLOOKUP(ROWS($E$2:E908),$A$2:$B$214,2,0),"")</f>
        <v/>
      </c>
    </row>
    <row r="909" spans="1:5" x14ac:dyDescent="0.35">
      <c r="A909" s="210">
        <f>IF(ISNUMBER(SEARCH('LARP Summary'!$E$3,B909)),MAX(A$1:$B908)+1,0)</f>
        <v>0</v>
      </c>
      <c r="B909" s="214"/>
      <c r="E909" s="212" t="str">
        <f>IFERROR(VLOOKUP(ROWS($E$2:E909),$A$2:$B$214,2,0),"")</f>
        <v/>
      </c>
    </row>
    <row r="910" spans="1:5" x14ac:dyDescent="0.35">
      <c r="A910" s="210">
        <f>IF(ISNUMBER(SEARCH('LARP Summary'!$E$3,B910)),MAX(A$1:$B909)+1,0)</f>
        <v>0</v>
      </c>
      <c r="B910" s="214"/>
      <c r="E910" s="212" t="str">
        <f>IFERROR(VLOOKUP(ROWS($E$2:E910),$A$2:$B$214,2,0),"")</f>
        <v/>
      </c>
    </row>
    <row r="911" spans="1:5" x14ac:dyDescent="0.35">
      <c r="A911" s="210">
        <f>IF(ISNUMBER(SEARCH('LARP Summary'!$E$3,B911)),MAX(A$1:$B910)+1,0)</f>
        <v>0</v>
      </c>
      <c r="B911" s="214"/>
      <c r="E911" s="212" t="str">
        <f>IFERROR(VLOOKUP(ROWS($E$2:E911),$A$2:$B$214,2,0),"")</f>
        <v/>
      </c>
    </row>
    <row r="912" spans="1:5" x14ac:dyDescent="0.35">
      <c r="A912" s="210">
        <f>IF(ISNUMBER(SEARCH('LARP Summary'!$E$3,B912)),MAX(A$1:$B911)+1,0)</f>
        <v>0</v>
      </c>
      <c r="B912" s="214"/>
      <c r="E912" s="212" t="str">
        <f>IFERROR(VLOOKUP(ROWS($E$2:E912),$A$2:$B$214,2,0),"")</f>
        <v/>
      </c>
    </row>
    <row r="913" spans="1:5" x14ac:dyDescent="0.35">
      <c r="A913" s="210">
        <f>IF(ISNUMBER(SEARCH('LARP Summary'!$E$3,B913)),MAX(A$1:$B912)+1,0)</f>
        <v>0</v>
      </c>
      <c r="B913" s="214"/>
      <c r="E913" s="212" t="str">
        <f>IFERROR(VLOOKUP(ROWS($E$2:E913),$A$2:$B$214,2,0),"")</f>
        <v/>
      </c>
    </row>
    <row r="914" spans="1:5" x14ac:dyDescent="0.35">
      <c r="A914" s="210">
        <f>IF(ISNUMBER(SEARCH('LARP Summary'!$E$3,B914)),MAX(A$1:$B913)+1,0)</f>
        <v>0</v>
      </c>
      <c r="B914" s="214"/>
      <c r="E914" s="212" t="str">
        <f>IFERROR(VLOOKUP(ROWS($E$2:E914),$A$2:$B$214,2,0),"")</f>
        <v/>
      </c>
    </row>
    <row r="915" spans="1:5" x14ac:dyDescent="0.35">
      <c r="A915" s="210">
        <f>IF(ISNUMBER(SEARCH('LARP Summary'!$E$3,B915)),MAX(A$1:$B914)+1,0)</f>
        <v>0</v>
      </c>
      <c r="B915" s="214"/>
      <c r="E915" s="212" t="str">
        <f>IFERROR(VLOOKUP(ROWS($E$2:E915),$A$2:$B$214,2,0),"")</f>
        <v/>
      </c>
    </row>
    <row r="916" spans="1:5" x14ac:dyDescent="0.35">
      <c r="A916" s="210">
        <f>IF(ISNUMBER(SEARCH('LARP Summary'!$E$3,B916)),MAX(A$1:$B915)+1,0)</f>
        <v>0</v>
      </c>
      <c r="B916" s="214"/>
      <c r="E916" s="212" t="str">
        <f>IFERROR(VLOOKUP(ROWS($E$2:E916),$A$2:$B$214,2,0),"")</f>
        <v/>
      </c>
    </row>
    <row r="917" spans="1:5" x14ac:dyDescent="0.35">
      <c r="A917" s="210">
        <f>IF(ISNUMBER(SEARCH('LARP Summary'!$E$3,B917)),MAX(A$1:$B916)+1,0)</f>
        <v>0</v>
      </c>
      <c r="B917" s="214"/>
      <c r="E917" s="212" t="str">
        <f>IFERROR(VLOOKUP(ROWS($E$2:E917),$A$2:$B$214,2,0),"")</f>
        <v/>
      </c>
    </row>
    <row r="918" spans="1:5" x14ac:dyDescent="0.35">
      <c r="A918" s="210">
        <f>IF(ISNUMBER(SEARCH('LARP Summary'!$E$3,B918)),MAX(A$1:$B917)+1,0)</f>
        <v>0</v>
      </c>
      <c r="B918" s="214"/>
      <c r="E918" s="212" t="str">
        <f>IFERROR(VLOOKUP(ROWS($E$2:E918),$A$2:$B$214,2,0),"")</f>
        <v/>
      </c>
    </row>
    <row r="919" spans="1:5" x14ac:dyDescent="0.35">
      <c r="A919" s="210">
        <f>IF(ISNUMBER(SEARCH('LARP Summary'!$E$3,B919)),MAX(A$1:$B918)+1,0)</f>
        <v>0</v>
      </c>
      <c r="B919" s="214"/>
      <c r="E919" s="212" t="str">
        <f>IFERROR(VLOOKUP(ROWS($E$2:E919),$A$2:$B$214,2,0),"")</f>
        <v/>
      </c>
    </row>
    <row r="920" spans="1:5" x14ac:dyDescent="0.35">
      <c r="A920" s="210">
        <f>IF(ISNUMBER(SEARCH('LARP Summary'!$E$3,B920)),MAX(A$1:$B919)+1,0)</f>
        <v>0</v>
      </c>
      <c r="B920" s="214"/>
      <c r="E920" s="212" t="str">
        <f>IFERROR(VLOOKUP(ROWS($E$2:E920),$A$2:$B$214,2,0),"")</f>
        <v/>
      </c>
    </row>
    <row r="921" spans="1:5" x14ac:dyDescent="0.35">
      <c r="A921" s="210">
        <f>IF(ISNUMBER(SEARCH('LARP Summary'!$E$3,B921)),MAX(A$1:$B920)+1,0)</f>
        <v>0</v>
      </c>
      <c r="B921" s="214"/>
      <c r="E921" s="212" t="str">
        <f>IFERROR(VLOOKUP(ROWS($E$2:E921),$A$2:$B$214,2,0),"")</f>
        <v/>
      </c>
    </row>
    <row r="922" spans="1:5" x14ac:dyDescent="0.35">
      <c r="A922" s="210">
        <f>IF(ISNUMBER(SEARCH('LARP Summary'!$E$3,B922)),MAX(A$1:$B921)+1,0)</f>
        <v>0</v>
      </c>
      <c r="B922" s="214"/>
      <c r="E922" s="212" t="str">
        <f>IFERROR(VLOOKUP(ROWS($E$2:E922),$A$2:$B$214,2,0),"")</f>
        <v/>
      </c>
    </row>
    <row r="923" spans="1:5" x14ac:dyDescent="0.35">
      <c r="A923" s="210">
        <f>IF(ISNUMBER(SEARCH('LARP Summary'!$E$3,B923)),MAX(A$1:$B922)+1,0)</f>
        <v>0</v>
      </c>
      <c r="B923" s="214"/>
      <c r="E923" s="212" t="str">
        <f>IFERROR(VLOOKUP(ROWS($E$2:E923),$A$2:$B$214,2,0),"")</f>
        <v/>
      </c>
    </row>
    <row r="924" spans="1:5" x14ac:dyDescent="0.35">
      <c r="A924" s="210">
        <f>IF(ISNUMBER(SEARCH('LARP Summary'!$E$3,B924)),MAX(A$1:$B923)+1,0)</f>
        <v>0</v>
      </c>
      <c r="B924" s="214"/>
      <c r="E924" s="212" t="str">
        <f>IFERROR(VLOOKUP(ROWS($E$2:E924),$A$2:$B$214,2,0),"")</f>
        <v/>
      </c>
    </row>
    <row r="925" spans="1:5" x14ac:dyDescent="0.35">
      <c r="A925" s="210">
        <f>IF(ISNUMBER(SEARCH('LARP Summary'!$E$3,B925)),MAX(A$1:$B924)+1,0)</f>
        <v>0</v>
      </c>
      <c r="B925" s="214"/>
      <c r="E925" s="212" t="str">
        <f>IFERROR(VLOOKUP(ROWS($E$2:E925),$A$2:$B$214,2,0),"")</f>
        <v/>
      </c>
    </row>
    <row r="926" spans="1:5" x14ac:dyDescent="0.35">
      <c r="A926" s="210">
        <f>IF(ISNUMBER(SEARCH('LARP Summary'!$E$3,B926)),MAX(A$1:$B925)+1,0)</f>
        <v>0</v>
      </c>
      <c r="B926" s="214"/>
      <c r="E926" s="212" t="str">
        <f>IFERROR(VLOOKUP(ROWS($E$2:E926),$A$2:$B$214,2,0),"")</f>
        <v/>
      </c>
    </row>
    <row r="927" spans="1:5" x14ac:dyDescent="0.35">
      <c r="A927" s="210">
        <f>IF(ISNUMBER(SEARCH('LARP Summary'!$E$3,B927)),MAX(A$1:$B926)+1,0)</f>
        <v>0</v>
      </c>
      <c r="B927" s="214"/>
      <c r="E927" s="212" t="str">
        <f>IFERROR(VLOOKUP(ROWS($E$2:E927),$A$2:$B$214,2,0),"")</f>
        <v/>
      </c>
    </row>
    <row r="928" spans="1:5" x14ac:dyDescent="0.35">
      <c r="A928" s="210">
        <f>IF(ISNUMBER(SEARCH('LARP Summary'!$E$3,B928)),MAX(A$1:$B927)+1,0)</f>
        <v>0</v>
      </c>
      <c r="B928" s="214"/>
      <c r="E928" s="212" t="str">
        <f>IFERROR(VLOOKUP(ROWS($E$2:E928),$A$2:$B$214,2,0),"")</f>
        <v/>
      </c>
    </row>
    <row r="929" spans="1:5" x14ac:dyDescent="0.35">
      <c r="A929" s="210">
        <f>IF(ISNUMBER(SEARCH('LARP Summary'!$E$3,B929)),MAX(A$1:$B928)+1,0)</f>
        <v>0</v>
      </c>
      <c r="B929" s="214"/>
      <c r="E929" s="212" t="str">
        <f>IFERROR(VLOOKUP(ROWS($E$2:E929),$A$2:$B$214,2,0),"")</f>
        <v/>
      </c>
    </row>
    <row r="930" spans="1:5" x14ac:dyDescent="0.35">
      <c r="A930" s="210">
        <f>IF(ISNUMBER(SEARCH('LARP Summary'!$E$3,B930)),MAX(A$1:$B929)+1,0)</f>
        <v>0</v>
      </c>
      <c r="B930" s="214"/>
      <c r="E930" s="212" t="str">
        <f>IFERROR(VLOOKUP(ROWS($E$2:E930),$A$2:$B$214,2,0),"")</f>
        <v/>
      </c>
    </row>
    <row r="931" spans="1:5" x14ac:dyDescent="0.35">
      <c r="A931" s="210">
        <f>IF(ISNUMBER(SEARCH('LARP Summary'!$E$3,B931)),MAX(A$1:$B930)+1,0)</f>
        <v>0</v>
      </c>
      <c r="B931" s="214"/>
      <c r="E931" s="212" t="str">
        <f>IFERROR(VLOOKUP(ROWS($E$2:E931),$A$2:$B$214,2,0),"")</f>
        <v/>
      </c>
    </row>
    <row r="932" spans="1:5" x14ac:dyDescent="0.35">
      <c r="A932" s="210">
        <f>IF(ISNUMBER(SEARCH('LARP Summary'!$E$3,B932)),MAX(A$1:$B931)+1,0)</f>
        <v>0</v>
      </c>
      <c r="B932" s="214"/>
      <c r="E932" s="212" t="str">
        <f>IFERROR(VLOOKUP(ROWS($E$2:E932),$A$2:$B$214,2,0),"")</f>
        <v/>
      </c>
    </row>
    <row r="933" spans="1:5" x14ac:dyDescent="0.35">
      <c r="A933" s="210">
        <f>IF(ISNUMBER(SEARCH('LARP Summary'!$E$3,B933)),MAX(A$1:$B932)+1,0)</f>
        <v>0</v>
      </c>
      <c r="B933" s="214"/>
      <c r="E933" s="212" t="str">
        <f>IFERROR(VLOOKUP(ROWS($E$2:E933),$A$2:$B$214,2,0),"")</f>
        <v/>
      </c>
    </row>
    <row r="934" spans="1:5" x14ac:dyDescent="0.35">
      <c r="A934" s="210">
        <f>IF(ISNUMBER(SEARCH('LARP Summary'!$E$3,B934)),MAX(A$1:$B933)+1,0)</f>
        <v>0</v>
      </c>
      <c r="B934" s="214"/>
      <c r="E934" s="212" t="str">
        <f>IFERROR(VLOOKUP(ROWS($E$2:E934),$A$2:$B$214,2,0),"")</f>
        <v/>
      </c>
    </row>
    <row r="935" spans="1:5" x14ac:dyDescent="0.35">
      <c r="A935" s="210">
        <f>IF(ISNUMBER(SEARCH('LARP Summary'!$E$3,B935)),MAX(A$1:$B934)+1,0)</f>
        <v>0</v>
      </c>
      <c r="B935" s="214"/>
      <c r="E935" s="212" t="str">
        <f>IFERROR(VLOOKUP(ROWS($E$2:E935),$A$2:$B$214,2,0),"")</f>
        <v/>
      </c>
    </row>
    <row r="936" spans="1:5" x14ac:dyDescent="0.35">
      <c r="A936" s="210">
        <f>IF(ISNUMBER(SEARCH('LARP Summary'!$E$3,B936)),MAX(A$1:$B935)+1,0)</f>
        <v>0</v>
      </c>
      <c r="B936" s="214"/>
      <c r="E936" s="212" t="str">
        <f>IFERROR(VLOOKUP(ROWS($E$2:E936),$A$2:$B$214,2,0),"")</f>
        <v/>
      </c>
    </row>
    <row r="937" spans="1:5" x14ac:dyDescent="0.35">
      <c r="A937" s="210">
        <f>IF(ISNUMBER(SEARCH('LARP Summary'!$E$3,B937)),MAX(A$1:$B936)+1,0)</f>
        <v>0</v>
      </c>
      <c r="B937" s="214"/>
      <c r="E937" s="212" t="str">
        <f>IFERROR(VLOOKUP(ROWS($E$2:E937),$A$2:$B$214,2,0),"")</f>
        <v/>
      </c>
    </row>
    <row r="938" spans="1:5" x14ac:dyDescent="0.35">
      <c r="A938" s="210">
        <f>IF(ISNUMBER(SEARCH('LARP Summary'!$E$3,B938)),MAX(A$1:$B937)+1,0)</f>
        <v>0</v>
      </c>
      <c r="B938" s="214"/>
      <c r="E938" s="212" t="str">
        <f>IFERROR(VLOOKUP(ROWS($E$2:E938),$A$2:$B$214,2,0),"")</f>
        <v/>
      </c>
    </row>
    <row r="939" spans="1:5" x14ac:dyDescent="0.35">
      <c r="A939" s="210">
        <f>IF(ISNUMBER(SEARCH('LARP Summary'!$E$3,B939)),MAX(A$1:$B938)+1,0)</f>
        <v>0</v>
      </c>
      <c r="B939" s="214"/>
      <c r="E939" s="212" t="str">
        <f>IFERROR(VLOOKUP(ROWS($E$2:E939),$A$2:$B$214,2,0),"")</f>
        <v/>
      </c>
    </row>
    <row r="940" spans="1:5" x14ac:dyDescent="0.35">
      <c r="A940" s="210">
        <f>IF(ISNUMBER(SEARCH('LARP Summary'!$E$3,B940)),MAX(A$1:$B939)+1,0)</f>
        <v>0</v>
      </c>
      <c r="B940" s="214"/>
      <c r="E940" s="212" t="str">
        <f>IFERROR(VLOOKUP(ROWS($E$2:E940),$A$2:$B$214,2,0),"")</f>
        <v/>
      </c>
    </row>
    <row r="941" spans="1:5" x14ac:dyDescent="0.35">
      <c r="A941" s="210">
        <f>IF(ISNUMBER(SEARCH('LARP Summary'!$E$3,B941)),MAX(A$1:$B940)+1,0)</f>
        <v>0</v>
      </c>
      <c r="B941" s="214"/>
      <c r="E941" s="212" t="str">
        <f>IFERROR(VLOOKUP(ROWS($E$2:E941),$A$2:$B$214,2,0),"")</f>
        <v/>
      </c>
    </row>
    <row r="942" spans="1:5" x14ac:dyDescent="0.35">
      <c r="A942" s="210">
        <f>IF(ISNUMBER(SEARCH('LARP Summary'!$E$3,B942)),MAX(A$1:$B941)+1,0)</f>
        <v>0</v>
      </c>
      <c r="B942" s="214"/>
      <c r="E942" s="212" t="str">
        <f>IFERROR(VLOOKUP(ROWS($E$2:E942),$A$2:$B$214,2,0),"")</f>
        <v/>
      </c>
    </row>
    <row r="943" spans="1:5" x14ac:dyDescent="0.35">
      <c r="A943" s="210">
        <f>IF(ISNUMBER(SEARCH('LARP Summary'!$E$3,B943)),MAX(A$1:$B942)+1,0)</f>
        <v>0</v>
      </c>
      <c r="B943" s="214"/>
      <c r="E943" s="212" t="str">
        <f>IFERROR(VLOOKUP(ROWS($E$2:E943),$A$2:$B$214,2,0),"")</f>
        <v/>
      </c>
    </row>
    <row r="944" spans="1:5" x14ac:dyDescent="0.35">
      <c r="A944" s="210">
        <f>IF(ISNUMBER(SEARCH('LARP Summary'!$E$3,B944)),MAX(A$1:$B943)+1,0)</f>
        <v>0</v>
      </c>
      <c r="B944" s="214"/>
      <c r="E944" s="212" t="str">
        <f>IFERROR(VLOOKUP(ROWS($E$2:E944),$A$2:$B$214,2,0),"")</f>
        <v/>
      </c>
    </row>
    <row r="945" spans="1:5" x14ac:dyDescent="0.35">
      <c r="A945" s="210">
        <f>IF(ISNUMBER(SEARCH('LARP Summary'!$E$3,B945)),MAX(A$1:$B944)+1,0)</f>
        <v>0</v>
      </c>
      <c r="B945" s="214"/>
      <c r="E945" s="212" t="str">
        <f>IFERROR(VLOOKUP(ROWS($E$2:E945),$A$2:$B$214,2,0),"")</f>
        <v/>
      </c>
    </row>
    <row r="946" spans="1:5" x14ac:dyDescent="0.35">
      <c r="A946" s="210">
        <f>IF(ISNUMBER(SEARCH('LARP Summary'!$E$3,B946)),MAX(A$1:$B945)+1,0)</f>
        <v>0</v>
      </c>
      <c r="B946" s="214"/>
      <c r="E946" s="212" t="str">
        <f>IFERROR(VLOOKUP(ROWS($E$2:E946),$A$2:$B$214,2,0),"")</f>
        <v/>
      </c>
    </row>
    <row r="947" spans="1:5" x14ac:dyDescent="0.35">
      <c r="A947" s="210">
        <f>IF(ISNUMBER(SEARCH('LARP Summary'!$E$3,B947)),MAX(A$1:$B946)+1,0)</f>
        <v>0</v>
      </c>
      <c r="B947" s="214"/>
      <c r="E947" s="212" t="str">
        <f>IFERROR(VLOOKUP(ROWS($E$2:E947),$A$2:$B$214,2,0),"")</f>
        <v/>
      </c>
    </row>
    <row r="948" spans="1:5" x14ac:dyDescent="0.35">
      <c r="A948" s="210">
        <f>IF(ISNUMBER(SEARCH('LARP Summary'!$E$3,B948)),MAX(A$1:$B947)+1,0)</f>
        <v>0</v>
      </c>
      <c r="B948" s="214"/>
      <c r="E948" s="212" t="str">
        <f>IFERROR(VLOOKUP(ROWS($E$2:E948),$A$2:$B$214,2,0),"")</f>
        <v/>
      </c>
    </row>
    <row r="949" spans="1:5" x14ac:dyDescent="0.35">
      <c r="A949" s="210">
        <f>IF(ISNUMBER(SEARCH('LARP Summary'!$E$3,B949)),MAX(A$1:$B948)+1,0)</f>
        <v>0</v>
      </c>
      <c r="B949" s="214"/>
      <c r="E949" s="212" t="str">
        <f>IFERROR(VLOOKUP(ROWS($E$2:E949),$A$2:$B$214,2,0),"")</f>
        <v/>
      </c>
    </row>
    <row r="950" spans="1:5" x14ac:dyDescent="0.35">
      <c r="A950" s="210">
        <f>IF(ISNUMBER(SEARCH('LARP Summary'!$E$3,B950)),MAX(A$1:$B949)+1,0)</f>
        <v>0</v>
      </c>
      <c r="B950" s="214"/>
      <c r="E950" s="212" t="str">
        <f>IFERROR(VLOOKUP(ROWS($E$2:E950),$A$2:$B$214,2,0),"")</f>
        <v/>
      </c>
    </row>
    <row r="951" spans="1:5" x14ac:dyDescent="0.35">
      <c r="A951" s="210">
        <f>IF(ISNUMBER(SEARCH('LARP Summary'!$E$3,B951)),MAX(A$1:$B950)+1,0)</f>
        <v>0</v>
      </c>
      <c r="B951" s="214"/>
      <c r="E951" s="212" t="str">
        <f>IFERROR(VLOOKUP(ROWS($E$2:E951),$A$2:$B$214,2,0),"")</f>
        <v/>
      </c>
    </row>
    <row r="952" spans="1:5" x14ac:dyDescent="0.35">
      <c r="A952" s="210">
        <f>IF(ISNUMBER(SEARCH('LARP Summary'!$E$3,B952)),MAX(A$1:$B951)+1,0)</f>
        <v>0</v>
      </c>
      <c r="B952" s="214"/>
      <c r="E952" s="212" t="str">
        <f>IFERROR(VLOOKUP(ROWS($E$2:E952),$A$2:$B$214,2,0),"")</f>
        <v/>
      </c>
    </row>
    <row r="953" spans="1:5" x14ac:dyDescent="0.35">
      <c r="A953" s="210">
        <f>IF(ISNUMBER(SEARCH('LARP Summary'!$E$3,B953)),MAX(A$1:$B952)+1,0)</f>
        <v>0</v>
      </c>
      <c r="B953" s="214"/>
      <c r="E953" s="212" t="str">
        <f>IFERROR(VLOOKUP(ROWS($E$2:E953),$A$2:$B$214,2,0),"")</f>
        <v/>
      </c>
    </row>
    <row r="954" spans="1:5" x14ac:dyDescent="0.35">
      <c r="A954" s="210">
        <f>IF(ISNUMBER(SEARCH('LARP Summary'!$E$3,B954)),MAX(A$1:$B953)+1,0)</f>
        <v>0</v>
      </c>
      <c r="B954" s="214"/>
      <c r="E954" s="212" t="str">
        <f>IFERROR(VLOOKUP(ROWS($E$2:E954),$A$2:$B$214,2,0),"")</f>
        <v/>
      </c>
    </row>
    <row r="955" spans="1:5" x14ac:dyDescent="0.35">
      <c r="A955" s="210">
        <f>IF(ISNUMBER(SEARCH('LARP Summary'!$E$3,B955)),MAX(A$1:$B954)+1,0)</f>
        <v>0</v>
      </c>
      <c r="B955" s="214"/>
      <c r="E955" s="212" t="str">
        <f>IFERROR(VLOOKUP(ROWS($E$2:E955),$A$2:$B$214,2,0),"")</f>
        <v/>
      </c>
    </row>
    <row r="956" spans="1:5" x14ac:dyDescent="0.35">
      <c r="A956" s="210">
        <f>IF(ISNUMBER(SEARCH('LARP Summary'!$E$3,B956)),MAX(A$1:$B955)+1,0)</f>
        <v>0</v>
      </c>
      <c r="B956" s="214"/>
      <c r="E956" s="212" t="str">
        <f>IFERROR(VLOOKUP(ROWS($E$2:E956),$A$2:$B$214,2,0),"")</f>
        <v/>
      </c>
    </row>
    <row r="957" spans="1:5" x14ac:dyDescent="0.35">
      <c r="A957" s="210">
        <f>IF(ISNUMBER(SEARCH('LARP Summary'!$E$3,B957)),MAX(A$1:$B956)+1,0)</f>
        <v>0</v>
      </c>
      <c r="B957" s="214"/>
      <c r="E957" s="212" t="str">
        <f>IFERROR(VLOOKUP(ROWS($E$2:E957),$A$2:$B$214,2,0),"")</f>
        <v/>
      </c>
    </row>
    <row r="958" spans="1:5" x14ac:dyDescent="0.35">
      <c r="A958" s="210">
        <f>IF(ISNUMBER(SEARCH('LARP Summary'!$E$3,B958)),MAX(A$1:$B957)+1,0)</f>
        <v>0</v>
      </c>
      <c r="B958" s="214"/>
      <c r="E958" s="212" t="str">
        <f>IFERROR(VLOOKUP(ROWS($E$2:E958),$A$2:$B$214,2,0),"")</f>
        <v/>
      </c>
    </row>
    <row r="959" spans="1:5" x14ac:dyDescent="0.35">
      <c r="A959" s="210">
        <f>IF(ISNUMBER(SEARCH('LARP Summary'!$E$3,B959)),MAX(A$1:$B958)+1,0)</f>
        <v>0</v>
      </c>
      <c r="B959" s="214"/>
      <c r="E959" s="212" t="str">
        <f>IFERROR(VLOOKUP(ROWS($E$2:E959),$A$2:$B$214,2,0),"")</f>
        <v/>
      </c>
    </row>
    <row r="960" spans="1:5" x14ac:dyDescent="0.35">
      <c r="A960" s="210">
        <f>IF(ISNUMBER(SEARCH('LARP Summary'!$E$3,B960)),MAX(A$1:$B959)+1,0)</f>
        <v>0</v>
      </c>
      <c r="B960" s="214"/>
      <c r="E960" s="212" t="str">
        <f>IFERROR(VLOOKUP(ROWS($E$2:E960),$A$2:$B$214,2,0),"")</f>
        <v/>
      </c>
    </row>
    <row r="961" spans="1:5" x14ac:dyDescent="0.35">
      <c r="A961" s="210">
        <f>IF(ISNUMBER(SEARCH('LARP Summary'!$E$3,B961)),MAX(A$1:$B960)+1,0)</f>
        <v>0</v>
      </c>
      <c r="B961" s="214"/>
      <c r="E961" s="212" t="str">
        <f>IFERROR(VLOOKUP(ROWS($E$2:E961),$A$2:$B$214,2,0),"")</f>
        <v/>
      </c>
    </row>
    <row r="962" spans="1:5" x14ac:dyDescent="0.35">
      <c r="A962" s="210">
        <f>IF(ISNUMBER(SEARCH('LARP Summary'!$E$3,B962)),MAX(A$1:$B961)+1,0)</f>
        <v>0</v>
      </c>
      <c r="B962" s="214"/>
      <c r="E962" s="212" t="str">
        <f>IFERROR(VLOOKUP(ROWS($E$2:E962),$A$2:$B$214,2,0),"")</f>
        <v/>
      </c>
    </row>
    <row r="963" spans="1:5" x14ac:dyDescent="0.35">
      <c r="A963" s="210">
        <f>IF(ISNUMBER(SEARCH('LARP Summary'!$E$3,B963)),MAX(A$1:$B962)+1,0)</f>
        <v>0</v>
      </c>
      <c r="B963" s="214"/>
      <c r="E963" s="212" t="str">
        <f>IFERROR(VLOOKUP(ROWS($E$2:E963),$A$2:$B$214,2,0),"")</f>
        <v/>
      </c>
    </row>
    <row r="964" spans="1:5" x14ac:dyDescent="0.35">
      <c r="A964" s="210">
        <f>IF(ISNUMBER(SEARCH('LARP Summary'!$E$3,B964)),MAX(A$1:$B963)+1,0)</f>
        <v>0</v>
      </c>
      <c r="B964" s="214"/>
      <c r="E964" s="212" t="str">
        <f>IFERROR(VLOOKUP(ROWS($E$2:E964),$A$2:$B$214,2,0),"")</f>
        <v/>
      </c>
    </row>
    <row r="965" spans="1:5" x14ac:dyDescent="0.35">
      <c r="A965" s="210">
        <f>IF(ISNUMBER(SEARCH('LARP Summary'!$E$3,B965)),MAX(A$1:$B964)+1,0)</f>
        <v>0</v>
      </c>
      <c r="B965" s="214"/>
      <c r="E965" s="212" t="str">
        <f>IFERROR(VLOOKUP(ROWS($E$2:E965),$A$2:$B$214,2,0),"")</f>
        <v/>
      </c>
    </row>
    <row r="966" spans="1:5" x14ac:dyDescent="0.35">
      <c r="A966" s="210">
        <f>IF(ISNUMBER(SEARCH('LARP Summary'!$E$3,B966)),MAX(A$1:$B965)+1,0)</f>
        <v>0</v>
      </c>
      <c r="B966" s="214"/>
      <c r="E966" s="212" t="str">
        <f>IFERROR(VLOOKUP(ROWS($E$2:E966),$A$2:$B$214,2,0),"")</f>
        <v/>
      </c>
    </row>
    <row r="967" spans="1:5" x14ac:dyDescent="0.35">
      <c r="A967" s="210">
        <f>IF(ISNUMBER(SEARCH('LARP Summary'!$E$3,B967)),MAX(A$1:$B966)+1,0)</f>
        <v>0</v>
      </c>
      <c r="B967" s="214"/>
      <c r="E967" s="212" t="str">
        <f>IFERROR(VLOOKUP(ROWS($E$2:E967),$A$2:$B$214,2,0),"")</f>
        <v/>
      </c>
    </row>
    <row r="968" spans="1:5" x14ac:dyDescent="0.35">
      <c r="A968" s="210">
        <f>IF(ISNUMBER(SEARCH('LARP Summary'!$E$3,B968)),MAX(A$1:$B967)+1,0)</f>
        <v>0</v>
      </c>
      <c r="B968" s="214"/>
      <c r="E968" s="212" t="str">
        <f>IFERROR(VLOOKUP(ROWS($E$2:E968),$A$2:$B$214,2,0),"")</f>
        <v/>
      </c>
    </row>
    <row r="969" spans="1:5" x14ac:dyDescent="0.35">
      <c r="A969" s="210">
        <f>IF(ISNUMBER(SEARCH('LARP Summary'!$E$3,B969)),MAX(A$1:$B968)+1,0)</f>
        <v>0</v>
      </c>
      <c r="B969" s="214"/>
      <c r="E969" s="212" t="str">
        <f>IFERROR(VLOOKUP(ROWS($E$2:E969),$A$2:$B$214,2,0),"")</f>
        <v/>
      </c>
    </row>
    <row r="970" spans="1:5" x14ac:dyDescent="0.35">
      <c r="A970" s="210">
        <f>IF(ISNUMBER(SEARCH('LARP Summary'!$E$3,B970)),MAX(A$1:$B969)+1,0)</f>
        <v>0</v>
      </c>
      <c r="B970" s="214"/>
      <c r="E970" s="212" t="str">
        <f>IFERROR(VLOOKUP(ROWS($E$2:E970),$A$2:$B$214,2,0),"")</f>
        <v/>
      </c>
    </row>
    <row r="971" spans="1:5" x14ac:dyDescent="0.35">
      <c r="A971" s="210">
        <f>IF(ISNUMBER(SEARCH('LARP Summary'!$E$3,B971)),MAX(A$1:$B970)+1,0)</f>
        <v>0</v>
      </c>
      <c r="B971" s="214"/>
      <c r="E971" s="212" t="str">
        <f>IFERROR(VLOOKUP(ROWS($E$2:E971),$A$2:$B$214,2,0),"")</f>
        <v/>
      </c>
    </row>
    <row r="972" spans="1:5" x14ac:dyDescent="0.35">
      <c r="A972" s="210">
        <f>IF(ISNUMBER(SEARCH('LARP Summary'!$E$3,B972)),MAX(A$1:$B971)+1,0)</f>
        <v>0</v>
      </c>
      <c r="B972" s="214"/>
      <c r="E972" s="212" t="str">
        <f>IFERROR(VLOOKUP(ROWS($E$2:E972),$A$2:$B$214,2,0),"")</f>
        <v/>
      </c>
    </row>
    <row r="973" spans="1:5" x14ac:dyDescent="0.35">
      <c r="A973" s="210">
        <f>IF(ISNUMBER(SEARCH('LARP Summary'!$E$3,B973)),MAX(A$1:$B972)+1,0)</f>
        <v>0</v>
      </c>
      <c r="B973" s="214"/>
      <c r="E973" s="212" t="str">
        <f>IFERROR(VLOOKUP(ROWS($E$2:E973),$A$2:$B$214,2,0),"")</f>
        <v/>
      </c>
    </row>
    <row r="974" spans="1:5" x14ac:dyDescent="0.35">
      <c r="A974" s="210">
        <f>IF(ISNUMBER(SEARCH('LARP Summary'!$E$3,B974)),MAX(A$1:$B973)+1,0)</f>
        <v>0</v>
      </c>
      <c r="B974" s="214"/>
      <c r="E974" s="212" t="str">
        <f>IFERROR(VLOOKUP(ROWS($E$2:E974),$A$2:$B$214,2,0),"")</f>
        <v/>
      </c>
    </row>
    <row r="975" spans="1:5" x14ac:dyDescent="0.35">
      <c r="A975" s="210">
        <f>IF(ISNUMBER(SEARCH('LARP Summary'!$E$3,B975)),MAX(A$1:$B974)+1,0)</f>
        <v>0</v>
      </c>
      <c r="B975" s="214"/>
      <c r="E975" s="212" t="str">
        <f>IFERROR(VLOOKUP(ROWS($E$2:E975),$A$2:$B$214,2,0),"")</f>
        <v/>
      </c>
    </row>
    <row r="976" spans="1:5" x14ac:dyDescent="0.35">
      <c r="A976" s="210">
        <f>IF(ISNUMBER(SEARCH('LARP Summary'!$E$3,B976)),MAX(A$1:$B975)+1,0)</f>
        <v>0</v>
      </c>
      <c r="B976" s="214"/>
      <c r="E976" s="212" t="str">
        <f>IFERROR(VLOOKUP(ROWS($E$2:E976),$A$2:$B$214,2,0),"")</f>
        <v/>
      </c>
    </row>
    <row r="977" spans="1:5" x14ac:dyDescent="0.35">
      <c r="A977" s="210">
        <f>IF(ISNUMBER(SEARCH('LARP Summary'!$E$3,B977)),MAX(A$1:$B976)+1,0)</f>
        <v>0</v>
      </c>
      <c r="B977" s="214"/>
      <c r="E977" s="212" t="str">
        <f>IFERROR(VLOOKUP(ROWS($E$2:E977),$A$2:$B$214,2,0),"")</f>
        <v/>
      </c>
    </row>
    <row r="978" spans="1:5" x14ac:dyDescent="0.35">
      <c r="A978" s="210">
        <f>IF(ISNUMBER(SEARCH('LARP Summary'!$E$3,B978)),MAX(A$1:$B977)+1,0)</f>
        <v>0</v>
      </c>
      <c r="B978" s="214"/>
      <c r="E978" s="212" t="str">
        <f>IFERROR(VLOOKUP(ROWS($E$2:E978),$A$2:$B$214,2,0),"")</f>
        <v/>
      </c>
    </row>
    <row r="979" spans="1:5" x14ac:dyDescent="0.35">
      <c r="A979" s="210">
        <f>IF(ISNUMBER(SEARCH('LARP Summary'!$E$3,B979)),MAX(A$1:$B978)+1,0)</f>
        <v>0</v>
      </c>
      <c r="B979" s="214"/>
      <c r="E979" s="212" t="str">
        <f>IFERROR(VLOOKUP(ROWS($E$2:E979),$A$2:$B$214,2,0),"")</f>
        <v/>
      </c>
    </row>
    <row r="980" spans="1:5" x14ac:dyDescent="0.35">
      <c r="A980" s="210">
        <f>IF(ISNUMBER(SEARCH('LARP Summary'!$E$3,B980)),MAX(A$1:$B979)+1,0)</f>
        <v>0</v>
      </c>
      <c r="B980" s="214"/>
      <c r="E980" s="212" t="str">
        <f>IFERROR(VLOOKUP(ROWS($E$2:E980),$A$2:$B$214,2,0),"")</f>
        <v/>
      </c>
    </row>
    <row r="981" spans="1:5" x14ac:dyDescent="0.35">
      <c r="A981" s="210">
        <f>IF(ISNUMBER(SEARCH('LARP Summary'!$E$3,B981)),MAX(A$1:$B980)+1,0)</f>
        <v>0</v>
      </c>
      <c r="B981" s="214"/>
      <c r="E981" s="212" t="str">
        <f>IFERROR(VLOOKUP(ROWS($E$2:E981),$A$2:$B$214,2,0),"")</f>
        <v/>
      </c>
    </row>
    <row r="982" spans="1:5" x14ac:dyDescent="0.35">
      <c r="A982" s="210">
        <f>IF(ISNUMBER(SEARCH('LARP Summary'!$E$3,B982)),MAX(A$1:$B981)+1,0)</f>
        <v>0</v>
      </c>
      <c r="B982" s="214"/>
      <c r="E982" s="212" t="str">
        <f>IFERROR(VLOOKUP(ROWS($E$2:E982),$A$2:$B$214,2,0),"")</f>
        <v/>
      </c>
    </row>
    <row r="983" spans="1:5" x14ac:dyDescent="0.35">
      <c r="A983" s="210">
        <f>IF(ISNUMBER(SEARCH('LARP Summary'!$E$3,B983)),MAX(A$1:$B982)+1,0)</f>
        <v>0</v>
      </c>
      <c r="B983" s="214"/>
      <c r="E983" s="212" t="str">
        <f>IFERROR(VLOOKUP(ROWS($E$2:E983),$A$2:$B$214,2,0),"")</f>
        <v/>
      </c>
    </row>
    <row r="984" spans="1:5" x14ac:dyDescent="0.35">
      <c r="A984" s="210">
        <f>IF(ISNUMBER(SEARCH('LARP Summary'!$E$3,B984)),MAX(A$1:$B983)+1,0)</f>
        <v>0</v>
      </c>
      <c r="B984" s="214"/>
      <c r="E984" s="212" t="str">
        <f>IFERROR(VLOOKUP(ROWS($E$2:E984),$A$2:$B$214,2,0),"")</f>
        <v/>
      </c>
    </row>
    <row r="985" spans="1:5" x14ac:dyDescent="0.35">
      <c r="A985" s="210">
        <f>IF(ISNUMBER(SEARCH('LARP Summary'!$E$3,B985)),MAX(A$1:$B984)+1,0)</f>
        <v>0</v>
      </c>
      <c r="B985" s="214"/>
      <c r="E985" s="212" t="str">
        <f>IFERROR(VLOOKUP(ROWS($E$2:E985),$A$2:$B$214,2,0),"")</f>
        <v/>
      </c>
    </row>
    <row r="986" spans="1:5" x14ac:dyDescent="0.35">
      <c r="A986" s="210">
        <f>IF(ISNUMBER(SEARCH('LARP Summary'!$E$3,B986)),MAX(A$1:$B985)+1,0)</f>
        <v>0</v>
      </c>
      <c r="B986" s="214"/>
      <c r="E986" s="212" t="str">
        <f>IFERROR(VLOOKUP(ROWS($E$2:E986),$A$2:$B$214,2,0),"")</f>
        <v/>
      </c>
    </row>
    <row r="987" spans="1:5" x14ac:dyDescent="0.35">
      <c r="A987" s="210">
        <f>IF(ISNUMBER(SEARCH('LARP Summary'!$E$3,B987)),MAX(A$1:$B986)+1,0)</f>
        <v>0</v>
      </c>
      <c r="B987" s="214"/>
      <c r="E987" s="212" t="str">
        <f>IFERROR(VLOOKUP(ROWS($E$2:E987),$A$2:$B$214,2,0),"")</f>
        <v/>
      </c>
    </row>
    <row r="988" spans="1:5" x14ac:dyDescent="0.35">
      <c r="A988" s="210">
        <f>IF(ISNUMBER(SEARCH('LARP Summary'!$E$3,B988)),MAX(A$1:$B987)+1,0)</f>
        <v>0</v>
      </c>
      <c r="B988" s="214"/>
      <c r="E988" s="212" t="str">
        <f>IFERROR(VLOOKUP(ROWS($E$2:E988),$A$2:$B$214,2,0),"")</f>
        <v/>
      </c>
    </row>
    <row r="989" spans="1:5" x14ac:dyDescent="0.35">
      <c r="A989" s="210">
        <f>IF(ISNUMBER(SEARCH('LARP Summary'!$E$3,B989)),MAX(A$1:$B988)+1,0)</f>
        <v>0</v>
      </c>
      <c r="B989" s="214"/>
      <c r="E989" s="212" t="str">
        <f>IFERROR(VLOOKUP(ROWS($E$2:E989),$A$2:$B$214,2,0),"")</f>
        <v/>
      </c>
    </row>
    <row r="990" spans="1:5" x14ac:dyDescent="0.35">
      <c r="A990" s="210">
        <f>IF(ISNUMBER(SEARCH('LARP Summary'!$E$3,B990)),MAX(A$1:$B989)+1,0)</f>
        <v>0</v>
      </c>
      <c r="B990" s="214"/>
      <c r="E990" s="212" t="str">
        <f>IFERROR(VLOOKUP(ROWS($E$2:E990),$A$2:$B$214,2,0),"")</f>
        <v/>
      </c>
    </row>
    <row r="991" spans="1:5" x14ac:dyDescent="0.35">
      <c r="A991" s="210">
        <f>IF(ISNUMBER(SEARCH('LARP Summary'!$E$3,B991)),MAX(A$1:$B990)+1,0)</f>
        <v>0</v>
      </c>
      <c r="B991" s="214"/>
      <c r="E991" s="212" t="str">
        <f>IFERROR(VLOOKUP(ROWS($E$2:E991),$A$2:$B$214,2,0),"")</f>
        <v/>
      </c>
    </row>
    <row r="992" spans="1:5" x14ac:dyDescent="0.35">
      <c r="A992" s="210">
        <f>IF(ISNUMBER(SEARCH('LARP Summary'!$E$3,B992)),MAX(A$1:$B991)+1,0)</f>
        <v>0</v>
      </c>
      <c r="B992" s="214"/>
      <c r="E992" s="212" t="str">
        <f>IFERROR(VLOOKUP(ROWS($E$2:E992),$A$2:$B$214,2,0),"")</f>
        <v/>
      </c>
    </row>
    <row r="993" spans="1:5" x14ac:dyDescent="0.35">
      <c r="A993" s="210">
        <f>IF(ISNUMBER(SEARCH('LARP Summary'!$E$3,B993)),MAX(A$1:$B992)+1,0)</f>
        <v>0</v>
      </c>
      <c r="B993" s="214"/>
      <c r="E993" s="212" t="str">
        <f>IFERROR(VLOOKUP(ROWS($E$2:E993),$A$2:$B$214,2,0),"")</f>
        <v/>
      </c>
    </row>
    <row r="994" spans="1:5" x14ac:dyDescent="0.35">
      <c r="A994" s="210">
        <f>IF(ISNUMBER(SEARCH('LARP Summary'!$E$3,B994)),MAX(A$1:$B993)+1,0)</f>
        <v>0</v>
      </c>
      <c r="B994" s="214"/>
      <c r="E994" s="212" t="str">
        <f>IFERROR(VLOOKUP(ROWS($E$2:E994),$A$2:$B$214,2,0),"")</f>
        <v/>
      </c>
    </row>
    <row r="995" spans="1:5" x14ac:dyDescent="0.35">
      <c r="A995" s="210">
        <f>IF(ISNUMBER(SEARCH('LARP Summary'!$E$3,B995)),MAX(A$1:$B994)+1,0)</f>
        <v>0</v>
      </c>
      <c r="B995" s="214"/>
      <c r="E995" s="212" t="str">
        <f>IFERROR(VLOOKUP(ROWS($E$2:E995),$A$2:$B$214,2,0),"")</f>
        <v/>
      </c>
    </row>
    <row r="996" spans="1:5" x14ac:dyDescent="0.35">
      <c r="A996" s="210">
        <f>IF(ISNUMBER(SEARCH('LARP Summary'!$E$3,B996)),MAX(A$1:$B995)+1,0)</f>
        <v>0</v>
      </c>
      <c r="B996" s="214"/>
      <c r="E996" s="212" t="str">
        <f>IFERROR(VLOOKUP(ROWS($E$2:E996),$A$2:$B$214,2,0),"")</f>
        <v/>
      </c>
    </row>
    <row r="997" spans="1:5" x14ac:dyDescent="0.35">
      <c r="A997" s="210">
        <f>IF(ISNUMBER(SEARCH('LARP Summary'!$E$3,B997)),MAX(A$1:$B996)+1,0)</f>
        <v>0</v>
      </c>
      <c r="B997" s="214"/>
      <c r="E997" s="212" t="str">
        <f>IFERROR(VLOOKUP(ROWS($E$2:E997),$A$2:$B$214,2,0),"")</f>
        <v/>
      </c>
    </row>
    <row r="998" spans="1:5" x14ac:dyDescent="0.35">
      <c r="A998" s="210">
        <f>IF(ISNUMBER(SEARCH('LARP Summary'!$E$3,B998)),MAX(A$1:$B997)+1,0)</f>
        <v>0</v>
      </c>
      <c r="B998" s="214"/>
      <c r="E998" s="212" t="str">
        <f>IFERROR(VLOOKUP(ROWS($E$2:E998),$A$2:$B$214,2,0),"")</f>
        <v/>
      </c>
    </row>
    <row r="999" spans="1:5" x14ac:dyDescent="0.35">
      <c r="A999" s="210">
        <f>IF(ISNUMBER(SEARCH('LARP Summary'!$E$3,B999)),MAX(A$1:$B998)+1,0)</f>
        <v>0</v>
      </c>
      <c r="B999" s="214"/>
      <c r="E999" s="212" t="str">
        <f>IFERROR(VLOOKUP(ROWS($E$2:E999),$A$2:$B$214,2,0),"")</f>
        <v/>
      </c>
    </row>
    <row r="1000" spans="1:5" x14ac:dyDescent="0.35">
      <c r="A1000" s="210">
        <f>IF(ISNUMBER(SEARCH('LARP Summary'!$E$3,B1000)),MAX(A$1:$B999)+1,0)</f>
        <v>0</v>
      </c>
      <c r="B1000" s="214"/>
      <c r="E1000" s="212" t="str">
        <f>IFERROR(VLOOKUP(ROWS($E$2:E1000),$A$2:$B$214,2,0),"")</f>
        <v/>
      </c>
    </row>
    <row r="1001" spans="1:5" x14ac:dyDescent="0.35">
      <c r="A1001" s="210">
        <f>IF(ISNUMBER(SEARCH('LARP Summary'!$E$3,B1001)),MAX(A$1:$B1000)+1,0)</f>
        <v>0</v>
      </c>
      <c r="B1001" s="214"/>
      <c r="E1001" s="212" t="str">
        <f>IFERROR(VLOOKUP(ROWS($E$2:E1001),$A$2:$B$214,2,0),"")</f>
        <v/>
      </c>
    </row>
    <row r="1002" spans="1:5" x14ac:dyDescent="0.35">
      <c r="A1002" s="210">
        <f>IF(ISNUMBER(SEARCH('LARP Summary'!$E$3,B1002)),MAX(A$1:$B1001)+1,0)</f>
        <v>0</v>
      </c>
      <c r="B1002" s="214"/>
      <c r="E1002" s="212" t="str">
        <f>IFERROR(VLOOKUP(ROWS($E$2:E1002),$A$2:$B$214,2,0),"")</f>
        <v/>
      </c>
    </row>
    <row r="1003" spans="1:5" x14ac:dyDescent="0.35">
      <c r="A1003" s="210">
        <f>IF(ISNUMBER(SEARCH('LARP Summary'!$E$3,B1003)),MAX(A$1:$B1002)+1,0)</f>
        <v>0</v>
      </c>
      <c r="B1003" s="214"/>
      <c r="E1003" s="212" t="str">
        <f>IFERROR(VLOOKUP(ROWS($E$2:E1003),$A$2:$B$214,2,0),"")</f>
        <v/>
      </c>
    </row>
    <row r="1004" spans="1:5" x14ac:dyDescent="0.35">
      <c r="A1004" s="210">
        <f>IF(ISNUMBER(SEARCH('LARP Summary'!$E$3,B1004)),MAX(A$1:$B1003)+1,0)</f>
        <v>0</v>
      </c>
      <c r="B1004" s="214"/>
      <c r="E1004" s="212" t="str">
        <f>IFERROR(VLOOKUP(ROWS($E$2:E1004),$A$2:$B$214,2,0),"")</f>
        <v/>
      </c>
    </row>
    <row r="1005" spans="1:5" x14ac:dyDescent="0.35">
      <c r="A1005" s="210">
        <f>IF(ISNUMBER(SEARCH('LARP Summary'!$E$3,B1005)),MAX(A$1:$B1004)+1,0)</f>
        <v>0</v>
      </c>
      <c r="B1005" s="214"/>
      <c r="E1005" s="212" t="str">
        <f>IFERROR(VLOOKUP(ROWS($E$2:E1005),$A$2:$B$214,2,0),"")</f>
        <v/>
      </c>
    </row>
    <row r="1006" spans="1:5" x14ac:dyDescent="0.35">
      <c r="A1006" s="210">
        <f>IF(ISNUMBER(SEARCH('LARP Summary'!$E$3,B1006)),MAX(A$1:$B1005)+1,0)</f>
        <v>0</v>
      </c>
      <c r="B1006" s="214"/>
      <c r="E1006" s="212" t="str">
        <f>IFERROR(VLOOKUP(ROWS($E$2:E1006),$A$2:$B$214,2,0),"")</f>
        <v/>
      </c>
    </row>
    <row r="1007" spans="1:5" x14ac:dyDescent="0.35">
      <c r="A1007" s="210">
        <f>IF(ISNUMBER(SEARCH('LARP Summary'!$E$3,B1007)),MAX(A$1:$B1006)+1,0)</f>
        <v>0</v>
      </c>
      <c r="B1007" s="214"/>
      <c r="E1007" s="212" t="str">
        <f>IFERROR(VLOOKUP(ROWS($E$2:E1007),$A$2:$B$214,2,0),"")</f>
        <v/>
      </c>
    </row>
    <row r="1008" spans="1:5" x14ac:dyDescent="0.35">
      <c r="A1008" s="210">
        <f>IF(ISNUMBER(SEARCH('LARP Summary'!$E$3,B1008)),MAX(A$1:$B1007)+1,0)</f>
        <v>0</v>
      </c>
      <c r="B1008" s="214"/>
      <c r="E1008" s="212" t="str">
        <f>IFERROR(VLOOKUP(ROWS($E$2:E1008),$A$2:$B$214,2,0),"")</f>
        <v/>
      </c>
    </row>
    <row r="1009" spans="1:5" x14ac:dyDescent="0.35">
      <c r="A1009" s="210">
        <f>IF(ISNUMBER(SEARCH('LARP Summary'!$E$3,B1009)),MAX(A$1:$B1008)+1,0)</f>
        <v>0</v>
      </c>
      <c r="B1009" s="214"/>
      <c r="E1009" s="212" t="str">
        <f>IFERROR(VLOOKUP(ROWS($E$2:E1009),$A$2:$B$214,2,0),"")</f>
        <v/>
      </c>
    </row>
    <row r="1010" spans="1:5" x14ac:dyDescent="0.35">
      <c r="A1010" s="210">
        <f>IF(ISNUMBER(SEARCH('LARP Summary'!$E$3,B1010)),MAX(A$1:$B1009)+1,0)</f>
        <v>0</v>
      </c>
      <c r="B1010" s="214"/>
      <c r="E1010" s="212" t="str">
        <f>IFERROR(VLOOKUP(ROWS($E$2:E1010),$A$2:$B$214,2,0),"")</f>
        <v/>
      </c>
    </row>
    <row r="1011" spans="1:5" x14ac:dyDescent="0.35">
      <c r="A1011" s="210">
        <f>IF(ISNUMBER(SEARCH('LARP Summary'!$E$3,B1011)),MAX(A$1:$B1010)+1,0)</f>
        <v>0</v>
      </c>
      <c r="B1011" s="214"/>
      <c r="E1011" s="212" t="str">
        <f>IFERROR(VLOOKUP(ROWS($E$2:E1011),$A$2:$B$214,2,0),"")</f>
        <v/>
      </c>
    </row>
    <row r="1012" spans="1:5" x14ac:dyDescent="0.35">
      <c r="A1012" s="210">
        <f>IF(ISNUMBER(SEARCH('LARP Summary'!$E$3,B1012)),MAX(A$1:$B1011)+1,0)</f>
        <v>0</v>
      </c>
      <c r="B1012" s="214"/>
      <c r="E1012" s="212" t="str">
        <f>IFERROR(VLOOKUP(ROWS($E$2:E1012),$A$2:$B$214,2,0),"")</f>
        <v/>
      </c>
    </row>
    <row r="1013" spans="1:5" x14ac:dyDescent="0.35">
      <c r="A1013" s="210">
        <f>IF(ISNUMBER(SEARCH('LARP Summary'!$E$3,B1013)),MAX(A$1:$B1012)+1,0)</f>
        <v>0</v>
      </c>
      <c r="B1013" s="214"/>
      <c r="E1013" s="212" t="str">
        <f>IFERROR(VLOOKUP(ROWS($E$2:E1013),$A$2:$B$214,2,0),"")</f>
        <v/>
      </c>
    </row>
    <row r="1014" spans="1:5" x14ac:dyDescent="0.35">
      <c r="A1014" s="210">
        <f>IF(ISNUMBER(SEARCH('LARP Summary'!$E$3,B1014)),MAX(A$1:$B1013)+1,0)</f>
        <v>0</v>
      </c>
      <c r="B1014" s="214"/>
      <c r="E1014" s="212" t="str">
        <f>IFERROR(VLOOKUP(ROWS($E$2:E1014),$A$2:$B$214,2,0),"")</f>
        <v/>
      </c>
    </row>
    <row r="1015" spans="1:5" x14ac:dyDescent="0.35">
      <c r="A1015" s="210">
        <f>IF(ISNUMBER(SEARCH('LARP Summary'!$E$3,B1015)),MAX(A$1:$B1014)+1,0)</f>
        <v>0</v>
      </c>
      <c r="B1015" s="214"/>
      <c r="E1015" s="212" t="str">
        <f>IFERROR(VLOOKUP(ROWS($E$2:E1015),$A$2:$B$214,2,0),"")</f>
        <v/>
      </c>
    </row>
    <row r="1016" spans="1:5" x14ac:dyDescent="0.35">
      <c r="A1016" s="210">
        <f>IF(ISNUMBER(SEARCH('LARP Summary'!$E$3,B1016)),MAX(A$1:$B1015)+1,0)</f>
        <v>0</v>
      </c>
      <c r="B1016" s="214"/>
      <c r="E1016" s="212" t="str">
        <f>IFERROR(VLOOKUP(ROWS($E$2:E1016),$A$2:$B$214,2,0),"")</f>
        <v/>
      </c>
    </row>
    <row r="1017" spans="1:5" x14ac:dyDescent="0.35">
      <c r="A1017" s="210">
        <f>IF(ISNUMBER(SEARCH('LARP Summary'!$E$3,B1017)),MAX(A$1:$B1016)+1,0)</f>
        <v>0</v>
      </c>
      <c r="B1017" s="214"/>
      <c r="E1017" s="212" t="str">
        <f>IFERROR(VLOOKUP(ROWS($E$2:E1017),$A$2:$B$214,2,0),"")</f>
        <v/>
      </c>
    </row>
    <row r="1018" spans="1:5" x14ac:dyDescent="0.35">
      <c r="A1018" s="210">
        <f>IF(ISNUMBER(SEARCH('LARP Summary'!$E$3,B1018)),MAX(A$1:$B1017)+1,0)</f>
        <v>0</v>
      </c>
      <c r="B1018" s="214"/>
      <c r="E1018" s="212" t="str">
        <f>IFERROR(VLOOKUP(ROWS($E$2:E1018),$A$2:$B$214,2,0),"")</f>
        <v/>
      </c>
    </row>
    <row r="1019" spans="1:5" x14ac:dyDescent="0.35">
      <c r="A1019" s="210">
        <f>IF(ISNUMBER(SEARCH('LARP Summary'!$E$3,B1019)),MAX(A$1:$B1018)+1,0)</f>
        <v>0</v>
      </c>
      <c r="B1019" s="214"/>
      <c r="E1019" s="212" t="str">
        <f>IFERROR(VLOOKUP(ROWS($E$2:E1019),$A$2:$B$214,2,0),"")</f>
        <v/>
      </c>
    </row>
    <row r="1020" spans="1:5" x14ac:dyDescent="0.35">
      <c r="A1020" s="210">
        <f>IF(ISNUMBER(SEARCH('LARP Summary'!$E$3,B1020)),MAX(A$1:$B1019)+1,0)</f>
        <v>0</v>
      </c>
      <c r="B1020" s="214"/>
      <c r="E1020" s="212" t="str">
        <f>IFERROR(VLOOKUP(ROWS($E$2:E1020),$A$2:$B$214,2,0),"")</f>
        <v/>
      </c>
    </row>
    <row r="1021" spans="1:5" x14ac:dyDescent="0.35">
      <c r="A1021" s="210">
        <f>IF(ISNUMBER(SEARCH('LARP Summary'!$E$3,B1021)),MAX(A$1:$B1020)+1,0)</f>
        <v>0</v>
      </c>
      <c r="B1021" s="214"/>
      <c r="E1021" s="212" t="str">
        <f>IFERROR(VLOOKUP(ROWS($E$2:E1021),$A$2:$B$214,2,0),"")</f>
        <v/>
      </c>
    </row>
    <row r="1022" spans="1:5" x14ac:dyDescent="0.35">
      <c r="A1022" s="210">
        <f>IF(ISNUMBER(SEARCH('LARP Summary'!$E$3,B1022)),MAX(A$1:$B1021)+1,0)</f>
        <v>0</v>
      </c>
      <c r="B1022" s="214"/>
      <c r="E1022" s="212" t="str">
        <f>IFERROR(VLOOKUP(ROWS($E$2:E1022),$A$2:$B$214,2,0),"")</f>
        <v/>
      </c>
    </row>
    <row r="1023" spans="1:5" x14ac:dyDescent="0.35">
      <c r="A1023" s="210">
        <f>IF(ISNUMBER(SEARCH('LARP Summary'!$E$3,B1023)),MAX(A$1:$B1022)+1,0)</f>
        <v>0</v>
      </c>
      <c r="B1023" s="214"/>
      <c r="E1023" s="212" t="str">
        <f>IFERROR(VLOOKUP(ROWS($E$2:E1023),$A$2:$B$214,2,0),"")</f>
        <v/>
      </c>
    </row>
    <row r="1024" spans="1:5" x14ac:dyDescent="0.35">
      <c r="A1024" s="210">
        <f>IF(ISNUMBER(SEARCH('LARP Summary'!$E$3,B1024)),MAX(A$1:$B1023)+1,0)</f>
        <v>0</v>
      </c>
      <c r="B1024" s="214"/>
      <c r="E1024" s="212" t="str">
        <f>IFERROR(VLOOKUP(ROWS($E$2:E1024),$A$2:$B$214,2,0),"")</f>
        <v/>
      </c>
    </row>
    <row r="1025" spans="1:5" x14ac:dyDescent="0.35">
      <c r="A1025" s="210">
        <f>IF(ISNUMBER(SEARCH('LARP Summary'!$E$3,B1025)),MAX(A$1:$B1024)+1,0)</f>
        <v>0</v>
      </c>
      <c r="B1025" s="214"/>
      <c r="E1025" s="212" t="str">
        <f>IFERROR(VLOOKUP(ROWS($E$2:E1025),$A$2:$B$214,2,0),"")</f>
        <v/>
      </c>
    </row>
    <row r="1026" spans="1:5" x14ac:dyDescent="0.35">
      <c r="A1026" s="210">
        <f>IF(ISNUMBER(SEARCH('LARP Summary'!$E$3,B1026)),MAX(A$1:$B1025)+1,0)</f>
        <v>0</v>
      </c>
      <c r="B1026" s="214"/>
      <c r="E1026" s="212" t="str">
        <f>IFERROR(VLOOKUP(ROWS($E$2:E1026),$A$2:$B$214,2,0),"")</f>
        <v/>
      </c>
    </row>
    <row r="1027" spans="1:5" x14ac:dyDescent="0.35">
      <c r="A1027" s="210">
        <f>IF(ISNUMBER(SEARCH('LARP Summary'!$E$3,B1027)),MAX(A$1:$B1026)+1,0)</f>
        <v>0</v>
      </c>
      <c r="B1027" s="214"/>
      <c r="E1027" s="212" t="str">
        <f>IFERROR(VLOOKUP(ROWS($E$2:E1027),$A$2:$B$214,2,0),"")</f>
        <v/>
      </c>
    </row>
    <row r="1028" spans="1:5" x14ac:dyDescent="0.35">
      <c r="A1028" s="210">
        <f>IF(ISNUMBER(SEARCH('LARP Summary'!$E$3,B1028)),MAX(A$1:$B1027)+1,0)</f>
        <v>0</v>
      </c>
      <c r="B1028" s="214"/>
      <c r="E1028" s="212" t="str">
        <f>IFERROR(VLOOKUP(ROWS($E$2:E1028),$A$2:$B$214,2,0),"")</f>
        <v/>
      </c>
    </row>
    <row r="1029" spans="1:5" x14ac:dyDescent="0.35">
      <c r="A1029" s="210">
        <f>IF(ISNUMBER(SEARCH('LARP Summary'!$E$3,B1029)),MAX(A$1:$B1028)+1,0)</f>
        <v>0</v>
      </c>
      <c r="B1029" s="214"/>
      <c r="E1029" s="212" t="str">
        <f>IFERROR(VLOOKUP(ROWS($E$2:E1029),$A$2:$B$214,2,0),"")</f>
        <v/>
      </c>
    </row>
    <row r="1030" spans="1:5" x14ac:dyDescent="0.35">
      <c r="A1030" s="210">
        <f>IF(ISNUMBER(SEARCH('LARP Summary'!$E$3,B1030)),MAX(A$1:$B1029)+1,0)</f>
        <v>0</v>
      </c>
      <c r="B1030" s="214"/>
      <c r="E1030" s="212" t="str">
        <f>IFERROR(VLOOKUP(ROWS($E$2:E1030),$A$2:$B$214,2,0),"")</f>
        <v/>
      </c>
    </row>
    <row r="1031" spans="1:5" x14ac:dyDescent="0.35">
      <c r="A1031" s="210">
        <f>IF(ISNUMBER(SEARCH('LARP Summary'!$E$3,B1031)),MAX(A$1:$B1030)+1,0)</f>
        <v>0</v>
      </c>
      <c r="B1031" s="214"/>
      <c r="E1031" s="212" t="str">
        <f>IFERROR(VLOOKUP(ROWS($E$2:E1031),$A$2:$B$214,2,0),"")</f>
        <v/>
      </c>
    </row>
    <row r="1032" spans="1:5" x14ac:dyDescent="0.35">
      <c r="A1032" s="210">
        <f>IF(ISNUMBER(SEARCH('LARP Summary'!$E$3,B1032)),MAX(A$1:$B1031)+1,0)</f>
        <v>0</v>
      </c>
      <c r="B1032" s="214"/>
      <c r="E1032" s="212" t="str">
        <f>IFERROR(VLOOKUP(ROWS($E$2:E1032),$A$2:$B$214,2,0),"")</f>
        <v/>
      </c>
    </row>
    <row r="1033" spans="1:5" x14ac:dyDescent="0.35">
      <c r="A1033" s="210">
        <f>IF(ISNUMBER(SEARCH('LARP Summary'!$E$3,B1033)),MAX(A$1:$B1032)+1,0)</f>
        <v>0</v>
      </c>
      <c r="B1033" s="214"/>
      <c r="E1033" s="212" t="str">
        <f>IFERROR(VLOOKUP(ROWS($E$2:E1033),$A$2:$B$214,2,0),"")</f>
        <v/>
      </c>
    </row>
    <row r="1034" spans="1:5" x14ac:dyDescent="0.35">
      <c r="A1034" s="210">
        <f>IF(ISNUMBER(SEARCH('LARP Summary'!$E$3,B1034)),MAX(A$1:$B1033)+1,0)</f>
        <v>0</v>
      </c>
      <c r="B1034" s="214"/>
      <c r="E1034" s="212" t="str">
        <f>IFERROR(VLOOKUP(ROWS($E$2:E1034),$A$2:$B$214,2,0),"")</f>
        <v/>
      </c>
    </row>
    <row r="1035" spans="1:5" x14ac:dyDescent="0.35">
      <c r="A1035" s="210">
        <f>IF(ISNUMBER(SEARCH('LARP Summary'!$E$3,B1035)),MAX(A$1:$B1034)+1,0)</f>
        <v>0</v>
      </c>
      <c r="B1035" s="214"/>
      <c r="E1035" s="212" t="str">
        <f>IFERROR(VLOOKUP(ROWS($E$2:E1035),$A$2:$B$214,2,0),"")</f>
        <v/>
      </c>
    </row>
    <row r="1036" spans="1:5" x14ac:dyDescent="0.35">
      <c r="A1036" s="210">
        <f>IF(ISNUMBER(SEARCH('LARP Summary'!$E$3,B1036)),MAX(A$1:$B1035)+1,0)</f>
        <v>0</v>
      </c>
      <c r="B1036" s="214"/>
      <c r="E1036" s="212" t="str">
        <f>IFERROR(VLOOKUP(ROWS($E$2:E1036),$A$2:$B$214,2,0),"")</f>
        <v/>
      </c>
    </row>
    <row r="1037" spans="1:5" x14ac:dyDescent="0.35">
      <c r="A1037" s="210">
        <f>IF(ISNUMBER(SEARCH('LARP Summary'!$E$3,B1037)),MAX(A$1:$B1036)+1,0)</f>
        <v>0</v>
      </c>
      <c r="B1037" s="214"/>
      <c r="E1037" s="212" t="str">
        <f>IFERROR(VLOOKUP(ROWS($E$2:E1037),$A$2:$B$214,2,0),"")</f>
        <v/>
      </c>
    </row>
    <row r="1038" spans="1:5" x14ac:dyDescent="0.35">
      <c r="A1038" s="210">
        <f>IF(ISNUMBER(SEARCH('LARP Summary'!$E$3,B1038)),MAX(A$1:$B1037)+1,0)</f>
        <v>0</v>
      </c>
      <c r="B1038" s="214"/>
      <c r="E1038" s="212" t="str">
        <f>IFERROR(VLOOKUP(ROWS($E$2:E1038),$A$2:$B$214,2,0),"")</f>
        <v/>
      </c>
    </row>
    <row r="1039" spans="1:5" x14ac:dyDescent="0.35">
      <c r="A1039" s="210">
        <f>IF(ISNUMBER(SEARCH('LARP Summary'!$E$3,B1039)),MAX(A$1:$B1038)+1,0)</f>
        <v>0</v>
      </c>
      <c r="B1039" s="214"/>
      <c r="E1039" s="212" t="str">
        <f>IFERROR(VLOOKUP(ROWS($E$2:E1039),$A$2:$B$214,2,0),"")</f>
        <v/>
      </c>
    </row>
    <row r="1040" spans="1:5" x14ac:dyDescent="0.35">
      <c r="A1040" s="210">
        <f>IF(ISNUMBER(SEARCH('LARP Summary'!$E$3,B1040)),MAX(A$1:$B1039)+1,0)</f>
        <v>0</v>
      </c>
      <c r="B1040" s="214"/>
      <c r="E1040" s="212" t="str">
        <f>IFERROR(VLOOKUP(ROWS($E$2:E1040),$A$2:$B$214,2,0),"")</f>
        <v/>
      </c>
    </row>
    <row r="1041" spans="1:5" x14ac:dyDescent="0.35">
      <c r="A1041" s="210">
        <f>IF(ISNUMBER(SEARCH('LARP Summary'!$E$3,B1041)),MAX(A$1:$B1040)+1,0)</f>
        <v>0</v>
      </c>
      <c r="B1041" s="214"/>
      <c r="E1041" s="212" t="str">
        <f>IFERROR(VLOOKUP(ROWS($E$2:E1041),$A$2:$B$214,2,0),"")</f>
        <v/>
      </c>
    </row>
    <row r="1042" spans="1:5" x14ac:dyDescent="0.35">
      <c r="A1042" s="210">
        <f>IF(ISNUMBER(SEARCH('LARP Summary'!$E$3,B1042)),MAX(A$1:$B1041)+1,0)</f>
        <v>0</v>
      </c>
      <c r="B1042" s="214"/>
      <c r="E1042" s="212" t="str">
        <f>IFERROR(VLOOKUP(ROWS($E$2:E1042),$A$2:$B$214,2,0),"")</f>
        <v/>
      </c>
    </row>
    <row r="1043" spans="1:5" x14ac:dyDescent="0.35">
      <c r="A1043" s="210">
        <f>IF(ISNUMBER(SEARCH('LARP Summary'!$E$3,B1043)),MAX(A$1:$B1042)+1,0)</f>
        <v>0</v>
      </c>
      <c r="B1043" s="214"/>
      <c r="E1043" s="212" t="str">
        <f>IFERROR(VLOOKUP(ROWS($E$2:E1043),$A$2:$B$214,2,0),"")</f>
        <v/>
      </c>
    </row>
    <row r="1044" spans="1:5" x14ac:dyDescent="0.35">
      <c r="A1044" s="210">
        <f>IF(ISNUMBER(SEARCH('LARP Summary'!$E$3,B1044)),MAX(A$1:$B1043)+1,0)</f>
        <v>0</v>
      </c>
      <c r="B1044" s="214"/>
      <c r="E1044" s="212" t="str">
        <f>IFERROR(VLOOKUP(ROWS($E$2:E1044),$A$2:$B$214,2,0),"")</f>
        <v/>
      </c>
    </row>
    <row r="1045" spans="1:5" x14ac:dyDescent="0.35">
      <c r="A1045" s="210">
        <f>IF(ISNUMBER(SEARCH('LARP Summary'!$E$3,B1045)),MAX(A$1:$B1044)+1,0)</f>
        <v>0</v>
      </c>
      <c r="B1045" s="214"/>
      <c r="E1045" s="212" t="str">
        <f>IFERROR(VLOOKUP(ROWS($E$2:E1045),$A$2:$B$214,2,0),"")</f>
        <v/>
      </c>
    </row>
    <row r="1046" spans="1:5" x14ac:dyDescent="0.35">
      <c r="A1046" s="210">
        <f>IF(ISNUMBER(SEARCH('LARP Summary'!$E$3,B1046)),MAX(A$1:$B1045)+1,0)</f>
        <v>0</v>
      </c>
      <c r="B1046" s="214"/>
      <c r="E1046" s="212" t="str">
        <f>IFERROR(VLOOKUP(ROWS($E$2:E1046),$A$2:$B$214,2,0),"")</f>
        <v/>
      </c>
    </row>
    <row r="1047" spans="1:5" x14ac:dyDescent="0.35">
      <c r="A1047" s="210">
        <f>IF(ISNUMBER(SEARCH('LARP Summary'!$E$3,B1047)),MAX(A$1:$B1046)+1,0)</f>
        <v>0</v>
      </c>
      <c r="B1047" s="214"/>
      <c r="E1047" s="212" t="str">
        <f>IFERROR(VLOOKUP(ROWS($E$2:E1047),$A$2:$B$214,2,0),"")</f>
        <v/>
      </c>
    </row>
    <row r="1048" spans="1:5" x14ac:dyDescent="0.35">
      <c r="A1048" s="210">
        <f>IF(ISNUMBER(SEARCH('LARP Summary'!$E$3,B1048)),MAX(A$1:$B1047)+1,0)</f>
        <v>0</v>
      </c>
      <c r="B1048" s="214"/>
      <c r="E1048" s="212" t="str">
        <f>IFERROR(VLOOKUP(ROWS($E$2:E1048),$A$2:$B$214,2,0),"")</f>
        <v/>
      </c>
    </row>
    <row r="1049" spans="1:5" x14ac:dyDescent="0.35">
      <c r="A1049" s="210">
        <f>IF(ISNUMBER(SEARCH('LARP Summary'!$E$3,B1049)),MAX(A$1:$B1048)+1,0)</f>
        <v>0</v>
      </c>
      <c r="B1049" s="214"/>
      <c r="E1049" s="212" t="str">
        <f>IFERROR(VLOOKUP(ROWS($E$2:E1049),$A$2:$B$214,2,0),"")</f>
        <v/>
      </c>
    </row>
    <row r="1050" spans="1:5" x14ac:dyDescent="0.35">
      <c r="A1050" s="210">
        <f>IF(ISNUMBER(SEARCH('LARP Summary'!$E$3,B1050)),MAX(A$1:$B1049)+1,0)</f>
        <v>0</v>
      </c>
      <c r="B1050" s="214"/>
      <c r="E1050" s="212" t="str">
        <f>IFERROR(VLOOKUP(ROWS($E$2:E1050),$A$2:$B$214,2,0),"")</f>
        <v/>
      </c>
    </row>
    <row r="1051" spans="1:5" x14ac:dyDescent="0.35">
      <c r="A1051" s="210">
        <f>IF(ISNUMBER(SEARCH('LARP Summary'!$E$3,B1051)),MAX(A$1:$B1050)+1,0)</f>
        <v>0</v>
      </c>
      <c r="B1051" s="214"/>
      <c r="E1051" s="212" t="str">
        <f>IFERROR(VLOOKUP(ROWS($E$2:E1051),$A$2:$B$214,2,0),"")</f>
        <v/>
      </c>
    </row>
    <row r="1052" spans="1:5" x14ac:dyDescent="0.35">
      <c r="A1052" s="210">
        <f>IF(ISNUMBER(SEARCH('LARP Summary'!$E$3,B1052)),MAX(A$1:$B1051)+1,0)</f>
        <v>0</v>
      </c>
      <c r="B1052" s="214"/>
      <c r="E1052" s="212" t="str">
        <f>IFERROR(VLOOKUP(ROWS($E$2:E1052),$A$2:$B$214,2,0),"")</f>
        <v/>
      </c>
    </row>
    <row r="1053" spans="1:5" x14ac:dyDescent="0.35">
      <c r="A1053" s="210">
        <f>IF(ISNUMBER(SEARCH('LARP Summary'!$E$3,B1053)),MAX(A$1:$B1052)+1,0)</f>
        <v>0</v>
      </c>
      <c r="B1053" s="214"/>
      <c r="E1053" s="212" t="str">
        <f>IFERROR(VLOOKUP(ROWS($E$2:E1053),$A$2:$B$214,2,0),"")</f>
        <v/>
      </c>
    </row>
    <row r="1054" spans="1:5" x14ac:dyDescent="0.35">
      <c r="A1054" s="210">
        <f>IF(ISNUMBER(SEARCH('LARP Summary'!$E$3,B1054)),MAX(A$1:$B1053)+1,0)</f>
        <v>0</v>
      </c>
      <c r="B1054" s="214"/>
      <c r="E1054" s="212" t="str">
        <f>IFERROR(VLOOKUP(ROWS($E$2:E1054),$A$2:$B$214,2,0),"")</f>
        <v/>
      </c>
    </row>
    <row r="1055" spans="1:5" x14ac:dyDescent="0.35">
      <c r="A1055" s="210">
        <f>IF(ISNUMBER(SEARCH('LARP Summary'!$E$3,B1055)),MAX(A$1:$B1054)+1,0)</f>
        <v>0</v>
      </c>
      <c r="B1055" s="214"/>
      <c r="E1055" s="212" t="str">
        <f>IFERROR(VLOOKUP(ROWS($E$2:E1055),$A$2:$B$214,2,0),"")</f>
        <v/>
      </c>
    </row>
    <row r="1056" spans="1:5" x14ac:dyDescent="0.35">
      <c r="A1056" s="210">
        <f>IF(ISNUMBER(SEARCH('LARP Summary'!$E$3,B1056)),MAX(A$1:$B1055)+1,0)</f>
        <v>0</v>
      </c>
      <c r="B1056" s="214"/>
      <c r="E1056" s="212" t="str">
        <f>IFERROR(VLOOKUP(ROWS($E$2:E1056),$A$2:$B$214,2,0),"")</f>
        <v/>
      </c>
    </row>
    <row r="1057" spans="1:5" x14ac:dyDescent="0.35">
      <c r="A1057" s="210">
        <f>IF(ISNUMBER(SEARCH('LARP Summary'!$E$3,B1057)),MAX(A$1:$B1056)+1,0)</f>
        <v>0</v>
      </c>
      <c r="B1057" s="214"/>
      <c r="E1057" s="212" t="str">
        <f>IFERROR(VLOOKUP(ROWS($E$2:E1057),$A$2:$B$214,2,0),"")</f>
        <v/>
      </c>
    </row>
    <row r="1058" spans="1:5" x14ac:dyDescent="0.35">
      <c r="A1058" s="210">
        <f>IF(ISNUMBER(SEARCH('LARP Summary'!$E$3,B1058)),MAX(A$1:$B1057)+1,0)</f>
        <v>0</v>
      </c>
      <c r="B1058" s="214"/>
      <c r="E1058" s="212" t="str">
        <f>IFERROR(VLOOKUP(ROWS($E$2:E1058),$A$2:$B$214,2,0),"")</f>
        <v/>
      </c>
    </row>
    <row r="1059" spans="1:5" x14ac:dyDescent="0.35">
      <c r="A1059" s="210">
        <f>IF(ISNUMBER(SEARCH('LARP Summary'!$E$3,B1059)),MAX(A$1:$B1058)+1,0)</f>
        <v>0</v>
      </c>
      <c r="B1059" s="214"/>
      <c r="E1059" s="212" t="str">
        <f>IFERROR(VLOOKUP(ROWS($E$2:E1059),$A$2:$B$214,2,0),"")</f>
        <v/>
      </c>
    </row>
    <row r="1060" spans="1:5" x14ac:dyDescent="0.35">
      <c r="A1060" s="210">
        <f>IF(ISNUMBER(SEARCH('LARP Summary'!$E$3,B1060)),MAX(A$1:$B1059)+1,0)</f>
        <v>0</v>
      </c>
      <c r="B1060" s="214"/>
      <c r="E1060" s="212" t="str">
        <f>IFERROR(VLOOKUP(ROWS($E$2:E1060),$A$2:$B$214,2,0),"")</f>
        <v/>
      </c>
    </row>
    <row r="1061" spans="1:5" x14ac:dyDescent="0.35">
      <c r="A1061" s="210">
        <f>IF(ISNUMBER(SEARCH('LARP Summary'!$E$3,B1061)),MAX(A$1:$B1060)+1,0)</f>
        <v>0</v>
      </c>
      <c r="B1061" s="214"/>
      <c r="E1061" s="212" t="str">
        <f>IFERROR(VLOOKUP(ROWS($E$2:E1061),$A$2:$B$214,2,0),"")</f>
        <v/>
      </c>
    </row>
    <row r="1062" spans="1:5" x14ac:dyDescent="0.35">
      <c r="A1062" s="210">
        <f>IF(ISNUMBER(SEARCH('LARP Summary'!$E$3,B1062)),MAX(A$1:$B1061)+1,0)</f>
        <v>0</v>
      </c>
      <c r="B1062" s="214"/>
      <c r="E1062" s="212" t="str">
        <f>IFERROR(VLOOKUP(ROWS($E$2:E1062),$A$2:$B$214,2,0),"")</f>
        <v/>
      </c>
    </row>
    <row r="1063" spans="1:5" x14ac:dyDescent="0.35">
      <c r="A1063" s="210">
        <f>IF(ISNUMBER(SEARCH('LARP Summary'!$E$3,B1063)),MAX(A$1:$B1062)+1,0)</f>
        <v>0</v>
      </c>
      <c r="B1063" s="214"/>
      <c r="E1063" s="212" t="str">
        <f>IFERROR(VLOOKUP(ROWS($E$2:E1063),$A$2:$B$214,2,0),"")</f>
        <v/>
      </c>
    </row>
    <row r="1064" spans="1:5" x14ac:dyDescent="0.35">
      <c r="A1064" s="210">
        <f>IF(ISNUMBER(SEARCH('LARP Summary'!$E$3,B1064)),MAX(A$1:$B1063)+1,0)</f>
        <v>0</v>
      </c>
      <c r="B1064" s="214"/>
      <c r="E1064" s="212" t="str">
        <f>IFERROR(VLOOKUP(ROWS($E$2:E1064),$A$2:$B$214,2,0),"")</f>
        <v/>
      </c>
    </row>
    <row r="1065" spans="1:5" x14ac:dyDescent="0.35">
      <c r="A1065" s="210">
        <f>IF(ISNUMBER(SEARCH('LARP Summary'!$E$3,B1065)),MAX(A$1:$B1064)+1,0)</f>
        <v>0</v>
      </c>
      <c r="B1065" s="214"/>
      <c r="E1065" s="212" t="str">
        <f>IFERROR(VLOOKUP(ROWS($E$2:E1065),$A$2:$B$214,2,0),"")</f>
        <v/>
      </c>
    </row>
    <row r="1066" spans="1:5" x14ac:dyDescent="0.35">
      <c r="A1066" s="210">
        <f>IF(ISNUMBER(SEARCH('LARP Summary'!$E$3,B1066)),MAX(A$1:$B1065)+1,0)</f>
        <v>0</v>
      </c>
      <c r="B1066" s="214"/>
      <c r="E1066" s="212" t="str">
        <f>IFERROR(VLOOKUP(ROWS($E$2:E1066),$A$2:$B$214,2,0),"")</f>
        <v/>
      </c>
    </row>
    <row r="1067" spans="1:5" x14ac:dyDescent="0.35">
      <c r="A1067" s="210">
        <f>IF(ISNUMBER(SEARCH('LARP Summary'!$E$3,B1067)),MAX(A$1:$B1066)+1,0)</f>
        <v>0</v>
      </c>
      <c r="B1067" s="214"/>
      <c r="E1067" s="212" t="str">
        <f>IFERROR(VLOOKUP(ROWS($E$2:E1067),$A$2:$B$214,2,0),"")</f>
        <v/>
      </c>
    </row>
    <row r="1068" spans="1:5" x14ac:dyDescent="0.35">
      <c r="A1068" s="210">
        <f>IF(ISNUMBER(SEARCH('LARP Summary'!$E$3,B1068)),MAX(A$1:$B1067)+1,0)</f>
        <v>0</v>
      </c>
      <c r="B1068" s="214"/>
      <c r="E1068" s="212" t="str">
        <f>IFERROR(VLOOKUP(ROWS($E$2:E1068),$A$2:$B$214,2,0),"")</f>
        <v/>
      </c>
    </row>
    <row r="1069" spans="1:5" x14ac:dyDescent="0.35">
      <c r="A1069" s="210">
        <f>IF(ISNUMBER(SEARCH('LARP Summary'!$E$3,B1069)),MAX(A$1:$B1068)+1,0)</f>
        <v>0</v>
      </c>
      <c r="B1069" s="214"/>
      <c r="E1069" s="212" t="str">
        <f>IFERROR(VLOOKUP(ROWS($E$2:E1069),$A$2:$B$214,2,0),"")</f>
        <v/>
      </c>
    </row>
    <row r="1070" spans="1:5" x14ac:dyDescent="0.35">
      <c r="A1070" s="210">
        <f>IF(ISNUMBER(SEARCH('LARP Summary'!$E$3,B1070)),MAX(A$1:$B1069)+1,0)</f>
        <v>0</v>
      </c>
      <c r="B1070" s="214"/>
      <c r="E1070" s="212" t="str">
        <f>IFERROR(VLOOKUP(ROWS($E$2:E1070),$A$2:$B$214,2,0),"")</f>
        <v/>
      </c>
    </row>
    <row r="1071" spans="1:5" x14ac:dyDescent="0.35">
      <c r="A1071" s="210">
        <f>IF(ISNUMBER(SEARCH('LARP Summary'!$E$3,B1071)),MAX(A$1:$B1070)+1,0)</f>
        <v>0</v>
      </c>
      <c r="B1071" s="214"/>
      <c r="E1071" s="212" t="str">
        <f>IFERROR(VLOOKUP(ROWS($E$2:E1071),$A$2:$B$214,2,0),"")</f>
        <v/>
      </c>
    </row>
    <row r="1072" spans="1:5" x14ac:dyDescent="0.35">
      <c r="A1072" s="210">
        <f>IF(ISNUMBER(SEARCH('LARP Summary'!$E$3,B1072)),MAX(A$1:$B1071)+1,0)</f>
        <v>0</v>
      </c>
      <c r="B1072" s="214"/>
      <c r="E1072" s="212" t="str">
        <f>IFERROR(VLOOKUP(ROWS($E$2:E1072),$A$2:$B$214,2,0),"")</f>
        <v/>
      </c>
    </row>
    <row r="1073" spans="1:5" x14ac:dyDescent="0.35">
      <c r="A1073" s="210">
        <f>IF(ISNUMBER(SEARCH('LARP Summary'!$E$3,B1073)),MAX(A$1:$B1072)+1,0)</f>
        <v>0</v>
      </c>
      <c r="B1073" s="214"/>
      <c r="E1073" s="212" t="str">
        <f>IFERROR(VLOOKUP(ROWS($E$2:E1073),$A$2:$B$214,2,0),"")</f>
        <v/>
      </c>
    </row>
    <row r="1074" spans="1:5" x14ac:dyDescent="0.35">
      <c r="A1074" s="210">
        <f>IF(ISNUMBER(SEARCH('LARP Summary'!$E$3,B1074)),MAX(A$1:$B1073)+1,0)</f>
        <v>0</v>
      </c>
      <c r="B1074" s="214"/>
      <c r="E1074" s="212" t="str">
        <f>IFERROR(VLOOKUP(ROWS($E$2:E1074),$A$2:$B$214,2,0),"")</f>
        <v/>
      </c>
    </row>
    <row r="1075" spans="1:5" x14ac:dyDescent="0.35">
      <c r="A1075" s="210">
        <f>IF(ISNUMBER(SEARCH('LARP Summary'!$E$3,B1075)),MAX(A$1:$B1074)+1,0)</f>
        <v>0</v>
      </c>
      <c r="B1075" s="214"/>
      <c r="E1075" s="212" t="str">
        <f>IFERROR(VLOOKUP(ROWS($E$2:E1075),$A$2:$B$214,2,0),"")</f>
        <v/>
      </c>
    </row>
    <row r="1076" spans="1:5" x14ac:dyDescent="0.35">
      <c r="A1076" s="210">
        <f>IF(ISNUMBER(SEARCH('LARP Summary'!$E$3,B1076)),MAX(A$1:$B1075)+1,0)</f>
        <v>0</v>
      </c>
      <c r="B1076" s="214"/>
      <c r="E1076" s="212" t="str">
        <f>IFERROR(VLOOKUP(ROWS($E$2:E1076),$A$2:$B$214,2,0),"")</f>
        <v/>
      </c>
    </row>
    <row r="1077" spans="1:5" x14ac:dyDescent="0.35">
      <c r="A1077" s="210">
        <f>IF(ISNUMBER(SEARCH('LARP Summary'!$E$3,B1077)),MAX(A$1:$B1076)+1,0)</f>
        <v>0</v>
      </c>
      <c r="B1077" s="214"/>
      <c r="E1077" s="212" t="str">
        <f>IFERROR(VLOOKUP(ROWS($E$2:E1077),$A$2:$B$214,2,0),"")</f>
        <v/>
      </c>
    </row>
    <row r="1078" spans="1:5" x14ac:dyDescent="0.35">
      <c r="A1078" s="210">
        <f>IF(ISNUMBER(SEARCH('LARP Summary'!$E$3,B1078)),MAX(A$1:$B1077)+1,0)</f>
        <v>0</v>
      </c>
      <c r="B1078" s="214"/>
      <c r="E1078" s="212" t="str">
        <f>IFERROR(VLOOKUP(ROWS($E$2:E1078),$A$2:$B$214,2,0),"")</f>
        <v/>
      </c>
    </row>
    <row r="1079" spans="1:5" x14ac:dyDescent="0.35">
      <c r="A1079" s="210">
        <f>IF(ISNUMBER(SEARCH('LARP Summary'!$E$3,B1079)),MAX(A$1:$B1078)+1,0)</f>
        <v>0</v>
      </c>
      <c r="B1079" s="214"/>
      <c r="E1079" s="212" t="str">
        <f>IFERROR(VLOOKUP(ROWS($E$2:E1079),$A$2:$B$214,2,0),"")</f>
        <v/>
      </c>
    </row>
    <row r="1080" spans="1:5" x14ac:dyDescent="0.35">
      <c r="A1080" s="210">
        <f>IF(ISNUMBER(SEARCH('LARP Summary'!$E$3,B1080)),MAX(A$1:$B1079)+1,0)</f>
        <v>0</v>
      </c>
      <c r="B1080" s="214"/>
      <c r="E1080" s="212" t="str">
        <f>IFERROR(VLOOKUP(ROWS($E$2:E1080),$A$2:$B$214,2,0),"")</f>
        <v/>
      </c>
    </row>
    <row r="1081" spans="1:5" x14ac:dyDescent="0.35">
      <c r="A1081" s="210">
        <f>IF(ISNUMBER(SEARCH('LARP Summary'!$E$3,B1081)),MAX(A$1:$B1080)+1,0)</f>
        <v>0</v>
      </c>
      <c r="B1081" s="214"/>
      <c r="E1081" s="212" t="str">
        <f>IFERROR(VLOOKUP(ROWS($E$2:E1081),$A$2:$B$214,2,0),"")</f>
        <v/>
      </c>
    </row>
    <row r="1082" spans="1:5" x14ac:dyDescent="0.35">
      <c r="A1082" s="210">
        <f>IF(ISNUMBER(SEARCH('LARP Summary'!$E$3,B1082)),MAX(A$1:$B1081)+1,0)</f>
        <v>0</v>
      </c>
      <c r="B1082" s="214"/>
      <c r="E1082" s="212" t="str">
        <f>IFERROR(VLOOKUP(ROWS($E$2:E1082),$A$2:$B$214,2,0),"")</f>
        <v/>
      </c>
    </row>
    <row r="1083" spans="1:5" x14ac:dyDescent="0.35">
      <c r="A1083" s="210">
        <f>IF(ISNUMBER(SEARCH('LARP Summary'!$E$3,B1083)),MAX(A$1:$B1082)+1,0)</f>
        <v>0</v>
      </c>
      <c r="B1083" s="214"/>
      <c r="E1083" s="212" t="str">
        <f>IFERROR(VLOOKUP(ROWS($E$2:E1083),$A$2:$B$214,2,0),"")</f>
        <v/>
      </c>
    </row>
    <row r="1084" spans="1:5" x14ac:dyDescent="0.35">
      <c r="A1084" s="210">
        <f>IF(ISNUMBER(SEARCH('LARP Summary'!$E$3,B1084)),MAX(A$1:$B1083)+1,0)</f>
        <v>0</v>
      </c>
      <c r="B1084" s="214"/>
      <c r="E1084" s="212" t="str">
        <f>IFERROR(VLOOKUP(ROWS($E$2:E1084),$A$2:$B$214,2,0),"")</f>
        <v/>
      </c>
    </row>
    <row r="1085" spans="1:5" x14ac:dyDescent="0.35">
      <c r="A1085" s="210">
        <f>IF(ISNUMBER(SEARCH('LARP Summary'!$E$3,B1085)),MAX(A$1:$B1084)+1,0)</f>
        <v>0</v>
      </c>
      <c r="B1085" s="214"/>
      <c r="E1085" s="212" t="str">
        <f>IFERROR(VLOOKUP(ROWS($E$2:E1085),$A$2:$B$214,2,0),"")</f>
        <v/>
      </c>
    </row>
    <row r="1086" spans="1:5" x14ac:dyDescent="0.35">
      <c r="A1086" s="210">
        <f>IF(ISNUMBER(SEARCH('LARP Summary'!$E$3,B1086)),MAX(A$1:$B1085)+1,0)</f>
        <v>0</v>
      </c>
      <c r="B1086" s="214"/>
      <c r="E1086" s="212" t="str">
        <f>IFERROR(VLOOKUP(ROWS($E$2:E1086),$A$2:$B$214,2,0),"")</f>
        <v/>
      </c>
    </row>
    <row r="1087" spans="1:5" x14ac:dyDescent="0.35">
      <c r="A1087" s="210">
        <f>IF(ISNUMBER(SEARCH('LARP Summary'!$E$3,B1087)),MAX(A$1:$B1086)+1,0)</f>
        <v>0</v>
      </c>
      <c r="B1087" s="214"/>
      <c r="E1087" s="212" t="str">
        <f>IFERROR(VLOOKUP(ROWS($E$2:E1087),$A$2:$B$214,2,0),"")</f>
        <v/>
      </c>
    </row>
    <row r="1088" spans="1:5" x14ac:dyDescent="0.35">
      <c r="A1088" s="210">
        <f>IF(ISNUMBER(SEARCH('LARP Summary'!$E$3,B1088)),MAX(A$1:$B1087)+1,0)</f>
        <v>0</v>
      </c>
      <c r="B1088" s="214"/>
      <c r="E1088" s="212" t="str">
        <f>IFERROR(VLOOKUP(ROWS($E$2:E1088),$A$2:$B$214,2,0),"")</f>
        <v/>
      </c>
    </row>
    <row r="1089" spans="1:5" x14ac:dyDescent="0.35">
      <c r="A1089" s="210">
        <f>IF(ISNUMBER(SEARCH('LARP Summary'!$E$3,B1089)),MAX(A$1:$B1088)+1,0)</f>
        <v>0</v>
      </c>
      <c r="B1089" s="214"/>
      <c r="E1089" s="212" t="str">
        <f>IFERROR(VLOOKUP(ROWS($E$2:E1089),$A$2:$B$214,2,0),"")</f>
        <v/>
      </c>
    </row>
    <row r="1090" spans="1:5" x14ac:dyDescent="0.35">
      <c r="A1090" s="210">
        <f>IF(ISNUMBER(SEARCH('LARP Summary'!$E$3,B1090)),MAX(A$1:$B1089)+1,0)</f>
        <v>0</v>
      </c>
      <c r="B1090" s="214"/>
      <c r="E1090" s="212" t="str">
        <f>IFERROR(VLOOKUP(ROWS($E$2:E1090),$A$2:$B$214,2,0),"")</f>
        <v/>
      </c>
    </row>
    <row r="1091" spans="1:5" x14ac:dyDescent="0.35">
      <c r="A1091" s="210">
        <f>IF(ISNUMBER(SEARCH('LARP Summary'!$E$3,B1091)),MAX(A$1:$B1090)+1,0)</f>
        <v>0</v>
      </c>
      <c r="B1091" s="214"/>
      <c r="E1091" s="212" t="str">
        <f>IFERROR(VLOOKUP(ROWS($E$2:E1091),$A$2:$B$214,2,0),"")</f>
        <v/>
      </c>
    </row>
    <row r="1092" spans="1:5" x14ac:dyDescent="0.35">
      <c r="A1092" s="210">
        <f>IF(ISNUMBER(SEARCH('LARP Summary'!$E$3,B1092)),MAX(A$1:$B1091)+1,0)</f>
        <v>0</v>
      </c>
      <c r="B1092" s="214"/>
      <c r="E1092" s="212" t="str">
        <f>IFERROR(VLOOKUP(ROWS($E$2:E1092),$A$2:$B$214,2,0),"")</f>
        <v/>
      </c>
    </row>
    <row r="1093" spans="1:5" x14ac:dyDescent="0.35">
      <c r="A1093" s="210">
        <f>IF(ISNUMBER(SEARCH('LARP Summary'!$E$3,B1093)),MAX(A$1:$B1092)+1,0)</f>
        <v>0</v>
      </c>
      <c r="B1093" s="214"/>
      <c r="E1093" s="212" t="str">
        <f>IFERROR(VLOOKUP(ROWS($E$2:E1093),$A$2:$B$214,2,0),"")</f>
        <v/>
      </c>
    </row>
    <row r="1094" spans="1:5" x14ac:dyDescent="0.35">
      <c r="A1094" s="210">
        <f>IF(ISNUMBER(SEARCH('LARP Summary'!$E$3,B1094)),MAX(A$1:$B1093)+1,0)</f>
        <v>0</v>
      </c>
      <c r="B1094" s="214"/>
      <c r="E1094" s="212" t="str">
        <f>IFERROR(VLOOKUP(ROWS($E$2:E1094),$A$2:$B$214,2,0),"")</f>
        <v/>
      </c>
    </row>
    <row r="1095" spans="1:5" x14ac:dyDescent="0.35">
      <c r="A1095" s="210">
        <f>IF(ISNUMBER(SEARCH('LARP Summary'!$E$3,B1095)),MAX(A$1:$B1094)+1,0)</f>
        <v>0</v>
      </c>
      <c r="B1095" s="214"/>
      <c r="E1095" s="212" t="str">
        <f>IFERROR(VLOOKUP(ROWS($E$2:E1095),$A$2:$B$214,2,0),"")</f>
        <v/>
      </c>
    </row>
    <row r="1096" spans="1:5" x14ac:dyDescent="0.35">
      <c r="A1096" s="210">
        <f>IF(ISNUMBER(SEARCH('LARP Summary'!$E$3,B1096)),MAX(A$1:$B1095)+1,0)</f>
        <v>0</v>
      </c>
      <c r="B1096" s="214"/>
      <c r="E1096" s="212" t="str">
        <f>IFERROR(VLOOKUP(ROWS($E$2:E1096),$A$2:$B$214,2,0),"")</f>
        <v/>
      </c>
    </row>
    <row r="1097" spans="1:5" x14ac:dyDescent="0.35">
      <c r="A1097" s="210">
        <f>IF(ISNUMBER(SEARCH('LARP Summary'!$E$3,B1097)),MAX(A$1:$B1096)+1,0)</f>
        <v>0</v>
      </c>
      <c r="B1097" s="214"/>
      <c r="E1097" s="212" t="str">
        <f>IFERROR(VLOOKUP(ROWS($E$2:E1097),$A$2:$B$214,2,0),"")</f>
        <v/>
      </c>
    </row>
    <row r="1098" spans="1:5" x14ac:dyDescent="0.35">
      <c r="A1098" s="210">
        <f>IF(ISNUMBER(SEARCH('LARP Summary'!$E$3,B1098)),MAX(A$1:$B1097)+1,0)</f>
        <v>0</v>
      </c>
      <c r="B1098" s="214"/>
      <c r="E1098" s="212" t="str">
        <f>IFERROR(VLOOKUP(ROWS($E$2:E1098),$A$2:$B$214,2,0),"")</f>
        <v/>
      </c>
    </row>
    <row r="1099" spans="1:5" x14ac:dyDescent="0.35">
      <c r="A1099" s="210">
        <f>IF(ISNUMBER(SEARCH('LARP Summary'!$E$3,B1099)),MAX(A$1:$B1098)+1,0)</f>
        <v>0</v>
      </c>
      <c r="B1099" s="214"/>
      <c r="E1099" s="212" t="str">
        <f>IFERROR(VLOOKUP(ROWS($E$2:E1099),$A$2:$B$214,2,0),"")</f>
        <v/>
      </c>
    </row>
    <row r="1100" spans="1:5" x14ac:dyDescent="0.35">
      <c r="A1100" s="210">
        <f>IF(ISNUMBER(SEARCH('LARP Summary'!$E$3,B1100)),MAX(A$1:$B1099)+1,0)</f>
        <v>0</v>
      </c>
      <c r="B1100" s="214"/>
      <c r="E1100" s="212" t="str">
        <f>IFERROR(VLOOKUP(ROWS($E$2:E1100),$A$2:$B$214,2,0),"")</f>
        <v/>
      </c>
    </row>
    <row r="1101" spans="1:5" x14ac:dyDescent="0.35">
      <c r="A1101" s="210">
        <f>IF(ISNUMBER(SEARCH('LARP Summary'!$E$3,B1101)),MAX(A$1:$B1100)+1,0)</f>
        <v>0</v>
      </c>
      <c r="B1101" s="214"/>
      <c r="E1101" s="212" t="str">
        <f>IFERROR(VLOOKUP(ROWS($E$2:E1101),$A$2:$B$214,2,0),"")</f>
        <v/>
      </c>
    </row>
    <row r="1102" spans="1:5" x14ac:dyDescent="0.35">
      <c r="A1102" s="210">
        <f>IF(ISNUMBER(SEARCH('LARP Summary'!$E$3,B1102)),MAX(A$1:$B1101)+1,0)</f>
        <v>0</v>
      </c>
      <c r="B1102" s="214"/>
      <c r="E1102" s="212" t="str">
        <f>IFERROR(VLOOKUP(ROWS($E$2:E1102),$A$2:$B$214,2,0),"")</f>
        <v/>
      </c>
    </row>
    <row r="1103" spans="1:5" x14ac:dyDescent="0.35">
      <c r="A1103" s="210">
        <f>IF(ISNUMBER(SEARCH('LARP Summary'!$E$3,B1103)),MAX(A$1:$B1102)+1,0)</f>
        <v>0</v>
      </c>
      <c r="B1103" s="214"/>
      <c r="E1103" s="212" t="str">
        <f>IFERROR(VLOOKUP(ROWS($E$2:E1103),$A$2:$B$214,2,0),"")</f>
        <v/>
      </c>
    </row>
    <row r="1104" spans="1:5" x14ac:dyDescent="0.35">
      <c r="A1104" s="210">
        <f>IF(ISNUMBER(SEARCH('LARP Summary'!$E$3,B1104)),MAX(A$1:$B1103)+1,0)</f>
        <v>0</v>
      </c>
      <c r="B1104" s="214"/>
      <c r="E1104" s="212" t="str">
        <f>IFERROR(VLOOKUP(ROWS($E$2:E1104),$A$2:$B$214,2,0),"")</f>
        <v/>
      </c>
    </row>
    <row r="1105" spans="1:5" x14ac:dyDescent="0.35">
      <c r="A1105" s="210">
        <f>IF(ISNUMBER(SEARCH('LARP Summary'!$E$3,B1105)),MAX(A$1:$B1104)+1,0)</f>
        <v>0</v>
      </c>
      <c r="B1105" s="214"/>
      <c r="E1105" s="212" t="str">
        <f>IFERROR(VLOOKUP(ROWS($E$2:E1105),$A$2:$B$214,2,0),"")</f>
        <v/>
      </c>
    </row>
    <row r="1106" spans="1:5" x14ac:dyDescent="0.35">
      <c r="A1106" s="210">
        <f>IF(ISNUMBER(SEARCH('LARP Summary'!$E$3,B1106)),MAX(A$1:$B1105)+1,0)</f>
        <v>0</v>
      </c>
      <c r="B1106" s="214"/>
      <c r="E1106" s="212" t="str">
        <f>IFERROR(VLOOKUP(ROWS($E$2:E1106),$A$2:$B$214,2,0),"")</f>
        <v/>
      </c>
    </row>
    <row r="1107" spans="1:5" x14ac:dyDescent="0.35">
      <c r="A1107" s="210">
        <f>IF(ISNUMBER(SEARCH('LARP Summary'!$E$3,B1107)),MAX(A$1:$B1106)+1,0)</f>
        <v>0</v>
      </c>
      <c r="B1107" s="214"/>
      <c r="E1107" s="212" t="str">
        <f>IFERROR(VLOOKUP(ROWS($E$2:E1107),$A$2:$B$214,2,0),"")</f>
        <v/>
      </c>
    </row>
    <row r="1108" spans="1:5" x14ac:dyDescent="0.35">
      <c r="A1108" s="210">
        <f>IF(ISNUMBER(SEARCH('LARP Summary'!$E$3,B1108)),MAX(A$1:$B1107)+1,0)</f>
        <v>0</v>
      </c>
      <c r="B1108" s="214"/>
      <c r="E1108" s="212" t="str">
        <f>IFERROR(VLOOKUP(ROWS($E$2:E1108),$A$2:$B$214,2,0),"")</f>
        <v/>
      </c>
    </row>
    <row r="1109" spans="1:5" x14ac:dyDescent="0.35">
      <c r="A1109" s="210">
        <f>IF(ISNUMBER(SEARCH('LARP Summary'!$E$3,B1109)),MAX(A$1:$B1108)+1,0)</f>
        <v>0</v>
      </c>
      <c r="B1109" s="214"/>
      <c r="E1109" s="212" t="str">
        <f>IFERROR(VLOOKUP(ROWS($E$2:E1109),$A$2:$B$214,2,0),"")</f>
        <v/>
      </c>
    </row>
    <row r="1110" spans="1:5" x14ac:dyDescent="0.35">
      <c r="A1110" s="210">
        <f>IF(ISNUMBER(SEARCH('LARP Summary'!$E$3,B1110)),MAX(A$1:$B1109)+1,0)</f>
        <v>0</v>
      </c>
      <c r="B1110" s="214"/>
      <c r="E1110" s="212" t="str">
        <f>IFERROR(VLOOKUP(ROWS($E$2:E1110),$A$2:$B$214,2,0),"")</f>
        <v/>
      </c>
    </row>
    <row r="1111" spans="1:5" x14ac:dyDescent="0.35">
      <c r="A1111" s="210">
        <f>IF(ISNUMBER(SEARCH('LARP Summary'!$E$3,B1111)),MAX(A$1:$B1110)+1,0)</f>
        <v>0</v>
      </c>
      <c r="B1111" s="214"/>
      <c r="E1111" s="212" t="str">
        <f>IFERROR(VLOOKUP(ROWS($E$2:E1111),$A$2:$B$214,2,0),"")</f>
        <v/>
      </c>
    </row>
    <row r="1112" spans="1:5" x14ac:dyDescent="0.35">
      <c r="A1112" s="210">
        <f>IF(ISNUMBER(SEARCH('LARP Summary'!$E$3,B1112)),MAX(A$1:$B1111)+1,0)</f>
        <v>0</v>
      </c>
      <c r="B1112" s="214"/>
      <c r="E1112" s="212" t="str">
        <f>IFERROR(VLOOKUP(ROWS($E$2:E1112),$A$2:$B$214,2,0),"")</f>
        <v/>
      </c>
    </row>
    <row r="1113" spans="1:5" x14ac:dyDescent="0.35">
      <c r="A1113" s="210">
        <f>IF(ISNUMBER(SEARCH('LARP Summary'!$E$3,B1113)),MAX(A$1:$B1112)+1,0)</f>
        <v>0</v>
      </c>
      <c r="B1113" s="214"/>
      <c r="E1113" s="212" t="str">
        <f>IFERROR(VLOOKUP(ROWS($E$2:E1113),$A$2:$B$214,2,0),"")</f>
        <v/>
      </c>
    </row>
    <row r="1114" spans="1:5" x14ac:dyDescent="0.35">
      <c r="A1114" s="210">
        <f>IF(ISNUMBER(SEARCH('LARP Summary'!$E$3,B1114)),MAX(A$1:$B1113)+1,0)</f>
        <v>0</v>
      </c>
      <c r="B1114" s="214"/>
      <c r="E1114" s="212" t="str">
        <f>IFERROR(VLOOKUP(ROWS($E$2:E1114),$A$2:$B$214,2,0),"")</f>
        <v/>
      </c>
    </row>
    <row r="1115" spans="1:5" x14ac:dyDescent="0.35">
      <c r="A1115" s="210">
        <f>IF(ISNUMBER(SEARCH('LARP Summary'!$E$3,B1115)),MAX(A$1:$B1114)+1,0)</f>
        <v>0</v>
      </c>
      <c r="B1115" s="214"/>
      <c r="E1115" s="212" t="str">
        <f>IFERROR(VLOOKUP(ROWS($E$2:E1115),$A$2:$B$214,2,0),"")</f>
        <v/>
      </c>
    </row>
    <row r="1116" spans="1:5" x14ac:dyDescent="0.35">
      <c r="A1116" s="210">
        <f>IF(ISNUMBER(SEARCH('LARP Summary'!$E$3,B1116)),MAX(A$1:$B1115)+1,0)</f>
        <v>0</v>
      </c>
      <c r="B1116" s="214"/>
      <c r="E1116" s="212" t="str">
        <f>IFERROR(VLOOKUP(ROWS($E$2:E1116),$A$2:$B$214,2,0),"")</f>
        <v/>
      </c>
    </row>
    <row r="1117" spans="1:5" x14ac:dyDescent="0.35">
      <c r="A1117" s="210">
        <f>IF(ISNUMBER(SEARCH('LARP Summary'!$E$3,B1117)),MAX(A$1:$B1116)+1,0)</f>
        <v>0</v>
      </c>
      <c r="B1117" s="214"/>
      <c r="E1117" s="212" t="str">
        <f>IFERROR(VLOOKUP(ROWS($E$2:E1117),$A$2:$B$214,2,0),"")</f>
        <v/>
      </c>
    </row>
    <row r="1118" spans="1:5" x14ac:dyDescent="0.35">
      <c r="A1118" s="210">
        <f>IF(ISNUMBER(SEARCH('LARP Summary'!$E$3,B1118)),MAX(A$1:$B1117)+1,0)</f>
        <v>0</v>
      </c>
      <c r="B1118" s="214"/>
      <c r="E1118" s="212" t="str">
        <f>IFERROR(VLOOKUP(ROWS($E$2:E1118),$A$2:$B$214,2,0),"")</f>
        <v/>
      </c>
    </row>
    <row r="1119" spans="1:5" x14ac:dyDescent="0.35">
      <c r="A1119" s="210">
        <f>IF(ISNUMBER(SEARCH('LARP Summary'!$E$3,B1119)),MAX(A$1:$B1118)+1,0)</f>
        <v>0</v>
      </c>
      <c r="B1119" s="214"/>
      <c r="E1119" s="212" t="str">
        <f>IFERROR(VLOOKUP(ROWS($E$2:E1119),$A$2:$B$214,2,0),"")</f>
        <v/>
      </c>
    </row>
    <row r="1120" spans="1:5" x14ac:dyDescent="0.35">
      <c r="A1120" s="210">
        <f>IF(ISNUMBER(SEARCH('LARP Summary'!$E$3,B1120)),MAX(A$1:$B1119)+1,0)</f>
        <v>0</v>
      </c>
      <c r="B1120" s="214"/>
      <c r="E1120" s="212" t="str">
        <f>IFERROR(VLOOKUP(ROWS($E$2:E1120),$A$2:$B$214,2,0),"")</f>
        <v/>
      </c>
    </row>
    <row r="1121" spans="1:5" x14ac:dyDescent="0.35">
      <c r="A1121" s="210">
        <f>IF(ISNUMBER(SEARCH('LARP Summary'!$E$3,B1121)),MAX(A$1:$B1120)+1,0)</f>
        <v>0</v>
      </c>
      <c r="B1121" s="214"/>
      <c r="E1121" s="212" t="str">
        <f>IFERROR(VLOOKUP(ROWS($E$2:E1121),$A$2:$B$214,2,0),"")</f>
        <v/>
      </c>
    </row>
    <row r="1122" spans="1:5" x14ac:dyDescent="0.35">
      <c r="A1122" s="210">
        <f>IF(ISNUMBER(SEARCH('LARP Summary'!$E$3,B1122)),MAX(A$1:$B1121)+1,0)</f>
        <v>0</v>
      </c>
      <c r="B1122" s="214"/>
      <c r="E1122" s="212" t="str">
        <f>IFERROR(VLOOKUP(ROWS($E$2:E1122),$A$2:$B$214,2,0),"")</f>
        <v/>
      </c>
    </row>
    <row r="1123" spans="1:5" x14ac:dyDescent="0.35">
      <c r="A1123" s="210">
        <f>IF(ISNUMBER(SEARCH('LARP Summary'!$E$3,B1123)),MAX(A$1:$B1122)+1,0)</f>
        <v>0</v>
      </c>
      <c r="B1123" s="214"/>
      <c r="E1123" s="212" t="str">
        <f>IFERROR(VLOOKUP(ROWS($E$2:E1123),$A$2:$B$214,2,0),"")</f>
        <v/>
      </c>
    </row>
    <row r="1124" spans="1:5" x14ac:dyDescent="0.35">
      <c r="A1124" s="210">
        <f>IF(ISNUMBER(SEARCH('LARP Summary'!$E$3,B1124)),MAX(A$1:$B1123)+1,0)</f>
        <v>0</v>
      </c>
      <c r="B1124" s="214"/>
      <c r="E1124" s="212" t="str">
        <f>IFERROR(VLOOKUP(ROWS($E$2:E1124),$A$2:$B$214,2,0),"")</f>
        <v/>
      </c>
    </row>
    <row r="1125" spans="1:5" x14ac:dyDescent="0.35">
      <c r="A1125" s="210">
        <f>IF(ISNUMBER(SEARCH('LARP Summary'!$E$3,B1125)),MAX(A$1:$B1124)+1,0)</f>
        <v>0</v>
      </c>
      <c r="B1125" s="214"/>
      <c r="E1125" s="212" t="str">
        <f>IFERROR(VLOOKUP(ROWS($E$2:E1125),$A$2:$B$214,2,0),"")</f>
        <v/>
      </c>
    </row>
    <row r="1126" spans="1:5" x14ac:dyDescent="0.35">
      <c r="A1126" s="210">
        <f>IF(ISNUMBER(SEARCH('LARP Summary'!$E$3,B1126)),MAX(A$1:$B1125)+1,0)</f>
        <v>0</v>
      </c>
      <c r="B1126" s="214"/>
      <c r="E1126" s="212" t="str">
        <f>IFERROR(VLOOKUP(ROWS($E$2:E1126),$A$2:$B$214,2,0),"")</f>
        <v/>
      </c>
    </row>
    <row r="1127" spans="1:5" x14ac:dyDescent="0.35">
      <c r="A1127" s="210">
        <f>IF(ISNUMBER(SEARCH('LARP Summary'!$E$3,B1127)),MAX(A$1:$B1126)+1,0)</f>
        <v>0</v>
      </c>
      <c r="B1127" s="214"/>
      <c r="E1127" s="212" t="str">
        <f>IFERROR(VLOOKUP(ROWS($E$2:E1127),$A$2:$B$214,2,0),"")</f>
        <v/>
      </c>
    </row>
    <row r="1128" spans="1:5" x14ac:dyDescent="0.35">
      <c r="A1128" s="210">
        <f>IF(ISNUMBER(SEARCH('LARP Summary'!$E$3,B1128)),MAX(A$1:$B1127)+1,0)</f>
        <v>0</v>
      </c>
      <c r="B1128" s="214"/>
      <c r="E1128" s="212" t="str">
        <f>IFERROR(VLOOKUP(ROWS($E$2:E1128),$A$2:$B$214,2,0),"")</f>
        <v/>
      </c>
    </row>
    <row r="1129" spans="1:5" x14ac:dyDescent="0.35">
      <c r="A1129" s="210">
        <f>IF(ISNUMBER(SEARCH('LARP Summary'!$E$3,B1129)),MAX(A$1:$B1128)+1,0)</f>
        <v>0</v>
      </c>
      <c r="B1129" s="214"/>
      <c r="E1129" s="212" t="str">
        <f>IFERROR(VLOOKUP(ROWS($E$2:E1129),$A$2:$B$214,2,0),"")</f>
        <v/>
      </c>
    </row>
    <row r="1130" spans="1:5" x14ac:dyDescent="0.35">
      <c r="A1130" s="210">
        <f>IF(ISNUMBER(SEARCH('LARP Summary'!$E$3,B1130)),MAX(A$1:$B1129)+1,0)</f>
        <v>0</v>
      </c>
      <c r="B1130" s="214"/>
      <c r="E1130" s="212" t="str">
        <f>IFERROR(VLOOKUP(ROWS($E$2:E1130),$A$2:$B$214,2,0),"")</f>
        <v/>
      </c>
    </row>
    <row r="1131" spans="1:5" x14ac:dyDescent="0.35">
      <c r="A1131" s="210">
        <f>IF(ISNUMBER(SEARCH('LARP Summary'!$E$3,B1131)),MAX(A$1:$B1130)+1,0)</f>
        <v>0</v>
      </c>
      <c r="B1131" s="214"/>
      <c r="E1131" s="212" t="str">
        <f>IFERROR(VLOOKUP(ROWS($E$2:E1131),$A$2:$B$214,2,0),"")</f>
        <v/>
      </c>
    </row>
    <row r="1132" spans="1:5" x14ac:dyDescent="0.35">
      <c r="A1132" s="210">
        <f>IF(ISNUMBER(SEARCH('LARP Summary'!$E$3,B1132)),MAX(A$1:$B1131)+1,0)</f>
        <v>0</v>
      </c>
      <c r="B1132" s="214"/>
      <c r="E1132" s="212" t="str">
        <f>IFERROR(VLOOKUP(ROWS($E$2:E1132),$A$2:$B$214,2,0),"")</f>
        <v/>
      </c>
    </row>
    <row r="1133" spans="1:5" x14ac:dyDescent="0.35">
      <c r="A1133" s="210">
        <f>IF(ISNUMBER(SEARCH('LARP Summary'!$E$3,B1133)),MAX(A$1:$B1132)+1,0)</f>
        <v>0</v>
      </c>
      <c r="B1133" s="214"/>
      <c r="E1133" s="212" t="str">
        <f>IFERROR(VLOOKUP(ROWS($E$2:E1133),$A$2:$B$214,2,0),"")</f>
        <v/>
      </c>
    </row>
    <row r="1134" spans="1:5" x14ac:dyDescent="0.35">
      <c r="A1134" s="210">
        <f>IF(ISNUMBER(SEARCH('LARP Summary'!$E$3,B1134)),MAX(A$1:$B1133)+1,0)</f>
        <v>0</v>
      </c>
      <c r="B1134" s="214"/>
      <c r="E1134" s="212" t="str">
        <f>IFERROR(VLOOKUP(ROWS($E$2:E1134),$A$2:$B$214,2,0),"")</f>
        <v/>
      </c>
    </row>
    <row r="1135" spans="1:5" x14ac:dyDescent="0.35">
      <c r="A1135" s="210">
        <f>IF(ISNUMBER(SEARCH('LARP Summary'!$E$3,B1135)),MAX(A$1:$B1134)+1,0)</f>
        <v>0</v>
      </c>
      <c r="B1135" s="214"/>
      <c r="E1135" s="212" t="str">
        <f>IFERROR(VLOOKUP(ROWS($E$2:E1135),$A$2:$B$214,2,0),"")</f>
        <v/>
      </c>
    </row>
    <row r="1136" spans="1:5" x14ac:dyDescent="0.35">
      <c r="A1136" s="210">
        <f>IF(ISNUMBER(SEARCH('LARP Summary'!$E$3,B1136)),MAX(A$1:$B1135)+1,0)</f>
        <v>0</v>
      </c>
      <c r="B1136" s="214"/>
      <c r="E1136" s="212" t="str">
        <f>IFERROR(VLOOKUP(ROWS($E$2:E1136),$A$2:$B$214,2,0),"")</f>
        <v/>
      </c>
    </row>
    <row r="1137" spans="1:5" x14ac:dyDescent="0.35">
      <c r="A1137" s="210">
        <f>IF(ISNUMBER(SEARCH('LARP Summary'!$E$3,B1137)),MAX(A$1:$B1136)+1,0)</f>
        <v>0</v>
      </c>
      <c r="B1137" s="214"/>
      <c r="E1137" s="212" t="str">
        <f>IFERROR(VLOOKUP(ROWS($E$2:E1137),$A$2:$B$214,2,0),"")</f>
        <v/>
      </c>
    </row>
    <row r="1138" spans="1:5" x14ac:dyDescent="0.35">
      <c r="A1138" s="210">
        <f>IF(ISNUMBER(SEARCH('LARP Summary'!$E$3,B1138)),MAX(A$1:$B1137)+1,0)</f>
        <v>0</v>
      </c>
      <c r="B1138" s="214"/>
      <c r="E1138" s="212" t="str">
        <f>IFERROR(VLOOKUP(ROWS($E$2:E1138),$A$2:$B$214,2,0),"")</f>
        <v/>
      </c>
    </row>
    <row r="1139" spans="1:5" x14ac:dyDescent="0.35">
      <c r="A1139" s="210">
        <f>IF(ISNUMBER(SEARCH('LARP Summary'!$E$3,B1139)),MAX(A$1:$B1138)+1,0)</f>
        <v>0</v>
      </c>
      <c r="B1139" s="214"/>
      <c r="E1139" s="212" t="str">
        <f>IFERROR(VLOOKUP(ROWS($E$2:E1139),$A$2:$B$214,2,0),"")</f>
        <v/>
      </c>
    </row>
    <row r="1140" spans="1:5" x14ac:dyDescent="0.35">
      <c r="A1140" s="210">
        <f>IF(ISNUMBER(SEARCH('LARP Summary'!$E$3,B1140)),MAX(A$1:$B1139)+1,0)</f>
        <v>0</v>
      </c>
      <c r="B1140" s="214"/>
      <c r="E1140" s="212" t="str">
        <f>IFERROR(VLOOKUP(ROWS($E$2:E1140),$A$2:$B$214,2,0),"")</f>
        <v/>
      </c>
    </row>
    <row r="1141" spans="1:5" x14ac:dyDescent="0.35">
      <c r="A1141" s="210">
        <f>IF(ISNUMBER(SEARCH('LARP Summary'!$E$3,B1141)),MAX(A$1:$B1140)+1,0)</f>
        <v>0</v>
      </c>
      <c r="B1141" s="214"/>
      <c r="E1141" s="212" t="str">
        <f>IFERROR(VLOOKUP(ROWS($E$2:E1141),$A$2:$B$214,2,0),"")</f>
        <v/>
      </c>
    </row>
    <row r="1142" spans="1:5" x14ac:dyDescent="0.35">
      <c r="A1142" s="210">
        <f>IF(ISNUMBER(SEARCH('LARP Summary'!$E$3,B1142)),MAX(A$1:$B1141)+1,0)</f>
        <v>0</v>
      </c>
      <c r="B1142" s="214"/>
      <c r="E1142" s="212" t="str">
        <f>IFERROR(VLOOKUP(ROWS($E$2:E1142),$A$2:$B$214,2,0),"")</f>
        <v/>
      </c>
    </row>
    <row r="1143" spans="1:5" x14ac:dyDescent="0.35">
      <c r="A1143" s="210">
        <f>IF(ISNUMBER(SEARCH('LARP Summary'!$E$3,B1143)),MAX(A$1:$B1142)+1,0)</f>
        <v>0</v>
      </c>
      <c r="B1143" s="214"/>
      <c r="E1143" s="212" t="str">
        <f>IFERROR(VLOOKUP(ROWS($E$2:E1143),$A$2:$B$214,2,0),"")</f>
        <v/>
      </c>
    </row>
    <row r="1144" spans="1:5" x14ac:dyDescent="0.35">
      <c r="A1144" s="210">
        <f>IF(ISNUMBER(SEARCH('LARP Summary'!$E$3,B1144)),MAX(A$1:$B1143)+1,0)</f>
        <v>0</v>
      </c>
      <c r="B1144" s="214"/>
      <c r="E1144" s="212" t="str">
        <f>IFERROR(VLOOKUP(ROWS($E$2:E1144),$A$2:$B$214,2,0),"")</f>
        <v/>
      </c>
    </row>
    <row r="1145" spans="1:5" x14ac:dyDescent="0.35">
      <c r="A1145" s="210">
        <f>IF(ISNUMBER(SEARCH('LARP Summary'!$E$3,B1145)),MAX(A$1:$B1144)+1,0)</f>
        <v>0</v>
      </c>
      <c r="B1145" s="214"/>
      <c r="E1145" s="212" t="str">
        <f>IFERROR(VLOOKUP(ROWS($E$2:E1145),$A$2:$B$214,2,0),"")</f>
        <v/>
      </c>
    </row>
    <row r="1146" spans="1:5" x14ac:dyDescent="0.35">
      <c r="A1146" s="210">
        <f>IF(ISNUMBER(SEARCH('LARP Summary'!$E$3,B1146)),MAX(A$1:$B1145)+1,0)</f>
        <v>0</v>
      </c>
      <c r="B1146" s="214"/>
      <c r="E1146" s="212" t="str">
        <f>IFERROR(VLOOKUP(ROWS($E$2:E1146),$A$2:$B$214,2,0),"")</f>
        <v/>
      </c>
    </row>
    <row r="1147" spans="1:5" x14ac:dyDescent="0.35">
      <c r="A1147" s="210">
        <f>IF(ISNUMBER(SEARCH('LARP Summary'!$E$3,B1147)),MAX(A$1:$B1146)+1,0)</f>
        <v>0</v>
      </c>
      <c r="B1147" s="214"/>
      <c r="E1147" s="212" t="str">
        <f>IFERROR(VLOOKUP(ROWS($E$2:E1147),$A$2:$B$214,2,0),"")</f>
        <v/>
      </c>
    </row>
    <row r="1148" spans="1:5" x14ac:dyDescent="0.35">
      <c r="A1148" s="210">
        <f>IF(ISNUMBER(SEARCH('LARP Summary'!$E$3,B1148)),MAX(A$1:$B1147)+1,0)</f>
        <v>0</v>
      </c>
      <c r="B1148" s="214"/>
      <c r="E1148" s="212" t="str">
        <f>IFERROR(VLOOKUP(ROWS($E$2:E1148),$A$2:$B$214,2,0),"")</f>
        <v/>
      </c>
    </row>
    <row r="1149" spans="1:5" x14ac:dyDescent="0.35">
      <c r="A1149" s="210">
        <f>IF(ISNUMBER(SEARCH('LARP Summary'!$E$3,B1149)),MAX(A$1:$B1148)+1,0)</f>
        <v>0</v>
      </c>
      <c r="B1149" s="214"/>
      <c r="E1149" s="212" t="str">
        <f>IFERROR(VLOOKUP(ROWS($E$2:E1149),$A$2:$B$214,2,0),"")</f>
        <v/>
      </c>
    </row>
    <row r="1150" spans="1:5" x14ac:dyDescent="0.35">
      <c r="A1150" s="210">
        <f>IF(ISNUMBER(SEARCH('LARP Summary'!$E$3,B1150)),MAX(A$1:$B1149)+1,0)</f>
        <v>0</v>
      </c>
      <c r="B1150" s="214"/>
      <c r="E1150" s="212" t="str">
        <f>IFERROR(VLOOKUP(ROWS($E$2:E1150),$A$2:$B$214,2,0),"")</f>
        <v/>
      </c>
    </row>
    <row r="1151" spans="1:5" x14ac:dyDescent="0.35">
      <c r="A1151" s="210">
        <f>IF(ISNUMBER(SEARCH('LARP Summary'!$E$3,B1151)),MAX(A$1:$B1150)+1,0)</f>
        <v>0</v>
      </c>
      <c r="B1151" s="214"/>
      <c r="E1151" s="212" t="str">
        <f>IFERROR(VLOOKUP(ROWS($E$2:E1151),$A$2:$B$214,2,0),"")</f>
        <v/>
      </c>
    </row>
    <row r="1152" spans="1:5" x14ac:dyDescent="0.35">
      <c r="A1152" s="210">
        <f>IF(ISNUMBER(SEARCH('LARP Summary'!$E$3,B1152)),MAX(A$1:$B1151)+1,0)</f>
        <v>0</v>
      </c>
      <c r="B1152" s="214"/>
      <c r="E1152" s="212" t="str">
        <f>IFERROR(VLOOKUP(ROWS($E$2:E1152),$A$2:$B$214,2,0),"")</f>
        <v/>
      </c>
    </row>
    <row r="1153" spans="1:5" x14ac:dyDescent="0.35">
      <c r="A1153" s="210">
        <f>IF(ISNUMBER(SEARCH('LARP Summary'!$E$3,B1153)),MAX(A$1:$B1152)+1,0)</f>
        <v>0</v>
      </c>
      <c r="B1153" s="214"/>
      <c r="E1153" s="212" t="str">
        <f>IFERROR(VLOOKUP(ROWS($E$2:E1153),$A$2:$B$214,2,0),"")</f>
        <v/>
      </c>
    </row>
    <row r="1154" spans="1:5" x14ac:dyDescent="0.35">
      <c r="A1154" s="210">
        <f>IF(ISNUMBER(SEARCH('LARP Summary'!$E$3,B1154)),MAX(A$1:$B1153)+1,0)</f>
        <v>0</v>
      </c>
      <c r="B1154" s="214"/>
      <c r="E1154" s="212" t="str">
        <f>IFERROR(VLOOKUP(ROWS($E$2:E1154),$A$2:$B$214,2,0),"")</f>
        <v/>
      </c>
    </row>
    <row r="1155" spans="1:5" x14ac:dyDescent="0.35">
      <c r="A1155" s="210">
        <f>IF(ISNUMBER(SEARCH('LARP Summary'!$E$3,B1155)),MAX(A$1:$B1154)+1,0)</f>
        <v>0</v>
      </c>
      <c r="B1155" s="214"/>
      <c r="E1155" s="212" t="str">
        <f>IFERROR(VLOOKUP(ROWS($E$2:E1155),$A$2:$B$214,2,0),"")</f>
        <v/>
      </c>
    </row>
    <row r="1156" spans="1:5" x14ac:dyDescent="0.35">
      <c r="A1156" s="210">
        <f>IF(ISNUMBER(SEARCH('LARP Summary'!$E$3,B1156)),MAX(A$1:$B1155)+1,0)</f>
        <v>0</v>
      </c>
      <c r="B1156" s="214"/>
      <c r="E1156" s="212" t="str">
        <f>IFERROR(VLOOKUP(ROWS($E$2:E1156),$A$2:$B$214,2,0),"")</f>
        <v/>
      </c>
    </row>
    <row r="1157" spans="1:5" x14ac:dyDescent="0.35">
      <c r="A1157" s="210">
        <f>IF(ISNUMBER(SEARCH('LARP Summary'!$E$3,B1157)),MAX(A$1:$B1156)+1,0)</f>
        <v>0</v>
      </c>
      <c r="B1157" s="214"/>
      <c r="E1157" s="212" t="str">
        <f>IFERROR(VLOOKUP(ROWS($E$2:E1157),$A$2:$B$214,2,0),"")</f>
        <v/>
      </c>
    </row>
    <row r="1158" spans="1:5" x14ac:dyDescent="0.35">
      <c r="A1158" s="210">
        <f>IF(ISNUMBER(SEARCH('LARP Summary'!$E$3,B1158)),MAX(A$1:$B1157)+1,0)</f>
        <v>0</v>
      </c>
      <c r="B1158" s="214"/>
      <c r="E1158" s="212" t="str">
        <f>IFERROR(VLOOKUP(ROWS($E$2:E1158),$A$2:$B$214,2,0),"")</f>
        <v/>
      </c>
    </row>
    <row r="1159" spans="1:5" x14ac:dyDescent="0.35">
      <c r="A1159" s="210">
        <f>IF(ISNUMBER(SEARCH('LARP Summary'!$E$3,B1159)),MAX(A$1:$B1158)+1,0)</f>
        <v>0</v>
      </c>
      <c r="B1159" s="214"/>
      <c r="E1159" s="212" t="str">
        <f>IFERROR(VLOOKUP(ROWS($E$2:E1159),$A$2:$B$214,2,0),"")</f>
        <v/>
      </c>
    </row>
    <row r="1160" spans="1:5" x14ac:dyDescent="0.35">
      <c r="A1160" s="210">
        <f>IF(ISNUMBER(SEARCH('LARP Summary'!$E$3,B1160)),MAX(A$1:$B1159)+1,0)</f>
        <v>0</v>
      </c>
      <c r="B1160" s="214"/>
      <c r="E1160" s="212" t="str">
        <f>IFERROR(VLOOKUP(ROWS($E$2:E1160),$A$2:$B$214,2,0),"")</f>
        <v/>
      </c>
    </row>
    <row r="1161" spans="1:5" x14ac:dyDescent="0.35">
      <c r="A1161" s="210">
        <f>IF(ISNUMBER(SEARCH('LARP Summary'!$E$3,B1161)),MAX(A$1:$B1160)+1,0)</f>
        <v>0</v>
      </c>
      <c r="B1161" s="214"/>
      <c r="E1161" s="212" t="str">
        <f>IFERROR(VLOOKUP(ROWS($E$2:E1161),$A$2:$B$214,2,0),"")</f>
        <v/>
      </c>
    </row>
    <row r="1162" spans="1:5" x14ac:dyDescent="0.35">
      <c r="A1162" s="210">
        <f>IF(ISNUMBER(SEARCH('LARP Summary'!$E$3,B1162)),MAX(A$1:$B1161)+1,0)</f>
        <v>0</v>
      </c>
      <c r="B1162" s="214"/>
      <c r="E1162" s="212" t="str">
        <f>IFERROR(VLOOKUP(ROWS($E$2:E1162),$A$2:$B$214,2,0),"")</f>
        <v/>
      </c>
    </row>
    <row r="1163" spans="1:5" x14ac:dyDescent="0.35">
      <c r="A1163" s="210">
        <f>IF(ISNUMBER(SEARCH('LARP Summary'!$E$3,B1163)),MAX(A$1:$B1162)+1,0)</f>
        <v>0</v>
      </c>
      <c r="B1163" s="214"/>
      <c r="E1163" s="212" t="str">
        <f>IFERROR(VLOOKUP(ROWS($E$2:E1163),$A$2:$B$214,2,0),"")</f>
        <v/>
      </c>
    </row>
    <row r="1164" spans="1:5" x14ac:dyDescent="0.35">
      <c r="A1164" s="210">
        <f>IF(ISNUMBER(SEARCH('LARP Summary'!$E$3,B1164)),MAX(A$1:$B1163)+1,0)</f>
        <v>0</v>
      </c>
      <c r="B1164" s="214"/>
      <c r="E1164" s="212" t="str">
        <f>IFERROR(VLOOKUP(ROWS($E$2:E1164),$A$2:$B$214,2,0),"")</f>
        <v/>
      </c>
    </row>
    <row r="1165" spans="1:5" x14ac:dyDescent="0.35">
      <c r="A1165" s="210">
        <f>IF(ISNUMBER(SEARCH('LARP Summary'!$E$3,B1165)),MAX(A$1:$B1164)+1,0)</f>
        <v>0</v>
      </c>
      <c r="B1165" s="214"/>
      <c r="E1165" s="212" t="str">
        <f>IFERROR(VLOOKUP(ROWS($E$2:E1165),$A$2:$B$214,2,0),"")</f>
        <v/>
      </c>
    </row>
    <row r="1166" spans="1:5" x14ac:dyDescent="0.35">
      <c r="A1166" s="210">
        <f>IF(ISNUMBER(SEARCH('LARP Summary'!$E$3,B1166)),MAX(A$1:$B1165)+1,0)</f>
        <v>0</v>
      </c>
      <c r="B1166" s="214"/>
      <c r="E1166" s="212" t="str">
        <f>IFERROR(VLOOKUP(ROWS($E$2:E1166),$A$2:$B$214,2,0),"")</f>
        <v/>
      </c>
    </row>
    <row r="1167" spans="1:5" x14ac:dyDescent="0.35">
      <c r="A1167" s="210">
        <f>IF(ISNUMBER(SEARCH('LARP Summary'!$E$3,B1167)),MAX(A$1:$B1166)+1,0)</f>
        <v>0</v>
      </c>
      <c r="B1167" s="214"/>
      <c r="E1167" s="212" t="str">
        <f>IFERROR(VLOOKUP(ROWS($E$2:E1167),$A$2:$B$214,2,0),"")</f>
        <v/>
      </c>
    </row>
    <row r="1168" spans="1:5" x14ac:dyDescent="0.35">
      <c r="A1168" s="210">
        <f>IF(ISNUMBER(SEARCH('LARP Summary'!$E$3,B1168)),MAX(A$1:$B1167)+1,0)</f>
        <v>0</v>
      </c>
      <c r="B1168" s="214"/>
      <c r="E1168" s="212" t="str">
        <f>IFERROR(VLOOKUP(ROWS($E$2:E1168),$A$2:$B$214,2,0),"")</f>
        <v/>
      </c>
    </row>
    <row r="1169" spans="1:5" x14ac:dyDescent="0.35">
      <c r="A1169" s="210">
        <f>IF(ISNUMBER(SEARCH('LARP Summary'!$E$3,B1169)),MAX(A$1:$B1168)+1,0)</f>
        <v>0</v>
      </c>
      <c r="B1169" s="214"/>
      <c r="E1169" s="212" t="str">
        <f>IFERROR(VLOOKUP(ROWS($E$2:E1169),$A$2:$B$214,2,0),"")</f>
        <v/>
      </c>
    </row>
    <row r="1170" spans="1:5" x14ac:dyDescent="0.35">
      <c r="A1170" s="210">
        <f>IF(ISNUMBER(SEARCH('LARP Summary'!$E$3,B1170)),MAX(A$1:$B1169)+1,0)</f>
        <v>0</v>
      </c>
      <c r="B1170" s="214"/>
      <c r="E1170" s="212" t="str">
        <f>IFERROR(VLOOKUP(ROWS($E$2:E1170),$A$2:$B$214,2,0),"")</f>
        <v/>
      </c>
    </row>
    <row r="1171" spans="1:5" x14ac:dyDescent="0.35">
      <c r="A1171" s="210">
        <f>IF(ISNUMBER(SEARCH('LARP Summary'!$E$3,B1171)),MAX(A$1:$B1170)+1,0)</f>
        <v>0</v>
      </c>
      <c r="B1171" s="214"/>
      <c r="E1171" s="212" t="str">
        <f>IFERROR(VLOOKUP(ROWS($E$2:E1171),$A$2:$B$214,2,0),"")</f>
        <v/>
      </c>
    </row>
    <row r="1172" spans="1:5" x14ac:dyDescent="0.35">
      <c r="A1172" s="210">
        <f>IF(ISNUMBER(SEARCH('LARP Summary'!$E$3,B1172)),MAX(A$1:$B1171)+1,0)</f>
        <v>0</v>
      </c>
      <c r="B1172" s="214"/>
      <c r="E1172" s="212" t="str">
        <f>IFERROR(VLOOKUP(ROWS($E$2:E1172),$A$2:$B$214,2,0),"")</f>
        <v/>
      </c>
    </row>
    <row r="1173" spans="1:5" x14ac:dyDescent="0.35">
      <c r="A1173" s="210">
        <f>IF(ISNUMBER(SEARCH('LARP Summary'!$E$3,B1173)),MAX(A$1:$B1172)+1,0)</f>
        <v>0</v>
      </c>
      <c r="B1173" s="214"/>
      <c r="E1173" s="212" t="str">
        <f>IFERROR(VLOOKUP(ROWS($E$2:E1173),$A$2:$B$214,2,0),"")</f>
        <v/>
      </c>
    </row>
    <row r="1174" spans="1:5" x14ac:dyDescent="0.35">
      <c r="A1174" s="210">
        <f>IF(ISNUMBER(SEARCH('LARP Summary'!$E$3,B1174)),MAX(A$1:$B1173)+1,0)</f>
        <v>0</v>
      </c>
      <c r="B1174" s="214"/>
      <c r="E1174" s="212" t="str">
        <f>IFERROR(VLOOKUP(ROWS($E$2:E1174),$A$2:$B$214,2,0),"")</f>
        <v/>
      </c>
    </row>
    <row r="1175" spans="1:5" x14ac:dyDescent="0.35">
      <c r="A1175" s="210">
        <f>IF(ISNUMBER(SEARCH('LARP Summary'!$E$3,B1175)),MAX(A$1:$B1174)+1,0)</f>
        <v>0</v>
      </c>
      <c r="B1175" s="214"/>
      <c r="E1175" s="212" t="str">
        <f>IFERROR(VLOOKUP(ROWS($E$2:E1175),$A$2:$B$214,2,0),"")</f>
        <v/>
      </c>
    </row>
    <row r="1176" spans="1:5" x14ac:dyDescent="0.35">
      <c r="A1176" s="210">
        <f>IF(ISNUMBER(SEARCH('LARP Summary'!$E$3,B1176)),MAX(A$1:$B1175)+1,0)</f>
        <v>0</v>
      </c>
      <c r="B1176" s="214"/>
      <c r="E1176" s="212" t="str">
        <f>IFERROR(VLOOKUP(ROWS($E$2:E1176),$A$2:$B$214,2,0),"")</f>
        <v/>
      </c>
    </row>
    <row r="1177" spans="1:5" x14ac:dyDescent="0.35">
      <c r="A1177" s="210">
        <f>IF(ISNUMBER(SEARCH('LARP Summary'!$E$3,B1177)),MAX(A$1:$B1176)+1,0)</f>
        <v>0</v>
      </c>
      <c r="B1177" s="214"/>
      <c r="E1177" s="212" t="str">
        <f>IFERROR(VLOOKUP(ROWS($E$2:E1177),$A$2:$B$214,2,0),"")</f>
        <v/>
      </c>
    </row>
    <row r="1178" spans="1:5" x14ac:dyDescent="0.35">
      <c r="A1178" s="210">
        <f>IF(ISNUMBER(SEARCH('LARP Summary'!$E$3,B1178)),MAX(A$1:$B1177)+1,0)</f>
        <v>0</v>
      </c>
      <c r="B1178" s="214"/>
      <c r="E1178" s="212" t="str">
        <f>IFERROR(VLOOKUP(ROWS($E$2:E1178),$A$2:$B$214,2,0),"")</f>
        <v/>
      </c>
    </row>
    <row r="1179" spans="1:5" x14ac:dyDescent="0.35">
      <c r="A1179" s="210">
        <f>IF(ISNUMBER(SEARCH('LARP Summary'!$E$3,B1179)),MAX(A$1:$B1178)+1,0)</f>
        <v>0</v>
      </c>
      <c r="B1179" s="214"/>
      <c r="E1179" s="212" t="str">
        <f>IFERROR(VLOOKUP(ROWS($E$2:E1179),$A$2:$B$214,2,0),"")</f>
        <v/>
      </c>
    </row>
    <row r="1180" spans="1:5" x14ac:dyDescent="0.35">
      <c r="A1180" s="210">
        <f>IF(ISNUMBER(SEARCH('LARP Summary'!$E$3,B1180)),MAX(A$1:$B1179)+1,0)</f>
        <v>0</v>
      </c>
      <c r="B1180" s="214"/>
      <c r="E1180" s="212" t="str">
        <f>IFERROR(VLOOKUP(ROWS($E$2:E1180),$A$2:$B$214,2,0),"")</f>
        <v/>
      </c>
    </row>
    <row r="1181" spans="1:5" x14ac:dyDescent="0.35">
      <c r="A1181" s="210">
        <f>IF(ISNUMBER(SEARCH('LARP Summary'!$E$3,B1181)),MAX(A$1:$B1180)+1,0)</f>
        <v>0</v>
      </c>
      <c r="B1181" s="214"/>
      <c r="E1181" s="212" t="str">
        <f>IFERROR(VLOOKUP(ROWS($E$2:E1181),$A$2:$B$214,2,0),"")</f>
        <v/>
      </c>
    </row>
    <row r="1182" spans="1:5" x14ac:dyDescent="0.35">
      <c r="A1182" s="210">
        <f>IF(ISNUMBER(SEARCH('LARP Summary'!$E$3,B1182)),MAX(A$1:$B1181)+1,0)</f>
        <v>0</v>
      </c>
      <c r="B1182" s="214"/>
      <c r="E1182" s="212" t="str">
        <f>IFERROR(VLOOKUP(ROWS($E$2:E1182),$A$2:$B$214,2,0),"")</f>
        <v/>
      </c>
    </row>
    <row r="1183" spans="1:5" x14ac:dyDescent="0.35">
      <c r="A1183" s="210">
        <f>IF(ISNUMBER(SEARCH('LARP Summary'!$E$3,B1183)),MAX(A$1:$B1182)+1,0)</f>
        <v>0</v>
      </c>
      <c r="B1183" s="214"/>
      <c r="E1183" s="212" t="str">
        <f>IFERROR(VLOOKUP(ROWS($E$2:E1183),$A$2:$B$214,2,0),"")</f>
        <v/>
      </c>
    </row>
    <row r="1184" spans="1:5" x14ac:dyDescent="0.35">
      <c r="A1184" s="210">
        <f>IF(ISNUMBER(SEARCH('LARP Summary'!$E$3,B1184)),MAX(A$1:$B1183)+1,0)</f>
        <v>0</v>
      </c>
      <c r="B1184" s="214"/>
      <c r="E1184" s="212" t="str">
        <f>IFERROR(VLOOKUP(ROWS($E$2:E1184),$A$2:$B$214,2,0),"")</f>
        <v/>
      </c>
    </row>
    <row r="1185" spans="1:5" x14ac:dyDescent="0.35">
      <c r="A1185" s="210">
        <f>IF(ISNUMBER(SEARCH('LARP Summary'!$E$3,B1185)),MAX(A$1:$B1184)+1,0)</f>
        <v>0</v>
      </c>
      <c r="B1185" s="214"/>
      <c r="E1185" s="212" t="str">
        <f>IFERROR(VLOOKUP(ROWS($E$2:E1185),$A$2:$B$214,2,0),"")</f>
        <v/>
      </c>
    </row>
    <row r="1186" spans="1:5" x14ac:dyDescent="0.35">
      <c r="A1186" s="210">
        <f>IF(ISNUMBER(SEARCH('LARP Summary'!$E$3,B1186)),MAX(A$1:$B1185)+1,0)</f>
        <v>0</v>
      </c>
      <c r="B1186" s="214"/>
      <c r="E1186" s="212" t="str">
        <f>IFERROR(VLOOKUP(ROWS($E$2:E1186),$A$2:$B$214,2,0),"")</f>
        <v/>
      </c>
    </row>
    <row r="1187" spans="1:5" x14ac:dyDescent="0.35">
      <c r="A1187" s="210">
        <f>IF(ISNUMBER(SEARCH('LARP Summary'!$E$3,B1187)),MAX(A$1:$B1186)+1,0)</f>
        <v>0</v>
      </c>
      <c r="B1187" s="214"/>
      <c r="E1187" s="212" t="str">
        <f>IFERROR(VLOOKUP(ROWS($E$2:E1187),$A$2:$B$214,2,0),"")</f>
        <v/>
      </c>
    </row>
    <row r="1188" spans="1:5" x14ac:dyDescent="0.35">
      <c r="A1188" s="210">
        <f>IF(ISNUMBER(SEARCH('LARP Summary'!$E$3,B1188)),MAX(A$1:$B1187)+1,0)</f>
        <v>0</v>
      </c>
      <c r="B1188" s="214"/>
      <c r="E1188" s="212" t="str">
        <f>IFERROR(VLOOKUP(ROWS($E$2:E1188),$A$2:$B$214,2,0),"")</f>
        <v/>
      </c>
    </row>
    <row r="1189" spans="1:5" x14ac:dyDescent="0.35">
      <c r="A1189" s="210">
        <f>IF(ISNUMBER(SEARCH('LARP Summary'!$E$3,B1189)),MAX(A$1:$B1188)+1,0)</f>
        <v>0</v>
      </c>
      <c r="B1189" s="214"/>
      <c r="E1189" s="212" t="str">
        <f>IFERROR(VLOOKUP(ROWS($E$2:E1189),$A$2:$B$214,2,0),"")</f>
        <v/>
      </c>
    </row>
    <row r="1190" spans="1:5" x14ac:dyDescent="0.35">
      <c r="A1190" s="210">
        <f>IF(ISNUMBER(SEARCH('LARP Summary'!$E$3,B1190)),MAX(A$1:$B1189)+1,0)</f>
        <v>0</v>
      </c>
      <c r="B1190" s="214"/>
      <c r="E1190" s="212" t="str">
        <f>IFERROR(VLOOKUP(ROWS($E$2:E1190),$A$2:$B$214,2,0),"")</f>
        <v/>
      </c>
    </row>
    <row r="1191" spans="1:5" x14ac:dyDescent="0.35">
      <c r="A1191" s="210">
        <f>IF(ISNUMBER(SEARCH('LARP Summary'!$E$3,B1191)),MAX(A$1:$B1190)+1,0)</f>
        <v>0</v>
      </c>
      <c r="B1191" s="214"/>
      <c r="E1191" s="212" t="str">
        <f>IFERROR(VLOOKUP(ROWS($E$2:E1191),$A$2:$B$214,2,0),"")</f>
        <v/>
      </c>
    </row>
    <row r="1192" spans="1:5" x14ac:dyDescent="0.35">
      <c r="A1192" s="210">
        <f>IF(ISNUMBER(SEARCH('LARP Summary'!$E$3,B1192)),MAX(A$1:$B1191)+1,0)</f>
        <v>0</v>
      </c>
      <c r="B1192" s="214"/>
      <c r="E1192" s="212" t="str">
        <f>IFERROR(VLOOKUP(ROWS($E$2:E1192),$A$2:$B$214,2,0),"")</f>
        <v/>
      </c>
    </row>
    <row r="1193" spans="1:5" x14ac:dyDescent="0.35">
      <c r="A1193" s="210">
        <f>IF(ISNUMBER(SEARCH('LARP Summary'!$E$3,B1193)),MAX(A$1:$B1192)+1,0)</f>
        <v>0</v>
      </c>
      <c r="B1193" s="214"/>
      <c r="E1193" s="212" t="str">
        <f>IFERROR(VLOOKUP(ROWS($E$2:E1193),$A$2:$B$214,2,0),"")</f>
        <v/>
      </c>
    </row>
    <row r="1194" spans="1:5" x14ac:dyDescent="0.35">
      <c r="A1194" s="210">
        <f>IF(ISNUMBER(SEARCH('LARP Summary'!$E$3,B1194)),MAX(A$1:$B1193)+1,0)</f>
        <v>0</v>
      </c>
      <c r="B1194" s="214"/>
      <c r="E1194" s="212" t="str">
        <f>IFERROR(VLOOKUP(ROWS($E$2:E1194),$A$2:$B$214,2,0),"")</f>
        <v/>
      </c>
    </row>
    <row r="1195" spans="1:5" x14ac:dyDescent="0.35">
      <c r="A1195" s="210">
        <f>IF(ISNUMBER(SEARCH('LARP Summary'!$E$3,B1195)),MAX(A$1:$B1194)+1,0)</f>
        <v>0</v>
      </c>
      <c r="B1195" s="214"/>
      <c r="E1195" s="212" t="str">
        <f>IFERROR(VLOOKUP(ROWS($E$2:E1195),$A$2:$B$214,2,0),"")</f>
        <v/>
      </c>
    </row>
    <row r="1196" spans="1:5" x14ac:dyDescent="0.35">
      <c r="A1196" s="210">
        <f>IF(ISNUMBER(SEARCH('LARP Summary'!$E$3,B1196)),MAX(A$1:$B1195)+1,0)</f>
        <v>0</v>
      </c>
      <c r="B1196" s="214"/>
      <c r="E1196" s="212" t="str">
        <f>IFERROR(VLOOKUP(ROWS($E$2:E1196),$A$2:$B$214,2,0),"")</f>
        <v/>
      </c>
    </row>
    <row r="1197" spans="1:5" x14ac:dyDescent="0.35">
      <c r="A1197" s="210">
        <f>IF(ISNUMBER(SEARCH('LARP Summary'!$E$3,B1197)),MAX(A$1:$B1196)+1,0)</f>
        <v>0</v>
      </c>
      <c r="B1197" s="214"/>
      <c r="E1197" s="212" t="str">
        <f>IFERROR(VLOOKUP(ROWS($E$2:E1197),$A$2:$B$214,2,0),"")</f>
        <v/>
      </c>
    </row>
    <row r="1198" spans="1:5" x14ac:dyDescent="0.35">
      <c r="A1198" s="210">
        <f>IF(ISNUMBER(SEARCH('LARP Summary'!$E$3,B1198)),MAX(A$1:$B1197)+1,0)</f>
        <v>0</v>
      </c>
      <c r="B1198" s="214"/>
      <c r="E1198" s="212" t="str">
        <f>IFERROR(VLOOKUP(ROWS($E$2:E1198),$A$2:$B$214,2,0),"")</f>
        <v/>
      </c>
    </row>
    <row r="1199" spans="1:5" x14ac:dyDescent="0.35">
      <c r="A1199" s="210">
        <f>IF(ISNUMBER(SEARCH('LARP Summary'!$E$3,B1199)),MAX(A$1:$B1198)+1,0)</f>
        <v>0</v>
      </c>
      <c r="B1199" s="214"/>
      <c r="E1199" s="212" t="str">
        <f>IFERROR(VLOOKUP(ROWS($E$2:E1199),$A$2:$B$214,2,0),"")</f>
        <v/>
      </c>
    </row>
    <row r="1200" spans="1:5" x14ac:dyDescent="0.35">
      <c r="A1200" s="210">
        <f>IF(ISNUMBER(SEARCH('LARP Summary'!$E$3,B1200)),MAX(A$1:$B1199)+1,0)</f>
        <v>0</v>
      </c>
      <c r="B1200" s="214"/>
      <c r="E1200" s="212" t="str">
        <f>IFERROR(VLOOKUP(ROWS($E$2:E1200),$A$2:$B$214,2,0),"")</f>
        <v/>
      </c>
    </row>
    <row r="1201" spans="1:5" x14ac:dyDescent="0.35">
      <c r="A1201" s="210">
        <f>IF(ISNUMBER(SEARCH('LARP Summary'!$E$3,B1201)),MAX(A$1:$B1200)+1,0)</f>
        <v>0</v>
      </c>
      <c r="B1201" s="214"/>
      <c r="E1201" s="212" t="str">
        <f>IFERROR(VLOOKUP(ROWS($E$2:E1201),$A$2:$B$214,2,0),"")</f>
        <v/>
      </c>
    </row>
    <row r="1202" spans="1:5" x14ac:dyDescent="0.35">
      <c r="A1202" s="210">
        <f>IF(ISNUMBER(SEARCH('LARP Summary'!$E$3,B1202)),MAX(A$1:$B1201)+1,0)</f>
        <v>0</v>
      </c>
      <c r="B1202" s="214"/>
      <c r="E1202" s="212" t="str">
        <f>IFERROR(VLOOKUP(ROWS($E$2:E1202),$A$2:$B$214,2,0),"")</f>
        <v/>
      </c>
    </row>
    <row r="1203" spans="1:5" x14ac:dyDescent="0.35">
      <c r="A1203" s="210">
        <f>IF(ISNUMBER(SEARCH('LARP Summary'!$E$3,B1203)),MAX(A$1:$B1202)+1,0)</f>
        <v>0</v>
      </c>
      <c r="B1203" s="214"/>
      <c r="E1203" s="212" t="str">
        <f>IFERROR(VLOOKUP(ROWS($E$2:E1203),$A$2:$B$214,2,0),"")</f>
        <v/>
      </c>
    </row>
    <row r="1204" spans="1:5" x14ac:dyDescent="0.35">
      <c r="A1204" s="210">
        <f>IF(ISNUMBER(SEARCH('LARP Summary'!$E$3,B1204)),MAX(A$1:$B1203)+1,0)</f>
        <v>0</v>
      </c>
      <c r="B1204" s="214"/>
      <c r="E1204" s="212" t="str">
        <f>IFERROR(VLOOKUP(ROWS($E$2:E1204),$A$2:$B$214,2,0),"")</f>
        <v/>
      </c>
    </row>
    <row r="1205" spans="1:5" x14ac:dyDescent="0.35">
      <c r="A1205" s="210">
        <f>IF(ISNUMBER(SEARCH('LARP Summary'!$E$3,B1205)),MAX(A$1:$B1204)+1,0)</f>
        <v>0</v>
      </c>
      <c r="B1205" s="214"/>
      <c r="E1205" s="212" t="str">
        <f>IFERROR(VLOOKUP(ROWS($E$2:E1205),$A$2:$B$214,2,0),"")</f>
        <v/>
      </c>
    </row>
    <row r="1206" spans="1:5" x14ac:dyDescent="0.35">
      <c r="A1206" s="210">
        <f>IF(ISNUMBER(SEARCH('LARP Summary'!$E$3,B1206)),MAX(A$1:$B1205)+1,0)</f>
        <v>0</v>
      </c>
      <c r="B1206" s="214"/>
      <c r="E1206" s="212" t="str">
        <f>IFERROR(VLOOKUP(ROWS($E$2:E1206),$A$2:$B$214,2,0),"")</f>
        <v/>
      </c>
    </row>
    <row r="1207" spans="1:5" x14ac:dyDescent="0.35">
      <c r="A1207" s="210">
        <f>IF(ISNUMBER(SEARCH('LARP Summary'!$E$3,B1207)),MAX(A$1:$B1206)+1,0)</f>
        <v>0</v>
      </c>
      <c r="B1207" s="214"/>
      <c r="E1207" s="212" t="str">
        <f>IFERROR(VLOOKUP(ROWS($E$2:E1207),$A$2:$B$214,2,0),"")</f>
        <v/>
      </c>
    </row>
    <row r="1208" spans="1:5" x14ac:dyDescent="0.35">
      <c r="A1208" s="210">
        <f>IF(ISNUMBER(SEARCH('LARP Summary'!$E$3,B1208)),MAX(A$1:$B1207)+1,0)</f>
        <v>0</v>
      </c>
      <c r="B1208" s="214"/>
      <c r="E1208" s="212" t="str">
        <f>IFERROR(VLOOKUP(ROWS($E$2:E1208),$A$2:$B$214,2,0),"")</f>
        <v/>
      </c>
    </row>
    <row r="1209" spans="1:5" x14ac:dyDescent="0.35">
      <c r="A1209" s="210">
        <f>IF(ISNUMBER(SEARCH('LARP Summary'!$E$3,B1209)),MAX(A$1:$B1208)+1,0)</f>
        <v>0</v>
      </c>
      <c r="B1209" s="214"/>
      <c r="E1209" s="212" t="str">
        <f>IFERROR(VLOOKUP(ROWS($E$2:E1209),$A$2:$B$214,2,0),"")</f>
        <v/>
      </c>
    </row>
    <row r="1210" spans="1:5" x14ac:dyDescent="0.35">
      <c r="A1210" s="210">
        <f>IF(ISNUMBER(SEARCH('LARP Summary'!$E$3,B1210)),MAX(A$1:$B1209)+1,0)</f>
        <v>0</v>
      </c>
      <c r="B1210" s="214"/>
      <c r="E1210" s="212" t="str">
        <f>IFERROR(VLOOKUP(ROWS($E$2:E1210),$A$2:$B$214,2,0),"")</f>
        <v/>
      </c>
    </row>
    <row r="1211" spans="1:5" x14ac:dyDescent="0.35">
      <c r="A1211" s="210">
        <f>IF(ISNUMBER(SEARCH('LARP Summary'!$E$3,B1211)),MAX(A$1:$B1210)+1,0)</f>
        <v>0</v>
      </c>
      <c r="B1211" s="214"/>
      <c r="E1211" s="212" t="str">
        <f>IFERROR(VLOOKUP(ROWS($E$2:E1211),$A$2:$B$214,2,0),"")</f>
        <v/>
      </c>
    </row>
    <row r="1212" spans="1:5" x14ac:dyDescent="0.35">
      <c r="A1212" s="210">
        <f>IF(ISNUMBER(SEARCH('LARP Summary'!$E$3,B1212)),MAX(A$1:$B1211)+1,0)</f>
        <v>0</v>
      </c>
      <c r="B1212" s="214"/>
      <c r="E1212" s="212" t="str">
        <f>IFERROR(VLOOKUP(ROWS($E$2:E1212),$A$2:$B$214,2,0),"")</f>
        <v/>
      </c>
    </row>
    <row r="1213" spans="1:5" x14ac:dyDescent="0.35">
      <c r="A1213" s="210">
        <f>IF(ISNUMBER(SEARCH('LARP Summary'!$E$3,B1213)),MAX(A$1:$B1212)+1,0)</f>
        <v>0</v>
      </c>
      <c r="B1213" s="214"/>
      <c r="E1213" s="212" t="str">
        <f>IFERROR(VLOOKUP(ROWS($E$2:E1213),$A$2:$B$214,2,0),"")</f>
        <v/>
      </c>
    </row>
    <row r="1214" spans="1:5" x14ac:dyDescent="0.35">
      <c r="A1214" s="210">
        <f>IF(ISNUMBER(SEARCH('LARP Summary'!$E$3,B1214)),MAX(A$1:$B1213)+1,0)</f>
        <v>0</v>
      </c>
      <c r="B1214" s="214"/>
      <c r="E1214" s="212" t="str">
        <f>IFERROR(VLOOKUP(ROWS($E$2:E1214),$A$2:$B$214,2,0),"")</f>
        <v/>
      </c>
    </row>
    <row r="1215" spans="1:5" x14ac:dyDescent="0.35">
      <c r="A1215" s="210">
        <f>IF(ISNUMBER(SEARCH('LARP Summary'!$E$3,B1215)),MAX(A$1:$B1214)+1,0)</f>
        <v>0</v>
      </c>
      <c r="B1215" s="214"/>
      <c r="E1215" s="212" t="str">
        <f>IFERROR(VLOOKUP(ROWS($E$2:E1215),$A$2:$B$214,2,0),"")</f>
        <v/>
      </c>
    </row>
    <row r="1216" spans="1:5" x14ac:dyDescent="0.35">
      <c r="A1216" s="210">
        <f>IF(ISNUMBER(SEARCH('LARP Summary'!$E$3,B1216)),MAX(A$1:$B1215)+1,0)</f>
        <v>0</v>
      </c>
      <c r="B1216" s="214"/>
      <c r="E1216" s="212" t="str">
        <f>IFERROR(VLOOKUP(ROWS($E$2:E1216),$A$2:$B$214,2,0),"")</f>
        <v/>
      </c>
    </row>
    <row r="1217" spans="1:5" x14ac:dyDescent="0.35">
      <c r="A1217" s="210">
        <f>IF(ISNUMBER(SEARCH('LARP Summary'!$E$3,B1217)),MAX(A$1:$B1216)+1,0)</f>
        <v>0</v>
      </c>
      <c r="B1217" s="214"/>
      <c r="E1217" s="212" t="str">
        <f>IFERROR(VLOOKUP(ROWS($E$2:E1217),$A$2:$B$214,2,0),"")</f>
        <v/>
      </c>
    </row>
    <row r="1218" spans="1:5" x14ac:dyDescent="0.35">
      <c r="A1218" s="210">
        <f>IF(ISNUMBER(SEARCH('LARP Summary'!$E$3,B1218)),MAX(A$1:$B1217)+1,0)</f>
        <v>0</v>
      </c>
      <c r="B1218" s="214"/>
      <c r="E1218" s="212" t="str">
        <f>IFERROR(VLOOKUP(ROWS($E$2:E1218),$A$2:$B$214,2,0),"")</f>
        <v/>
      </c>
    </row>
    <row r="1219" spans="1:5" x14ac:dyDescent="0.35">
      <c r="A1219" s="210">
        <f>IF(ISNUMBER(SEARCH('LARP Summary'!$E$3,B1219)),MAX(A$1:$B1218)+1,0)</f>
        <v>0</v>
      </c>
      <c r="B1219" s="214"/>
      <c r="E1219" s="212" t="str">
        <f>IFERROR(VLOOKUP(ROWS($E$2:E1219),$A$2:$B$214,2,0),"")</f>
        <v/>
      </c>
    </row>
    <row r="1220" spans="1:5" x14ac:dyDescent="0.35">
      <c r="A1220" s="210">
        <f>IF(ISNUMBER(SEARCH('LARP Summary'!$E$3,B1220)),MAX(A$1:$B1219)+1,0)</f>
        <v>0</v>
      </c>
      <c r="B1220" s="214"/>
      <c r="E1220" s="212" t="str">
        <f>IFERROR(VLOOKUP(ROWS($E$2:E1220),$A$2:$B$214,2,0),"")</f>
        <v/>
      </c>
    </row>
    <row r="1221" spans="1:5" x14ac:dyDescent="0.35">
      <c r="A1221" s="210">
        <f>IF(ISNUMBER(SEARCH('LARP Summary'!$E$3,B1221)),MAX(A$1:$B1220)+1,0)</f>
        <v>0</v>
      </c>
      <c r="B1221" s="214"/>
      <c r="E1221" s="212" t="str">
        <f>IFERROR(VLOOKUP(ROWS($E$2:E1221),$A$2:$B$214,2,0),"")</f>
        <v/>
      </c>
    </row>
    <row r="1222" spans="1:5" x14ac:dyDescent="0.35">
      <c r="A1222" s="210">
        <f>IF(ISNUMBER(SEARCH('LARP Summary'!$E$3,B1222)),MAX(A$1:$B1221)+1,0)</f>
        <v>0</v>
      </c>
      <c r="B1222" s="214"/>
      <c r="E1222" s="212" t="str">
        <f>IFERROR(VLOOKUP(ROWS($E$2:E1222),$A$2:$B$214,2,0),"")</f>
        <v/>
      </c>
    </row>
    <row r="1223" spans="1:5" x14ac:dyDescent="0.35">
      <c r="A1223" s="210">
        <f>IF(ISNUMBER(SEARCH('LARP Summary'!$E$3,B1223)),MAX(A$1:$B1222)+1,0)</f>
        <v>0</v>
      </c>
      <c r="B1223" s="214"/>
      <c r="E1223" s="212" t="str">
        <f>IFERROR(VLOOKUP(ROWS($E$2:E1223),$A$2:$B$214,2,0),"")</f>
        <v/>
      </c>
    </row>
    <row r="1224" spans="1:5" x14ac:dyDescent="0.35">
      <c r="A1224" s="210">
        <f>IF(ISNUMBER(SEARCH('LARP Summary'!$E$3,B1224)),MAX(A$1:$B1223)+1,0)</f>
        <v>0</v>
      </c>
      <c r="B1224" s="214"/>
      <c r="E1224" s="212" t="str">
        <f>IFERROR(VLOOKUP(ROWS($E$2:E1224),$A$2:$B$214,2,0),"")</f>
        <v/>
      </c>
    </row>
    <row r="1225" spans="1:5" x14ac:dyDescent="0.35">
      <c r="A1225" s="210">
        <f>IF(ISNUMBER(SEARCH('LARP Summary'!$E$3,B1225)),MAX(A$1:$B1224)+1,0)</f>
        <v>0</v>
      </c>
      <c r="B1225" s="214"/>
      <c r="E1225" s="212" t="str">
        <f>IFERROR(VLOOKUP(ROWS($E$2:E1225),$A$2:$B$214,2,0),"")</f>
        <v/>
      </c>
    </row>
    <row r="1226" spans="1:5" x14ac:dyDescent="0.35">
      <c r="A1226" s="210">
        <f>IF(ISNUMBER(SEARCH('LARP Summary'!$E$3,B1226)),MAX(A$1:$B1225)+1,0)</f>
        <v>0</v>
      </c>
      <c r="B1226" s="214"/>
      <c r="E1226" s="212" t="str">
        <f>IFERROR(VLOOKUP(ROWS($E$2:E1226),$A$2:$B$214,2,0),"")</f>
        <v/>
      </c>
    </row>
    <row r="1227" spans="1:5" x14ac:dyDescent="0.35">
      <c r="A1227" s="210">
        <f>IF(ISNUMBER(SEARCH('LARP Summary'!$E$3,B1227)),MAX(A$1:$B1226)+1,0)</f>
        <v>0</v>
      </c>
      <c r="B1227" s="214"/>
      <c r="E1227" s="212" t="str">
        <f>IFERROR(VLOOKUP(ROWS($E$2:E1227),$A$2:$B$214,2,0),"")</f>
        <v/>
      </c>
    </row>
    <row r="1228" spans="1:5" x14ac:dyDescent="0.35">
      <c r="A1228" s="210">
        <f>IF(ISNUMBER(SEARCH('LARP Summary'!$E$3,B1228)),MAX(A$1:$B1227)+1,0)</f>
        <v>0</v>
      </c>
      <c r="B1228" s="214"/>
      <c r="E1228" s="212" t="str">
        <f>IFERROR(VLOOKUP(ROWS($E$2:E1228),$A$2:$B$214,2,0),"")</f>
        <v/>
      </c>
    </row>
    <row r="1229" spans="1:5" x14ac:dyDescent="0.35">
      <c r="A1229" s="210">
        <f>IF(ISNUMBER(SEARCH('LARP Summary'!$E$3,B1229)),MAX(A$1:$B1228)+1,0)</f>
        <v>0</v>
      </c>
      <c r="B1229" s="214"/>
      <c r="E1229" s="212" t="str">
        <f>IFERROR(VLOOKUP(ROWS($E$2:E1229),$A$2:$B$214,2,0),"")</f>
        <v/>
      </c>
    </row>
    <row r="1230" spans="1:5" x14ac:dyDescent="0.35">
      <c r="A1230" s="210">
        <f>IF(ISNUMBER(SEARCH('LARP Summary'!$E$3,B1230)),MAX(A$1:$B1229)+1,0)</f>
        <v>0</v>
      </c>
      <c r="B1230" s="214"/>
      <c r="E1230" s="212" t="str">
        <f>IFERROR(VLOOKUP(ROWS($E$2:E1230),$A$2:$B$214,2,0),"")</f>
        <v/>
      </c>
    </row>
    <row r="1231" spans="1:5" x14ac:dyDescent="0.35">
      <c r="A1231" s="210">
        <f>IF(ISNUMBER(SEARCH('LARP Summary'!$E$3,B1231)),MAX(A$1:$B1230)+1,0)</f>
        <v>0</v>
      </c>
      <c r="B1231" s="214"/>
      <c r="E1231" s="212" t="str">
        <f>IFERROR(VLOOKUP(ROWS($E$2:E1231),$A$2:$B$214,2,0),"")</f>
        <v/>
      </c>
    </row>
    <row r="1232" spans="1:5" x14ac:dyDescent="0.35">
      <c r="A1232" s="210">
        <f>IF(ISNUMBER(SEARCH('LARP Summary'!$E$3,B1232)),MAX(A$1:$B1231)+1,0)</f>
        <v>0</v>
      </c>
      <c r="B1232" s="214"/>
      <c r="E1232" s="212" t="str">
        <f>IFERROR(VLOOKUP(ROWS($E$2:E1232),$A$2:$B$214,2,0),"")</f>
        <v/>
      </c>
    </row>
    <row r="1233" spans="1:5" x14ac:dyDescent="0.35">
      <c r="A1233" s="210">
        <f>IF(ISNUMBER(SEARCH('LARP Summary'!$E$3,B1233)),MAX(A$1:$B1232)+1,0)</f>
        <v>0</v>
      </c>
      <c r="B1233" s="214"/>
      <c r="E1233" s="212" t="str">
        <f>IFERROR(VLOOKUP(ROWS($E$2:E1233),$A$2:$B$214,2,0),"")</f>
        <v/>
      </c>
    </row>
    <row r="1234" spans="1:5" x14ac:dyDescent="0.35">
      <c r="A1234" s="210">
        <f>IF(ISNUMBER(SEARCH('LARP Summary'!$E$3,B1234)),MAX(A$1:$B1233)+1,0)</f>
        <v>0</v>
      </c>
      <c r="B1234" s="214"/>
      <c r="E1234" s="212" t="str">
        <f>IFERROR(VLOOKUP(ROWS($E$2:E1234),$A$2:$B$214,2,0),"")</f>
        <v/>
      </c>
    </row>
    <row r="1235" spans="1:5" x14ac:dyDescent="0.35">
      <c r="A1235" s="210">
        <f>IF(ISNUMBER(SEARCH('LARP Summary'!$E$3,B1235)),MAX(A$1:$B1234)+1,0)</f>
        <v>0</v>
      </c>
      <c r="B1235" s="214"/>
      <c r="E1235" s="212" t="str">
        <f>IFERROR(VLOOKUP(ROWS($E$2:E1235),$A$2:$B$214,2,0),"")</f>
        <v/>
      </c>
    </row>
    <row r="1236" spans="1:5" x14ac:dyDescent="0.35">
      <c r="A1236" s="210">
        <f>IF(ISNUMBER(SEARCH('LARP Summary'!$E$3,B1236)),MAX(A$1:$B1235)+1,0)</f>
        <v>0</v>
      </c>
      <c r="B1236" s="214"/>
      <c r="E1236" s="212" t="str">
        <f>IFERROR(VLOOKUP(ROWS($E$2:E1236),$A$2:$B$214,2,0),"")</f>
        <v/>
      </c>
    </row>
    <row r="1237" spans="1:5" x14ac:dyDescent="0.35">
      <c r="A1237" s="210">
        <f>IF(ISNUMBER(SEARCH('LARP Summary'!$E$3,B1237)),MAX(A$1:$B1236)+1,0)</f>
        <v>0</v>
      </c>
      <c r="B1237" s="214"/>
      <c r="E1237" s="212" t="str">
        <f>IFERROR(VLOOKUP(ROWS($E$2:E1237),$A$2:$B$214,2,0),"")</f>
        <v/>
      </c>
    </row>
    <row r="1238" spans="1:5" x14ac:dyDescent="0.35">
      <c r="A1238" s="210">
        <f>IF(ISNUMBER(SEARCH('LARP Summary'!$E$3,B1238)),MAX(A$1:$B1237)+1,0)</f>
        <v>0</v>
      </c>
      <c r="B1238" s="214"/>
      <c r="E1238" s="212" t="str">
        <f>IFERROR(VLOOKUP(ROWS($E$2:E1238),$A$2:$B$214,2,0),"")</f>
        <v/>
      </c>
    </row>
    <row r="1239" spans="1:5" x14ac:dyDescent="0.35">
      <c r="A1239" s="210">
        <f>IF(ISNUMBER(SEARCH('LARP Summary'!$E$3,B1239)),MAX(A$1:$B1238)+1,0)</f>
        <v>0</v>
      </c>
      <c r="B1239" s="214"/>
      <c r="E1239" s="212" t="str">
        <f>IFERROR(VLOOKUP(ROWS($E$2:E1239),$A$2:$B$214,2,0),"")</f>
        <v/>
      </c>
    </row>
    <row r="1240" spans="1:5" x14ac:dyDescent="0.35">
      <c r="A1240" s="210">
        <f>IF(ISNUMBER(SEARCH('LARP Summary'!$E$3,B1240)),MAX(A$1:$B1239)+1,0)</f>
        <v>0</v>
      </c>
      <c r="B1240" s="214"/>
      <c r="E1240" s="212" t="str">
        <f>IFERROR(VLOOKUP(ROWS($E$2:E1240),$A$2:$B$214,2,0),"")</f>
        <v/>
      </c>
    </row>
    <row r="1241" spans="1:5" x14ac:dyDescent="0.35">
      <c r="A1241" s="210">
        <f>IF(ISNUMBER(SEARCH('LARP Summary'!$E$3,B1241)),MAX(A$1:$B1240)+1,0)</f>
        <v>0</v>
      </c>
      <c r="B1241" s="214"/>
      <c r="E1241" s="212" t="str">
        <f>IFERROR(VLOOKUP(ROWS($E$2:E1241),$A$2:$B$214,2,0),"")</f>
        <v/>
      </c>
    </row>
    <row r="1242" spans="1:5" x14ac:dyDescent="0.35">
      <c r="A1242" s="210">
        <f>IF(ISNUMBER(SEARCH('LARP Summary'!$E$3,B1242)),MAX(A$1:$B1241)+1,0)</f>
        <v>0</v>
      </c>
      <c r="B1242" s="214"/>
      <c r="E1242" s="212" t="str">
        <f>IFERROR(VLOOKUP(ROWS($E$2:E1242),$A$2:$B$214,2,0),"")</f>
        <v/>
      </c>
    </row>
    <row r="1243" spans="1:5" x14ac:dyDescent="0.35">
      <c r="A1243" s="210">
        <f>IF(ISNUMBER(SEARCH('LARP Summary'!$E$3,B1243)),MAX(A$1:$B1242)+1,0)</f>
        <v>0</v>
      </c>
      <c r="B1243" s="214"/>
      <c r="E1243" s="212" t="str">
        <f>IFERROR(VLOOKUP(ROWS($E$2:E1243),$A$2:$B$214,2,0),"")</f>
        <v/>
      </c>
    </row>
    <row r="1244" spans="1:5" x14ac:dyDescent="0.35">
      <c r="A1244" s="210">
        <f>IF(ISNUMBER(SEARCH('LARP Summary'!$E$3,B1244)),MAX(A$1:$B1243)+1,0)</f>
        <v>0</v>
      </c>
      <c r="B1244" s="214"/>
      <c r="E1244" s="212" t="str">
        <f>IFERROR(VLOOKUP(ROWS($E$2:E1244),$A$2:$B$214,2,0),"")</f>
        <v/>
      </c>
    </row>
    <row r="1245" spans="1:5" x14ac:dyDescent="0.35">
      <c r="A1245" s="210">
        <f>IF(ISNUMBER(SEARCH('LARP Summary'!$E$3,B1245)),MAX(A$1:$B1244)+1,0)</f>
        <v>0</v>
      </c>
      <c r="B1245" s="214"/>
      <c r="E1245" s="212" t="str">
        <f>IFERROR(VLOOKUP(ROWS($E$2:E1245),$A$2:$B$214,2,0),"")</f>
        <v/>
      </c>
    </row>
    <row r="1246" spans="1:5" x14ac:dyDescent="0.35">
      <c r="A1246" s="210">
        <f>IF(ISNUMBER(SEARCH('LARP Summary'!$E$3,B1246)),MAX(A$1:$B1245)+1,0)</f>
        <v>0</v>
      </c>
      <c r="B1246" s="214"/>
      <c r="E1246" s="212" t="str">
        <f>IFERROR(VLOOKUP(ROWS($E$2:E1246),$A$2:$B$214,2,0),"")</f>
        <v/>
      </c>
    </row>
    <row r="1247" spans="1:5" x14ac:dyDescent="0.35">
      <c r="A1247" s="210">
        <f>IF(ISNUMBER(SEARCH('LARP Summary'!$E$3,B1247)),MAX(A$1:$B1246)+1,0)</f>
        <v>0</v>
      </c>
      <c r="B1247" s="214"/>
      <c r="E1247" s="212" t="str">
        <f>IFERROR(VLOOKUP(ROWS($E$2:E1247),$A$2:$B$214,2,0),"")</f>
        <v/>
      </c>
    </row>
    <row r="1248" spans="1:5" x14ac:dyDescent="0.35">
      <c r="A1248" s="210">
        <f>IF(ISNUMBER(SEARCH('LARP Summary'!$E$3,B1248)),MAX(A$1:$B1247)+1,0)</f>
        <v>0</v>
      </c>
      <c r="B1248" s="214"/>
      <c r="E1248" s="212" t="str">
        <f>IFERROR(VLOOKUP(ROWS($E$2:E1248),$A$2:$B$214,2,0),"")</f>
        <v/>
      </c>
    </row>
    <row r="1249" spans="1:5" x14ac:dyDescent="0.35">
      <c r="A1249" s="210">
        <f>IF(ISNUMBER(SEARCH('LARP Summary'!$E$3,B1249)),MAX(A$1:$B1248)+1,0)</f>
        <v>0</v>
      </c>
      <c r="B1249" s="214"/>
      <c r="E1249" s="212" t="str">
        <f>IFERROR(VLOOKUP(ROWS($E$2:E1249),$A$2:$B$214,2,0),"")</f>
        <v/>
      </c>
    </row>
    <row r="1250" spans="1:5" x14ac:dyDescent="0.35">
      <c r="A1250" s="210">
        <f>IF(ISNUMBER(SEARCH('LARP Summary'!$E$3,B1250)),MAX(A$1:$B1249)+1,0)</f>
        <v>0</v>
      </c>
      <c r="B1250" s="214"/>
      <c r="E1250" s="212" t="str">
        <f>IFERROR(VLOOKUP(ROWS($E$2:E1250),$A$2:$B$214,2,0),"")</f>
        <v/>
      </c>
    </row>
    <row r="1251" spans="1:5" x14ac:dyDescent="0.35">
      <c r="A1251" s="210">
        <f>IF(ISNUMBER(SEARCH('LARP Summary'!$E$3,B1251)),MAX(A$1:$B1250)+1,0)</f>
        <v>0</v>
      </c>
      <c r="B1251" s="214"/>
      <c r="E1251" s="212" t="str">
        <f>IFERROR(VLOOKUP(ROWS($E$2:E1251),$A$2:$B$214,2,0),"")</f>
        <v/>
      </c>
    </row>
    <row r="1252" spans="1:5" x14ac:dyDescent="0.35">
      <c r="A1252" s="210">
        <f>IF(ISNUMBER(SEARCH('LARP Summary'!$E$3,B1252)),MAX(A$1:$B1251)+1,0)</f>
        <v>0</v>
      </c>
      <c r="B1252" s="214"/>
      <c r="E1252" s="212" t="str">
        <f>IFERROR(VLOOKUP(ROWS($E$2:E1252),$A$2:$B$214,2,0),"")</f>
        <v/>
      </c>
    </row>
    <row r="1253" spans="1:5" x14ac:dyDescent="0.35">
      <c r="A1253" s="210">
        <f>IF(ISNUMBER(SEARCH('LARP Summary'!$E$3,B1253)),MAX(A$1:$B1252)+1,0)</f>
        <v>0</v>
      </c>
      <c r="B1253" s="214"/>
      <c r="E1253" s="212" t="str">
        <f>IFERROR(VLOOKUP(ROWS($E$2:E1253),$A$2:$B$214,2,0),"")</f>
        <v/>
      </c>
    </row>
    <row r="1254" spans="1:5" x14ac:dyDescent="0.35">
      <c r="A1254" s="210">
        <f>IF(ISNUMBER(SEARCH('LARP Summary'!$E$3,B1254)),MAX(A$1:$B1253)+1,0)</f>
        <v>0</v>
      </c>
      <c r="B1254" s="214"/>
      <c r="E1254" s="212" t="str">
        <f>IFERROR(VLOOKUP(ROWS($E$2:E1254),$A$2:$B$214,2,0),"")</f>
        <v/>
      </c>
    </row>
    <row r="1255" spans="1:5" x14ac:dyDescent="0.35">
      <c r="A1255" s="210">
        <f>IF(ISNUMBER(SEARCH('LARP Summary'!$E$3,B1255)),MAX(A$1:$B1254)+1,0)</f>
        <v>0</v>
      </c>
      <c r="B1255" s="214"/>
      <c r="E1255" s="212" t="str">
        <f>IFERROR(VLOOKUP(ROWS($E$2:E1255),$A$2:$B$214,2,0),"")</f>
        <v/>
      </c>
    </row>
    <row r="1256" spans="1:5" x14ac:dyDescent="0.35">
      <c r="A1256" s="210">
        <f>IF(ISNUMBER(SEARCH('LARP Summary'!$E$3,B1256)),MAX(A$1:$B1255)+1,0)</f>
        <v>0</v>
      </c>
      <c r="B1256" s="214"/>
      <c r="E1256" s="212" t="str">
        <f>IFERROR(VLOOKUP(ROWS($E$2:E1256),$A$2:$B$214,2,0),"")</f>
        <v/>
      </c>
    </row>
    <row r="1257" spans="1:5" x14ac:dyDescent="0.35">
      <c r="A1257" s="210">
        <f>IF(ISNUMBER(SEARCH('LARP Summary'!$E$3,B1257)),MAX(A$1:$B1256)+1,0)</f>
        <v>0</v>
      </c>
      <c r="B1257" s="214"/>
      <c r="E1257" s="212" t="str">
        <f>IFERROR(VLOOKUP(ROWS($E$2:E1257),$A$2:$B$214,2,0),"")</f>
        <v/>
      </c>
    </row>
    <row r="1258" spans="1:5" x14ac:dyDescent="0.35">
      <c r="A1258" s="210">
        <f>IF(ISNUMBER(SEARCH('LARP Summary'!$E$3,B1258)),MAX(A$1:$B1257)+1,0)</f>
        <v>0</v>
      </c>
      <c r="B1258" s="214"/>
      <c r="E1258" s="212" t="str">
        <f>IFERROR(VLOOKUP(ROWS($E$2:E1258),$A$2:$B$214,2,0),"")</f>
        <v/>
      </c>
    </row>
    <row r="1259" spans="1:5" x14ac:dyDescent="0.35">
      <c r="A1259" s="210">
        <f>IF(ISNUMBER(SEARCH('LARP Summary'!$E$3,B1259)),MAX(A$1:$B1258)+1,0)</f>
        <v>0</v>
      </c>
      <c r="B1259" s="214"/>
      <c r="E1259" s="212" t="str">
        <f>IFERROR(VLOOKUP(ROWS($E$2:E1259),$A$2:$B$214,2,0),"")</f>
        <v/>
      </c>
    </row>
    <row r="1260" spans="1:5" x14ac:dyDescent="0.35">
      <c r="A1260" s="210">
        <f>IF(ISNUMBER(SEARCH('LARP Summary'!$E$3,B1260)),MAX(A$1:$B1259)+1,0)</f>
        <v>0</v>
      </c>
      <c r="B1260" s="214"/>
      <c r="E1260" s="212" t="str">
        <f>IFERROR(VLOOKUP(ROWS($E$2:E1260),$A$2:$B$214,2,0),"")</f>
        <v/>
      </c>
    </row>
    <row r="1261" spans="1:5" x14ac:dyDescent="0.35">
      <c r="A1261" s="210">
        <f>IF(ISNUMBER(SEARCH('LARP Summary'!$E$3,B1261)),MAX(A$1:$B1260)+1,0)</f>
        <v>0</v>
      </c>
      <c r="B1261" s="214"/>
      <c r="E1261" s="212" t="str">
        <f>IFERROR(VLOOKUP(ROWS($E$2:E1261),$A$2:$B$214,2,0),"")</f>
        <v/>
      </c>
    </row>
    <row r="1262" spans="1:5" x14ac:dyDescent="0.35">
      <c r="A1262" s="210">
        <f>IF(ISNUMBER(SEARCH('LARP Summary'!$E$3,B1262)),MAX(A$1:$B1261)+1,0)</f>
        <v>0</v>
      </c>
      <c r="B1262" s="214"/>
      <c r="E1262" s="212" t="str">
        <f>IFERROR(VLOOKUP(ROWS($E$2:E1262),$A$2:$B$214,2,0),"")</f>
        <v/>
      </c>
    </row>
    <row r="1263" spans="1:5" x14ac:dyDescent="0.35">
      <c r="A1263" s="210">
        <f>IF(ISNUMBER(SEARCH('LARP Summary'!$E$3,B1263)),MAX(A$1:$B1262)+1,0)</f>
        <v>0</v>
      </c>
      <c r="B1263" s="214"/>
      <c r="E1263" s="212" t="str">
        <f>IFERROR(VLOOKUP(ROWS($E$2:E1263),$A$2:$B$214,2,0),"")</f>
        <v/>
      </c>
    </row>
    <row r="1264" spans="1:5" x14ac:dyDescent="0.35">
      <c r="A1264" s="210">
        <f>IF(ISNUMBER(SEARCH('LARP Summary'!$E$3,B1264)),MAX(A$1:$B1263)+1,0)</f>
        <v>0</v>
      </c>
      <c r="B1264" s="214"/>
      <c r="E1264" s="212" t="str">
        <f>IFERROR(VLOOKUP(ROWS($E$2:E1264),$A$2:$B$214,2,0),"")</f>
        <v/>
      </c>
    </row>
    <row r="1265" spans="1:5" x14ac:dyDescent="0.35">
      <c r="A1265" s="210">
        <f>IF(ISNUMBER(SEARCH('LARP Summary'!$E$3,B1265)),MAX(A$1:$B1264)+1,0)</f>
        <v>0</v>
      </c>
      <c r="B1265" s="214"/>
      <c r="E1265" s="212" t="str">
        <f>IFERROR(VLOOKUP(ROWS($E$2:E1265),$A$2:$B$214,2,0),"")</f>
        <v/>
      </c>
    </row>
    <row r="1266" spans="1:5" x14ac:dyDescent="0.35">
      <c r="A1266" s="210">
        <f>IF(ISNUMBER(SEARCH('LARP Summary'!$E$3,B1266)),MAX(A$1:$B1265)+1,0)</f>
        <v>0</v>
      </c>
      <c r="B1266" s="214"/>
      <c r="E1266" s="212" t="str">
        <f>IFERROR(VLOOKUP(ROWS($E$2:E1266),$A$2:$B$214,2,0),"")</f>
        <v/>
      </c>
    </row>
    <row r="1267" spans="1:5" x14ac:dyDescent="0.35">
      <c r="A1267" s="210">
        <f>IF(ISNUMBER(SEARCH('LARP Summary'!$E$3,B1267)),MAX(A$1:$B1266)+1,0)</f>
        <v>0</v>
      </c>
      <c r="B1267" s="214"/>
      <c r="E1267" s="212" t="str">
        <f>IFERROR(VLOOKUP(ROWS($E$2:E1267),$A$2:$B$214,2,0),"")</f>
        <v/>
      </c>
    </row>
    <row r="1268" spans="1:5" x14ac:dyDescent="0.35">
      <c r="A1268" s="210">
        <f>IF(ISNUMBER(SEARCH('LARP Summary'!$E$3,B1268)),MAX(A$1:$B1267)+1,0)</f>
        <v>0</v>
      </c>
      <c r="B1268" s="214"/>
      <c r="E1268" s="212" t="str">
        <f>IFERROR(VLOOKUP(ROWS($E$2:E1268),$A$2:$B$214,2,0),"")</f>
        <v/>
      </c>
    </row>
    <row r="1269" spans="1:5" x14ac:dyDescent="0.35">
      <c r="A1269" s="210">
        <f>IF(ISNUMBER(SEARCH('LARP Summary'!$E$3,B1269)),MAX(A$1:$B1268)+1,0)</f>
        <v>0</v>
      </c>
      <c r="B1269" s="214"/>
      <c r="E1269" s="212" t="str">
        <f>IFERROR(VLOOKUP(ROWS($E$2:E1269),$A$2:$B$214,2,0),"")</f>
        <v/>
      </c>
    </row>
    <row r="1270" spans="1:5" x14ac:dyDescent="0.35">
      <c r="A1270" s="210">
        <f>IF(ISNUMBER(SEARCH('LARP Summary'!$E$3,B1270)),MAX(A$1:$B1269)+1,0)</f>
        <v>0</v>
      </c>
      <c r="B1270" s="214"/>
      <c r="E1270" s="212" t="str">
        <f>IFERROR(VLOOKUP(ROWS($E$2:E1270),$A$2:$B$214,2,0),"")</f>
        <v/>
      </c>
    </row>
    <row r="1271" spans="1:5" x14ac:dyDescent="0.35">
      <c r="A1271" s="210">
        <f>IF(ISNUMBER(SEARCH('LARP Summary'!$E$3,B1271)),MAX(A$1:$B1270)+1,0)</f>
        <v>0</v>
      </c>
      <c r="B1271" s="214"/>
      <c r="E1271" s="212" t="str">
        <f>IFERROR(VLOOKUP(ROWS($E$2:E1271),$A$2:$B$214,2,0),"")</f>
        <v/>
      </c>
    </row>
    <row r="1272" spans="1:5" x14ac:dyDescent="0.35">
      <c r="A1272" s="210">
        <f>IF(ISNUMBER(SEARCH('LARP Summary'!$E$3,B1272)),MAX(A$1:$B1271)+1,0)</f>
        <v>0</v>
      </c>
      <c r="B1272" s="214"/>
      <c r="E1272" s="212" t="str">
        <f>IFERROR(VLOOKUP(ROWS($E$2:E1272),$A$2:$B$214,2,0),"")</f>
        <v/>
      </c>
    </row>
    <row r="1273" spans="1:5" x14ac:dyDescent="0.35">
      <c r="A1273" s="210">
        <f>IF(ISNUMBER(SEARCH('LARP Summary'!$E$3,B1273)),MAX(A$1:$B1272)+1,0)</f>
        <v>0</v>
      </c>
      <c r="B1273" s="214"/>
      <c r="E1273" s="212" t="str">
        <f>IFERROR(VLOOKUP(ROWS($E$2:E1273),$A$2:$B$214,2,0),"")</f>
        <v/>
      </c>
    </row>
    <row r="1274" spans="1:5" x14ac:dyDescent="0.35">
      <c r="A1274" s="210">
        <f>IF(ISNUMBER(SEARCH('LARP Summary'!$E$3,B1274)),MAX(A$1:$B1273)+1,0)</f>
        <v>0</v>
      </c>
      <c r="B1274" s="214"/>
      <c r="E1274" s="212" t="str">
        <f>IFERROR(VLOOKUP(ROWS($E$2:E1274),$A$2:$B$214,2,0),"")</f>
        <v/>
      </c>
    </row>
    <row r="1275" spans="1:5" x14ac:dyDescent="0.35">
      <c r="A1275" s="210">
        <f>IF(ISNUMBER(SEARCH('LARP Summary'!$E$3,B1275)),MAX(A$1:$B1274)+1,0)</f>
        <v>0</v>
      </c>
      <c r="B1275" s="214"/>
      <c r="E1275" s="212" t="str">
        <f>IFERROR(VLOOKUP(ROWS($E$2:E1275),$A$2:$B$214,2,0),"")</f>
        <v/>
      </c>
    </row>
    <row r="1276" spans="1:5" x14ac:dyDescent="0.35">
      <c r="A1276" s="210">
        <f>IF(ISNUMBER(SEARCH('LARP Summary'!$E$3,B1276)),MAX(A$1:$B1275)+1,0)</f>
        <v>0</v>
      </c>
      <c r="B1276" s="214"/>
      <c r="E1276" s="212" t="str">
        <f>IFERROR(VLOOKUP(ROWS($E$2:E1276),$A$2:$B$214,2,0),"")</f>
        <v/>
      </c>
    </row>
    <row r="1277" spans="1:5" x14ac:dyDescent="0.35">
      <c r="A1277" s="210">
        <f>IF(ISNUMBER(SEARCH('LARP Summary'!$E$3,B1277)),MAX(A$1:$B1276)+1,0)</f>
        <v>0</v>
      </c>
      <c r="B1277" s="214"/>
      <c r="E1277" s="212" t="str">
        <f>IFERROR(VLOOKUP(ROWS($E$2:E1277),$A$2:$B$214,2,0),"")</f>
        <v/>
      </c>
    </row>
    <row r="1278" spans="1:5" x14ac:dyDescent="0.35">
      <c r="A1278" s="210">
        <f>IF(ISNUMBER(SEARCH('LARP Summary'!$E$3,B1278)),MAX(A$1:$B1277)+1,0)</f>
        <v>0</v>
      </c>
      <c r="B1278" s="214"/>
      <c r="E1278" s="212" t="str">
        <f>IFERROR(VLOOKUP(ROWS($E$2:E1278),$A$2:$B$214,2,0),"")</f>
        <v/>
      </c>
    </row>
    <row r="1279" spans="1:5" x14ac:dyDescent="0.35">
      <c r="A1279" s="210">
        <f>IF(ISNUMBER(SEARCH('LARP Summary'!$E$3,B1279)),MAX(A$1:$B1278)+1,0)</f>
        <v>0</v>
      </c>
      <c r="B1279" s="214"/>
      <c r="E1279" s="212" t="str">
        <f>IFERROR(VLOOKUP(ROWS($E$2:E1279),$A$2:$B$214,2,0),"")</f>
        <v/>
      </c>
    </row>
    <row r="1280" spans="1:5" x14ac:dyDescent="0.35">
      <c r="A1280" s="210">
        <f>IF(ISNUMBER(SEARCH('LARP Summary'!$E$3,B1280)),MAX(A$1:$B1279)+1,0)</f>
        <v>0</v>
      </c>
      <c r="B1280" s="214"/>
      <c r="E1280" s="212" t="str">
        <f>IFERROR(VLOOKUP(ROWS($E$2:E1280),$A$2:$B$214,2,0),"")</f>
        <v/>
      </c>
    </row>
    <row r="1281" spans="1:5" x14ac:dyDescent="0.35">
      <c r="A1281" s="210">
        <f>IF(ISNUMBER(SEARCH('LARP Summary'!$E$3,B1281)),MAX(A$1:$B1280)+1,0)</f>
        <v>0</v>
      </c>
      <c r="B1281" s="214"/>
      <c r="E1281" s="212" t="str">
        <f>IFERROR(VLOOKUP(ROWS($E$2:E1281),$A$2:$B$214,2,0),"")</f>
        <v/>
      </c>
    </row>
    <row r="1282" spans="1:5" x14ac:dyDescent="0.35">
      <c r="A1282" s="210">
        <f>IF(ISNUMBER(SEARCH('LARP Summary'!$E$3,B1282)),MAX(A$1:$B1281)+1,0)</f>
        <v>0</v>
      </c>
      <c r="B1282" s="214"/>
      <c r="E1282" s="212" t="str">
        <f>IFERROR(VLOOKUP(ROWS($E$2:E1282),$A$2:$B$214,2,0),"")</f>
        <v/>
      </c>
    </row>
    <row r="1283" spans="1:5" x14ac:dyDescent="0.35">
      <c r="A1283" s="210">
        <f>IF(ISNUMBER(SEARCH('LARP Summary'!$E$3,B1283)),MAX(A$1:$B1282)+1,0)</f>
        <v>0</v>
      </c>
      <c r="B1283" s="214"/>
      <c r="E1283" s="212" t="str">
        <f>IFERROR(VLOOKUP(ROWS($E$2:E1283),$A$2:$B$214,2,0),"")</f>
        <v/>
      </c>
    </row>
    <row r="1284" spans="1:5" x14ac:dyDescent="0.35">
      <c r="A1284" s="210">
        <f>IF(ISNUMBER(SEARCH('LARP Summary'!$E$3,B1284)),MAX(A$1:$B1283)+1,0)</f>
        <v>0</v>
      </c>
      <c r="B1284" s="214"/>
      <c r="E1284" s="212" t="str">
        <f>IFERROR(VLOOKUP(ROWS($E$2:E1284),$A$2:$B$214,2,0),"")</f>
        <v/>
      </c>
    </row>
    <row r="1285" spans="1:5" x14ac:dyDescent="0.35">
      <c r="A1285" s="210">
        <f>IF(ISNUMBER(SEARCH('LARP Summary'!$E$3,B1285)),MAX(A$1:$B1284)+1,0)</f>
        <v>0</v>
      </c>
      <c r="B1285" s="214"/>
      <c r="E1285" s="212" t="str">
        <f>IFERROR(VLOOKUP(ROWS($E$2:E1285),$A$2:$B$214,2,0),"")</f>
        <v/>
      </c>
    </row>
    <row r="1286" spans="1:5" x14ac:dyDescent="0.35">
      <c r="A1286" s="210">
        <f>IF(ISNUMBER(SEARCH('LARP Summary'!$E$3,B1286)),MAX(A$1:$B1285)+1,0)</f>
        <v>0</v>
      </c>
      <c r="B1286" s="214"/>
      <c r="E1286" s="212" t="str">
        <f>IFERROR(VLOOKUP(ROWS($E$2:E1286),$A$2:$B$214,2,0),"")</f>
        <v/>
      </c>
    </row>
    <row r="1287" spans="1:5" x14ac:dyDescent="0.35">
      <c r="A1287" s="210">
        <f>IF(ISNUMBER(SEARCH('LARP Summary'!$E$3,B1287)),MAX(A$1:$B1286)+1,0)</f>
        <v>0</v>
      </c>
      <c r="B1287" s="214"/>
      <c r="E1287" s="212" t="str">
        <f>IFERROR(VLOOKUP(ROWS($E$2:E1287),$A$2:$B$214,2,0),"")</f>
        <v/>
      </c>
    </row>
    <row r="1288" spans="1:5" x14ac:dyDescent="0.35">
      <c r="A1288" s="210">
        <f>IF(ISNUMBER(SEARCH('LARP Summary'!$E$3,B1288)),MAX(A$1:$B1287)+1,0)</f>
        <v>0</v>
      </c>
      <c r="B1288" s="214"/>
      <c r="E1288" s="212" t="str">
        <f>IFERROR(VLOOKUP(ROWS($E$2:E1288),$A$2:$B$214,2,0),"")</f>
        <v/>
      </c>
    </row>
    <row r="1289" spans="1:5" x14ac:dyDescent="0.35">
      <c r="A1289" s="210">
        <f>IF(ISNUMBER(SEARCH('LARP Summary'!$E$3,B1289)),MAX(A$1:$B1288)+1,0)</f>
        <v>0</v>
      </c>
      <c r="B1289" s="214"/>
      <c r="E1289" s="212" t="str">
        <f>IFERROR(VLOOKUP(ROWS($E$2:E1289),$A$2:$B$214,2,0),"")</f>
        <v/>
      </c>
    </row>
    <row r="1290" spans="1:5" x14ac:dyDescent="0.35">
      <c r="A1290" s="210">
        <f>IF(ISNUMBER(SEARCH('LARP Summary'!$E$3,B1290)),MAX(A$1:$B1289)+1,0)</f>
        <v>0</v>
      </c>
      <c r="B1290" s="214"/>
      <c r="E1290" s="212" t="str">
        <f>IFERROR(VLOOKUP(ROWS($E$2:E1290),$A$2:$B$214,2,0),"")</f>
        <v/>
      </c>
    </row>
  </sheetData>
  <dataValidations count="1">
    <dataValidation type="list" allowBlank="1" showInputMessage="1" sqref="D2" xr:uid="{C6DAC90F-146E-4EF1-A993-734B75620A84}">
      <formula1>validation_list</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561D-2BFA-400C-B1F5-64E118498B10}">
  <sheetPr codeName="Sheet7">
    <tabColor rgb="FFEDEBF5"/>
    <pageSetUpPr fitToPage="1"/>
  </sheetPr>
  <dimension ref="B2:Q57"/>
  <sheetViews>
    <sheetView workbookViewId="0">
      <selection activeCell="B2" sqref="B2"/>
    </sheetView>
  </sheetViews>
  <sheetFormatPr defaultColWidth="9.1796875" defaultRowHeight="14" x14ac:dyDescent="0.3"/>
  <cols>
    <col min="1" max="1" width="3.453125" style="327" customWidth="1"/>
    <col min="2" max="16384" width="9.1796875" style="327"/>
  </cols>
  <sheetData>
    <row r="2" spans="2:17" ht="28" x14ac:dyDescent="0.6">
      <c r="B2" s="303" t="s">
        <v>913</v>
      </c>
    </row>
    <row r="4" spans="2:17" x14ac:dyDescent="0.3">
      <c r="B4" s="328" t="s">
        <v>831</v>
      </c>
    </row>
    <row r="5" spans="2:17" x14ac:dyDescent="0.3">
      <c r="B5" s="304"/>
    </row>
    <row r="6" spans="2:17" x14ac:dyDescent="0.3">
      <c r="B6" s="304"/>
    </row>
    <row r="7" spans="2:17" x14ac:dyDescent="0.3">
      <c r="B7" s="304"/>
    </row>
    <row r="8" spans="2:17" x14ac:dyDescent="0.3">
      <c r="B8" s="304"/>
    </row>
    <row r="12" spans="2:17" ht="15.5" x14ac:dyDescent="0.35">
      <c r="B12" s="305" t="s">
        <v>710</v>
      </c>
    </row>
    <row r="14" spans="2:17" x14ac:dyDescent="0.3">
      <c r="B14" s="327" t="s">
        <v>772</v>
      </c>
    </row>
    <row r="16" spans="2:17" x14ac:dyDescent="0.3">
      <c r="Q16" s="304"/>
    </row>
    <row r="27" spans="2:17" ht="15.5" x14ac:dyDescent="0.35">
      <c r="B27" s="305" t="s">
        <v>711</v>
      </c>
    </row>
    <row r="29" spans="2:17" x14ac:dyDescent="0.3">
      <c r="B29" s="327" t="s">
        <v>773</v>
      </c>
    </row>
    <row r="31" spans="2:17" x14ac:dyDescent="0.3">
      <c r="Q31" s="304"/>
    </row>
    <row r="37" spans="2:2" x14ac:dyDescent="0.3">
      <c r="B37" s="327" t="s">
        <v>774</v>
      </c>
    </row>
    <row r="48" spans="2:2" x14ac:dyDescent="0.3">
      <c r="B48" s="328" t="s">
        <v>775</v>
      </c>
    </row>
    <row r="49" spans="2:5" x14ac:dyDescent="0.3">
      <c r="B49" s="328"/>
    </row>
    <row r="50" spans="2:5" x14ac:dyDescent="0.3">
      <c r="B50" s="328"/>
    </row>
    <row r="51" spans="2:5" x14ac:dyDescent="0.3">
      <c r="B51" s="328"/>
    </row>
    <row r="52" spans="2:5" x14ac:dyDescent="0.3">
      <c r="B52" s="328"/>
    </row>
    <row r="57" spans="2:5" ht="15.5" x14ac:dyDescent="0.35">
      <c r="B57" s="366" t="s">
        <v>712</v>
      </c>
      <c r="C57" s="366"/>
      <c r="D57" s="366"/>
      <c r="E57" s="366"/>
    </row>
  </sheetData>
  <sheetProtection algorithmName="SHA-512" hashValue="WutXvs637U1E6mCxtfAXTZY7oXYX7FCsZ2OOkocv/yP6UNELweELfcMmzlp+csvrG6VKapBLN4S/gnF/Dc8L7A==" saltValue="6pjg+hoZ/LreVMR3ebbJ4Q==" spinCount="100000" sheet="1" objects="1" scenarios="1"/>
  <mergeCells count="1">
    <mergeCell ref="B57:E57"/>
  </mergeCells>
  <hyperlinks>
    <hyperlink ref="B57" location="'2019 PRP Results'!J5" display="Return to sheet &quot;2019 PRP Results&quot;" xr:uid="{82028237-5C33-479E-9D9C-8F5979E5D923}"/>
    <hyperlink ref="B57:E57" location="'LARP Summary'!E3" display="Return to sheet &quot;LARP Summary&quot;" xr:uid="{EF74C0F2-3833-4462-9F96-8F8D2DF90CE5}"/>
  </hyperlinks>
  <pageMargins left="0.70866141732283472" right="0.70866141732283472" top="0.74803149606299213" bottom="0.74803149606299213" header="0.31496062992125984" footer="0.31496062992125984"/>
  <pageSetup paperSize="9" scale="57"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D1ED10495DE94DB1659A33E5BC6327" ma:contentTypeVersion="11" ma:contentTypeDescription="Create a new document." ma:contentTypeScope="" ma:versionID="78ec334556cb2511db941a74b32f8ac8">
  <xsd:schema xmlns:xsd="http://www.w3.org/2001/XMLSchema" xmlns:xs="http://www.w3.org/2001/XMLSchema" xmlns:p="http://schemas.microsoft.com/office/2006/metadata/properties" xmlns:ns3="ca0888e1-ea96-4789-bf97-35736e00a9ce" xmlns:ns4="d9c622cc-8e44-42df-8592-1faa16b6fa1e" targetNamespace="http://schemas.microsoft.com/office/2006/metadata/properties" ma:root="true" ma:fieldsID="e0d5e9a7be2498717e6d3a78d5299426" ns3:_="" ns4:_="">
    <xsd:import namespace="ca0888e1-ea96-4789-bf97-35736e00a9ce"/>
    <xsd:import namespace="d9c622cc-8e44-42df-8592-1faa16b6fa1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0888e1-ea96-4789-bf97-35736e00a9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c622cc-8e44-42df-8592-1faa16b6fa1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76BB015-C614-4142-B7E3-7732C620FF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0888e1-ea96-4789-bf97-35736e00a9ce"/>
    <ds:schemaRef ds:uri="d9c622cc-8e44-42df-8592-1faa16b6fa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274847-C1DF-4773-AD09-DB95AB4C5C2A}">
  <ds:schemaRefs>
    <ds:schemaRef ds:uri="http://schemas.microsoft.com/sharepoint/v3/contenttype/forms"/>
  </ds:schemaRefs>
</ds:datastoreItem>
</file>

<file path=customXml/itemProps3.xml><?xml version="1.0" encoding="utf-8"?>
<ds:datastoreItem xmlns:ds="http://schemas.openxmlformats.org/officeDocument/2006/customXml" ds:itemID="{104FA841-8F9B-41A9-88FD-36763C6A8179}">
  <ds:schemaRefs>
    <ds:schemaRef ds:uri="http://purl.org/dc/elements/1.1/"/>
    <ds:schemaRef ds:uri="http://purl.org/dc/dcmitype/"/>
    <ds:schemaRef ds:uri="http://schemas.microsoft.com/office/infopath/2007/PartnerControls"/>
    <ds:schemaRef ds:uri="d9c622cc-8e44-42df-8592-1faa16b6fa1e"/>
    <ds:schemaRef ds:uri="http://schemas.microsoft.com/office/2006/documentManagement/types"/>
    <ds:schemaRef ds:uri="http://purl.org/dc/terms/"/>
    <ds:schemaRef ds:uri="http://schemas.openxmlformats.org/package/2006/metadata/core-properties"/>
    <ds:schemaRef ds:uri="http://www.w3.org/XML/1998/namespace"/>
    <ds:schemaRef ds:uri="ca0888e1-ea96-4789-bf97-35736e00a9c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Introduction and Contents</vt:lpstr>
      <vt:lpstr>Glossary</vt:lpstr>
      <vt:lpstr>Version History</vt:lpstr>
      <vt:lpstr>LARP Summary</vt:lpstr>
      <vt:lpstr>How to use the search function</vt:lpstr>
      <vt:lpstr>LADR_FF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Nick Parker</dc:creator>
  <cp:lastModifiedBy>Nick Parker</cp:lastModifiedBy>
  <cp:lastPrinted>2023-10-11T15:00:09Z</cp:lastPrinted>
  <dcterms:created xsi:type="dcterms:W3CDTF">2021-05-13T13:28:39Z</dcterms:created>
  <dcterms:modified xsi:type="dcterms:W3CDTF">2023-11-23T16:55:56Z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0x010100E6D1ED10495DE94DB1659A33E5BC6327</vt:lpwstr>
  </property>
  <property fmtid="{D5CDD505-2E9C-101B-9397-08002B2CF9AE}" pid="3" name="MSIP_Label_727fb50e-81d5-40a5-b712-4eff31972ce4_Enabled">
    <vt:lpwstr>True</vt:lpwstr>
  </property>
  <property fmtid="{D5CDD505-2E9C-101B-9397-08002B2CF9AE}" pid="4" name="MSIP_Label_727fb50e-81d5-40a5-b712-4eff31972ce4_SiteId">
    <vt:lpwstr>faa8e269-0811-4538-82e7-4d29009219bf</vt:lpwstr>
  </property>
  <property fmtid="{D5CDD505-2E9C-101B-9397-08002B2CF9AE}" pid="5" name="MSIP_Label_727fb50e-81d5-40a5-b712-4eff31972ce4_Owner">
    <vt:lpwstr>Dominic.Taylor@rsh.gov.uk</vt:lpwstr>
  </property>
  <property fmtid="{D5CDD505-2E9C-101B-9397-08002B2CF9AE}" pid="6" name="MSIP_Label_727fb50e-81d5-40a5-b712-4eff31972ce4_SetDate">
    <vt:lpwstr>2021-10-05T11:25:59.6217766Z</vt:lpwstr>
  </property>
  <property fmtid="{D5CDD505-2E9C-101B-9397-08002B2CF9AE}" pid="7" name="MSIP_Label_727fb50e-81d5-40a5-b712-4eff31972ce4_Name">
    <vt:lpwstr>Official</vt:lpwstr>
  </property>
  <property fmtid="{D5CDD505-2E9C-101B-9397-08002B2CF9AE}" pid="8" name="MSIP_Label_727fb50e-81d5-40a5-b712-4eff31972ce4_Application">
    <vt:lpwstr>Microsoft Azure Information Protection</vt:lpwstr>
  </property>
  <property fmtid="{D5CDD505-2E9C-101B-9397-08002B2CF9AE}" pid="9" name="MSIP_Label_727fb50e-81d5-40a5-b712-4eff31972ce4_ActionId">
    <vt:lpwstr>9096988e-28ce-4849-9b30-fad48af2740e</vt:lpwstr>
  </property>
  <property fmtid="{D5CDD505-2E9C-101B-9397-08002B2CF9AE}" pid="10" name="MSIP_Label_727fb50e-81d5-40a5-b712-4eff31972ce4_Extended_MSFT_Method">
    <vt:lpwstr>Automatic</vt:lpwstr>
  </property>
  <property fmtid="{D5CDD505-2E9C-101B-9397-08002B2CF9AE}" pid="11" name="Sensitivity">
    <vt:lpwstr>Official</vt:lpwstr>
  </property>
</Properties>
</file>